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pivotTables/pivotTable1.xml" ContentType="application/vnd.openxmlformats-officedocument.spreadsheetml.pivotTable+xml"/>
  <Override PartName="/xl/comments10.xml" ContentType="application/vnd.openxmlformats-officedocument.spreadsheetml.comments+xml"/>
  <Override PartName="/xl/comments11.xml" ContentType="application/vnd.openxmlformats-officedocument.spreadsheetml.comments+xml"/>
  <Override PartName="/xl/drawings/drawing3.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4.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5.xml" ContentType="application/vnd.openxmlformats-officedocument.drawing+xml"/>
  <Override PartName="/xl/comments18.xml" ContentType="application/vnd.openxmlformats-officedocument.spreadsheetml.comments+xml"/>
  <Override PartName="/xl/comments19.xml" ContentType="application/vnd.openxmlformats-officedocument.spreadsheetml.comments+xml"/>
  <Override PartName="/xl/drawings/drawing6.xml" ContentType="application/vnd.openxmlformats-officedocument.drawing+xml"/>
  <Override PartName="/xl/comments20.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comments21.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8.xml" ContentType="application/vnd.openxmlformats-officedocument.drawing+xml"/>
  <Override PartName="/xl/comments22.xml" ContentType="application/vnd.openxmlformats-officedocument.spreadsheetml.comment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9.xml" ContentType="application/vnd.openxmlformats-officedocument.drawing+xml"/>
  <Override PartName="/xl/charts/chart12.xml" ContentType="application/vnd.openxmlformats-officedocument.drawingml.chart+xml"/>
  <Override PartName="/xl/charts/style1.xml" ContentType="application/vnd.ms-office.chartstyle+xml"/>
  <Override PartName="/xl/charts/colors1.xml" ContentType="application/vnd.ms-office.chartcolorstyle+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0.xml" ContentType="application/vnd.openxmlformats-officedocument.drawing+xml"/>
  <Override PartName="/xl/comments23.xml" ContentType="application/vnd.openxmlformats-officedocument.spreadsheetml.comments+xml"/>
  <Override PartName="/xl/charts/chart15.xml" ContentType="application/vnd.openxmlformats-officedocument.drawingml.chart+xml"/>
  <Override PartName="/xl/charts/style4.xml" ContentType="application/vnd.ms-office.chartstyle+xml"/>
  <Override PartName="/xl/charts/colors4.xml" ContentType="application/vnd.ms-office.chartcolorstyle+xml"/>
  <Override PartName="/xl/charts/chart16.xml" ContentType="application/vnd.openxmlformats-officedocument.drawingml.chart+xml"/>
  <Override PartName="/xl/charts/style5.xml" ContentType="application/vnd.ms-office.chartstyle+xml"/>
  <Override PartName="/xl/charts/colors5.xml" ContentType="application/vnd.ms-office.chartcolorstyle+xml"/>
  <Override PartName="/xl/charts/chart17.xml" ContentType="application/vnd.openxmlformats-officedocument.drawingml.chart+xml"/>
  <Override PartName="/xl/charts/style6.xml" ContentType="application/vnd.ms-office.chartstyle+xml"/>
  <Override PartName="/xl/charts/colors6.xml" ContentType="application/vnd.ms-office.chartcolorstyle+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harts/chart19.xml" ContentType="application/vnd.openxmlformats-officedocument.drawingml.chart+xml"/>
  <Override PartName="/xl/charts/style8.xml" ContentType="application/vnd.ms-office.chartstyle+xml"/>
  <Override PartName="/xl/charts/colors8.xml" ContentType="application/vnd.ms-office.chartcolorstyle+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charts/chart2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22.xml" ContentType="application/vnd.openxmlformats-officedocument.drawingml.chart+xml"/>
  <Override PartName="/xl/charts/style11.xml" ContentType="application/vnd.ms-office.chartstyle+xml"/>
  <Override PartName="/xl/charts/colors11.xml" ContentType="application/vnd.ms-office.chartcolorstyle+xml"/>
  <Override PartName="/xl/charts/chart2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charts/chart24.xml" ContentType="application/vnd.openxmlformats-officedocument.drawingml.chart+xml"/>
  <Override PartName="/xl/charts/style13.xml" ContentType="application/vnd.ms-office.chartstyle+xml"/>
  <Override PartName="/xl/charts/colors13.xml" ContentType="application/vnd.ms-office.chartcolorstyle+xml"/>
  <Override PartName="/xl/charts/chart2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comments24.xml" ContentType="application/vnd.openxmlformats-officedocument.spreadsheetml.comments+xml"/>
  <Override PartName="/xl/charts/chart26.xml" ContentType="application/vnd.openxmlformats-officedocument.drawingml.chart+xml"/>
  <Override PartName="/xl/charts/style15.xml" ContentType="application/vnd.ms-office.chartstyle+xml"/>
  <Override PartName="/xl/charts/colors15.xml" ContentType="application/vnd.ms-office.chartcolorstyle+xml"/>
  <Override PartName="/xl/charts/chart2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omments25.xml" ContentType="application/vnd.openxmlformats-officedocument.spreadsheetml.comments+xml"/>
  <Override PartName="/xl/charts/chart28.xml" ContentType="application/vnd.openxmlformats-officedocument.drawingml.chart+xml"/>
  <Override PartName="/xl/charts/style17.xml" ContentType="application/vnd.ms-office.chartstyle+xml"/>
  <Override PartName="/xl/charts/colors17.xml" ContentType="application/vnd.ms-office.chartcolorstyle+xml"/>
  <Override PartName="/xl/charts/chart29.xml" ContentType="application/vnd.openxmlformats-officedocument.drawingml.chart+xml"/>
  <Override PartName="/xl/charts/style18.xml" ContentType="application/vnd.ms-office.chartstyle+xml"/>
  <Override PartName="/xl/charts/colors18.xml" ContentType="application/vnd.ms-office.chartcolorstyle+xml"/>
  <Override PartName="/xl/charts/chart30.xml" ContentType="application/vnd.openxmlformats-officedocument.drawingml.chart+xml"/>
  <Override PartName="/xl/charts/style19.xml" ContentType="application/vnd.ms-office.chartstyle+xml"/>
  <Override PartName="/xl/charts/colors19.xml" ContentType="application/vnd.ms-office.chartcolorstyle+xml"/>
  <Override PartName="/xl/charts/chart31.xml" ContentType="application/vnd.openxmlformats-officedocument.drawingml.chart+xml"/>
  <Override PartName="/xl/charts/style20.xml" ContentType="application/vnd.ms-office.chartstyle+xml"/>
  <Override PartName="/xl/charts/colors20.xml" ContentType="application/vnd.ms-office.chartcolorstyle+xml"/>
  <Override PartName="/xl/charts/chart32.xml" ContentType="application/vnd.openxmlformats-officedocument.drawingml.chart+xml"/>
  <Override PartName="/xl/charts/style21.xml" ContentType="application/vnd.ms-office.chartstyle+xml"/>
  <Override PartName="/xl/charts/colors21.xml" ContentType="application/vnd.ms-office.chartcolorstyle+xml"/>
  <Override PartName="/xl/charts/chart33.xml" ContentType="application/vnd.openxmlformats-officedocument.drawingml.chart+xml"/>
  <Override PartName="/xl/charts/style22.xml" ContentType="application/vnd.ms-office.chartstyle+xml"/>
  <Override PartName="/xl/charts/colors22.xml" ContentType="application/vnd.ms-office.chartcolorstyle+xml"/>
  <Override PartName="/xl/charts/chart34.xml" ContentType="application/vnd.openxmlformats-officedocument.drawingml.chart+xml"/>
  <Override PartName="/xl/charts/style23.xml" ContentType="application/vnd.ms-office.chartstyle+xml"/>
  <Override PartName="/xl/charts/colors23.xml" ContentType="application/vnd.ms-office.chartcolorstyle+xml"/>
  <Override PartName="/xl/charts/chart35.xml" ContentType="application/vnd.openxmlformats-officedocument.drawingml.chart+xml"/>
  <Override PartName="/xl/charts/style24.xml" ContentType="application/vnd.ms-office.chartstyle+xml"/>
  <Override PartName="/xl/charts/colors24.xml" ContentType="application/vnd.ms-office.chartcolorstyle+xml"/>
  <Override PartName="/xl/charts/chart36.xml" ContentType="application/vnd.openxmlformats-officedocument.drawingml.chart+xml"/>
  <Override PartName="/xl/charts/style25.xml" ContentType="application/vnd.ms-office.chartstyle+xml"/>
  <Override PartName="/xl/charts/colors25.xml" ContentType="application/vnd.ms-office.chartcolorstyle+xml"/>
  <Override PartName="/xl/charts/chart37.xml" ContentType="application/vnd.openxmlformats-officedocument.drawingml.chart+xml"/>
  <Override PartName="/xl/charts/style26.xml" ContentType="application/vnd.ms-office.chartstyle+xml"/>
  <Override PartName="/xl/charts/colors26.xml" ContentType="application/vnd.ms-office.chartcolorstyle+xml"/>
  <Override PartName="/xl/charts/chart38.xml" ContentType="application/vnd.openxmlformats-officedocument.drawingml.chart+xml"/>
  <Override PartName="/xl/charts/style27.xml" ContentType="application/vnd.ms-office.chartstyle+xml"/>
  <Override PartName="/xl/charts/colors27.xml" ContentType="application/vnd.ms-office.chartcolorstyle+xml"/>
  <Override PartName="/xl/charts/chart39.xml" ContentType="application/vnd.openxmlformats-officedocument.drawingml.chart+xml"/>
  <Override PartName="/xl/charts/style28.xml" ContentType="application/vnd.ms-office.chartstyle+xml"/>
  <Override PartName="/xl/charts/colors28.xml" ContentType="application/vnd.ms-office.chartcolorstyle+xml"/>
  <Override PartName="/xl/charts/chart4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5.xml" ContentType="application/vnd.openxmlformats-officedocument.drawing+xml"/>
  <Override PartName="/xl/comments26.xml" ContentType="application/vnd.openxmlformats-officedocument.spreadsheetml.comments+xml"/>
  <Override PartName="/xl/charts/chart4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6.xml" ContentType="application/vnd.openxmlformats-officedocument.drawing+xml"/>
  <Override PartName="/xl/charts/chart42.xml" ContentType="application/vnd.openxmlformats-officedocument.drawingml.chart+xml"/>
  <Override PartName="/xl/charts/style31.xml" ContentType="application/vnd.ms-office.chartstyle+xml"/>
  <Override PartName="/xl/charts/colors31.xml" ContentType="application/vnd.ms-office.chartcolorstyle+xml"/>
  <Override PartName="/xl/comments27.xml" ContentType="application/vnd.openxmlformats-officedocument.spreadsheetml.comments+xml"/>
  <Override PartName="/xl/drawings/drawing17.xml" ContentType="application/vnd.openxmlformats-officedocument.drawing+xml"/>
  <Override PartName="/xl/comments28.xml" ContentType="application/vnd.openxmlformats-officedocument.spreadsheetml.comments+xml"/>
  <Override PartName="/xl/charts/chart43.xml" ContentType="application/vnd.openxmlformats-officedocument.drawingml.chart+xml"/>
  <Override PartName="/xl/charts/style32.xml" ContentType="application/vnd.ms-office.chartstyle+xml"/>
  <Override PartName="/xl/charts/colors32.xml" ContentType="application/vnd.ms-office.chartcolorstyle+xml"/>
  <Override PartName="/xl/charts/chart44.xml" ContentType="application/vnd.openxmlformats-officedocument.drawingml.chart+xml"/>
  <Override PartName="/xl/charts/style33.xml" ContentType="application/vnd.ms-office.chartstyle+xml"/>
  <Override PartName="/xl/charts/colors33.xml" ContentType="application/vnd.ms-office.chartcolorstyle+xml"/>
  <Override PartName="/xl/charts/chart45.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8.xml" ContentType="application/vnd.openxmlformats-officedocument.drawing+xml"/>
  <Override PartName="/xl/comments29.xml" ContentType="application/vnd.openxmlformats-officedocument.spreadsheetml.comments+xml"/>
  <Override PartName="/xl/charts/chart46.xml" ContentType="application/vnd.openxmlformats-officedocument.drawingml.chart+xml"/>
  <Override PartName="/xl/charts/style35.xml" ContentType="application/vnd.ms-office.chartstyle+xml"/>
  <Override PartName="/xl/charts/colors35.xml" ContentType="application/vnd.ms-office.chartcolorstyle+xml"/>
  <Override PartName="/xl/charts/chart47.xml" ContentType="application/vnd.openxmlformats-officedocument.drawingml.chart+xml"/>
  <Override PartName="/xl/charts/style36.xml" ContentType="application/vnd.ms-office.chartstyle+xml"/>
  <Override PartName="/xl/charts/colors36.xml" ContentType="application/vnd.ms-office.chartcolorstyle+xml"/>
  <Override PartName="/xl/charts/chart48.xml" ContentType="application/vnd.openxmlformats-officedocument.drawingml.chart+xml"/>
  <Override PartName="/xl/charts/style37.xml" ContentType="application/vnd.ms-office.chartstyle+xml"/>
  <Override PartName="/xl/charts/colors37.xml" ContentType="application/vnd.ms-office.chartcolorstyle+xml"/>
  <Override PartName="/xl/charts/chart49.xml" ContentType="application/vnd.openxmlformats-officedocument.drawingml.chart+xml"/>
  <Override PartName="/xl/charts/style38.xml" ContentType="application/vnd.ms-office.chartstyle+xml"/>
  <Override PartName="/xl/charts/colors38.xml" ContentType="application/vnd.ms-office.chartcolorstyle+xml"/>
  <Override PartName="/xl/charts/chart50.xml" ContentType="application/vnd.openxmlformats-officedocument.drawingml.chart+xml"/>
  <Override PartName="/xl/charts/style39.xml" ContentType="application/vnd.ms-office.chartstyle+xml"/>
  <Override PartName="/xl/charts/colors39.xml" ContentType="application/vnd.ms-office.chartcolorstyle+xml"/>
  <Override PartName="/xl/charts/chart51.xml" ContentType="application/vnd.openxmlformats-officedocument.drawingml.chart+xml"/>
  <Override PartName="/xl/charts/style40.xml" ContentType="application/vnd.ms-office.chartstyle+xml"/>
  <Override PartName="/xl/charts/colors40.xml" ContentType="application/vnd.ms-office.chartcolorstyle+xml"/>
  <Override PartName="/xl/charts/chart52.xml" ContentType="application/vnd.openxmlformats-officedocument.drawingml.chart+xml"/>
  <Override PartName="/xl/charts/style41.xml" ContentType="application/vnd.ms-office.chartstyle+xml"/>
  <Override PartName="/xl/charts/colors41.xml" ContentType="application/vnd.ms-office.chartcolorstyle+xml"/>
  <Override PartName="/xl/charts/chart53.xml" ContentType="application/vnd.openxmlformats-officedocument.drawingml.chart+xml"/>
  <Override PartName="/xl/charts/style42.xml" ContentType="application/vnd.ms-office.chartstyle+xml"/>
  <Override PartName="/xl/charts/colors42.xml" ContentType="application/vnd.ms-office.chartcolorstyle+xml"/>
  <Override PartName="/xl/charts/chart54.xml" ContentType="application/vnd.openxmlformats-officedocument.drawingml.chart+xml"/>
  <Override PartName="/xl/charts/style43.xml" ContentType="application/vnd.ms-office.chartstyle+xml"/>
  <Override PartName="/xl/charts/colors43.xml" ContentType="application/vnd.ms-office.chartcolorstyle+xml"/>
  <Override PartName="/xl/charts/chart55.xml" ContentType="application/vnd.openxmlformats-officedocument.drawingml.chart+xml"/>
  <Override PartName="/xl/charts/style44.xml" ContentType="application/vnd.ms-office.chartstyle+xml"/>
  <Override PartName="/xl/charts/colors44.xml" ContentType="application/vnd.ms-office.chartcolorstyle+xml"/>
  <Override PartName="/xl/charts/chart56.xml" ContentType="application/vnd.openxmlformats-officedocument.drawingml.chart+xml"/>
  <Override PartName="/xl/charts/style45.xml" ContentType="application/vnd.ms-office.chartstyle+xml"/>
  <Override PartName="/xl/charts/colors45.xml" ContentType="application/vnd.ms-office.chartcolorstyle+xml"/>
  <Override PartName="/xl/charts/chart57.xml" ContentType="application/vnd.openxmlformats-officedocument.drawingml.chart+xml"/>
  <Override PartName="/xl/charts/style46.xml" ContentType="application/vnd.ms-office.chartstyle+xml"/>
  <Override PartName="/xl/charts/colors46.xml" ContentType="application/vnd.ms-office.chartcolorstyle+xml"/>
  <Override PartName="/xl/charts/chart58.xml" ContentType="application/vnd.openxmlformats-officedocument.drawingml.chart+xml"/>
  <Override PartName="/xl/charts/style47.xml" ContentType="application/vnd.ms-office.chartstyle+xml"/>
  <Override PartName="/xl/charts/colors47.xml" ContentType="application/vnd.ms-office.chartcolorstyle+xml"/>
  <Override PartName="/xl/charts/chart59.xml" ContentType="application/vnd.openxmlformats-officedocument.drawingml.chart+xml"/>
  <Override PartName="/xl/charts/style48.xml" ContentType="application/vnd.ms-office.chartstyle+xml"/>
  <Override PartName="/xl/charts/colors48.xml" ContentType="application/vnd.ms-office.chartcolorstyle+xml"/>
  <Override PartName="/xl/charts/chart60.xml" ContentType="application/vnd.openxmlformats-officedocument.drawingml.chart+xml"/>
  <Override PartName="/xl/charts/style49.xml" ContentType="application/vnd.ms-office.chartstyle+xml"/>
  <Override PartName="/xl/charts/colors49.xml" ContentType="application/vnd.ms-office.chartcolorstyle+xml"/>
  <Override PartName="/xl/comments30.xml" ContentType="application/vnd.openxmlformats-officedocument.spreadsheetml.comments+xml"/>
  <Override PartName="/xl/comments31.xml" ContentType="application/vnd.openxmlformats-officedocument.spreadsheetml.comments+xml"/>
  <Override PartName="/xl/drawings/drawing19.xml" ContentType="application/vnd.openxmlformats-officedocument.drawing+xml"/>
  <Override PartName="/xl/comments32.xml" ContentType="application/vnd.openxmlformats-officedocument.spreadsheetml.comments+xml"/>
  <Override PartName="/xl/charts/chart61.xml" ContentType="application/vnd.openxmlformats-officedocument.drawingml.chart+xml"/>
  <Override PartName="/xl/charts/style50.xml" ContentType="application/vnd.ms-office.chartstyle+xml"/>
  <Override PartName="/xl/charts/colors50.xml" ContentType="application/vnd.ms-office.chartcolorstyle+xml"/>
  <Override PartName="/xl/charts/chart62.xml" ContentType="application/vnd.openxmlformats-officedocument.drawingml.chart+xml"/>
  <Override PartName="/xl/charts/style51.xml" ContentType="application/vnd.ms-office.chartstyle+xml"/>
  <Override PartName="/xl/charts/colors51.xml" ContentType="application/vnd.ms-office.chartcolorstyle+xml"/>
  <Override PartName="/xl/charts/chart63.xml" ContentType="application/vnd.openxmlformats-officedocument.drawingml.chart+xml"/>
  <Override PartName="/xl/charts/style52.xml" ContentType="application/vnd.ms-office.chartstyle+xml"/>
  <Override PartName="/xl/charts/colors52.xml" ContentType="application/vnd.ms-office.chartcolorstyle+xml"/>
  <Override PartName="/xl/charts/chart64.xml" ContentType="application/vnd.openxmlformats-officedocument.drawingml.chart+xml"/>
  <Override PartName="/xl/charts/style53.xml" ContentType="application/vnd.ms-office.chartstyle+xml"/>
  <Override PartName="/xl/charts/colors53.xml" ContentType="application/vnd.ms-office.chartcolorstyle+xml"/>
  <Override PartName="/xl/charts/chart65.xml" ContentType="application/vnd.openxmlformats-officedocument.drawingml.chart+xml"/>
  <Override PartName="/xl/charts/style54.xml" ContentType="application/vnd.ms-office.chartstyle+xml"/>
  <Override PartName="/xl/charts/colors54.xml" ContentType="application/vnd.ms-office.chartcolorstyle+xml"/>
  <Override PartName="/xl/charts/chart66.xml" ContentType="application/vnd.openxmlformats-officedocument.drawingml.chart+xml"/>
  <Override PartName="/xl/charts/style55.xml" ContentType="application/vnd.ms-office.chartstyle+xml"/>
  <Override PartName="/xl/charts/colors55.xml" ContentType="application/vnd.ms-office.chartcolorstyle+xml"/>
  <Override PartName="/xl/charts/chart67.xml" ContentType="application/vnd.openxmlformats-officedocument.drawingml.chart+xml"/>
  <Override PartName="/xl/charts/style56.xml" ContentType="application/vnd.ms-office.chartstyle+xml"/>
  <Override PartName="/xl/charts/colors56.xml" ContentType="application/vnd.ms-office.chartcolorstyle+xml"/>
  <Override PartName="/xl/charts/chart68.xml" ContentType="application/vnd.openxmlformats-officedocument.drawingml.chart+xml"/>
  <Override PartName="/xl/charts/style57.xml" ContentType="application/vnd.ms-office.chartstyle+xml"/>
  <Override PartName="/xl/charts/colors57.xml" ContentType="application/vnd.ms-office.chartcolorstyle+xml"/>
  <Override PartName="/xl/charts/chart69.xml" ContentType="application/vnd.openxmlformats-officedocument.drawingml.chart+xml"/>
  <Override PartName="/xl/charts/style58.xml" ContentType="application/vnd.ms-office.chartstyle+xml"/>
  <Override PartName="/xl/charts/colors58.xml" ContentType="application/vnd.ms-office.chartcolorstyle+xml"/>
  <Override PartName="/xl/charts/chart70.xml" ContentType="application/vnd.openxmlformats-officedocument.drawingml.chart+xml"/>
  <Override PartName="/xl/charts/style59.xml" ContentType="application/vnd.ms-office.chartstyle+xml"/>
  <Override PartName="/xl/charts/colors59.xml" ContentType="application/vnd.ms-office.chartcolorstyle+xml"/>
  <Override PartName="/xl/charts/chart71.xml" ContentType="application/vnd.openxmlformats-officedocument.drawingml.chart+xml"/>
  <Override PartName="/xl/charts/style60.xml" ContentType="application/vnd.ms-office.chartstyle+xml"/>
  <Override PartName="/xl/charts/colors60.xml" ContentType="application/vnd.ms-office.chartcolorstyle+xml"/>
  <Override PartName="/xl/charts/chart72.xml" ContentType="application/vnd.openxmlformats-officedocument.drawingml.chart+xml"/>
  <Override PartName="/xl/charts/style61.xml" ContentType="application/vnd.ms-office.chartstyle+xml"/>
  <Override PartName="/xl/charts/colors61.xml" ContentType="application/vnd.ms-office.chartcolorstyle+xml"/>
  <Override PartName="/xl/comments33.xml" ContentType="application/vnd.openxmlformats-officedocument.spreadsheetml.comments+xml"/>
  <Override PartName="/xl/comments34.xml" ContentType="application/vnd.openxmlformats-officedocument.spreadsheetml.comments+xml"/>
  <Override PartName="/xl/drawings/drawing20.xml" ContentType="application/vnd.openxmlformats-officedocument.drawing+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drawings/drawing21.xml" ContentType="application/vnd.openxmlformats-officedocument.drawing+xml"/>
  <Override PartName="/xl/charts/chart82.xml" ContentType="application/vnd.openxmlformats-officedocument.drawingml.chart+xml"/>
  <Override PartName="/xl/comments3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WAVES NCA\Accounts\Water\Rda SEEA 2018\"/>
    </mc:Choice>
  </mc:AlternateContent>
  <bookViews>
    <workbookView xWindow="0" yWindow="0" windowWidth="12405" windowHeight="3000" tabRatio="762" firstSheet="55" activeTab="57"/>
  </bookViews>
  <sheets>
    <sheet name="TOC" sheetId="120" r:id="rId1"/>
    <sheet name="2012NWRMP" sheetId="130" r:id="rId2"/>
    <sheet name="Lakes" sheetId="110" r:id="rId3"/>
    <sheet name="Rivers" sheetId="115" r:id="rId4"/>
    <sheet name="Artificial_reserv" sheetId="114" r:id="rId5"/>
    <sheet name="GW&amp;SOILW_2012" sheetId="109" r:id="rId6"/>
    <sheet name="Prec&amp;ET2012" sheetId="112" r:id="rId7"/>
    <sheet name="Runoff" sheetId="119" r:id="rId8"/>
    <sheet name="Inflow" sheetId="113" r:id="rId9"/>
    <sheet name="Outflow" sheetId="118" r:id="rId10"/>
    <sheet name="Closing_stocks" sheetId="162" r:id="rId11"/>
    <sheet name="Asset_2012_Table" sheetId="60" r:id="rId12"/>
    <sheet name="W-Assets_Data&amp;Method_2012" sheetId="91" r:id="rId13"/>
    <sheet name="Asset_Tbl_Balance_2012_Doc" sheetId="165" r:id="rId14"/>
    <sheet name="Asset_Tbl_Balance_2012" sheetId="116" r:id="rId15"/>
    <sheet name="PSUT_Data&amp;Method_2012" sheetId="99" r:id="rId16"/>
    <sheet name="PSUT_2012" sheetId="98" r:id="rId17"/>
    <sheet name="RBM&amp;E-2017_S" sheetId="133" r:id="rId18"/>
    <sheet name="Asset_2013_Table" sheetId="153" r:id="rId19"/>
    <sheet name="W-Assets_Data&amp;Method_2013" sheetId="154" r:id="rId20"/>
    <sheet name="Asset_Tbl_Balance_2013" sheetId="155" r:id="rId21"/>
    <sheet name="PSUT_Data&amp;Method_2013" sheetId="102" r:id="rId22"/>
    <sheet name="PSUT_2013" sheetId="121" r:id="rId23"/>
    <sheet name="Asset_2014_Table" sheetId="156" r:id="rId24"/>
    <sheet name="W-Assets_Data&amp;Method_2014" sheetId="157" r:id="rId25"/>
    <sheet name="Asset_Tbl_Balance_2014" sheetId="158" r:id="rId26"/>
    <sheet name="PSUT_Data&amp;Method_2014" sheetId="104" r:id="rId27"/>
    <sheet name="PSUT_2014" sheetId="122" r:id="rId28"/>
    <sheet name="Asset_2015_Table" sheetId="159" r:id="rId29"/>
    <sheet name="W-Assets_Data&amp;Method_2015" sheetId="160" r:id="rId30"/>
    <sheet name="Asset_Tbl_Balance_2015" sheetId="161" r:id="rId31"/>
    <sheet name="PSUT_Data&amp;Method_2015" sheetId="106" r:id="rId32"/>
    <sheet name="PSUT_2015" sheetId="123" r:id="rId33"/>
    <sheet name="Asset_trends_Charts__I" sheetId="163" r:id="rId34"/>
    <sheet name="Asset_trends_Charts__II" sheetId="127" r:id="rId35"/>
    <sheet name="Asset_trends_Charts__III" sheetId="180" r:id="rId36"/>
    <sheet name="PSUT_Trends_Charts" sheetId="177" r:id="rId37"/>
    <sheet name="PSUT_2012-20JJ__I" sheetId="176" r:id="rId38"/>
    <sheet name="Indicators" sheetId="137" r:id="rId39"/>
    <sheet name="IRWR" sheetId="152" r:id="rId40"/>
    <sheet name="TRWR" sheetId="151" r:id="rId41"/>
    <sheet name="Water_availability_per_capita" sheetId="150" r:id="rId42"/>
    <sheet name="SDG_6.4.1" sheetId="146" r:id="rId43"/>
    <sheet name="SDG_6.4.1__T-Series" sheetId="169" r:id="rId44"/>
    <sheet name="Sheet3" sheetId="179" r:id="rId45"/>
    <sheet name="SDG_Resources_Sheet" sheetId="147" r:id="rId46"/>
    <sheet name="SDG_6.4.2" sheetId="148" r:id="rId47"/>
    <sheet name="CYGDP_KP__Transpo__I" sheetId="132" r:id="rId48"/>
    <sheet name="CYGDP_KP__Transpo__IIA" sheetId="166" r:id="rId49"/>
    <sheet name="CYGDP_KP__Transpo__IIB" sheetId="167" r:id="rId50"/>
    <sheet name="CYGDP_CP__Transpo" sheetId="136" r:id="rId51"/>
    <sheet name="CYGDP_CP" sheetId="135" r:id="rId52"/>
    <sheet name="CYGDP_KP" sheetId="131" r:id="rId53"/>
    <sheet name="L_Force_Tbl22_Transp__I" sheetId="140" r:id="rId54"/>
    <sheet name="L_Force_Tbl22_Transp__II" sheetId="168" r:id="rId55"/>
    <sheet name="L_Force_Tbl_18__I" sheetId="138" r:id="rId56"/>
    <sheet name="L_Force_Tbl_22__I" sheetId="139" r:id="rId57"/>
    <sheet name="WASAC_2012-2015" sheetId="171" r:id="rId58"/>
    <sheet name="WASAC_abstraction" sheetId="172" r:id="rId59"/>
    <sheet name="SYB_2015_Table_7.2.1" sheetId="174" r:id="rId60"/>
    <sheet name="WASAC_Distribution" sheetId="173" r:id="rId61"/>
    <sheet name="Table_Water_Sector_Econ-output" sheetId="175" r:id="rId62"/>
  </sheets>
  <externalReferences>
    <externalReference r:id="rId63"/>
  </externalReferences>
  <definedNames>
    <definedName name="_Toc368579723" localSheetId="59">SYB_2015_Table_7.2.1!$B$4</definedName>
    <definedName name="_xlnm.Print_Area" localSheetId="51">CYGDP_CP!$A$1:$V$49</definedName>
    <definedName name="_xlnm.Print_Area" localSheetId="52">CYGDP_KP!$A$1:$V$49</definedName>
    <definedName name="_xlnm.Print_Area" localSheetId="55">L_Force_Tbl_18__I!$A$1:$H$28</definedName>
    <definedName name="_xlnm.Print_Area" localSheetId="56">L_Force_Tbl_22__I!$A$1:$N$29</definedName>
    <definedName name="_xlnm.Print_Area" localSheetId="17">'RBM&amp;E-2017_S'!$A$1:$Y$71</definedName>
    <definedName name="_xlnm.Print_Titles" localSheetId="51">CYGDP_CP!$5:$6</definedName>
    <definedName name="_xlnm.Print_Titles" localSheetId="52">CYGDP_KP!$5:$6</definedName>
    <definedName name="Products">[1]RPCA1!$A$2:$E$228</definedName>
  </definedNames>
  <calcPr calcId="152511"/>
  <pivotCaches>
    <pivotCache cacheId="0" r:id="rId64"/>
  </pivotCaches>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0" i="109" l="1"/>
  <c r="I125" i="176" l="1"/>
  <c r="H125" i="176"/>
  <c r="G125" i="176"/>
  <c r="F125" i="176"/>
  <c r="E125" i="176"/>
  <c r="U125" i="176"/>
  <c r="T125" i="176"/>
  <c r="AA125" i="176"/>
  <c r="Z125" i="176"/>
  <c r="Z124" i="176"/>
  <c r="Y124" i="176"/>
  <c r="X124" i="176"/>
  <c r="W124" i="176"/>
  <c r="U124" i="176"/>
  <c r="T124" i="176"/>
  <c r="S124" i="176"/>
  <c r="R124" i="176"/>
  <c r="Q124" i="176"/>
  <c r="P124" i="176"/>
  <c r="O124" i="176"/>
  <c r="N124" i="176"/>
  <c r="M124" i="176"/>
  <c r="L124" i="176"/>
  <c r="K124" i="176"/>
  <c r="J124" i="176"/>
  <c r="I124" i="176"/>
  <c r="H124" i="176"/>
  <c r="G124" i="176"/>
  <c r="F124" i="176"/>
  <c r="E124" i="176"/>
  <c r="D124" i="176"/>
  <c r="AA124" i="176"/>
  <c r="G8" i="180"/>
  <c r="G7" i="180"/>
  <c r="G15" i="180" s="1"/>
  <c r="G6" i="180"/>
  <c r="G5" i="180"/>
  <c r="F8" i="180"/>
  <c r="F7" i="180"/>
  <c r="F15" i="180" s="1"/>
  <c r="F6" i="180"/>
  <c r="F14" i="180" s="1"/>
  <c r="F5" i="180"/>
  <c r="E8" i="180"/>
  <c r="E7" i="180"/>
  <c r="E6" i="180"/>
  <c r="E5" i="180"/>
  <c r="D8" i="180"/>
  <c r="D7" i="180"/>
  <c r="D6" i="180"/>
  <c r="D5" i="180"/>
  <c r="D13" i="180" s="1"/>
  <c r="C8" i="180"/>
  <c r="C7" i="180"/>
  <c r="C6" i="180"/>
  <c r="C5" i="180"/>
  <c r="C13" i="180" s="1"/>
  <c r="B8" i="180"/>
  <c r="B7" i="180"/>
  <c r="B6" i="180"/>
  <c r="B5" i="180"/>
  <c r="B13" i="180" s="1"/>
  <c r="G12" i="180"/>
  <c r="F12" i="180"/>
  <c r="E12" i="180"/>
  <c r="D12" i="180"/>
  <c r="C12" i="180"/>
  <c r="B12" i="180"/>
  <c r="E10" i="180"/>
  <c r="G10" i="180"/>
  <c r="F16" i="180"/>
  <c r="E16" i="180"/>
  <c r="E15" i="180"/>
  <c r="G14" i="180"/>
  <c r="E14" i="180"/>
  <c r="H21" i="180"/>
  <c r="F22" i="180"/>
  <c r="E22" i="180"/>
  <c r="D15" i="180" l="1"/>
  <c r="D14" i="180"/>
  <c r="D10" i="180"/>
  <c r="B14" i="180"/>
  <c r="C10" i="180"/>
  <c r="C14" i="180"/>
  <c r="C15" i="180"/>
  <c r="B15" i="180"/>
  <c r="B16" i="180"/>
  <c r="E13" i="180"/>
  <c r="C16" i="180"/>
  <c r="G16" i="180"/>
  <c r="B22" i="180"/>
  <c r="F13" i="180"/>
  <c r="D16" i="180"/>
  <c r="D22" i="180"/>
  <c r="H5" i="180"/>
  <c r="G13" i="180"/>
  <c r="F21" i="180"/>
  <c r="B10" i="180"/>
  <c r="F10" i="180"/>
  <c r="G20" i="180"/>
  <c r="M24" i="158"/>
  <c r="N24" i="158" s="1"/>
  <c r="M24" i="155"/>
  <c r="N24" i="155" s="1"/>
  <c r="N24" i="116"/>
  <c r="M24" i="116"/>
  <c r="M10" i="116"/>
  <c r="F19" i="116"/>
  <c r="E11" i="116"/>
  <c r="E19" i="116"/>
  <c r="D17" i="116"/>
  <c r="H20" i="152"/>
  <c r="H18" i="152"/>
  <c r="H14" i="152"/>
  <c r="H10" i="152"/>
  <c r="H8" i="152"/>
  <c r="H9" i="152" s="1"/>
  <c r="H7" i="152"/>
  <c r="H9" i="151"/>
  <c r="G12" i="150"/>
  <c r="F12" i="150"/>
  <c r="G10" i="150"/>
  <c r="G9" i="150"/>
  <c r="G8" i="150"/>
  <c r="G7" i="150"/>
  <c r="G6" i="150"/>
  <c r="M9" i="156" l="1"/>
  <c r="C10" i="150"/>
  <c r="G21" i="151"/>
  <c r="H21" i="151"/>
  <c r="H20" i="151"/>
  <c r="H18" i="151"/>
  <c r="H14" i="151"/>
  <c r="H10" i="151"/>
  <c r="H8" i="151"/>
  <c r="H7" i="151"/>
  <c r="F21" i="151"/>
  <c r="E21" i="151"/>
  <c r="D21" i="151"/>
  <c r="C21" i="151"/>
  <c r="N10" i="161"/>
  <c r="N10" i="60"/>
  <c r="N10" i="153"/>
  <c r="N10" i="156"/>
  <c r="N10" i="159"/>
  <c r="Y99" i="168" l="1"/>
  <c r="Y97" i="168"/>
  <c r="Y96" i="168"/>
  <c r="Y95" i="168"/>
  <c r="Y94" i="168"/>
  <c r="Y93" i="168"/>
  <c r="Y92" i="168"/>
  <c r="Y91" i="168"/>
  <c r="Y90" i="168"/>
  <c r="Y89" i="168"/>
  <c r="Y88" i="168"/>
  <c r="Y87" i="168"/>
  <c r="X88" i="168"/>
  <c r="X89" i="168"/>
  <c r="X90" i="168"/>
  <c r="X91" i="168"/>
  <c r="X92" i="168"/>
  <c r="X93" i="168"/>
  <c r="X94" i="168"/>
  <c r="X95" i="168"/>
  <c r="X96" i="168"/>
  <c r="X97" i="168"/>
  <c r="X87" i="168"/>
  <c r="S104" i="168"/>
  <c r="S103" i="168"/>
  <c r="S102" i="168"/>
  <c r="S101" i="168"/>
  <c r="S100" i="168"/>
  <c r="S99" i="168"/>
  <c r="S98" i="168"/>
  <c r="S97" i="168"/>
  <c r="S96" i="168"/>
  <c r="S95" i="168"/>
  <c r="S94" i="168"/>
  <c r="S93" i="168"/>
  <c r="S92" i="168"/>
  <c r="S91" i="168"/>
  <c r="S90" i="168"/>
  <c r="S89" i="168"/>
  <c r="S88" i="168"/>
  <c r="S87" i="168"/>
  <c r="D75" i="168"/>
  <c r="H18" i="119" l="1"/>
  <c r="H420" i="106" l="1"/>
  <c r="H419" i="106"/>
  <c r="H420" i="104"/>
  <c r="H419" i="104"/>
  <c r="H302" i="106"/>
  <c r="H301" i="106"/>
  <c r="H302" i="104"/>
  <c r="H301" i="104"/>
  <c r="H284" i="106"/>
  <c r="H283" i="106"/>
  <c r="H284" i="104"/>
  <c r="H283" i="104"/>
  <c r="H32" i="106"/>
  <c r="H32" i="104"/>
  <c r="H420" i="102"/>
  <c r="H419" i="102"/>
  <c r="H302" i="102"/>
  <c r="H301" i="102"/>
  <c r="H284" i="102"/>
  <c r="H283" i="102"/>
  <c r="H32" i="102"/>
  <c r="H32" i="99"/>
  <c r="H302" i="99"/>
  <c r="H301" i="99"/>
  <c r="H284" i="99"/>
  <c r="H283" i="99"/>
  <c r="H34" i="99" l="1"/>
  <c r="F8" i="171" l="1"/>
  <c r="R7" i="168"/>
  <c r="Q7" i="168"/>
  <c r="C6" i="140"/>
  <c r="Y13" i="169" l="1"/>
  <c r="Z13" i="169" s="1"/>
  <c r="AA13" i="169" s="1"/>
  <c r="M13" i="169"/>
  <c r="AE13" i="169" l="1"/>
  <c r="AB13" i="169"/>
  <c r="AF13" i="169"/>
  <c r="AC13" i="169"/>
  <c r="AF11" i="169"/>
  <c r="AD13" i="169"/>
  <c r="AF12" i="169"/>
  <c r="AD12" i="169"/>
  <c r="AC12" i="169"/>
  <c r="AE12" i="169" l="1"/>
  <c r="D123" i="176" l="1"/>
  <c r="D122" i="176"/>
  <c r="D121" i="176"/>
  <c r="D120" i="176"/>
  <c r="D119" i="176"/>
  <c r="C119" i="176"/>
  <c r="B119" i="176"/>
  <c r="D116" i="176"/>
  <c r="D115" i="176"/>
  <c r="D114" i="176"/>
  <c r="D113" i="176"/>
  <c r="D112" i="176"/>
  <c r="C112" i="176"/>
  <c r="B112" i="176"/>
  <c r="D133" i="176"/>
  <c r="C133" i="176"/>
  <c r="B133" i="176"/>
  <c r="D126" i="176"/>
  <c r="C126" i="176"/>
  <c r="B126" i="176"/>
  <c r="D105" i="176"/>
  <c r="C105" i="176"/>
  <c r="B105" i="176"/>
  <c r="D98" i="176"/>
  <c r="C98" i="176"/>
  <c r="B98" i="176"/>
  <c r="D130" i="176"/>
  <c r="D129" i="176"/>
  <c r="D128" i="176"/>
  <c r="D127" i="176"/>
  <c r="U18" i="177"/>
  <c r="T18" i="177"/>
  <c r="S18" i="177"/>
  <c r="U17" i="177"/>
  <c r="T17" i="177"/>
  <c r="S17" i="177"/>
  <c r="AE26" i="109" l="1"/>
  <c r="AH26" i="109" s="1"/>
  <c r="AI26" i="109" s="1"/>
  <c r="AJ26" i="109" s="1"/>
  <c r="AE25" i="109"/>
  <c r="AE24" i="109"/>
  <c r="AE23" i="109"/>
  <c r="AH23" i="109" s="1"/>
  <c r="AI23" i="109" s="1"/>
  <c r="AJ23" i="109" s="1"/>
  <c r="AH25" i="109"/>
  <c r="AI25" i="109" s="1"/>
  <c r="AJ25" i="109" s="1"/>
  <c r="U26" i="109"/>
  <c r="U25" i="109"/>
  <c r="U24" i="109"/>
  <c r="U23" i="109"/>
  <c r="AF42" i="109"/>
  <c r="AE42" i="109"/>
  <c r="AH24" i="109"/>
  <c r="AI24" i="109" s="1"/>
  <c r="AJ24" i="109" s="1"/>
  <c r="AG18" i="109"/>
  <c r="AG17" i="109"/>
  <c r="AG16" i="109"/>
  <c r="AG15" i="109"/>
  <c r="AN13" i="109"/>
  <c r="B42" i="109"/>
  <c r="A42" i="109"/>
  <c r="V42" i="109"/>
  <c r="U42" i="109"/>
  <c r="W18" i="109"/>
  <c r="W17" i="109"/>
  <c r="AD16" i="109"/>
  <c r="W16" i="109"/>
  <c r="W15" i="109"/>
  <c r="X23" i="109" s="1"/>
  <c r="Y23" i="109" s="1"/>
  <c r="Z23" i="109" s="1"/>
  <c r="W9" i="109"/>
  <c r="V17" i="109" s="1"/>
  <c r="L42" i="109"/>
  <c r="K42" i="109"/>
  <c r="N26" i="109"/>
  <c r="O26" i="109" s="1"/>
  <c r="P26" i="109" s="1"/>
  <c r="N25" i="109"/>
  <c r="O25" i="109" s="1"/>
  <c r="P25" i="109" s="1"/>
  <c r="N24" i="109"/>
  <c r="O24" i="109" s="1"/>
  <c r="P24" i="109" s="1"/>
  <c r="N23" i="109"/>
  <c r="O23" i="109" s="1"/>
  <c r="P23" i="109" s="1"/>
  <c r="M18" i="109"/>
  <c r="M17" i="109"/>
  <c r="M16" i="109"/>
  <c r="M15" i="109"/>
  <c r="AG9" i="109" l="1"/>
  <c r="AF17" i="109" s="1"/>
  <c r="X24" i="109"/>
  <c r="Y24" i="109" s="1"/>
  <c r="Z24" i="109" s="1"/>
  <c r="X25" i="109"/>
  <c r="Y25" i="109" s="1"/>
  <c r="Z25" i="109" s="1"/>
  <c r="AF15" i="109"/>
  <c r="AF18" i="109"/>
  <c r="AF16" i="109"/>
  <c r="AG12" i="109"/>
  <c r="AG13" i="109" s="1"/>
  <c r="AG14" i="109" s="1"/>
  <c r="V18" i="109"/>
  <c r="V16" i="109"/>
  <c r="W12" i="109"/>
  <c r="W13" i="109" s="1"/>
  <c r="W14" i="109" s="1"/>
  <c r="V15" i="109"/>
  <c r="X26" i="109"/>
  <c r="Y26" i="109" s="1"/>
  <c r="Z26" i="109" s="1"/>
  <c r="M9" i="109"/>
  <c r="AE17" i="109" l="1"/>
  <c r="AE16" i="109"/>
  <c r="AE18" i="109"/>
  <c r="AE15" i="109"/>
  <c r="AF20" i="109" s="1"/>
  <c r="H15" i="106" s="1"/>
  <c r="U18" i="109"/>
  <c r="U16" i="109"/>
  <c r="U15" i="109"/>
  <c r="U17" i="109"/>
  <c r="L16" i="109"/>
  <c r="L15" i="109"/>
  <c r="M12" i="109"/>
  <c r="M13" i="109" s="1"/>
  <c r="M14" i="109" s="1"/>
  <c r="L17" i="109"/>
  <c r="L18" i="109"/>
  <c r="B80" i="176"/>
  <c r="B102" i="176" s="1"/>
  <c r="A80" i="176"/>
  <c r="A61" i="176"/>
  <c r="B61" i="176"/>
  <c r="B101" i="176" s="1"/>
  <c r="B42" i="176"/>
  <c r="B100" i="176" s="1"/>
  <c r="A42" i="176"/>
  <c r="B23" i="176"/>
  <c r="B99" i="176" s="1"/>
  <c r="B75" i="176"/>
  <c r="B136" i="176" s="1"/>
  <c r="B74" i="176"/>
  <c r="B73" i="176"/>
  <c r="B72" i="176"/>
  <c r="B71" i="176"/>
  <c r="B70" i="176"/>
  <c r="B69" i="176"/>
  <c r="B68" i="176"/>
  <c r="B129" i="176" s="1"/>
  <c r="B67" i="176"/>
  <c r="B66" i="176"/>
  <c r="B65" i="176"/>
  <c r="B122" i="176" s="1"/>
  <c r="B64" i="176"/>
  <c r="B62" i="176"/>
  <c r="B108" i="176" s="1"/>
  <c r="AA60" i="176"/>
  <c r="Z60" i="176"/>
  <c r="Y60" i="176"/>
  <c r="X60" i="176"/>
  <c r="W60" i="176"/>
  <c r="V60" i="176"/>
  <c r="U60" i="176"/>
  <c r="T60" i="176"/>
  <c r="S60" i="176"/>
  <c r="R60" i="176"/>
  <c r="Q60" i="176"/>
  <c r="P60" i="176"/>
  <c r="O60" i="176"/>
  <c r="N60" i="176"/>
  <c r="M60" i="176"/>
  <c r="L60" i="176"/>
  <c r="K60" i="176"/>
  <c r="J60" i="176"/>
  <c r="I60" i="176"/>
  <c r="H60" i="176"/>
  <c r="G60" i="176"/>
  <c r="F60" i="176"/>
  <c r="E60" i="176"/>
  <c r="A60" i="176"/>
  <c r="A122" i="176" s="1"/>
  <c r="B56" i="176"/>
  <c r="B135" i="176" s="1"/>
  <c r="B55" i="176"/>
  <c r="B54" i="176"/>
  <c r="B53" i="176"/>
  <c r="B52" i="176"/>
  <c r="B51" i="176"/>
  <c r="B50" i="176"/>
  <c r="B49" i="176"/>
  <c r="B128" i="176" s="1"/>
  <c r="B48" i="176"/>
  <c r="B47" i="176"/>
  <c r="B46" i="176"/>
  <c r="B121" i="176" s="1"/>
  <c r="B45" i="176"/>
  <c r="B43" i="176"/>
  <c r="B107" i="176" s="1"/>
  <c r="AA41" i="176"/>
  <c r="Z41" i="176"/>
  <c r="Y41" i="176"/>
  <c r="X41" i="176"/>
  <c r="W41" i="176"/>
  <c r="V41" i="176"/>
  <c r="U41" i="176"/>
  <c r="T41" i="176"/>
  <c r="S41" i="176"/>
  <c r="R41" i="176"/>
  <c r="Q41" i="176"/>
  <c r="P41" i="176"/>
  <c r="O41" i="176"/>
  <c r="N41" i="176"/>
  <c r="M41" i="176"/>
  <c r="L41" i="176"/>
  <c r="K41" i="176"/>
  <c r="J41" i="176"/>
  <c r="I41" i="176"/>
  <c r="H41" i="176"/>
  <c r="G41" i="176"/>
  <c r="F41" i="176"/>
  <c r="E41" i="176"/>
  <c r="A41" i="176"/>
  <c r="A121" i="176" s="1"/>
  <c r="B37" i="176"/>
  <c r="B134" i="176" s="1"/>
  <c r="B36" i="176"/>
  <c r="B35" i="176"/>
  <c r="B34" i="176"/>
  <c r="B33" i="176"/>
  <c r="B32" i="176"/>
  <c r="B31" i="176"/>
  <c r="B30" i="176"/>
  <c r="B127" i="176" s="1"/>
  <c r="B29" i="176"/>
  <c r="B28" i="176"/>
  <c r="B27" i="176"/>
  <c r="B120" i="176" s="1"/>
  <c r="B26" i="176"/>
  <c r="B24" i="176"/>
  <c r="B106" i="176" s="1"/>
  <c r="A23" i="176"/>
  <c r="AA22" i="176"/>
  <c r="AA119" i="176" s="1"/>
  <c r="Z22" i="176"/>
  <c r="Z119" i="176" s="1"/>
  <c r="Y22" i="176"/>
  <c r="Y119" i="176" s="1"/>
  <c r="X22" i="176"/>
  <c r="X119" i="176" s="1"/>
  <c r="W22" i="176"/>
  <c r="W119" i="176" s="1"/>
  <c r="V22" i="176"/>
  <c r="V119" i="176" s="1"/>
  <c r="U22" i="176"/>
  <c r="U119" i="176" s="1"/>
  <c r="T22" i="176"/>
  <c r="T119" i="176" s="1"/>
  <c r="S22" i="176"/>
  <c r="S119" i="176" s="1"/>
  <c r="R22" i="176"/>
  <c r="R119" i="176" s="1"/>
  <c r="Q22" i="176"/>
  <c r="Q119" i="176" s="1"/>
  <c r="P22" i="176"/>
  <c r="P119" i="176" s="1"/>
  <c r="O22" i="176"/>
  <c r="O119" i="176" s="1"/>
  <c r="N22" i="176"/>
  <c r="N119" i="176" s="1"/>
  <c r="M22" i="176"/>
  <c r="M119" i="176" s="1"/>
  <c r="L22" i="176"/>
  <c r="L119" i="176" s="1"/>
  <c r="K22" i="176"/>
  <c r="K119" i="176" s="1"/>
  <c r="J22" i="176"/>
  <c r="J119" i="176" s="1"/>
  <c r="I22" i="176"/>
  <c r="I119" i="176" s="1"/>
  <c r="H22" i="176"/>
  <c r="H119" i="176" s="1"/>
  <c r="G22" i="176"/>
  <c r="G119" i="176" s="1"/>
  <c r="F22" i="176"/>
  <c r="F119" i="176" s="1"/>
  <c r="E22" i="176"/>
  <c r="E119" i="176" s="1"/>
  <c r="A22" i="176"/>
  <c r="A79" i="176"/>
  <c r="A123" i="176" s="1"/>
  <c r="B94" i="176"/>
  <c r="B137" i="176" s="1"/>
  <c r="B93" i="176"/>
  <c r="B92" i="176"/>
  <c r="B91" i="176"/>
  <c r="B90" i="176"/>
  <c r="B89" i="176"/>
  <c r="B88" i="176"/>
  <c r="B87" i="176"/>
  <c r="B130" i="176" s="1"/>
  <c r="B86" i="176"/>
  <c r="B85" i="176"/>
  <c r="B84" i="176"/>
  <c r="B123" i="176" s="1"/>
  <c r="B83" i="176"/>
  <c r="B81" i="176"/>
  <c r="B109" i="176" s="1"/>
  <c r="AA79" i="176"/>
  <c r="Z79" i="176"/>
  <c r="Y79" i="176"/>
  <c r="X79" i="176"/>
  <c r="W79" i="176"/>
  <c r="V79" i="176"/>
  <c r="U79" i="176"/>
  <c r="T79" i="176"/>
  <c r="S79" i="176"/>
  <c r="R79" i="176"/>
  <c r="Q79" i="176"/>
  <c r="P79" i="176"/>
  <c r="O79" i="176"/>
  <c r="N79" i="176"/>
  <c r="M79" i="176"/>
  <c r="L79" i="176"/>
  <c r="K79" i="176"/>
  <c r="J79" i="176"/>
  <c r="I79" i="176"/>
  <c r="H79" i="176"/>
  <c r="G79" i="176"/>
  <c r="F79" i="176"/>
  <c r="E79" i="176"/>
  <c r="Z17" i="176"/>
  <c r="Y17" i="176"/>
  <c r="X17" i="176"/>
  <c r="W17" i="176"/>
  <c r="V17" i="176"/>
  <c r="U17" i="176"/>
  <c r="T17" i="176"/>
  <c r="S17" i="176"/>
  <c r="R17" i="176"/>
  <c r="Q17" i="176"/>
  <c r="P17" i="176"/>
  <c r="O17" i="176"/>
  <c r="N17" i="176"/>
  <c r="M17" i="176"/>
  <c r="L17" i="176"/>
  <c r="K17" i="176"/>
  <c r="J17" i="176"/>
  <c r="I17" i="176"/>
  <c r="H17" i="176"/>
  <c r="G17" i="176"/>
  <c r="F17" i="176"/>
  <c r="E17" i="176"/>
  <c r="Y10" i="176"/>
  <c r="X10" i="176"/>
  <c r="W10" i="176"/>
  <c r="V10" i="176"/>
  <c r="U10" i="176"/>
  <c r="T10" i="176"/>
  <c r="S10" i="176"/>
  <c r="R10" i="176"/>
  <c r="Q10" i="176"/>
  <c r="P10" i="176"/>
  <c r="O10" i="176"/>
  <c r="N10" i="176"/>
  <c r="M10" i="176"/>
  <c r="L10" i="176"/>
  <c r="K10" i="176"/>
  <c r="J10" i="176"/>
  <c r="I10" i="176"/>
  <c r="H10" i="176"/>
  <c r="G10" i="176"/>
  <c r="F10" i="176"/>
  <c r="E10" i="176"/>
  <c r="C10" i="176"/>
  <c r="Y9" i="176"/>
  <c r="X9" i="176"/>
  <c r="W9" i="176"/>
  <c r="V9" i="176"/>
  <c r="U9" i="176"/>
  <c r="T9" i="176"/>
  <c r="S9" i="176"/>
  <c r="R9" i="176"/>
  <c r="Q9" i="176"/>
  <c r="P9" i="176"/>
  <c r="O9" i="176"/>
  <c r="N9" i="176"/>
  <c r="M9" i="176"/>
  <c r="L9" i="176"/>
  <c r="K9" i="176"/>
  <c r="J9" i="176"/>
  <c r="I9" i="176"/>
  <c r="H9" i="176"/>
  <c r="G9" i="176"/>
  <c r="F9" i="176"/>
  <c r="E9" i="176"/>
  <c r="C9" i="176"/>
  <c r="Y8" i="176"/>
  <c r="X8" i="176"/>
  <c r="W8" i="176"/>
  <c r="V8" i="176"/>
  <c r="U8" i="176"/>
  <c r="T8" i="176"/>
  <c r="S8" i="176"/>
  <c r="R8" i="176"/>
  <c r="Q8" i="176"/>
  <c r="P8" i="176"/>
  <c r="O8" i="176"/>
  <c r="N8" i="176"/>
  <c r="M8" i="176"/>
  <c r="L8" i="176"/>
  <c r="K8" i="176"/>
  <c r="J8" i="176"/>
  <c r="I8" i="176"/>
  <c r="H8" i="176"/>
  <c r="G8" i="176"/>
  <c r="F8" i="176"/>
  <c r="E8" i="176"/>
  <c r="C8" i="176"/>
  <c r="Y7" i="176"/>
  <c r="X7" i="176"/>
  <c r="W7" i="176"/>
  <c r="V7" i="176"/>
  <c r="U7" i="176"/>
  <c r="T7" i="176"/>
  <c r="S7" i="176"/>
  <c r="R7" i="176"/>
  <c r="Q7" i="176"/>
  <c r="P7" i="176"/>
  <c r="O7" i="176"/>
  <c r="N7" i="176"/>
  <c r="M7" i="176"/>
  <c r="L7" i="176"/>
  <c r="K7" i="176"/>
  <c r="J7" i="176"/>
  <c r="I7" i="176"/>
  <c r="H7" i="176"/>
  <c r="G7" i="176"/>
  <c r="F7" i="176"/>
  <c r="E7" i="176"/>
  <c r="C7" i="176"/>
  <c r="Y6" i="176"/>
  <c r="X6" i="176"/>
  <c r="W6" i="176"/>
  <c r="V6" i="176"/>
  <c r="U6" i="176"/>
  <c r="T6" i="176"/>
  <c r="S6" i="176"/>
  <c r="R6" i="176"/>
  <c r="Q6" i="176"/>
  <c r="P6" i="176"/>
  <c r="O6" i="176"/>
  <c r="N6" i="176"/>
  <c r="M6" i="176"/>
  <c r="L6" i="176"/>
  <c r="K6" i="176"/>
  <c r="J6" i="176"/>
  <c r="I6" i="176"/>
  <c r="H6" i="176"/>
  <c r="G6" i="176"/>
  <c r="F6" i="176"/>
  <c r="E6" i="176"/>
  <c r="C6" i="176"/>
  <c r="D3" i="176"/>
  <c r="A119" i="176" l="1"/>
  <c r="A120" i="176"/>
  <c r="G126" i="176"/>
  <c r="G133" i="176"/>
  <c r="G98" i="176"/>
  <c r="G112" i="176"/>
  <c r="G105" i="176"/>
  <c r="S126" i="176"/>
  <c r="S133" i="176"/>
  <c r="S98" i="176"/>
  <c r="S105" i="176"/>
  <c r="S112" i="176"/>
  <c r="B63" i="176"/>
  <c r="B115" i="176"/>
  <c r="A134" i="176"/>
  <c r="A127" i="176"/>
  <c r="A106" i="176"/>
  <c r="A99" i="176"/>
  <c r="A98" i="176"/>
  <c r="A112" i="176"/>
  <c r="A105" i="176"/>
  <c r="A113" i="176"/>
  <c r="A126" i="176"/>
  <c r="A133" i="176"/>
  <c r="H133" i="176"/>
  <c r="H98" i="176"/>
  <c r="H112" i="176"/>
  <c r="H105" i="176"/>
  <c r="H126" i="176"/>
  <c r="L133" i="176"/>
  <c r="L98" i="176"/>
  <c r="L112" i="176"/>
  <c r="L105" i="176"/>
  <c r="L126" i="176"/>
  <c r="P133" i="176"/>
  <c r="P98" i="176"/>
  <c r="P112" i="176"/>
  <c r="P105" i="176"/>
  <c r="P126" i="176"/>
  <c r="T133" i="176"/>
  <c r="T98" i="176"/>
  <c r="T112" i="176"/>
  <c r="T105" i="176"/>
  <c r="T126" i="176"/>
  <c r="X133" i="176"/>
  <c r="X98" i="176"/>
  <c r="X112" i="176"/>
  <c r="X105" i="176"/>
  <c r="X126" i="176"/>
  <c r="K126" i="176"/>
  <c r="K133" i="176"/>
  <c r="K98" i="176"/>
  <c r="K105" i="176"/>
  <c r="K112" i="176"/>
  <c r="AA126" i="176"/>
  <c r="AA133" i="176"/>
  <c r="AA98" i="176"/>
  <c r="AA105" i="176"/>
  <c r="AA112" i="176"/>
  <c r="A115" i="176"/>
  <c r="A136" i="176"/>
  <c r="A129" i="176"/>
  <c r="A108" i="176"/>
  <c r="A101" i="176"/>
  <c r="E98" i="176"/>
  <c r="E112" i="176"/>
  <c r="E105" i="176"/>
  <c r="E126" i="176"/>
  <c r="E133" i="176"/>
  <c r="I98" i="176"/>
  <c r="I112" i="176"/>
  <c r="I105" i="176"/>
  <c r="I126" i="176"/>
  <c r="I133" i="176"/>
  <c r="M98" i="176"/>
  <c r="M112" i="176"/>
  <c r="M105" i="176"/>
  <c r="M126" i="176"/>
  <c r="M133" i="176"/>
  <c r="Q98" i="176"/>
  <c r="Q112" i="176"/>
  <c r="Q105" i="176"/>
  <c r="Q126" i="176"/>
  <c r="Q133" i="176"/>
  <c r="U98" i="176"/>
  <c r="U112" i="176"/>
  <c r="U105" i="176"/>
  <c r="U126" i="176"/>
  <c r="U133" i="176"/>
  <c r="Y98" i="176"/>
  <c r="Y112" i="176"/>
  <c r="Y105" i="176"/>
  <c r="Y126" i="176"/>
  <c r="Y133" i="176"/>
  <c r="B25" i="176"/>
  <c r="B113" i="176"/>
  <c r="A137" i="176"/>
  <c r="A130" i="176"/>
  <c r="A109" i="176"/>
  <c r="A102" i="176"/>
  <c r="A116" i="176"/>
  <c r="O126" i="176"/>
  <c r="O133" i="176"/>
  <c r="O98" i="176"/>
  <c r="O105" i="176"/>
  <c r="O112" i="176"/>
  <c r="W126" i="176"/>
  <c r="W133" i="176"/>
  <c r="W98" i="176"/>
  <c r="W112" i="176"/>
  <c r="W105" i="176"/>
  <c r="B82" i="176"/>
  <c r="B116" i="176"/>
  <c r="F112" i="176"/>
  <c r="F105" i="176"/>
  <c r="F126" i="176"/>
  <c r="F133" i="176"/>
  <c r="F98" i="176"/>
  <c r="J112" i="176"/>
  <c r="J105" i="176"/>
  <c r="J126" i="176"/>
  <c r="J133" i="176"/>
  <c r="J98" i="176"/>
  <c r="N112" i="176"/>
  <c r="N105" i="176"/>
  <c r="N126" i="176"/>
  <c r="N133" i="176"/>
  <c r="N98" i="176"/>
  <c r="R112" i="176"/>
  <c r="R105" i="176"/>
  <c r="R126" i="176"/>
  <c r="R133" i="176"/>
  <c r="R98" i="176"/>
  <c r="V112" i="176"/>
  <c r="V105" i="176"/>
  <c r="V126" i="176"/>
  <c r="V133" i="176"/>
  <c r="V98" i="176"/>
  <c r="Z112" i="176"/>
  <c r="Z105" i="176"/>
  <c r="Z126" i="176"/>
  <c r="Z133" i="176"/>
  <c r="Z98" i="176"/>
  <c r="A114" i="176"/>
  <c r="A128" i="176"/>
  <c r="A107" i="176"/>
  <c r="A100" i="176"/>
  <c r="A135" i="176"/>
  <c r="B44" i="176"/>
  <c r="B114" i="176"/>
  <c r="K17" i="109"/>
  <c r="V20" i="109"/>
  <c r="H15" i="104" s="1"/>
  <c r="K15" i="109"/>
  <c r="K18" i="109"/>
  <c r="K16" i="109"/>
  <c r="D9" i="176"/>
  <c r="G18" i="175"/>
  <c r="L20" i="109" l="1"/>
  <c r="H15" i="102" s="1"/>
  <c r="F12" i="172"/>
  <c r="C12" i="172"/>
  <c r="B12" i="172"/>
  <c r="N12" i="172" s="1"/>
  <c r="M12" i="172" l="1"/>
  <c r="K12" i="172"/>
  <c r="L12" i="172"/>
  <c r="H432" i="106"/>
  <c r="H427" i="106"/>
  <c r="H426" i="106"/>
  <c r="H418" i="106"/>
  <c r="H417" i="106"/>
  <c r="H66" i="106"/>
  <c r="H70" i="102"/>
  <c r="H66" i="102"/>
  <c r="F4" i="91" l="1"/>
  <c r="E2" i="173"/>
  <c r="D2" i="173"/>
  <c r="C2" i="173"/>
  <c r="B2" i="173"/>
  <c r="A2" i="173"/>
  <c r="F11" i="172"/>
  <c r="E11" i="172"/>
  <c r="D11" i="172"/>
  <c r="C11" i="172"/>
  <c r="B11" i="172"/>
  <c r="N10" i="172"/>
  <c r="M10" i="172"/>
  <c r="L10" i="172"/>
  <c r="K10" i="172"/>
  <c r="N9" i="172"/>
  <c r="M9" i="172"/>
  <c r="L9" i="172"/>
  <c r="K9" i="172"/>
  <c r="N8" i="172"/>
  <c r="M8" i="172"/>
  <c r="L8" i="172"/>
  <c r="K8" i="172"/>
  <c r="N7" i="172"/>
  <c r="M7" i="172"/>
  <c r="L7" i="172"/>
  <c r="K7" i="172"/>
  <c r="N6" i="172"/>
  <c r="M6" i="172"/>
  <c r="L6" i="172"/>
  <c r="K6" i="172"/>
  <c r="N5" i="172"/>
  <c r="M5" i="172"/>
  <c r="L5" i="172"/>
  <c r="K5" i="172"/>
  <c r="N3" i="172"/>
  <c r="O23" i="171"/>
  <c r="H23" i="171"/>
  <c r="I23" i="171" s="1"/>
  <c r="K23" i="171" s="1"/>
  <c r="F23" i="171"/>
  <c r="O18" i="171"/>
  <c r="H18" i="171"/>
  <c r="G9" i="172" s="1"/>
  <c r="F18" i="171"/>
  <c r="O13" i="171"/>
  <c r="H13" i="171"/>
  <c r="G8" i="172" s="1"/>
  <c r="F13" i="171"/>
  <c r="O8" i="171"/>
  <c r="H8" i="171"/>
  <c r="G7" i="172" l="1"/>
  <c r="T7" i="172" s="1"/>
  <c r="U7" i="172" s="1"/>
  <c r="I8" i="171"/>
  <c r="K8" i="171" s="1"/>
  <c r="J8" i="171"/>
  <c r="N11" i="172"/>
  <c r="L11" i="172"/>
  <c r="K11" i="172"/>
  <c r="K3" i="172"/>
  <c r="M3" i="172"/>
  <c r="M11" i="172"/>
  <c r="L3" i="172"/>
  <c r="O8" i="172"/>
  <c r="T8" i="172"/>
  <c r="U8" i="172" s="1"/>
  <c r="S8" i="172"/>
  <c r="R8" i="172"/>
  <c r="Q8" i="172"/>
  <c r="P8" i="172"/>
  <c r="O7" i="172"/>
  <c r="Q7" i="172"/>
  <c r="O9" i="172"/>
  <c r="T9" i="172"/>
  <c r="U9" i="172" s="1"/>
  <c r="S9" i="172"/>
  <c r="Q9" i="172"/>
  <c r="P9" i="172"/>
  <c r="R9" i="172"/>
  <c r="J13" i="171"/>
  <c r="J18" i="171"/>
  <c r="J23" i="171"/>
  <c r="I13" i="171"/>
  <c r="K13" i="171" s="1"/>
  <c r="I18" i="171"/>
  <c r="K18" i="171" s="1"/>
  <c r="S7" i="172" l="1"/>
  <c r="R7" i="172"/>
  <c r="G12" i="172"/>
  <c r="T12" i="172" s="1"/>
  <c r="U12" i="172" s="1"/>
  <c r="P7" i="172"/>
  <c r="O12" i="172"/>
  <c r="S3" i="172"/>
  <c r="H83" i="169"/>
  <c r="H82" i="169"/>
  <c r="H81" i="169"/>
  <c r="H80" i="169"/>
  <c r="H79" i="169"/>
  <c r="H78" i="169"/>
  <c r="H77" i="169"/>
  <c r="H76" i="169"/>
  <c r="H75" i="169"/>
  <c r="H74" i="169"/>
  <c r="H73" i="169"/>
  <c r="H72" i="169"/>
  <c r="K71" i="169"/>
  <c r="L71" i="169"/>
  <c r="J71" i="169"/>
  <c r="I71" i="169"/>
  <c r="K21" i="169"/>
  <c r="P12" i="172" l="1"/>
  <c r="Q3" i="172"/>
  <c r="R3" i="172"/>
  <c r="T3" i="172"/>
  <c r="S12" i="172"/>
  <c r="Q12" i="172"/>
  <c r="R12" i="172"/>
  <c r="O3" i="172"/>
  <c r="P3" i="172"/>
  <c r="AV3" i="167"/>
  <c r="G3" i="167"/>
  <c r="H3" i="167"/>
  <c r="I3" i="167"/>
  <c r="J3" i="167"/>
  <c r="K3" i="167"/>
  <c r="L3" i="167"/>
  <c r="M3" i="167"/>
  <c r="N3" i="167"/>
  <c r="O3" i="167"/>
  <c r="P3" i="167"/>
  <c r="Q3" i="167"/>
  <c r="R3" i="167"/>
  <c r="S3" i="167"/>
  <c r="T3" i="167"/>
  <c r="U3" i="167"/>
  <c r="V3" i="167"/>
  <c r="W3" i="167"/>
  <c r="X3" i="167"/>
  <c r="Y3" i="167"/>
  <c r="Z3" i="167"/>
  <c r="AA3" i="167"/>
  <c r="AB3" i="167"/>
  <c r="AC3" i="167"/>
  <c r="AD3" i="167"/>
  <c r="AE3" i="167"/>
  <c r="AF3" i="167"/>
  <c r="AG3" i="167"/>
  <c r="AH3" i="167"/>
  <c r="AI3" i="167"/>
  <c r="AJ3" i="167"/>
  <c r="AK3" i="167"/>
  <c r="AL3" i="167"/>
  <c r="AM3" i="167"/>
  <c r="AN3" i="167"/>
  <c r="AO3" i="167"/>
  <c r="AP3" i="167"/>
  <c r="AQ3" i="167"/>
  <c r="F3" i="167"/>
  <c r="L36" i="169"/>
  <c r="K36" i="169"/>
  <c r="J36" i="169"/>
  <c r="I36" i="169"/>
  <c r="L28" i="169"/>
  <c r="K28" i="169"/>
  <c r="J28" i="169"/>
  <c r="I28" i="169"/>
  <c r="I73" i="169" s="1"/>
  <c r="L21" i="169"/>
  <c r="L66" i="169" s="1"/>
  <c r="J21" i="169"/>
  <c r="I21" i="169"/>
  <c r="L56" i="169"/>
  <c r="K56" i="169"/>
  <c r="J56" i="169"/>
  <c r="I56" i="169"/>
  <c r="I66" i="169" l="1"/>
  <c r="J73" i="169"/>
  <c r="L73" i="169"/>
  <c r="O73" i="169" s="1"/>
  <c r="J74" i="169"/>
  <c r="L74" i="169"/>
  <c r="O74" i="169" s="1"/>
  <c r="K73" i="169"/>
  <c r="K74" i="169"/>
  <c r="J66" i="169"/>
  <c r="K66" i="169"/>
  <c r="I74" i="169"/>
  <c r="G48" i="169"/>
  <c r="G46" i="169"/>
  <c r="G44" i="169"/>
  <c r="G14" i="169"/>
  <c r="G12" i="169" s="1"/>
  <c r="G16" i="169" s="1"/>
  <c r="L14" i="169" l="1"/>
  <c r="K14" i="169"/>
  <c r="J14" i="169"/>
  <c r="W44" i="169"/>
  <c r="Y43" i="169"/>
  <c r="Y42" i="169"/>
  <c r="Y41" i="169"/>
  <c r="W20" i="169"/>
  <c r="W14" i="169"/>
  <c r="R36" i="169" s="1"/>
  <c r="V14" i="169"/>
  <c r="G36" i="169" s="1"/>
  <c r="G40" i="169" s="1"/>
  <c r="I14" i="169"/>
  <c r="W12" i="169"/>
  <c r="V12" i="169"/>
  <c r="G28" i="169" s="1"/>
  <c r="G32" i="169" s="1"/>
  <c r="W10" i="169"/>
  <c r="R21" i="169" s="1"/>
  <c r="V10" i="169"/>
  <c r="G21" i="169" s="1"/>
  <c r="G24" i="169" s="1"/>
  <c r="W9" i="169"/>
  <c r="G50" i="169" l="1"/>
  <c r="R28" i="169"/>
  <c r="D3" i="168" l="1"/>
  <c r="G56" i="168" s="1"/>
  <c r="G66" i="168" s="1"/>
  <c r="G75" i="168" s="1"/>
  <c r="D42" i="168"/>
  <c r="D43" i="168"/>
  <c r="D44" i="168"/>
  <c r="D45" i="168"/>
  <c r="D55" i="168" s="1"/>
  <c r="D65" i="168" s="1"/>
  <c r="D76" i="168" s="1"/>
  <c r="D41" i="168"/>
  <c r="B36" i="168"/>
  <c r="B35" i="168"/>
  <c r="B34" i="168"/>
  <c r="B33" i="168"/>
  <c r="B32" i="168"/>
  <c r="B31" i="168"/>
  <c r="B30" i="168"/>
  <c r="B29" i="168"/>
  <c r="B28" i="168"/>
  <c r="B27" i="168"/>
  <c r="B26" i="168"/>
  <c r="B25" i="168"/>
  <c r="B23" i="168"/>
  <c r="A23" i="168"/>
  <c r="AA22" i="168"/>
  <c r="Z22" i="168"/>
  <c r="Y22" i="168"/>
  <c r="X22" i="168"/>
  <c r="W22" i="168"/>
  <c r="V22" i="168"/>
  <c r="U22" i="168"/>
  <c r="T22" i="168"/>
  <c r="S22" i="168"/>
  <c r="R22" i="168"/>
  <c r="Q22" i="168"/>
  <c r="P22" i="168"/>
  <c r="O22" i="168"/>
  <c r="N22" i="168"/>
  <c r="M22" i="168"/>
  <c r="L22" i="168"/>
  <c r="K22" i="168"/>
  <c r="J22" i="168"/>
  <c r="I22" i="168"/>
  <c r="H22" i="168"/>
  <c r="G22" i="168"/>
  <c r="F22" i="168"/>
  <c r="E22" i="168"/>
  <c r="Z17" i="168"/>
  <c r="Y17" i="168"/>
  <c r="X17" i="168"/>
  <c r="W17" i="168"/>
  <c r="V17" i="168"/>
  <c r="U17" i="168"/>
  <c r="T17" i="168"/>
  <c r="S17" i="168"/>
  <c r="R17" i="168"/>
  <c r="Q17" i="168"/>
  <c r="P17" i="168"/>
  <c r="O17" i="168"/>
  <c r="N17" i="168"/>
  <c r="M17" i="168"/>
  <c r="L17" i="168"/>
  <c r="K17" i="168"/>
  <c r="J17" i="168"/>
  <c r="I17" i="168"/>
  <c r="H17" i="168"/>
  <c r="G17" i="168"/>
  <c r="F17" i="168"/>
  <c r="E17" i="168"/>
  <c r="Y10" i="168"/>
  <c r="X10" i="168"/>
  <c r="W10" i="168"/>
  <c r="V10" i="168"/>
  <c r="U10" i="168"/>
  <c r="T10" i="168"/>
  <c r="S10" i="168"/>
  <c r="R10" i="168"/>
  <c r="Q10" i="168"/>
  <c r="P10" i="168"/>
  <c r="O10" i="168"/>
  <c r="N10" i="168"/>
  <c r="M10" i="168"/>
  <c r="L10" i="168"/>
  <c r="K10" i="168"/>
  <c r="J10" i="168"/>
  <c r="I10" i="168"/>
  <c r="H10" i="168"/>
  <c r="G10" i="168"/>
  <c r="F10" i="168"/>
  <c r="E10" i="168"/>
  <c r="C10" i="168"/>
  <c r="Y9" i="168"/>
  <c r="X9" i="168"/>
  <c r="W9" i="168"/>
  <c r="V9" i="168"/>
  <c r="U9" i="168"/>
  <c r="T9" i="168"/>
  <c r="S9" i="168"/>
  <c r="R9" i="168"/>
  <c r="Q9" i="168"/>
  <c r="P9" i="168"/>
  <c r="O9" i="168"/>
  <c r="N9" i="168"/>
  <c r="M9" i="168"/>
  <c r="L9" i="168"/>
  <c r="K9" i="168"/>
  <c r="J9" i="168"/>
  <c r="I9" i="168"/>
  <c r="H9" i="168"/>
  <c r="G9" i="168"/>
  <c r="F9" i="168"/>
  <c r="E9" i="168"/>
  <c r="D9" i="168"/>
  <c r="C9" i="168"/>
  <c r="Y8" i="168"/>
  <c r="X8" i="168"/>
  <c r="W8" i="168"/>
  <c r="V8" i="168"/>
  <c r="U8" i="168"/>
  <c r="T8" i="168"/>
  <c r="S8" i="168"/>
  <c r="R8" i="168"/>
  <c r="Q8" i="168"/>
  <c r="P8" i="168"/>
  <c r="O8" i="168"/>
  <c r="N8" i="168"/>
  <c r="M8" i="168"/>
  <c r="L8" i="168"/>
  <c r="K8" i="168"/>
  <c r="J8" i="168"/>
  <c r="I8" i="168"/>
  <c r="H8" i="168"/>
  <c r="G8" i="168"/>
  <c r="F8" i="168"/>
  <c r="E8" i="168"/>
  <c r="C8" i="168"/>
  <c r="Y7" i="168"/>
  <c r="X7" i="168"/>
  <c r="W7" i="168"/>
  <c r="V7" i="168"/>
  <c r="U7" i="168"/>
  <c r="T7" i="168"/>
  <c r="S7" i="168"/>
  <c r="P7" i="168"/>
  <c r="O7" i="168"/>
  <c r="N7" i="168"/>
  <c r="M7" i="168"/>
  <c r="L7" i="168"/>
  <c r="K7" i="168"/>
  <c r="J7" i="168"/>
  <c r="I7" i="168"/>
  <c r="H7" i="168"/>
  <c r="G7" i="168"/>
  <c r="F7" i="168"/>
  <c r="E7" i="168"/>
  <c r="C7" i="168"/>
  <c r="Y6" i="168"/>
  <c r="X6" i="168"/>
  <c r="W6" i="168"/>
  <c r="V6" i="168"/>
  <c r="U6" i="168"/>
  <c r="T6" i="168"/>
  <c r="S6" i="168"/>
  <c r="R6" i="168"/>
  <c r="Q6" i="168"/>
  <c r="P6" i="168"/>
  <c r="O6" i="168"/>
  <c r="N6" i="168"/>
  <c r="M6" i="168"/>
  <c r="L6" i="168"/>
  <c r="K6" i="168"/>
  <c r="J6" i="168"/>
  <c r="I6" i="168"/>
  <c r="H6" i="168"/>
  <c r="G6" i="168"/>
  <c r="F6" i="168"/>
  <c r="E6" i="168"/>
  <c r="C6" i="168"/>
  <c r="V55" i="168" l="1"/>
  <c r="V65" i="168" s="1"/>
  <c r="R56" i="168"/>
  <c r="R66" i="168" s="1"/>
  <c r="V56" i="168"/>
  <c r="N56" i="168"/>
  <c r="N66" i="168" s="1"/>
  <c r="E56" i="168"/>
  <c r="E66" i="168" s="1"/>
  <c r="E75" i="168" s="1"/>
  <c r="J56" i="168"/>
  <c r="J66" i="168" s="1"/>
  <c r="F56" i="168"/>
  <c r="F66" i="168" s="1"/>
  <c r="F75" i="168" s="1"/>
  <c r="B24" i="168"/>
  <c r="Y56" i="168"/>
  <c r="U56" i="168"/>
  <c r="U66" i="168" s="1"/>
  <c r="Q56" i="168"/>
  <c r="Q66" i="168" s="1"/>
  <c r="M56" i="168"/>
  <c r="M66" i="168" s="1"/>
  <c r="I56" i="168"/>
  <c r="I66" i="168" s="1"/>
  <c r="I75" i="168" s="1"/>
  <c r="X56" i="168"/>
  <c r="T56" i="168"/>
  <c r="T66" i="168" s="1"/>
  <c r="P56" i="168"/>
  <c r="P66" i="168" s="1"/>
  <c r="L56" i="168"/>
  <c r="L66" i="168" s="1"/>
  <c r="H56" i="168"/>
  <c r="H66" i="168" s="1"/>
  <c r="H75" i="168" s="1"/>
  <c r="D56" i="168"/>
  <c r="D66" i="168" s="1"/>
  <c r="W56" i="168"/>
  <c r="S56" i="168"/>
  <c r="S66" i="168" s="1"/>
  <c r="O56" i="168"/>
  <c r="O66" i="168" s="1"/>
  <c r="K56" i="168"/>
  <c r="K66" i="168" s="1"/>
  <c r="E55" i="168"/>
  <c r="E65" i="168" s="1"/>
  <c r="E74" i="168" s="1"/>
  <c r="G55" i="168"/>
  <c r="G65" i="168" s="1"/>
  <c r="G74" i="168" s="1"/>
  <c r="I55" i="168"/>
  <c r="I65" i="168" s="1"/>
  <c r="I74" i="168" s="1"/>
  <c r="K55" i="168"/>
  <c r="K65" i="168" s="1"/>
  <c r="M55" i="168"/>
  <c r="M65" i="168" s="1"/>
  <c r="O55" i="168"/>
  <c r="O65" i="168" s="1"/>
  <c r="Q55" i="168"/>
  <c r="Q65" i="168" s="1"/>
  <c r="S55" i="168"/>
  <c r="S65" i="168" s="1"/>
  <c r="U55" i="168"/>
  <c r="U65" i="168" s="1"/>
  <c r="F55" i="168"/>
  <c r="F65" i="168" s="1"/>
  <c r="F74" i="168" s="1"/>
  <c r="H55" i="168"/>
  <c r="H65" i="168" s="1"/>
  <c r="H74" i="168" s="1"/>
  <c r="J55" i="168"/>
  <c r="J65" i="168" s="1"/>
  <c r="L55" i="168"/>
  <c r="L65" i="168" s="1"/>
  <c r="N55" i="168"/>
  <c r="N65" i="168" s="1"/>
  <c r="P55" i="168"/>
  <c r="P65" i="168" s="1"/>
  <c r="R55" i="168"/>
  <c r="R65" i="168" s="1"/>
  <c r="T55" i="168"/>
  <c r="T65" i="168" s="1"/>
  <c r="B136" i="167"/>
  <c r="B135" i="167"/>
  <c r="B134" i="167"/>
  <c r="B133" i="167"/>
  <c r="B132" i="167"/>
  <c r="B131" i="167"/>
  <c r="B130" i="167"/>
  <c r="B129" i="167"/>
  <c r="B128" i="167"/>
  <c r="B127" i="167"/>
  <c r="B126" i="167"/>
  <c r="B125" i="167"/>
  <c r="B124" i="167" s="1"/>
  <c r="B123" i="167"/>
  <c r="A123" i="167"/>
  <c r="AT122" i="167"/>
  <c r="AS122" i="167"/>
  <c r="AR122" i="167"/>
  <c r="AQ122" i="167"/>
  <c r="AP122" i="167"/>
  <c r="AO122" i="167"/>
  <c r="AN122" i="167"/>
  <c r="AM122" i="167"/>
  <c r="AL122" i="167"/>
  <c r="AK122" i="167"/>
  <c r="AJ122" i="167"/>
  <c r="AI122" i="167"/>
  <c r="AH122" i="167"/>
  <c r="AG122" i="167"/>
  <c r="AF122" i="167"/>
  <c r="AD122" i="167"/>
  <c r="Z122" i="167"/>
  <c r="Y122" i="167"/>
  <c r="X122" i="167"/>
  <c r="W122" i="167"/>
  <c r="N122" i="167"/>
  <c r="M122" i="167"/>
  <c r="F122" i="167"/>
  <c r="D122" i="167"/>
  <c r="B119" i="167"/>
  <c r="B118" i="167"/>
  <c r="B117" i="167"/>
  <c r="B116" i="167"/>
  <c r="B115" i="167"/>
  <c r="B114" i="167"/>
  <c r="B113" i="167"/>
  <c r="B112" i="167"/>
  <c r="B111" i="167"/>
  <c r="B110" i="167"/>
  <c r="B109" i="167"/>
  <c r="B108" i="167"/>
  <c r="B106" i="167"/>
  <c r="A106" i="167"/>
  <c r="AT105" i="167"/>
  <c r="AS105" i="167"/>
  <c r="AR105" i="167"/>
  <c r="AQ105" i="167"/>
  <c r="AP105" i="167"/>
  <c r="AO105" i="167"/>
  <c r="AN105" i="167"/>
  <c r="AM105" i="167"/>
  <c r="AL105" i="167"/>
  <c r="AK105" i="167"/>
  <c r="AJ105" i="167"/>
  <c r="AI105" i="167"/>
  <c r="AH105" i="167"/>
  <c r="AG105" i="167"/>
  <c r="AF105" i="167"/>
  <c r="AD105" i="167"/>
  <c r="Z105" i="167"/>
  <c r="Y105" i="167"/>
  <c r="X105" i="167"/>
  <c r="W105" i="167"/>
  <c r="N105" i="167"/>
  <c r="M105" i="167"/>
  <c r="F105" i="167"/>
  <c r="D105" i="167"/>
  <c r="B102" i="167"/>
  <c r="B101" i="167"/>
  <c r="B100" i="167"/>
  <c r="B99" i="167"/>
  <c r="B98" i="167"/>
  <c r="B97" i="167"/>
  <c r="B96" i="167"/>
  <c r="B95" i="167"/>
  <c r="B94" i="167"/>
  <c r="B93" i="167"/>
  <c r="B92" i="167"/>
  <c r="B91" i="167"/>
  <c r="B90" i="167" s="1"/>
  <c r="B89" i="167"/>
  <c r="A89" i="167"/>
  <c r="AT88" i="167"/>
  <c r="AS88" i="167"/>
  <c r="AR88" i="167"/>
  <c r="AQ88" i="167"/>
  <c r="AP88" i="167"/>
  <c r="AO88" i="167"/>
  <c r="AN88" i="167"/>
  <c r="AM88" i="167"/>
  <c r="AL88" i="167"/>
  <c r="AK88" i="167"/>
  <c r="AJ88" i="167"/>
  <c r="AI88" i="167"/>
  <c r="AH88" i="167"/>
  <c r="AG88" i="167"/>
  <c r="AF88" i="167"/>
  <c r="AD88" i="167"/>
  <c r="Z88" i="167"/>
  <c r="Y88" i="167"/>
  <c r="X88" i="167"/>
  <c r="W88" i="167"/>
  <c r="N88" i="167"/>
  <c r="M88" i="167"/>
  <c r="F88" i="167"/>
  <c r="D88" i="167"/>
  <c r="B85" i="167"/>
  <c r="B84" i="167"/>
  <c r="B83" i="167"/>
  <c r="B82" i="167"/>
  <c r="B81" i="167"/>
  <c r="B80" i="167"/>
  <c r="B79" i="167"/>
  <c r="B78" i="167"/>
  <c r="B77" i="167"/>
  <c r="B76" i="167"/>
  <c r="B75" i="167"/>
  <c r="B74" i="167"/>
  <c r="B72" i="167"/>
  <c r="A72" i="167"/>
  <c r="AT71" i="167"/>
  <c r="AS71" i="167"/>
  <c r="AR71" i="167"/>
  <c r="AQ71" i="167"/>
  <c r="AP71" i="167"/>
  <c r="AO71" i="167"/>
  <c r="AN71" i="167"/>
  <c r="AM71" i="167"/>
  <c r="AL71" i="167"/>
  <c r="AK71" i="167"/>
  <c r="AJ71" i="167"/>
  <c r="AI71" i="167"/>
  <c r="AH71" i="167"/>
  <c r="AG71" i="167"/>
  <c r="AF71" i="167"/>
  <c r="AD71" i="167"/>
  <c r="Z71" i="167"/>
  <c r="Y71" i="167"/>
  <c r="X71" i="167"/>
  <c r="W71" i="167"/>
  <c r="N71" i="167"/>
  <c r="M71" i="167"/>
  <c r="F71" i="167"/>
  <c r="D71" i="167"/>
  <c r="J74" i="168" l="1"/>
  <c r="Y65" i="168"/>
  <c r="V66" i="168"/>
  <c r="Y66" i="168" s="1"/>
  <c r="B73" i="167"/>
  <c r="B107" i="167"/>
  <c r="Q47" i="147"/>
  <c r="Q55" i="147"/>
  <c r="N51" i="147"/>
  <c r="O51" i="147"/>
  <c r="P51" i="147"/>
  <c r="Q51" i="147"/>
  <c r="N49" i="147"/>
  <c r="O49" i="147"/>
  <c r="P49" i="147"/>
  <c r="Q49" i="147"/>
  <c r="G18" i="151"/>
  <c r="G10" i="151"/>
  <c r="F8" i="152"/>
  <c r="E8" i="152"/>
  <c r="D8" i="152"/>
  <c r="G10" i="152"/>
  <c r="G18" i="152"/>
  <c r="Q10" i="147"/>
  <c r="B136" i="166"/>
  <c r="B135" i="166"/>
  <c r="B134" i="166"/>
  <c r="B133" i="166"/>
  <c r="B132" i="166"/>
  <c r="B131" i="166"/>
  <c r="B130" i="166"/>
  <c r="B129" i="166"/>
  <c r="B128" i="166"/>
  <c r="B127" i="166"/>
  <c r="B126" i="166"/>
  <c r="B125" i="166"/>
  <c r="B123" i="166"/>
  <c r="A123" i="166"/>
  <c r="AT122" i="166"/>
  <c r="AS122" i="166"/>
  <c r="AR122" i="166"/>
  <c r="AQ122" i="166"/>
  <c r="AP122" i="166"/>
  <c r="AO122" i="166"/>
  <c r="AN122" i="166"/>
  <c r="AM122" i="166"/>
  <c r="AL122" i="166"/>
  <c r="AK122" i="166"/>
  <c r="AJ122" i="166"/>
  <c r="AI122" i="166"/>
  <c r="AH122" i="166"/>
  <c r="AG122" i="166"/>
  <c r="AF122" i="166"/>
  <c r="AD122" i="166"/>
  <c r="Z122" i="166"/>
  <c r="Y122" i="166"/>
  <c r="X122" i="166"/>
  <c r="W122" i="166"/>
  <c r="N122" i="166"/>
  <c r="M122" i="166"/>
  <c r="F122" i="166"/>
  <c r="D122" i="166"/>
  <c r="B119" i="166"/>
  <c r="B118" i="166"/>
  <c r="B117" i="166"/>
  <c r="B116" i="166"/>
  <c r="B115" i="166"/>
  <c r="B114" i="166"/>
  <c r="B113" i="166"/>
  <c r="B112" i="166"/>
  <c r="B111" i="166"/>
  <c r="B110" i="166"/>
  <c r="B109" i="166"/>
  <c r="B108" i="166"/>
  <c r="B106" i="166"/>
  <c r="A106" i="166"/>
  <c r="AT105" i="166"/>
  <c r="AS105" i="166"/>
  <c r="AR105" i="166"/>
  <c r="AQ105" i="166"/>
  <c r="AP105" i="166"/>
  <c r="AO105" i="166"/>
  <c r="AN105" i="166"/>
  <c r="AM105" i="166"/>
  <c r="AL105" i="166"/>
  <c r="AK105" i="166"/>
  <c r="AJ105" i="166"/>
  <c r="AI105" i="166"/>
  <c r="AH105" i="166"/>
  <c r="AG105" i="166"/>
  <c r="AF105" i="166"/>
  <c r="AD105" i="166"/>
  <c r="Z105" i="166"/>
  <c r="Y105" i="166"/>
  <c r="X105" i="166"/>
  <c r="W105" i="166"/>
  <c r="N105" i="166"/>
  <c r="M105" i="166"/>
  <c r="F105" i="166"/>
  <c r="D105" i="166"/>
  <c r="B102" i="166"/>
  <c r="B101" i="166"/>
  <c r="B100" i="166"/>
  <c r="B99" i="166"/>
  <c r="B98" i="166"/>
  <c r="B97" i="166"/>
  <c r="B96" i="166"/>
  <c r="B95" i="166"/>
  <c r="B94" i="166"/>
  <c r="B93" i="166"/>
  <c r="B92" i="166"/>
  <c r="B91" i="166"/>
  <c r="B89" i="166"/>
  <c r="A89" i="166"/>
  <c r="AT88" i="166"/>
  <c r="AS88" i="166"/>
  <c r="AR88" i="166"/>
  <c r="AQ88" i="166"/>
  <c r="AP88" i="166"/>
  <c r="AO88" i="166"/>
  <c r="AN88" i="166"/>
  <c r="AM88" i="166"/>
  <c r="AL88" i="166"/>
  <c r="AK88" i="166"/>
  <c r="AJ88" i="166"/>
  <c r="AI88" i="166"/>
  <c r="AH88" i="166"/>
  <c r="AG88" i="166"/>
  <c r="AF88" i="166"/>
  <c r="AD88" i="166"/>
  <c r="Z88" i="166"/>
  <c r="Y88" i="166"/>
  <c r="X88" i="166"/>
  <c r="W88" i="166"/>
  <c r="N88" i="166"/>
  <c r="M88" i="166"/>
  <c r="F88" i="166"/>
  <c r="D88" i="166"/>
  <c r="B85" i="166"/>
  <c r="B84" i="166"/>
  <c r="B83" i="166"/>
  <c r="B82" i="166"/>
  <c r="B81" i="166"/>
  <c r="B80" i="166"/>
  <c r="B79" i="166"/>
  <c r="B78" i="166"/>
  <c r="B77" i="166"/>
  <c r="B76" i="166"/>
  <c r="B75" i="166"/>
  <c r="B74" i="166"/>
  <c r="B72" i="166"/>
  <c r="A72" i="166"/>
  <c r="AT71" i="166"/>
  <c r="AS71" i="166"/>
  <c r="AR71" i="166"/>
  <c r="AQ71" i="166"/>
  <c r="AP71" i="166"/>
  <c r="AO71" i="166"/>
  <c r="AN71" i="166"/>
  <c r="AM71" i="166"/>
  <c r="AL71" i="166"/>
  <c r="AK71" i="166"/>
  <c r="AJ71" i="166"/>
  <c r="AI71" i="166"/>
  <c r="AH71" i="166"/>
  <c r="AG71" i="166"/>
  <c r="AF71" i="166"/>
  <c r="AD71" i="166"/>
  <c r="Z71" i="166"/>
  <c r="Y71" i="166"/>
  <c r="X71" i="166"/>
  <c r="W71" i="166"/>
  <c r="N71" i="166"/>
  <c r="M71" i="166"/>
  <c r="F71" i="166"/>
  <c r="D71" i="166"/>
  <c r="B120" i="132"/>
  <c r="B119" i="132"/>
  <c r="B118" i="132"/>
  <c r="B117" i="132"/>
  <c r="B116" i="132"/>
  <c r="B115" i="132"/>
  <c r="B114" i="132"/>
  <c r="B113" i="132"/>
  <c r="B112" i="132"/>
  <c r="B111" i="132"/>
  <c r="B110" i="132"/>
  <c r="B109" i="132"/>
  <c r="B107" i="132"/>
  <c r="A107" i="132"/>
  <c r="AT106" i="132"/>
  <c r="AS106" i="132"/>
  <c r="AR106" i="132"/>
  <c r="AQ106" i="132"/>
  <c r="AP106" i="132"/>
  <c r="AO106" i="132"/>
  <c r="AN106" i="132"/>
  <c r="AM106" i="132"/>
  <c r="AL106" i="132"/>
  <c r="AK106" i="132"/>
  <c r="AJ106" i="132"/>
  <c r="AI106" i="132"/>
  <c r="AH106" i="132"/>
  <c r="AG106" i="132"/>
  <c r="AF106" i="132"/>
  <c r="AD106" i="132"/>
  <c r="Z106" i="132"/>
  <c r="Y106" i="132"/>
  <c r="X106" i="132"/>
  <c r="W106" i="132"/>
  <c r="N106" i="132"/>
  <c r="M106" i="132"/>
  <c r="F106" i="132"/>
  <c r="D106" i="132"/>
  <c r="B94" i="132"/>
  <c r="B93" i="132"/>
  <c r="B92" i="132"/>
  <c r="B91" i="132"/>
  <c r="B90" i="132"/>
  <c r="B89" i="132"/>
  <c r="B88" i="132"/>
  <c r="B87" i="132"/>
  <c r="B86" i="132"/>
  <c r="B85" i="132"/>
  <c r="B84" i="132"/>
  <c r="B83" i="132"/>
  <c r="B82" i="132" s="1"/>
  <c r="B81" i="132"/>
  <c r="A81" i="132"/>
  <c r="AT80" i="132"/>
  <c r="AS80" i="132"/>
  <c r="AR80" i="132"/>
  <c r="AQ80" i="132"/>
  <c r="AP80" i="132"/>
  <c r="AO80" i="132"/>
  <c r="AN80" i="132"/>
  <c r="AM80" i="132"/>
  <c r="AL80" i="132"/>
  <c r="AK80" i="132"/>
  <c r="AJ80" i="132"/>
  <c r="AI80" i="132"/>
  <c r="AH80" i="132"/>
  <c r="AG80" i="132"/>
  <c r="AF80" i="132"/>
  <c r="AD80" i="132"/>
  <c r="Z80" i="132"/>
  <c r="Y80" i="132"/>
  <c r="X80" i="132"/>
  <c r="W80" i="132"/>
  <c r="N80" i="132"/>
  <c r="M80" i="132"/>
  <c r="F80" i="132"/>
  <c r="D80" i="132"/>
  <c r="B68" i="132"/>
  <c r="B67" i="132"/>
  <c r="B66" i="132"/>
  <c r="B65" i="132"/>
  <c r="B64" i="132"/>
  <c r="B63" i="132"/>
  <c r="B62" i="132"/>
  <c r="B61" i="132"/>
  <c r="B60" i="132"/>
  <c r="B59" i="132"/>
  <c r="B58" i="132"/>
  <c r="B57" i="132"/>
  <c r="B55" i="132"/>
  <c r="A55" i="132"/>
  <c r="AT54" i="132"/>
  <c r="AS54" i="132"/>
  <c r="AR54" i="132"/>
  <c r="AQ54" i="132"/>
  <c r="AP54" i="132"/>
  <c r="AO54" i="132"/>
  <c r="AN54" i="132"/>
  <c r="AM54" i="132"/>
  <c r="AL54" i="132"/>
  <c r="AK54" i="132"/>
  <c r="AJ54" i="132"/>
  <c r="AI54" i="132"/>
  <c r="AH54" i="132"/>
  <c r="AG54" i="132"/>
  <c r="AF54" i="132"/>
  <c r="AD54" i="132"/>
  <c r="Z54" i="132"/>
  <c r="Y54" i="132"/>
  <c r="X54" i="132"/>
  <c r="W54" i="132"/>
  <c r="N54" i="132"/>
  <c r="M54" i="132"/>
  <c r="F54" i="132"/>
  <c r="D54" i="132"/>
  <c r="G47" i="165"/>
  <c r="F47" i="165"/>
  <c r="E47" i="165"/>
  <c r="D47" i="165"/>
  <c r="C47" i="165"/>
  <c r="J28" i="165"/>
  <c r="I28" i="165"/>
  <c r="L10" i="148"/>
  <c r="H16" i="148"/>
  <c r="H19" i="148" s="1"/>
  <c r="L16" i="148"/>
  <c r="L19" i="148" s="1"/>
  <c r="K16" i="148"/>
  <c r="I16" i="148"/>
  <c r="I19" i="148" s="1"/>
  <c r="J16" i="148"/>
  <c r="J19" i="148" s="1"/>
  <c r="G12" i="163"/>
  <c r="F12" i="163"/>
  <c r="E12" i="163"/>
  <c r="D12" i="163"/>
  <c r="C12" i="163"/>
  <c r="B12" i="163"/>
  <c r="Q99" i="114"/>
  <c r="Q95" i="114"/>
  <c r="Q51" i="114"/>
  <c r="Q49" i="114"/>
  <c r="Q48" i="114"/>
  <c r="Q47" i="114"/>
  <c r="Q46" i="114"/>
  <c r="Q45" i="114"/>
  <c r="Q44" i="114"/>
  <c r="Q43" i="114"/>
  <c r="Q42" i="114"/>
  <c r="Q41" i="114"/>
  <c r="Q40" i="114"/>
  <c r="Q39" i="114"/>
  <c r="Q38" i="114"/>
  <c r="Q37" i="114"/>
  <c r="Q36" i="114"/>
  <c r="Q35" i="114"/>
  <c r="Q34" i="114"/>
  <c r="Q33" i="114"/>
  <c r="Q32" i="114"/>
  <c r="Q31" i="114"/>
  <c r="Q30" i="114"/>
  <c r="Q29" i="114"/>
  <c r="Q28" i="114"/>
  <c r="Q27" i="114"/>
  <c r="Q26" i="114"/>
  <c r="Q25" i="114"/>
  <c r="Q24" i="114"/>
  <c r="Q23" i="114"/>
  <c r="Q22" i="114"/>
  <c r="Q21" i="114"/>
  <c r="Q20" i="114"/>
  <c r="Q19" i="114"/>
  <c r="Q17" i="114"/>
  <c r="Q16" i="114"/>
  <c r="Q15" i="114"/>
  <c r="Q14" i="114"/>
  <c r="Q13" i="114"/>
  <c r="Q12" i="114"/>
  <c r="Q11" i="114"/>
  <c r="Q10" i="114"/>
  <c r="A328" i="112"/>
  <c r="A329" i="112" s="1"/>
  <c r="A302" i="112" s="1"/>
  <c r="A313" i="112"/>
  <c r="A306" i="112"/>
  <c r="A307" i="112" s="1"/>
  <c r="A309" i="112" s="1"/>
  <c r="A300" i="112"/>
  <c r="A290" i="112"/>
  <c r="D286" i="112"/>
  <c r="D287" i="112" s="1"/>
  <c r="A266" i="112"/>
  <c r="D262" i="112"/>
  <c r="A245" i="112"/>
  <c r="A246" i="112" s="1"/>
  <c r="A219" i="112" s="1"/>
  <c r="A230" i="112"/>
  <c r="A223" i="112"/>
  <c r="A224" i="112" s="1"/>
  <c r="A226" i="112" s="1"/>
  <c r="A217" i="112"/>
  <c r="A207" i="112"/>
  <c r="D203" i="112"/>
  <c r="D204" i="112" s="1"/>
  <c r="A183" i="112"/>
  <c r="D179" i="112"/>
  <c r="D180" i="112" s="1"/>
  <c r="A162" i="112"/>
  <c r="A163" i="112" s="1"/>
  <c r="A136" i="112" s="1"/>
  <c r="A147" i="112"/>
  <c r="A140" i="112"/>
  <c r="A141" i="112" s="1"/>
  <c r="A143" i="112" s="1"/>
  <c r="A134" i="112"/>
  <c r="A124" i="112"/>
  <c r="D120" i="112"/>
  <c r="D121" i="112" s="1"/>
  <c r="A100" i="112"/>
  <c r="D96" i="112"/>
  <c r="D97" i="112" s="1"/>
  <c r="H601" i="106"/>
  <c r="H600" i="106" s="1"/>
  <c r="H597" i="106"/>
  <c r="Y35" i="123" s="1"/>
  <c r="H592" i="106"/>
  <c r="H591" i="106"/>
  <c r="X38" i="123" s="1"/>
  <c r="H588" i="106"/>
  <c r="H580" i="106"/>
  <c r="H576" i="106"/>
  <c r="H571" i="106"/>
  <c r="H567" i="106"/>
  <c r="H562" i="106"/>
  <c r="H561" i="106" s="1"/>
  <c r="H558" i="106"/>
  <c r="T35" i="123" s="1"/>
  <c r="H553" i="106"/>
  <c r="H549" i="106"/>
  <c r="H544" i="106"/>
  <c r="H543" i="106" s="1"/>
  <c r="R38" i="123" s="1"/>
  <c r="T92" i="176" s="1"/>
  <c r="H540" i="106"/>
  <c r="R35" i="123" s="1"/>
  <c r="T91" i="176" s="1"/>
  <c r="H535" i="106"/>
  <c r="H534" i="106" s="1"/>
  <c r="Q38" i="123" s="1"/>
  <c r="S92" i="176" s="1"/>
  <c r="H531" i="106"/>
  <c r="H526" i="106"/>
  <c r="H525" i="106" s="1"/>
  <c r="H522" i="106"/>
  <c r="P35" i="123" s="1"/>
  <c r="R91" i="176" s="1"/>
  <c r="H517" i="106"/>
  <c r="H516" i="106" s="1"/>
  <c r="O38" i="123" s="1"/>
  <c r="Q92" i="176" s="1"/>
  <c r="H513" i="106"/>
  <c r="H508" i="106"/>
  <c r="H504" i="106"/>
  <c r="H499" i="106"/>
  <c r="H498" i="106" s="1"/>
  <c r="M38" i="123" s="1"/>
  <c r="O92" i="176" s="1"/>
  <c r="H495" i="106"/>
  <c r="H490" i="106"/>
  <c r="H486" i="106"/>
  <c r="H481" i="106"/>
  <c r="H480" i="106" s="1"/>
  <c r="K38" i="123" s="1"/>
  <c r="M92" i="176" s="1"/>
  <c r="H477" i="106"/>
  <c r="K35" i="123" s="1"/>
  <c r="M91" i="176" s="1"/>
  <c r="H472" i="106"/>
  <c r="H471" i="106" s="1"/>
  <c r="J38" i="123" s="1"/>
  <c r="L92" i="176" s="1"/>
  <c r="H468" i="106"/>
  <c r="H463" i="106"/>
  <c r="H462" i="106" s="1"/>
  <c r="I38" i="123" s="1"/>
  <c r="K92" i="176" s="1"/>
  <c r="H459" i="106"/>
  <c r="I35" i="123" s="1"/>
  <c r="K91" i="176" s="1"/>
  <c r="H454" i="106"/>
  <c r="H453" i="106" s="1"/>
  <c r="H450" i="106"/>
  <c r="H35" i="123" s="1"/>
  <c r="J91" i="176" s="1"/>
  <c r="H445" i="106"/>
  <c r="H444" i="106" s="1"/>
  <c r="G38" i="123" s="1"/>
  <c r="H441" i="106"/>
  <c r="E38" i="123"/>
  <c r="G92" i="176" s="1"/>
  <c r="H423" i="106"/>
  <c r="H405" i="106"/>
  <c r="H397" i="106"/>
  <c r="H388" i="106"/>
  <c r="H383" i="106"/>
  <c r="H379" i="106"/>
  <c r="H358" i="106"/>
  <c r="H354" i="106"/>
  <c r="H349" i="106"/>
  <c r="H344" i="106"/>
  <c r="V6" i="123" s="1"/>
  <c r="X80" i="176" s="1"/>
  <c r="X102" i="176" s="1"/>
  <c r="H340" i="106"/>
  <c r="H336" i="106"/>
  <c r="H330" i="106" s="1"/>
  <c r="H331" i="106"/>
  <c r="H326" i="106"/>
  <c r="H322" i="106"/>
  <c r="H318" i="106"/>
  <c r="H313" i="106"/>
  <c r="H308" i="106"/>
  <c r="H304" i="106"/>
  <c r="H295" i="106"/>
  <c r="H294" i="106" s="1"/>
  <c r="H290" i="106"/>
  <c r="S6" i="123" s="1"/>
  <c r="U80" i="176" s="1"/>
  <c r="U102" i="176" s="1"/>
  <c r="H286" i="106"/>
  <c r="H277" i="106"/>
  <c r="H272" i="106"/>
  <c r="H268" i="106"/>
  <c r="H264" i="106"/>
  <c r="H259" i="106"/>
  <c r="H254" i="106"/>
  <c r="Q6" i="123" s="1"/>
  <c r="S80" i="176" s="1"/>
  <c r="S102" i="176" s="1"/>
  <c r="H250" i="106"/>
  <c r="P20" i="123" s="1"/>
  <c r="R86" i="176" s="1"/>
  <c r="H246" i="106"/>
  <c r="H241" i="106"/>
  <c r="H236" i="106"/>
  <c r="P6" i="123" s="1"/>
  <c r="R80" i="176" s="1"/>
  <c r="R102" i="176" s="1"/>
  <c r="H232" i="106"/>
  <c r="H228" i="106"/>
  <c r="H223" i="106"/>
  <c r="H218" i="106"/>
  <c r="O6" i="123" s="1"/>
  <c r="Q80" i="176" s="1"/>
  <c r="Q102" i="176" s="1"/>
  <c r="H214" i="106"/>
  <c r="H210" i="106"/>
  <c r="H205" i="106"/>
  <c r="H200" i="106"/>
  <c r="N6" i="123" s="1"/>
  <c r="P80" i="176" s="1"/>
  <c r="P102" i="176" s="1"/>
  <c r="H196" i="106"/>
  <c r="H192" i="106"/>
  <c r="M16" i="123" s="1"/>
  <c r="O84" i="176" s="1"/>
  <c r="O123" i="176" s="1"/>
  <c r="H187" i="106"/>
  <c r="H182" i="106"/>
  <c r="H178" i="106"/>
  <c r="H174" i="106"/>
  <c r="H169" i="106"/>
  <c r="H164" i="106"/>
  <c r="L6" i="123" s="1"/>
  <c r="N80" i="176" s="1"/>
  <c r="N102" i="176" s="1"/>
  <c r="H160" i="106"/>
  <c r="H156" i="106"/>
  <c r="K16" i="123" s="1"/>
  <c r="M84" i="176" s="1"/>
  <c r="M123" i="176" s="1"/>
  <c r="H151" i="106"/>
  <c r="H146" i="106"/>
  <c r="H142" i="106"/>
  <c r="H138" i="106"/>
  <c r="J16" i="123" s="1"/>
  <c r="L84" i="176" s="1"/>
  <c r="L123" i="176" s="1"/>
  <c r="H133" i="106"/>
  <c r="H128" i="106"/>
  <c r="H124" i="106"/>
  <c r="H120" i="106"/>
  <c r="I16" i="123" s="1"/>
  <c r="K84" i="176" s="1"/>
  <c r="K123" i="176" s="1"/>
  <c r="H115" i="106"/>
  <c r="H110" i="106"/>
  <c r="I6" i="123" s="1"/>
  <c r="K80" i="176" s="1"/>
  <c r="K102" i="176" s="1"/>
  <c r="H106" i="106"/>
  <c r="H102" i="106"/>
  <c r="H97" i="106"/>
  <c r="H92" i="106"/>
  <c r="H88" i="106"/>
  <c r="G20" i="123" s="1"/>
  <c r="I86" i="176" s="1"/>
  <c r="H70" i="106"/>
  <c r="H52" i="106"/>
  <c r="H34" i="106"/>
  <c r="D20" i="123" s="1"/>
  <c r="F86" i="176" s="1"/>
  <c r="H16" i="106"/>
  <c r="H13" i="106"/>
  <c r="C17" i="123" s="1"/>
  <c r="F17" i="177" s="1"/>
  <c r="H601" i="104"/>
  <c r="H600" i="104" s="1"/>
  <c r="Y38" i="122" s="1"/>
  <c r="H597" i="104"/>
  <c r="H592" i="104"/>
  <c r="H591" i="104" s="1"/>
  <c r="H588" i="104"/>
  <c r="X35" i="122" s="1"/>
  <c r="H580" i="104"/>
  <c r="H579" i="104" s="1"/>
  <c r="V38" i="122" s="1"/>
  <c r="H576" i="104"/>
  <c r="H571" i="104"/>
  <c r="H567" i="104"/>
  <c r="H562" i="104"/>
  <c r="H561" i="104" s="1"/>
  <c r="T38" i="122" s="1"/>
  <c r="H558" i="104"/>
  <c r="H553" i="104"/>
  <c r="H549" i="104"/>
  <c r="S35" i="122" s="1"/>
  <c r="H544" i="104"/>
  <c r="H543" i="104" s="1"/>
  <c r="R38" i="122" s="1"/>
  <c r="H540" i="104"/>
  <c r="R35" i="122" s="1"/>
  <c r="H535" i="104"/>
  <c r="H531" i="104"/>
  <c r="H526" i="104"/>
  <c r="H525" i="104" s="1"/>
  <c r="P38" i="122" s="1"/>
  <c r="H522" i="104"/>
  <c r="H517" i="104"/>
  <c r="H516" i="104" s="1"/>
  <c r="H513" i="104"/>
  <c r="H508" i="104"/>
  <c r="H507" i="104" s="1"/>
  <c r="N38" i="122" s="1"/>
  <c r="H504" i="104"/>
  <c r="H499" i="104"/>
  <c r="H498" i="104" s="1"/>
  <c r="M38" i="122" s="1"/>
  <c r="H495" i="104"/>
  <c r="H490" i="104"/>
  <c r="H486" i="104"/>
  <c r="H481" i="104"/>
  <c r="H480" i="104" s="1"/>
  <c r="H477" i="104"/>
  <c r="K35" i="122" s="1"/>
  <c r="H472" i="104"/>
  <c r="H468" i="104"/>
  <c r="H463" i="104"/>
  <c r="H459" i="104"/>
  <c r="I35" i="122" s="1"/>
  <c r="H454" i="104"/>
  <c r="H453" i="104" s="1"/>
  <c r="H38" i="122" s="1"/>
  <c r="H450" i="104"/>
  <c r="H445" i="104"/>
  <c r="H444" i="104" s="1"/>
  <c r="H441" i="104"/>
  <c r="H432" i="104"/>
  <c r="H427" i="104"/>
  <c r="H426" i="104" s="1"/>
  <c r="E38" i="122" s="1"/>
  <c r="H423" i="104"/>
  <c r="H418" i="104"/>
  <c r="H405" i="104"/>
  <c r="C35" i="122" s="1"/>
  <c r="H397" i="104"/>
  <c r="Y20" i="122" s="1"/>
  <c r="H388" i="104"/>
  <c r="H387" i="104" s="1"/>
  <c r="H383" i="104"/>
  <c r="H379" i="104"/>
  <c r="H358" i="104"/>
  <c r="H354" i="104"/>
  <c r="H349" i="104"/>
  <c r="H344" i="104"/>
  <c r="H340" i="104"/>
  <c r="U20" i="122" s="1"/>
  <c r="H336" i="104"/>
  <c r="H331" i="104"/>
  <c r="H326" i="104"/>
  <c r="U6" i="122" s="1"/>
  <c r="W61" i="176" s="1"/>
  <c r="W101" i="176" s="1"/>
  <c r="H322" i="104"/>
  <c r="H318" i="104"/>
  <c r="H313" i="104"/>
  <c r="H308" i="104"/>
  <c r="T6" i="122" s="1"/>
  <c r="H304" i="104"/>
  <c r="S20" i="122" s="1"/>
  <c r="H295" i="104"/>
  <c r="H294" i="104" s="1"/>
  <c r="H290" i="104"/>
  <c r="S6" i="122" s="1"/>
  <c r="U61" i="176" s="1"/>
  <c r="U101" i="176" s="1"/>
  <c r="H286" i="104"/>
  <c r="H277" i="104"/>
  <c r="H276" i="104" s="1"/>
  <c r="H272" i="104"/>
  <c r="R6" i="122" s="1"/>
  <c r="T61" i="176" s="1"/>
  <c r="T101" i="176" s="1"/>
  <c r="H268" i="104"/>
  <c r="Q20" i="122" s="1"/>
  <c r="H264" i="104"/>
  <c r="Q16" i="122" s="1"/>
  <c r="S65" i="176" s="1"/>
  <c r="S122" i="176" s="1"/>
  <c r="H259" i="104"/>
  <c r="H258" i="104" s="1"/>
  <c r="H257" i="104" s="1"/>
  <c r="Q9" i="122" s="1"/>
  <c r="H254" i="104"/>
  <c r="H250" i="104"/>
  <c r="H246" i="104"/>
  <c r="H241" i="104"/>
  <c r="H236" i="104"/>
  <c r="P6" i="122" s="1"/>
  <c r="R61" i="176" s="1"/>
  <c r="R101" i="176" s="1"/>
  <c r="H232" i="104"/>
  <c r="H228" i="104"/>
  <c r="O16" i="122" s="1"/>
  <c r="Q65" i="176" s="1"/>
  <c r="Q122" i="176" s="1"/>
  <c r="H223" i="104"/>
  <c r="H222" i="104" s="1"/>
  <c r="H221" i="104" s="1"/>
  <c r="O9" i="122" s="1"/>
  <c r="H218" i="104"/>
  <c r="H214" i="104"/>
  <c r="H210" i="104"/>
  <c r="H205" i="104"/>
  <c r="H200" i="104"/>
  <c r="H196" i="104"/>
  <c r="H192" i="104"/>
  <c r="H187" i="104"/>
  <c r="H182" i="104"/>
  <c r="M6" i="122" s="1"/>
  <c r="O61" i="176" s="1"/>
  <c r="O101" i="176" s="1"/>
  <c r="H178" i="104"/>
  <c r="H174" i="104"/>
  <c r="H169" i="104"/>
  <c r="H164" i="104"/>
  <c r="H160" i="104"/>
  <c r="H156" i="104"/>
  <c r="K16" i="122" s="1"/>
  <c r="M65" i="176" s="1"/>
  <c r="M122" i="176" s="1"/>
  <c r="H151" i="104"/>
  <c r="H146" i="104"/>
  <c r="K6" i="122" s="1"/>
  <c r="M61" i="176" s="1"/>
  <c r="M101" i="176" s="1"/>
  <c r="H142" i="104"/>
  <c r="H138" i="104"/>
  <c r="H133" i="104"/>
  <c r="H128" i="104"/>
  <c r="H124" i="104"/>
  <c r="H120" i="104"/>
  <c r="H115" i="104"/>
  <c r="H110" i="104"/>
  <c r="H106" i="104"/>
  <c r="H102" i="104"/>
  <c r="H97" i="104"/>
  <c r="H92" i="104"/>
  <c r="H88" i="104"/>
  <c r="G20" i="122" s="1"/>
  <c r="H70" i="104"/>
  <c r="F20" i="122" s="1"/>
  <c r="H66" i="104"/>
  <c r="H52" i="104"/>
  <c r="E20" i="122" s="1"/>
  <c r="H34" i="104"/>
  <c r="D20" i="122" s="1"/>
  <c r="H16" i="104"/>
  <c r="C20" i="122" s="1"/>
  <c r="H13" i="104"/>
  <c r="C17" i="122" s="1"/>
  <c r="E17" i="177" s="1"/>
  <c r="H601" i="102"/>
  <c r="H600" i="102" s="1"/>
  <c r="Y38" i="121" s="1"/>
  <c r="H597" i="102"/>
  <c r="Y35" i="121" s="1"/>
  <c r="H592" i="102"/>
  <c r="H588" i="102"/>
  <c r="H580" i="102"/>
  <c r="H579" i="102" s="1"/>
  <c r="V38" i="121" s="1"/>
  <c r="H576" i="102"/>
  <c r="V35" i="121" s="1"/>
  <c r="X53" i="176" s="1"/>
  <c r="H571" i="102"/>
  <c r="H570" i="102" s="1"/>
  <c r="H567" i="102"/>
  <c r="H562" i="102"/>
  <c r="H561" i="102" s="1"/>
  <c r="T38" i="121" s="1"/>
  <c r="H558" i="102"/>
  <c r="H553" i="102"/>
  <c r="H549" i="102"/>
  <c r="H544" i="102"/>
  <c r="H540" i="102"/>
  <c r="H535" i="102"/>
  <c r="H534" i="102" s="1"/>
  <c r="H531" i="102"/>
  <c r="H526" i="102"/>
  <c r="H525" i="102" s="1"/>
  <c r="P38" i="121" s="1"/>
  <c r="H522" i="102"/>
  <c r="H517" i="102"/>
  <c r="H513" i="102"/>
  <c r="O35" i="121" s="1"/>
  <c r="Q53" i="176" s="1"/>
  <c r="H508" i="102"/>
  <c r="H507" i="102" s="1"/>
  <c r="N38" i="121" s="1"/>
  <c r="H504" i="102"/>
  <c r="H499" i="102"/>
  <c r="H498" i="102" s="1"/>
  <c r="H495" i="102"/>
  <c r="M35" i="121" s="1"/>
  <c r="O53" i="176" s="1"/>
  <c r="H490" i="102"/>
  <c r="H489" i="102" s="1"/>
  <c r="L38" i="121" s="1"/>
  <c r="H486" i="102"/>
  <c r="H481" i="102"/>
  <c r="H477" i="102"/>
  <c r="H472" i="102"/>
  <c r="H471" i="102" s="1"/>
  <c r="J38" i="121" s="1"/>
  <c r="H468" i="102"/>
  <c r="H463" i="102"/>
  <c r="H459" i="102"/>
  <c r="I35" i="121" s="1"/>
  <c r="K53" i="176" s="1"/>
  <c r="H454" i="102"/>
  <c r="H453" i="102" s="1"/>
  <c r="H38" i="121" s="1"/>
  <c r="J54" i="176" s="1"/>
  <c r="H450" i="102"/>
  <c r="H35" i="121" s="1"/>
  <c r="H445" i="102"/>
  <c r="H441" i="102"/>
  <c r="H432" i="102"/>
  <c r="H427" i="102"/>
  <c r="H423" i="102"/>
  <c r="E35" i="121" s="1"/>
  <c r="G53" i="176" s="1"/>
  <c r="H418" i="102"/>
  <c r="H417" i="102" s="1"/>
  <c r="D38" i="121" s="1"/>
  <c r="H405" i="102"/>
  <c r="C35" i="121" s="1"/>
  <c r="H397" i="102"/>
  <c r="H388" i="102"/>
  <c r="H387" i="102" s="1"/>
  <c r="H383" i="102"/>
  <c r="Y6" i="121" s="1"/>
  <c r="H379" i="102"/>
  <c r="H358" i="102"/>
  <c r="V20" i="121" s="1"/>
  <c r="X48" i="176" s="1"/>
  <c r="H354" i="102"/>
  <c r="V16" i="121" s="1"/>
  <c r="X46" i="176" s="1"/>
  <c r="X121" i="176" s="1"/>
  <c r="H349" i="102"/>
  <c r="H344" i="102"/>
  <c r="H340" i="102"/>
  <c r="U20" i="121" s="1"/>
  <c r="W48" i="176" s="1"/>
  <c r="H336" i="102"/>
  <c r="H331" i="102"/>
  <c r="H326" i="102"/>
  <c r="H322" i="102"/>
  <c r="T20" i="121" s="1"/>
  <c r="H318" i="102"/>
  <c r="H313" i="102"/>
  <c r="H308" i="102"/>
  <c r="H304" i="102"/>
  <c r="H295" i="102"/>
  <c r="H294" i="102" s="1"/>
  <c r="H290" i="102"/>
  <c r="H286" i="102"/>
  <c r="H277" i="102"/>
  <c r="H272" i="102"/>
  <c r="H268" i="102"/>
  <c r="H264" i="102"/>
  <c r="H259" i="102"/>
  <c r="H254" i="102"/>
  <c r="H250" i="102"/>
  <c r="P20" i="121" s="1"/>
  <c r="R48" i="176" s="1"/>
  <c r="H246" i="102"/>
  <c r="H241" i="102"/>
  <c r="H236" i="102"/>
  <c r="H232" i="102"/>
  <c r="H228" i="102"/>
  <c r="H223" i="102"/>
  <c r="O11" i="121" s="1"/>
  <c r="H218" i="102"/>
  <c r="H214" i="102"/>
  <c r="H210" i="102"/>
  <c r="H205" i="102"/>
  <c r="N11" i="121" s="1"/>
  <c r="H200" i="102"/>
  <c r="H196" i="102"/>
  <c r="H192" i="102"/>
  <c r="H187" i="102"/>
  <c r="H182" i="102"/>
  <c r="H178" i="102"/>
  <c r="L20" i="121" s="1"/>
  <c r="N48" i="176" s="1"/>
  <c r="H174" i="102"/>
  <c r="H169" i="102"/>
  <c r="H164" i="102"/>
  <c r="H160" i="102"/>
  <c r="H156" i="102"/>
  <c r="H151" i="102"/>
  <c r="H150" i="102" s="1"/>
  <c r="H149" i="102" s="1"/>
  <c r="K9" i="121" s="1"/>
  <c r="M43" i="176" s="1"/>
  <c r="M107" i="176" s="1"/>
  <c r="H146" i="102"/>
  <c r="H142" i="102"/>
  <c r="H138" i="102"/>
  <c r="H133" i="102"/>
  <c r="H128" i="102"/>
  <c r="H124" i="102"/>
  <c r="H120" i="102"/>
  <c r="H115" i="102"/>
  <c r="H110" i="102"/>
  <c r="H106" i="102"/>
  <c r="H20" i="121" s="1"/>
  <c r="J48" i="176" s="1"/>
  <c r="H102" i="102"/>
  <c r="H97" i="102"/>
  <c r="H11" i="121" s="1"/>
  <c r="H92" i="102"/>
  <c r="H88" i="102"/>
  <c r="H52" i="102"/>
  <c r="H34" i="102"/>
  <c r="H16" i="102"/>
  <c r="H13" i="102"/>
  <c r="C17" i="121" s="1"/>
  <c r="D17" i="177" s="1"/>
  <c r="P16" i="159"/>
  <c r="P16" i="156"/>
  <c r="N24" i="156"/>
  <c r="N25" i="156" s="1"/>
  <c r="P19" i="159"/>
  <c r="N24" i="159"/>
  <c r="N25" i="159" s="1"/>
  <c r="R22" i="159"/>
  <c r="Q24" i="159" s="1"/>
  <c r="K33" i="159"/>
  <c r="K33" i="153"/>
  <c r="K33" i="156"/>
  <c r="K33" i="60"/>
  <c r="G52" i="161"/>
  <c r="F52" i="161"/>
  <c r="E52" i="161"/>
  <c r="D52" i="161"/>
  <c r="C52" i="161"/>
  <c r="K33" i="161"/>
  <c r="J33" i="161"/>
  <c r="F4" i="160"/>
  <c r="L42" i="159"/>
  <c r="L41" i="159"/>
  <c r="L40" i="159"/>
  <c r="L39" i="159"/>
  <c r="L38" i="159"/>
  <c r="G18" i="159"/>
  <c r="E18" i="159"/>
  <c r="E18" i="161" s="1"/>
  <c r="E46" i="161" s="1"/>
  <c r="D18" i="159"/>
  <c r="D18" i="161" s="1"/>
  <c r="D46" i="161" s="1"/>
  <c r="G17" i="159"/>
  <c r="G17" i="161" s="1"/>
  <c r="G45" i="161" s="1"/>
  <c r="E17" i="159"/>
  <c r="E17" i="161" s="1"/>
  <c r="F15" i="159"/>
  <c r="C11" i="159"/>
  <c r="G10" i="159"/>
  <c r="G10" i="161" s="1"/>
  <c r="E10" i="159"/>
  <c r="E10" i="161" s="1"/>
  <c r="C10" i="159"/>
  <c r="G52" i="158"/>
  <c r="F52" i="158"/>
  <c r="E52" i="158"/>
  <c r="D52" i="158"/>
  <c r="C52" i="158"/>
  <c r="K33" i="158"/>
  <c r="J33" i="158"/>
  <c r="F4" i="157"/>
  <c r="L42" i="156"/>
  <c r="L41" i="156"/>
  <c r="L40" i="156"/>
  <c r="L39" i="156"/>
  <c r="L38" i="156"/>
  <c r="R22" i="156"/>
  <c r="Q24" i="156" s="1"/>
  <c r="P19" i="156"/>
  <c r="G18" i="156"/>
  <c r="G18" i="158" s="1"/>
  <c r="E18" i="156"/>
  <c r="E18" i="158" s="1"/>
  <c r="D18" i="156"/>
  <c r="G17" i="156"/>
  <c r="G17" i="158" s="1"/>
  <c r="G45" i="158" s="1"/>
  <c r="E17" i="156"/>
  <c r="E17" i="158" s="1"/>
  <c r="F15" i="156"/>
  <c r="C11" i="156"/>
  <c r="C11" i="158" s="1"/>
  <c r="C39" i="158" s="1"/>
  <c r="G10" i="156"/>
  <c r="E10" i="156"/>
  <c r="C10" i="156"/>
  <c r="G52" i="155"/>
  <c r="F52" i="155"/>
  <c r="E52" i="155"/>
  <c r="D52" i="155"/>
  <c r="C52" i="155"/>
  <c r="K33" i="155"/>
  <c r="J33" i="155"/>
  <c r="F4" i="154"/>
  <c r="L42" i="153"/>
  <c r="L41" i="153"/>
  <c r="L40" i="153"/>
  <c r="L39" i="153"/>
  <c r="L38" i="153"/>
  <c r="R22" i="153"/>
  <c r="Q24" i="153" s="1"/>
  <c r="P22" i="153"/>
  <c r="N24" i="153" s="1"/>
  <c r="N25" i="153" s="1"/>
  <c r="P19" i="153"/>
  <c r="G18" i="153"/>
  <c r="G18" i="155" s="1"/>
  <c r="E18" i="153"/>
  <c r="D18" i="153"/>
  <c r="G17" i="153"/>
  <c r="G17" i="155" s="1"/>
  <c r="G45" i="155" s="1"/>
  <c r="E17" i="153"/>
  <c r="E17" i="155" s="1"/>
  <c r="E45" i="155" s="1"/>
  <c r="P16" i="153"/>
  <c r="F15" i="153"/>
  <c r="F15" i="155" s="1"/>
  <c r="C11" i="153"/>
  <c r="C11" i="155" s="1"/>
  <c r="G10" i="153"/>
  <c r="E10" i="153"/>
  <c r="C10" i="153"/>
  <c r="C10" i="155" s="1"/>
  <c r="C38" i="155" s="1"/>
  <c r="H330" i="102"/>
  <c r="U10" i="121" s="1"/>
  <c r="H275" i="104"/>
  <c r="D263" i="112"/>
  <c r="E10" i="158"/>
  <c r="E38" i="158" s="1"/>
  <c r="E18" i="155"/>
  <c r="E46" i="155" s="1"/>
  <c r="M51" i="147"/>
  <c r="M49" i="147"/>
  <c r="P14" i="146"/>
  <c r="K36" i="146" s="1"/>
  <c r="P9" i="146"/>
  <c r="P10" i="146"/>
  <c r="K21" i="146" s="1"/>
  <c r="P12" i="146"/>
  <c r="K28" i="146" s="1"/>
  <c r="D28" i="136"/>
  <c r="D28" i="132"/>
  <c r="AT28" i="136"/>
  <c r="AT28" i="132"/>
  <c r="S30" i="146"/>
  <c r="B42" i="136"/>
  <c r="B41" i="136"/>
  <c r="B40" i="136"/>
  <c r="B39" i="136"/>
  <c r="B38" i="136"/>
  <c r="B37" i="136"/>
  <c r="B36" i="136"/>
  <c r="B35" i="136"/>
  <c r="B34" i="136"/>
  <c r="B33" i="136"/>
  <c r="B32" i="136"/>
  <c r="B31" i="136"/>
  <c r="B30" i="136" s="1"/>
  <c r="B29" i="136"/>
  <c r="L42" i="60"/>
  <c r="L39" i="60"/>
  <c r="L40" i="60"/>
  <c r="L41" i="60"/>
  <c r="L38" i="60"/>
  <c r="H66" i="99"/>
  <c r="H102" i="99"/>
  <c r="H16" i="98" s="1"/>
  <c r="J27" i="176" s="1"/>
  <c r="J120" i="176" s="1"/>
  <c r="H120" i="99"/>
  <c r="H138" i="99"/>
  <c r="J16" i="98" s="1"/>
  <c r="L27" i="176" s="1"/>
  <c r="L120" i="176" s="1"/>
  <c r="H156" i="99"/>
  <c r="H174" i="99"/>
  <c r="L16" i="98" s="1"/>
  <c r="N27" i="176" s="1"/>
  <c r="N120" i="176" s="1"/>
  <c r="H192" i="99"/>
  <c r="H210" i="99"/>
  <c r="N16" i="98" s="1"/>
  <c r="P27" i="176" s="1"/>
  <c r="P120" i="176" s="1"/>
  <c r="H228" i="99"/>
  <c r="H246" i="99"/>
  <c r="P16" i="98" s="1"/>
  <c r="R27" i="176" s="1"/>
  <c r="R120" i="176" s="1"/>
  <c r="H264" i="99"/>
  <c r="H318" i="99"/>
  <c r="T16" i="98" s="1"/>
  <c r="H336" i="99"/>
  <c r="H354" i="99"/>
  <c r="V16" i="98" s="1"/>
  <c r="A29" i="136"/>
  <c r="A29" i="132"/>
  <c r="AR28" i="132"/>
  <c r="AO28" i="132"/>
  <c r="B40" i="132"/>
  <c r="B39" i="132"/>
  <c r="B42" i="132"/>
  <c r="B41" i="132"/>
  <c r="B38" i="132"/>
  <c r="B34" i="132"/>
  <c r="B35" i="132"/>
  <c r="B36" i="132"/>
  <c r="B37" i="132"/>
  <c r="B31" i="132"/>
  <c r="B32" i="132"/>
  <c r="B33" i="132"/>
  <c r="B29" i="132"/>
  <c r="AS28" i="132"/>
  <c r="AQ28" i="132"/>
  <c r="AP28" i="132"/>
  <c r="AN28" i="132"/>
  <c r="AM28" i="132"/>
  <c r="AL28" i="132"/>
  <c r="AK28" i="132"/>
  <c r="AJ28" i="132"/>
  <c r="AI28" i="132"/>
  <c r="AH28" i="132"/>
  <c r="AG28" i="132"/>
  <c r="AF28" i="132"/>
  <c r="AD28" i="132"/>
  <c r="Z28" i="132"/>
  <c r="Y28" i="132"/>
  <c r="X28" i="132"/>
  <c r="W28" i="132"/>
  <c r="N28" i="132"/>
  <c r="M28" i="132"/>
  <c r="F28" i="132"/>
  <c r="C8" i="152"/>
  <c r="G11" i="148"/>
  <c r="G10" i="148" s="1"/>
  <c r="J28" i="147"/>
  <c r="J35" i="147" s="1"/>
  <c r="J47" i="147" s="1"/>
  <c r="J49" i="147"/>
  <c r="J51" i="147"/>
  <c r="G18" i="147"/>
  <c r="G10" i="147"/>
  <c r="G44" i="146"/>
  <c r="G14" i="146"/>
  <c r="M12" i="146" s="1"/>
  <c r="O10" i="146"/>
  <c r="G21" i="146" s="1"/>
  <c r="G46" i="146"/>
  <c r="O12" i="146"/>
  <c r="G28" i="146" s="1"/>
  <c r="M33" i="146" s="1"/>
  <c r="G48" i="146"/>
  <c r="O14" i="146"/>
  <c r="G36" i="146" s="1"/>
  <c r="M48" i="146"/>
  <c r="M46" i="146"/>
  <c r="R44" i="146"/>
  <c r="P44" i="146"/>
  <c r="O44" i="146"/>
  <c r="N44" i="146"/>
  <c r="M44" i="146"/>
  <c r="R43" i="146"/>
  <c r="R42" i="146"/>
  <c r="R41" i="146"/>
  <c r="R40" i="146"/>
  <c r="N21" i="146"/>
  <c r="P20" i="146"/>
  <c r="W48" i="133"/>
  <c r="R35" i="133"/>
  <c r="R34" i="133"/>
  <c r="R33" i="133"/>
  <c r="R32" i="133"/>
  <c r="R31" i="133"/>
  <c r="R30" i="133"/>
  <c r="R29" i="133"/>
  <c r="R28" i="133"/>
  <c r="R27" i="133"/>
  <c r="R67" i="133"/>
  <c r="R66" i="133"/>
  <c r="R65" i="133"/>
  <c r="R64" i="133"/>
  <c r="R63" i="133"/>
  <c r="R62" i="133"/>
  <c r="R61" i="133"/>
  <c r="R60" i="133"/>
  <c r="R59" i="133"/>
  <c r="W46" i="133"/>
  <c r="W45" i="133"/>
  <c r="W27" i="133" s="1"/>
  <c r="W47" i="133"/>
  <c r="W29" i="133" s="1"/>
  <c r="W49" i="133"/>
  <c r="V49" i="133" s="1"/>
  <c r="U49" i="133" s="1"/>
  <c r="W50" i="133"/>
  <c r="X35" i="133"/>
  <c r="X34" i="133"/>
  <c r="X33" i="133"/>
  <c r="X32" i="133"/>
  <c r="X31" i="133"/>
  <c r="X30" i="133"/>
  <c r="X29" i="133"/>
  <c r="X28" i="133"/>
  <c r="X27" i="133"/>
  <c r="W51" i="133"/>
  <c r="V51" i="133" s="1"/>
  <c r="W52" i="133"/>
  <c r="W34" i="133" s="1"/>
  <c r="W53" i="133"/>
  <c r="V53" i="133" s="1"/>
  <c r="U53" i="133" s="1"/>
  <c r="X54" i="133"/>
  <c r="X36" i="133" s="1"/>
  <c r="D6" i="118"/>
  <c r="D11" i="118"/>
  <c r="H11" i="118" s="1"/>
  <c r="P16" i="60"/>
  <c r="AS28" i="136"/>
  <c r="AR28" i="136"/>
  <c r="AQ28" i="136"/>
  <c r="AP28" i="136"/>
  <c r="AO28" i="136"/>
  <c r="AN28" i="136"/>
  <c r="AM28" i="136"/>
  <c r="AL28" i="136"/>
  <c r="AK28" i="136"/>
  <c r="AJ28" i="136"/>
  <c r="AI28" i="136"/>
  <c r="AH28" i="136"/>
  <c r="AG28" i="136"/>
  <c r="AF28" i="136"/>
  <c r="AD28" i="136"/>
  <c r="Z28" i="136"/>
  <c r="Y28" i="136"/>
  <c r="X28" i="136"/>
  <c r="W28" i="136"/>
  <c r="N28" i="136"/>
  <c r="M28" i="136"/>
  <c r="F28" i="136"/>
  <c r="Z17" i="140"/>
  <c r="Y17" i="140"/>
  <c r="X17" i="140"/>
  <c r="W17" i="140"/>
  <c r="V17" i="140"/>
  <c r="U17" i="140"/>
  <c r="T17" i="140"/>
  <c r="S17" i="140"/>
  <c r="R17" i="140"/>
  <c r="Q17" i="140"/>
  <c r="P17" i="140"/>
  <c r="O17" i="140"/>
  <c r="N17" i="140"/>
  <c r="M17" i="140"/>
  <c r="L17" i="140"/>
  <c r="K17" i="140"/>
  <c r="J17" i="140"/>
  <c r="I17" i="140"/>
  <c r="H17" i="140"/>
  <c r="G17" i="140"/>
  <c r="F17" i="140"/>
  <c r="E17" i="140"/>
  <c r="H13" i="99"/>
  <c r="C17" i="98" s="1"/>
  <c r="C17" i="177" s="1"/>
  <c r="T99" i="114"/>
  <c r="S95" i="114"/>
  <c r="Y10" i="140"/>
  <c r="X10" i="140"/>
  <c r="W10" i="140"/>
  <c r="V10" i="140"/>
  <c r="U10" i="140"/>
  <c r="T10" i="140"/>
  <c r="S10" i="140"/>
  <c r="R10" i="140"/>
  <c r="Q10" i="140"/>
  <c r="P10" i="140"/>
  <c r="O10" i="140"/>
  <c r="N10" i="140"/>
  <c r="M10" i="140"/>
  <c r="L10" i="140"/>
  <c r="K10" i="140"/>
  <c r="J10" i="140"/>
  <c r="I10" i="140"/>
  <c r="H10" i="140"/>
  <c r="G10" i="140"/>
  <c r="F10" i="140"/>
  <c r="E10" i="140"/>
  <c r="C10" i="140"/>
  <c r="Y9" i="140"/>
  <c r="X9" i="140"/>
  <c r="W9" i="140"/>
  <c r="V9" i="140"/>
  <c r="U9" i="140"/>
  <c r="T9" i="140"/>
  <c r="S9" i="140"/>
  <c r="R9" i="140"/>
  <c r="Q9" i="140"/>
  <c r="P9" i="140"/>
  <c r="O9" i="140"/>
  <c r="N9" i="140"/>
  <c r="M9" i="140"/>
  <c r="L9" i="140"/>
  <c r="K9" i="140"/>
  <c r="J9" i="140"/>
  <c r="I9" i="140"/>
  <c r="H9" i="140"/>
  <c r="G9" i="140"/>
  <c r="F9" i="140"/>
  <c r="E9" i="140"/>
  <c r="D9" i="140"/>
  <c r="C9" i="140"/>
  <c r="Y8" i="140"/>
  <c r="X8" i="140"/>
  <c r="W8" i="140"/>
  <c r="V8" i="140"/>
  <c r="U8" i="140"/>
  <c r="T8" i="140"/>
  <c r="S8" i="140"/>
  <c r="R8" i="140"/>
  <c r="Q8" i="140"/>
  <c r="P8" i="140"/>
  <c r="O8" i="140"/>
  <c r="N8" i="140"/>
  <c r="M8" i="140"/>
  <c r="L8" i="140"/>
  <c r="K8" i="140"/>
  <c r="J8" i="140"/>
  <c r="I8" i="140"/>
  <c r="H8" i="140"/>
  <c r="G8" i="140"/>
  <c r="F8" i="140"/>
  <c r="E8" i="140"/>
  <c r="C8" i="140"/>
  <c r="Y7" i="140"/>
  <c r="X7" i="140"/>
  <c r="W7" i="140"/>
  <c r="V7" i="140"/>
  <c r="U7" i="140"/>
  <c r="T7" i="140"/>
  <c r="S7" i="140"/>
  <c r="R7" i="140"/>
  <c r="Q7" i="140"/>
  <c r="P7" i="140"/>
  <c r="O7" i="140"/>
  <c r="N7" i="140"/>
  <c r="M7" i="140"/>
  <c r="L7" i="140"/>
  <c r="K7" i="140"/>
  <c r="J7" i="140"/>
  <c r="I7" i="140"/>
  <c r="H7" i="140"/>
  <c r="G7" i="140"/>
  <c r="F7" i="140"/>
  <c r="E7" i="140"/>
  <c r="C7" i="140"/>
  <c r="Y6" i="140"/>
  <c r="X6" i="140"/>
  <c r="W6" i="140"/>
  <c r="V6" i="140"/>
  <c r="U6" i="140"/>
  <c r="T6" i="140"/>
  <c r="S6" i="140"/>
  <c r="R6" i="140"/>
  <c r="Q6" i="140"/>
  <c r="P6" i="140"/>
  <c r="O6" i="140"/>
  <c r="N6" i="140"/>
  <c r="M6" i="140"/>
  <c r="L6" i="140"/>
  <c r="K6" i="140"/>
  <c r="J6" i="140"/>
  <c r="I6" i="140"/>
  <c r="H6" i="140"/>
  <c r="G6" i="140"/>
  <c r="F6" i="140"/>
  <c r="E6" i="140"/>
  <c r="I26" i="139"/>
  <c r="H26" i="139"/>
  <c r="G26" i="139"/>
  <c r="F26" i="139"/>
  <c r="E26" i="139"/>
  <c r="I25" i="139"/>
  <c r="H25" i="139"/>
  <c r="G25" i="139"/>
  <c r="F25" i="139"/>
  <c r="E25" i="139"/>
  <c r="I24" i="139"/>
  <c r="H24" i="139"/>
  <c r="G24" i="139"/>
  <c r="F24" i="139"/>
  <c r="E24" i="139"/>
  <c r="I23" i="139"/>
  <c r="H23" i="139"/>
  <c r="G23" i="139"/>
  <c r="F23" i="139"/>
  <c r="E23" i="139"/>
  <c r="I22" i="139"/>
  <c r="H22" i="139"/>
  <c r="G22" i="139"/>
  <c r="F22" i="139"/>
  <c r="E22" i="139"/>
  <c r="I21" i="139"/>
  <c r="H21" i="139"/>
  <c r="G21" i="139"/>
  <c r="F21" i="139"/>
  <c r="E21" i="139"/>
  <c r="I20" i="139"/>
  <c r="H20" i="139"/>
  <c r="G20" i="139"/>
  <c r="F20" i="139"/>
  <c r="E20" i="139"/>
  <c r="I19" i="139"/>
  <c r="H19" i="139"/>
  <c r="G19" i="139"/>
  <c r="F19" i="139"/>
  <c r="E19" i="139"/>
  <c r="I18" i="139"/>
  <c r="H18" i="139"/>
  <c r="G18" i="139"/>
  <c r="F18" i="139"/>
  <c r="E18" i="139"/>
  <c r="I17" i="139"/>
  <c r="H17" i="139"/>
  <c r="G17" i="139"/>
  <c r="F17" i="139"/>
  <c r="E17" i="139"/>
  <c r="I16" i="139"/>
  <c r="H16" i="139"/>
  <c r="G16" i="139"/>
  <c r="F16" i="139"/>
  <c r="E16" i="139"/>
  <c r="I15" i="139"/>
  <c r="H15" i="139"/>
  <c r="G15" i="139"/>
  <c r="F15" i="139"/>
  <c r="E15" i="139"/>
  <c r="I14" i="139"/>
  <c r="H14" i="139"/>
  <c r="G14" i="139"/>
  <c r="F14" i="139"/>
  <c r="E14" i="139"/>
  <c r="I13" i="139"/>
  <c r="H13" i="139"/>
  <c r="G13" i="139"/>
  <c r="F13" i="139"/>
  <c r="E13" i="139"/>
  <c r="I12" i="139"/>
  <c r="H12" i="139"/>
  <c r="G12" i="139"/>
  <c r="F12" i="139"/>
  <c r="E12" i="139"/>
  <c r="I11" i="139"/>
  <c r="H11" i="139"/>
  <c r="G11" i="139"/>
  <c r="F11" i="139"/>
  <c r="E11" i="139"/>
  <c r="I10" i="139"/>
  <c r="H10" i="139"/>
  <c r="G10" i="139"/>
  <c r="F10" i="139"/>
  <c r="E10" i="139"/>
  <c r="I9" i="139"/>
  <c r="H9" i="139"/>
  <c r="G9" i="139"/>
  <c r="F9" i="139"/>
  <c r="E9" i="139"/>
  <c r="I8" i="139"/>
  <c r="H8" i="139"/>
  <c r="G8" i="139"/>
  <c r="F8" i="139"/>
  <c r="E8" i="139"/>
  <c r="I7" i="139"/>
  <c r="H7" i="139"/>
  <c r="G7" i="139"/>
  <c r="F7" i="139"/>
  <c r="E7" i="139"/>
  <c r="I6" i="139"/>
  <c r="H6" i="139"/>
  <c r="G6" i="139"/>
  <c r="F6" i="139"/>
  <c r="E6" i="139"/>
  <c r="H5" i="139"/>
  <c r="I4" i="139"/>
  <c r="H4" i="139"/>
  <c r="G4" i="139"/>
  <c r="F4" i="139"/>
  <c r="E4" i="139"/>
  <c r="H29" i="138"/>
  <c r="G29" i="138"/>
  <c r="F29" i="138"/>
  <c r="E29" i="138"/>
  <c r="D29" i="138"/>
  <c r="C29" i="138"/>
  <c r="B29" i="138"/>
  <c r="S22" i="133"/>
  <c r="S21" i="133"/>
  <c r="S20" i="133"/>
  <c r="S19" i="133"/>
  <c r="S18" i="133"/>
  <c r="S17" i="133"/>
  <c r="S16" i="133"/>
  <c r="S15" i="133"/>
  <c r="S14" i="133"/>
  <c r="S13" i="133"/>
  <c r="K33" i="116"/>
  <c r="J33" i="116"/>
  <c r="C52" i="116"/>
  <c r="D52" i="116"/>
  <c r="E52" i="116"/>
  <c r="F52" i="116"/>
  <c r="G52" i="116"/>
  <c r="D77" i="110"/>
  <c r="E31" i="114"/>
  <c r="M59" i="114"/>
  <c r="M75" i="114"/>
  <c r="N75" i="114"/>
  <c r="M60" i="114"/>
  <c r="M64" i="114"/>
  <c r="M65" i="114"/>
  <c r="M66" i="114"/>
  <c r="M68" i="114"/>
  <c r="M70" i="114"/>
  <c r="M72" i="114"/>
  <c r="M73" i="114"/>
  <c r="M74" i="114"/>
  <c r="I95" i="114"/>
  <c r="I99" i="114"/>
  <c r="E74" i="110"/>
  <c r="E76" i="110" s="1"/>
  <c r="D74" i="110"/>
  <c r="D76" i="110" s="1"/>
  <c r="H41" i="110"/>
  <c r="N49" i="110"/>
  <c r="N58" i="110"/>
  <c r="X93" i="114"/>
  <c r="W93" i="114"/>
  <c r="W107" i="114" s="1"/>
  <c r="W108" i="114" s="1"/>
  <c r="V10" i="114"/>
  <c r="V11" i="114"/>
  <c r="V12" i="114"/>
  <c r="V13" i="114"/>
  <c r="V14" i="114"/>
  <c r="V15" i="114"/>
  <c r="V16" i="114"/>
  <c r="V17" i="114"/>
  <c r="V18" i="114"/>
  <c r="V19" i="114"/>
  <c r="V20" i="114"/>
  <c r="V21" i="114"/>
  <c r="V22" i="114"/>
  <c r="V23" i="114"/>
  <c r="V24" i="114"/>
  <c r="V25" i="114"/>
  <c r="V26" i="114"/>
  <c r="V27" i="114"/>
  <c r="V28" i="114"/>
  <c r="V29" i="114"/>
  <c r="V30" i="114"/>
  <c r="V31" i="114"/>
  <c r="V32" i="114"/>
  <c r="V33" i="114"/>
  <c r="V34" i="114"/>
  <c r="V35" i="114"/>
  <c r="V36" i="114"/>
  <c r="V37" i="114"/>
  <c r="V38" i="114"/>
  <c r="V39" i="114"/>
  <c r="V40" i="114"/>
  <c r="V41" i="114"/>
  <c r="V42" i="114"/>
  <c r="V43" i="114"/>
  <c r="V44" i="114"/>
  <c r="V45" i="114"/>
  <c r="V46" i="114"/>
  <c r="V47" i="114"/>
  <c r="V48" i="114"/>
  <c r="V49" i="114"/>
  <c r="V51" i="114"/>
  <c r="V53" i="114"/>
  <c r="V75" i="114"/>
  <c r="U10" i="114"/>
  <c r="U11" i="114"/>
  <c r="U12" i="114"/>
  <c r="U13" i="114"/>
  <c r="U14" i="114"/>
  <c r="U15" i="114"/>
  <c r="U16" i="114"/>
  <c r="U17" i="114"/>
  <c r="U18" i="114"/>
  <c r="U19" i="114"/>
  <c r="U20" i="114"/>
  <c r="U21" i="114"/>
  <c r="U22" i="114"/>
  <c r="U23" i="114"/>
  <c r="U24" i="114"/>
  <c r="U25" i="114"/>
  <c r="U26" i="114"/>
  <c r="U27" i="114"/>
  <c r="U28" i="114"/>
  <c r="U29" i="114"/>
  <c r="U30" i="114"/>
  <c r="U31" i="114"/>
  <c r="U32" i="114"/>
  <c r="U33" i="114"/>
  <c r="U34" i="114"/>
  <c r="U35" i="114"/>
  <c r="U36" i="114"/>
  <c r="U37" i="114"/>
  <c r="U38" i="114"/>
  <c r="U39" i="114"/>
  <c r="U40" i="114"/>
  <c r="U41" i="114"/>
  <c r="U42" i="114"/>
  <c r="U43" i="114"/>
  <c r="U44" i="114"/>
  <c r="U45" i="114"/>
  <c r="U46" i="114"/>
  <c r="U47" i="114"/>
  <c r="U48" i="114"/>
  <c r="U49" i="114"/>
  <c r="U51" i="114"/>
  <c r="U53" i="114"/>
  <c r="U75" i="114"/>
  <c r="T10" i="114"/>
  <c r="T11" i="114"/>
  <c r="T12" i="114"/>
  <c r="T13" i="114"/>
  <c r="T14" i="114"/>
  <c r="T15" i="114"/>
  <c r="T16" i="114"/>
  <c r="T17" i="114"/>
  <c r="T18" i="114"/>
  <c r="T19" i="114"/>
  <c r="T20" i="114"/>
  <c r="T21" i="114"/>
  <c r="T22" i="114"/>
  <c r="T23" i="114"/>
  <c r="T24" i="114"/>
  <c r="T25" i="114"/>
  <c r="T26" i="114"/>
  <c r="T27" i="114"/>
  <c r="T28" i="114"/>
  <c r="T29" i="114"/>
  <c r="T30" i="114"/>
  <c r="T31" i="114"/>
  <c r="T32" i="114"/>
  <c r="T33" i="114"/>
  <c r="T34" i="114"/>
  <c r="T35" i="114"/>
  <c r="T36" i="114"/>
  <c r="T37" i="114"/>
  <c r="T38" i="114"/>
  <c r="T39" i="114"/>
  <c r="T40" i="114"/>
  <c r="T41" i="114"/>
  <c r="T42" i="114"/>
  <c r="T43" i="114"/>
  <c r="T44" i="114"/>
  <c r="T45" i="114"/>
  <c r="T46" i="114"/>
  <c r="T47" i="114"/>
  <c r="T48" i="114"/>
  <c r="T49" i="114"/>
  <c r="T51" i="114"/>
  <c r="T53" i="114"/>
  <c r="T75" i="114"/>
  <c r="S10" i="114"/>
  <c r="S11" i="114"/>
  <c r="S12" i="114"/>
  <c r="S13" i="114"/>
  <c r="S14" i="114"/>
  <c r="S15" i="114"/>
  <c r="S16" i="114"/>
  <c r="S17" i="114"/>
  <c r="S19" i="114"/>
  <c r="S20" i="114"/>
  <c r="S21" i="114"/>
  <c r="S22" i="114"/>
  <c r="S23" i="114"/>
  <c r="S24" i="114"/>
  <c r="S25" i="114"/>
  <c r="S26" i="114"/>
  <c r="S27" i="114"/>
  <c r="S28" i="114"/>
  <c r="S29" i="114"/>
  <c r="S30" i="114"/>
  <c r="S31" i="114"/>
  <c r="S32" i="114"/>
  <c r="S33" i="114"/>
  <c r="S34" i="114"/>
  <c r="S35" i="114"/>
  <c r="S36" i="114"/>
  <c r="S37" i="114"/>
  <c r="S38" i="114"/>
  <c r="S39" i="114"/>
  <c r="S40" i="114"/>
  <c r="S41" i="114"/>
  <c r="S42" i="114"/>
  <c r="S43" i="114"/>
  <c r="S44" i="114"/>
  <c r="S45" i="114"/>
  <c r="S46" i="114"/>
  <c r="S47" i="114"/>
  <c r="S48" i="114"/>
  <c r="S49" i="114"/>
  <c r="S51" i="114"/>
  <c r="R10" i="114"/>
  <c r="R11" i="114"/>
  <c r="R12" i="114"/>
  <c r="R13" i="114"/>
  <c r="R14" i="114"/>
  <c r="R15" i="114"/>
  <c r="R16" i="114"/>
  <c r="R17" i="114"/>
  <c r="R19" i="114"/>
  <c r="R20" i="114"/>
  <c r="R21" i="114"/>
  <c r="R22" i="114"/>
  <c r="R23" i="114"/>
  <c r="R24" i="114"/>
  <c r="R25" i="114"/>
  <c r="R26" i="114"/>
  <c r="R27" i="114"/>
  <c r="R28" i="114"/>
  <c r="R29" i="114"/>
  <c r="R30" i="114"/>
  <c r="R31" i="114"/>
  <c r="R32" i="114"/>
  <c r="R33" i="114"/>
  <c r="R34" i="114"/>
  <c r="R35" i="114"/>
  <c r="R36" i="114"/>
  <c r="R37" i="114"/>
  <c r="R38" i="114"/>
  <c r="R39" i="114"/>
  <c r="R40" i="114"/>
  <c r="R41" i="114"/>
  <c r="R42" i="114"/>
  <c r="R43" i="114"/>
  <c r="R44" i="114"/>
  <c r="R45" i="114"/>
  <c r="R46" i="114"/>
  <c r="R47" i="114"/>
  <c r="R48" i="114"/>
  <c r="R49" i="114"/>
  <c r="R51" i="114"/>
  <c r="M71" i="114"/>
  <c r="M69" i="114"/>
  <c r="M67" i="114"/>
  <c r="M63" i="114"/>
  <c r="M62" i="114"/>
  <c r="M61" i="114"/>
  <c r="X95" i="114"/>
  <c r="X99" i="114"/>
  <c r="W95" i="114"/>
  <c r="W99" i="114"/>
  <c r="V95" i="114"/>
  <c r="V99" i="114"/>
  <c r="U95" i="114"/>
  <c r="U99" i="114"/>
  <c r="T95" i="114"/>
  <c r="S99" i="114"/>
  <c r="S101" i="114" s="1"/>
  <c r="R95" i="114"/>
  <c r="R99" i="114"/>
  <c r="J34" i="130"/>
  <c r="F27" i="91" s="1"/>
  <c r="G11" i="60" s="1"/>
  <c r="A65" i="109"/>
  <c r="A66" i="109" s="1"/>
  <c r="A68" i="109"/>
  <c r="D5" i="60"/>
  <c r="A48" i="109"/>
  <c r="A49" i="109" s="1"/>
  <c r="A74" i="109"/>
  <c r="D12" i="98"/>
  <c r="E12" i="98"/>
  <c r="F12" i="98"/>
  <c r="G12" i="98"/>
  <c r="H12" i="98"/>
  <c r="I12" i="98"/>
  <c r="J12" i="98"/>
  <c r="K12" i="98"/>
  <c r="L12" i="98"/>
  <c r="M12" i="98"/>
  <c r="N12" i="98"/>
  <c r="O12" i="98"/>
  <c r="P12" i="98"/>
  <c r="Q12" i="98"/>
  <c r="R12" i="98"/>
  <c r="S12" i="98"/>
  <c r="T12" i="98"/>
  <c r="U12" i="98"/>
  <c r="V12" i="98"/>
  <c r="X12" i="98"/>
  <c r="M12" i="177" s="1"/>
  <c r="Y12" i="98"/>
  <c r="H13" i="98"/>
  <c r="I13" i="98"/>
  <c r="J13" i="98"/>
  <c r="K13" i="98"/>
  <c r="L13" i="98"/>
  <c r="M13" i="98"/>
  <c r="N13" i="98"/>
  <c r="O13" i="98"/>
  <c r="P13" i="98"/>
  <c r="Q13" i="98"/>
  <c r="R13" i="98"/>
  <c r="S13" i="98"/>
  <c r="T13" i="98"/>
  <c r="U13" i="98"/>
  <c r="V13" i="98"/>
  <c r="X13" i="98"/>
  <c r="M13" i="177" s="1"/>
  <c r="Y13" i="98"/>
  <c r="D14" i="98"/>
  <c r="E14" i="98"/>
  <c r="G14" i="98"/>
  <c r="H14" i="98"/>
  <c r="I14" i="98"/>
  <c r="J14" i="98"/>
  <c r="K14" i="98"/>
  <c r="L14" i="98"/>
  <c r="M14" i="98"/>
  <c r="N14" i="98"/>
  <c r="O14" i="98"/>
  <c r="P14" i="98"/>
  <c r="Q14" i="98"/>
  <c r="R14" i="98"/>
  <c r="S14" i="98"/>
  <c r="T14" i="98"/>
  <c r="U14" i="98"/>
  <c r="V14" i="98"/>
  <c r="Y14" i="98"/>
  <c r="D15" i="98"/>
  <c r="F15" i="98"/>
  <c r="G15" i="98"/>
  <c r="H15" i="98"/>
  <c r="I15" i="98"/>
  <c r="J15" i="98"/>
  <c r="K15" i="98"/>
  <c r="L15" i="98"/>
  <c r="M15" i="98"/>
  <c r="N15" i="98"/>
  <c r="O15" i="98"/>
  <c r="P15" i="98"/>
  <c r="Q15" i="98"/>
  <c r="R15" i="98"/>
  <c r="S15" i="98"/>
  <c r="T15" i="98"/>
  <c r="U15" i="98"/>
  <c r="V15" i="98"/>
  <c r="X15" i="98"/>
  <c r="M15" i="177" s="1"/>
  <c r="Y15" i="98"/>
  <c r="F16" i="98"/>
  <c r="H27" i="176" s="1"/>
  <c r="H120" i="176" s="1"/>
  <c r="Y32" i="132"/>
  <c r="Y48" i="132" s="1"/>
  <c r="I16" i="98"/>
  <c r="K16" i="98"/>
  <c r="M27" i="176" s="1"/>
  <c r="M120" i="176" s="1"/>
  <c r="M16" i="98"/>
  <c r="AK32" i="136"/>
  <c r="Q16" i="98"/>
  <c r="S27" i="176" s="1"/>
  <c r="S120" i="176" s="1"/>
  <c r="R16" i="98"/>
  <c r="T27" i="176" s="1"/>
  <c r="T120" i="176" s="1"/>
  <c r="S16" i="98"/>
  <c r="U16" i="98"/>
  <c r="W27" i="176" s="1"/>
  <c r="W120" i="176" s="1"/>
  <c r="Y16" i="98"/>
  <c r="F7" i="119"/>
  <c r="J7" i="119" s="1"/>
  <c r="F8" i="119"/>
  <c r="J8" i="119" s="1"/>
  <c r="K8" i="119" s="1"/>
  <c r="F9" i="119"/>
  <c r="F10" i="119"/>
  <c r="J10" i="119" s="1"/>
  <c r="K10" i="119" s="1"/>
  <c r="F11" i="119"/>
  <c r="J11" i="119" s="1"/>
  <c r="K11" i="119" s="1"/>
  <c r="F12" i="119"/>
  <c r="J12" i="119" s="1"/>
  <c r="K12" i="119" s="1"/>
  <c r="F13" i="119"/>
  <c r="F14" i="119"/>
  <c r="J14" i="119" s="1"/>
  <c r="K14" i="119" s="1"/>
  <c r="F15" i="119"/>
  <c r="C7" i="119"/>
  <c r="C8" i="119"/>
  <c r="C9" i="119"/>
  <c r="C10" i="119"/>
  <c r="C11" i="119"/>
  <c r="C12" i="119"/>
  <c r="C13" i="119"/>
  <c r="C14" i="119"/>
  <c r="C15" i="119"/>
  <c r="A56" i="112"/>
  <c r="A57" i="112" s="1"/>
  <c r="A59" i="112" s="1"/>
  <c r="C5" i="113"/>
  <c r="C7" i="113"/>
  <c r="D7" i="118"/>
  <c r="H7" i="118" s="1"/>
  <c r="D9" i="118"/>
  <c r="H9" i="118" s="1"/>
  <c r="D10" i="118"/>
  <c r="H10" i="118" s="1"/>
  <c r="D18" i="60"/>
  <c r="D18" i="116" s="1"/>
  <c r="D46" i="116" s="1"/>
  <c r="A63" i="112"/>
  <c r="C292" i="112" s="1"/>
  <c r="D292" i="112" s="1"/>
  <c r="E292" i="112" s="1"/>
  <c r="E10" i="60"/>
  <c r="E10" i="116" s="1"/>
  <c r="E38" i="116" s="1"/>
  <c r="E17" i="60"/>
  <c r="E18" i="60"/>
  <c r="A78" i="112"/>
  <c r="A79" i="112" s="1"/>
  <c r="A52" i="112" s="1"/>
  <c r="D12" i="112"/>
  <c r="D13" i="112" s="1"/>
  <c r="F15" i="60"/>
  <c r="D36" i="112"/>
  <c r="G10" i="60"/>
  <c r="G10" i="116" s="1"/>
  <c r="G38" i="116" s="1"/>
  <c r="G17" i="60"/>
  <c r="G17" i="116" s="1"/>
  <c r="G45" i="116" s="1"/>
  <c r="G18" i="60"/>
  <c r="G18" i="116" s="1"/>
  <c r="G46" i="116" s="1"/>
  <c r="C11" i="60"/>
  <c r="C11" i="116" s="1"/>
  <c r="C39" i="116" s="1"/>
  <c r="C10" i="60"/>
  <c r="C10" i="116" s="1"/>
  <c r="C38" i="116" s="1"/>
  <c r="D40" i="123"/>
  <c r="E40" i="123"/>
  <c r="G40" i="123"/>
  <c r="H40" i="123"/>
  <c r="I40" i="123"/>
  <c r="J40" i="123"/>
  <c r="K40" i="123"/>
  <c r="L40" i="123"/>
  <c r="M40" i="123"/>
  <c r="N40" i="123"/>
  <c r="O40" i="123"/>
  <c r="P40" i="123"/>
  <c r="Q40" i="123"/>
  <c r="R40" i="123"/>
  <c r="S40" i="123"/>
  <c r="T40" i="123"/>
  <c r="U40" i="123"/>
  <c r="V40" i="123"/>
  <c r="X40" i="123"/>
  <c r="P40" i="177" s="1"/>
  <c r="Y40" i="123"/>
  <c r="D42" i="123"/>
  <c r="E42" i="123"/>
  <c r="F42" i="123"/>
  <c r="G42" i="123"/>
  <c r="H42" i="123"/>
  <c r="I42" i="123"/>
  <c r="J42" i="123"/>
  <c r="K42" i="123"/>
  <c r="L42" i="123"/>
  <c r="M42" i="123"/>
  <c r="N42" i="123"/>
  <c r="O42" i="123"/>
  <c r="P42" i="123"/>
  <c r="Q42" i="123"/>
  <c r="R42" i="123"/>
  <c r="S42" i="123"/>
  <c r="T42" i="123"/>
  <c r="U42" i="123"/>
  <c r="V42" i="123"/>
  <c r="X42" i="123"/>
  <c r="P42" i="177" s="1"/>
  <c r="Y42" i="123"/>
  <c r="C41" i="123"/>
  <c r="F41" i="177" s="1"/>
  <c r="D41" i="123"/>
  <c r="E41" i="123"/>
  <c r="F41" i="123"/>
  <c r="G41" i="123"/>
  <c r="H41" i="123"/>
  <c r="I41" i="123"/>
  <c r="J41" i="123"/>
  <c r="K41" i="123"/>
  <c r="L41" i="123"/>
  <c r="M41" i="123"/>
  <c r="N41" i="123"/>
  <c r="O41" i="123"/>
  <c r="P41" i="123"/>
  <c r="Q41" i="123"/>
  <c r="R41" i="123"/>
  <c r="S41" i="123"/>
  <c r="T41" i="123"/>
  <c r="U41" i="123"/>
  <c r="V41" i="123"/>
  <c r="X41" i="123"/>
  <c r="P41" i="177" s="1"/>
  <c r="Y41" i="123"/>
  <c r="D12" i="123"/>
  <c r="E12" i="123"/>
  <c r="F12" i="123"/>
  <c r="G12" i="123"/>
  <c r="H12" i="123"/>
  <c r="I12" i="123"/>
  <c r="J12" i="123"/>
  <c r="K12" i="123"/>
  <c r="L12" i="123"/>
  <c r="M12" i="123"/>
  <c r="N12" i="123"/>
  <c r="O12" i="123"/>
  <c r="P12" i="123"/>
  <c r="Q12" i="123"/>
  <c r="R12" i="123"/>
  <c r="S12" i="123"/>
  <c r="T12" i="123"/>
  <c r="U12" i="123"/>
  <c r="V12" i="123"/>
  <c r="X12" i="123"/>
  <c r="P12" i="177" s="1"/>
  <c r="Y12" i="123"/>
  <c r="H13" i="123"/>
  <c r="I13" i="123"/>
  <c r="J13" i="123"/>
  <c r="K13" i="123"/>
  <c r="L13" i="123"/>
  <c r="M13" i="123"/>
  <c r="N13" i="123"/>
  <c r="O13" i="123"/>
  <c r="P13" i="123"/>
  <c r="Q13" i="123"/>
  <c r="R13" i="123"/>
  <c r="S13" i="123"/>
  <c r="T13" i="123"/>
  <c r="U13" i="123"/>
  <c r="V13" i="123"/>
  <c r="X13" i="123"/>
  <c r="P13" i="177" s="1"/>
  <c r="Y13" i="123"/>
  <c r="D15" i="123"/>
  <c r="F15" i="123"/>
  <c r="G15" i="123"/>
  <c r="H15" i="123"/>
  <c r="I15" i="123"/>
  <c r="J15" i="123"/>
  <c r="K15" i="123"/>
  <c r="L15" i="123"/>
  <c r="M15" i="123"/>
  <c r="N15" i="123"/>
  <c r="O15" i="123"/>
  <c r="P15" i="123"/>
  <c r="Q15" i="123"/>
  <c r="R15" i="123"/>
  <c r="S15" i="123"/>
  <c r="T15" i="123"/>
  <c r="U15" i="123"/>
  <c r="V15" i="123"/>
  <c r="X15" i="123"/>
  <c r="P15" i="177" s="1"/>
  <c r="Y15" i="123"/>
  <c r="D16" i="123"/>
  <c r="F84" i="176" s="1"/>
  <c r="F123" i="176" s="1"/>
  <c r="F16" i="123"/>
  <c r="H84" i="176" s="1"/>
  <c r="H123" i="176" s="1"/>
  <c r="L16" i="123"/>
  <c r="N84" i="176" s="1"/>
  <c r="N123" i="176" s="1"/>
  <c r="N16" i="123"/>
  <c r="P84" i="176" s="1"/>
  <c r="P123" i="176" s="1"/>
  <c r="O16" i="123"/>
  <c r="P16" i="123"/>
  <c r="R84" i="176" s="1"/>
  <c r="R123" i="176" s="1"/>
  <c r="Q16" i="123"/>
  <c r="S84" i="176" s="1"/>
  <c r="S123" i="176" s="1"/>
  <c r="R16" i="123"/>
  <c r="T84" i="176" s="1"/>
  <c r="T123" i="176" s="1"/>
  <c r="S16" i="123"/>
  <c r="U84" i="176" s="1"/>
  <c r="U123" i="176" s="1"/>
  <c r="T16" i="123"/>
  <c r="V84" i="176" s="1"/>
  <c r="V123" i="176" s="1"/>
  <c r="U16" i="123"/>
  <c r="W84" i="176" s="1"/>
  <c r="W123" i="176" s="1"/>
  <c r="V16" i="123"/>
  <c r="X84" i="176" s="1"/>
  <c r="X123" i="176" s="1"/>
  <c r="Y16" i="123"/>
  <c r="D14" i="123"/>
  <c r="E14" i="123"/>
  <c r="G14" i="123"/>
  <c r="H14" i="123"/>
  <c r="I14" i="123"/>
  <c r="J14" i="123"/>
  <c r="K14" i="123"/>
  <c r="L14" i="123"/>
  <c r="M14" i="123"/>
  <c r="N14" i="123"/>
  <c r="O14" i="123"/>
  <c r="P14" i="123"/>
  <c r="Q14" i="123"/>
  <c r="R14" i="123"/>
  <c r="S14" i="123"/>
  <c r="T14" i="123"/>
  <c r="U14" i="123"/>
  <c r="V14" i="123"/>
  <c r="Y14" i="123"/>
  <c r="H6" i="123"/>
  <c r="J80" i="176" s="1"/>
  <c r="J102" i="176" s="1"/>
  <c r="J6" i="123"/>
  <c r="L80" i="176" s="1"/>
  <c r="L102" i="176" s="1"/>
  <c r="K6" i="123"/>
  <c r="M80" i="176" s="1"/>
  <c r="M102" i="176" s="1"/>
  <c r="M6" i="123"/>
  <c r="O80" i="176" s="1"/>
  <c r="O102" i="176" s="1"/>
  <c r="R6" i="123"/>
  <c r="T80" i="176" s="1"/>
  <c r="T102" i="176" s="1"/>
  <c r="T6" i="123"/>
  <c r="U6" i="123"/>
  <c r="W80" i="176" s="1"/>
  <c r="W102" i="176" s="1"/>
  <c r="Y6" i="123"/>
  <c r="G7" i="123"/>
  <c r="H7" i="123"/>
  <c r="I7" i="123"/>
  <c r="J7" i="123"/>
  <c r="K7" i="123"/>
  <c r="L7" i="123"/>
  <c r="M7" i="123"/>
  <c r="N7" i="123"/>
  <c r="O7" i="123"/>
  <c r="P7" i="123"/>
  <c r="Q7" i="123"/>
  <c r="R7" i="123"/>
  <c r="S7" i="123"/>
  <c r="T7" i="123"/>
  <c r="U7" i="123"/>
  <c r="V7" i="123"/>
  <c r="Y7" i="123"/>
  <c r="C8" i="123"/>
  <c r="F8" i="177" s="1"/>
  <c r="D8" i="123"/>
  <c r="E8" i="123"/>
  <c r="F8" i="123"/>
  <c r="H8" i="123"/>
  <c r="I8" i="123"/>
  <c r="J8" i="123"/>
  <c r="K8" i="123"/>
  <c r="L8" i="123"/>
  <c r="M8" i="123"/>
  <c r="N8" i="123"/>
  <c r="O8" i="123"/>
  <c r="P8" i="123"/>
  <c r="Q8" i="123"/>
  <c r="R8" i="123"/>
  <c r="S8" i="123"/>
  <c r="T8" i="123"/>
  <c r="U8" i="123"/>
  <c r="V8" i="123"/>
  <c r="X8" i="123"/>
  <c r="P8" i="177" s="1"/>
  <c r="Y8" i="123"/>
  <c r="H11" i="123"/>
  <c r="I11" i="123"/>
  <c r="J11" i="123"/>
  <c r="M11" i="123"/>
  <c r="N11" i="123"/>
  <c r="O11" i="123"/>
  <c r="P11" i="123"/>
  <c r="Q11" i="123"/>
  <c r="S11" i="123"/>
  <c r="U11" i="123"/>
  <c r="V11" i="123"/>
  <c r="D17" i="123"/>
  <c r="F17" i="123"/>
  <c r="G17" i="123"/>
  <c r="H17" i="123"/>
  <c r="I17" i="123"/>
  <c r="J17" i="123"/>
  <c r="K17" i="123"/>
  <c r="L17" i="123"/>
  <c r="M17" i="123"/>
  <c r="N17" i="123"/>
  <c r="O17" i="123"/>
  <c r="P17" i="123"/>
  <c r="Q17" i="123"/>
  <c r="R17" i="123"/>
  <c r="S17" i="123"/>
  <c r="T17" i="123"/>
  <c r="U17" i="123"/>
  <c r="V17" i="123"/>
  <c r="Y17" i="123"/>
  <c r="D18" i="123"/>
  <c r="F18" i="123"/>
  <c r="H18" i="123"/>
  <c r="I18" i="123"/>
  <c r="J18" i="123"/>
  <c r="K18" i="123"/>
  <c r="L18" i="123"/>
  <c r="M18" i="123"/>
  <c r="N18" i="123"/>
  <c r="O18" i="123"/>
  <c r="P18" i="123"/>
  <c r="Q18" i="123"/>
  <c r="R18" i="123"/>
  <c r="S18" i="123"/>
  <c r="T18" i="123"/>
  <c r="U18" i="123"/>
  <c r="V18" i="123"/>
  <c r="Y18" i="123"/>
  <c r="C19" i="123"/>
  <c r="F19" i="177" s="1"/>
  <c r="D19" i="123"/>
  <c r="F85" i="176" s="1"/>
  <c r="E19" i="123"/>
  <c r="G85" i="176" s="1"/>
  <c r="F19" i="123"/>
  <c r="H85" i="176" s="1"/>
  <c r="G19" i="123"/>
  <c r="I85" i="176" s="1"/>
  <c r="H19" i="123"/>
  <c r="J85" i="176" s="1"/>
  <c r="I19" i="123"/>
  <c r="K85" i="176" s="1"/>
  <c r="J19" i="123"/>
  <c r="L85" i="176" s="1"/>
  <c r="K19" i="123"/>
  <c r="M85" i="176" s="1"/>
  <c r="L19" i="123"/>
  <c r="N85" i="176" s="1"/>
  <c r="M19" i="123"/>
  <c r="O85" i="176" s="1"/>
  <c r="N19" i="123"/>
  <c r="P85" i="176" s="1"/>
  <c r="O19" i="123"/>
  <c r="Q85" i="176" s="1"/>
  <c r="P19" i="123"/>
  <c r="R85" i="176" s="1"/>
  <c r="Q19" i="123"/>
  <c r="S85" i="176" s="1"/>
  <c r="R19" i="123"/>
  <c r="T85" i="176" s="1"/>
  <c r="S19" i="123"/>
  <c r="U85" i="176" s="1"/>
  <c r="T19" i="123"/>
  <c r="U19" i="123"/>
  <c r="W85" i="176" s="1"/>
  <c r="V19" i="123"/>
  <c r="X85" i="176" s="1"/>
  <c r="X19" i="123"/>
  <c r="Y19" i="123"/>
  <c r="C20" i="123"/>
  <c r="E20" i="123"/>
  <c r="G86" i="176" s="1"/>
  <c r="F20" i="123"/>
  <c r="H86" i="176" s="1"/>
  <c r="H20" i="123"/>
  <c r="J86" i="176" s="1"/>
  <c r="I20" i="123"/>
  <c r="K86" i="176" s="1"/>
  <c r="J20" i="123"/>
  <c r="L86" i="176" s="1"/>
  <c r="K20" i="123"/>
  <c r="M86" i="176" s="1"/>
  <c r="L20" i="123"/>
  <c r="N86" i="176" s="1"/>
  <c r="M20" i="123"/>
  <c r="O86" i="176" s="1"/>
  <c r="N20" i="123"/>
  <c r="P86" i="176" s="1"/>
  <c r="O20" i="123"/>
  <c r="Q86" i="176" s="1"/>
  <c r="Q20" i="123"/>
  <c r="S86" i="176" s="1"/>
  <c r="R20" i="123"/>
  <c r="T86" i="176" s="1"/>
  <c r="S20" i="123"/>
  <c r="U86" i="176" s="1"/>
  <c r="T20" i="123"/>
  <c r="U20" i="123"/>
  <c r="W86" i="176" s="1"/>
  <c r="V20" i="123"/>
  <c r="X86" i="176" s="1"/>
  <c r="X20" i="123"/>
  <c r="Y20" i="123"/>
  <c r="C21" i="123"/>
  <c r="D21" i="123"/>
  <c r="F87" i="176" s="1"/>
  <c r="F130" i="176" s="1"/>
  <c r="E21" i="123"/>
  <c r="G87" i="176" s="1"/>
  <c r="G130" i="176" s="1"/>
  <c r="F21" i="123"/>
  <c r="H87" i="176" s="1"/>
  <c r="H130" i="176" s="1"/>
  <c r="G21" i="123"/>
  <c r="I87" i="176" s="1"/>
  <c r="I130" i="176" s="1"/>
  <c r="H21" i="123"/>
  <c r="J87" i="176" s="1"/>
  <c r="J130" i="176" s="1"/>
  <c r="I21" i="123"/>
  <c r="K87" i="176" s="1"/>
  <c r="K130" i="176" s="1"/>
  <c r="J21" i="123"/>
  <c r="L87" i="176" s="1"/>
  <c r="L130" i="176" s="1"/>
  <c r="K21" i="123"/>
  <c r="M87" i="176" s="1"/>
  <c r="M130" i="176" s="1"/>
  <c r="L21" i="123"/>
  <c r="N87" i="176" s="1"/>
  <c r="N130" i="176" s="1"/>
  <c r="M21" i="123"/>
  <c r="O87" i="176" s="1"/>
  <c r="O130" i="176" s="1"/>
  <c r="N21" i="123"/>
  <c r="P87" i="176" s="1"/>
  <c r="P130" i="176" s="1"/>
  <c r="O21" i="123"/>
  <c r="Q87" i="176" s="1"/>
  <c r="Q130" i="176" s="1"/>
  <c r="P21" i="123"/>
  <c r="R87" i="176" s="1"/>
  <c r="R130" i="176" s="1"/>
  <c r="Q21" i="123"/>
  <c r="S87" i="176" s="1"/>
  <c r="S130" i="176" s="1"/>
  <c r="R21" i="123"/>
  <c r="T87" i="176" s="1"/>
  <c r="T130" i="176" s="1"/>
  <c r="S21" i="123"/>
  <c r="U87" i="176" s="1"/>
  <c r="U130" i="176" s="1"/>
  <c r="T21" i="123"/>
  <c r="U21" i="123"/>
  <c r="W87" i="176" s="1"/>
  <c r="W130" i="176" s="1"/>
  <c r="V21" i="123"/>
  <c r="X87" i="176" s="1"/>
  <c r="X130" i="176" s="1"/>
  <c r="X21" i="123"/>
  <c r="Y21" i="123"/>
  <c r="C22" i="123"/>
  <c r="D22" i="123"/>
  <c r="F88" i="176" s="1"/>
  <c r="E22" i="123"/>
  <c r="G88" i="176" s="1"/>
  <c r="F22" i="123"/>
  <c r="H88" i="176" s="1"/>
  <c r="G22" i="123"/>
  <c r="I88" i="176" s="1"/>
  <c r="H22" i="123"/>
  <c r="J88" i="176" s="1"/>
  <c r="I22" i="123"/>
  <c r="K88" i="176" s="1"/>
  <c r="J22" i="123"/>
  <c r="L88" i="176" s="1"/>
  <c r="K22" i="123"/>
  <c r="M88" i="176" s="1"/>
  <c r="L22" i="123"/>
  <c r="N88" i="176" s="1"/>
  <c r="M22" i="123"/>
  <c r="O88" i="176" s="1"/>
  <c r="N22" i="123"/>
  <c r="P88" i="176" s="1"/>
  <c r="O22" i="123"/>
  <c r="Q88" i="176" s="1"/>
  <c r="P22" i="123"/>
  <c r="R88" i="176" s="1"/>
  <c r="Q22" i="123"/>
  <c r="S88" i="176" s="1"/>
  <c r="R22" i="123"/>
  <c r="T88" i="176" s="1"/>
  <c r="S22" i="123"/>
  <c r="U88" i="176" s="1"/>
  <c r="T22" i="123"/>
  <c r="U22" i="123"/>
  <c r="W88" i="176" s="1"/>
  <c r="V22" i="123"/>
  <c r="X88" i="176" s="1"/>
  <c r="X22" i="123"/>
  <c r="Y22" i="123"/>
  <c r="C23" i="123"/>
  <c r="D23" i="123"/>
  <c r="F89" i="176" s="1"/>
  <c r="E23" i="123"/>
  <c r="G89" i="176" s="1"/>
  <c r="F23" i="123"/>
  <c r="H89" i="176" s="1"/>
  <c r="G23" i="123"/>
  <c r="I89" i="176" s="1"/>
  <c r="H23" i="123"/>
  <c r="J89" i="176" s="1"/>
  <c r="I23" i="123"/>
  <c r="K89" i="176" s="1"/>
  <c r="J23" i="123"/>
  <c r="L89" i="176" s="1"/>
  <c r="K23" i="123"/>
  <c r="M89" i="176" s="1"/>
  <c r="L23" i="123"/>
  <c r="N89" i="176" s="1"/>
  <c r="M23" i="123"/>
  <c r="O89" i="176" s="1"/>
  <c r="N23" i="123"/>
  <c r="P89" i="176" s="1"/>
  <c r="O23" i="123"/>
  <c r="Q89" i="176" s="1"/>
  <c r="P23" i="123"/>
  <c r="R89" i="176" s="1"/>
  <c r="Q23" i="123"/>
  <c r="S89" i="176" s="1"/>
  <c r="R23" i="123"/>
  <c r="T89" i="176" s="1"/>
  <c r="S23" i="123"/>
  <c r="U89" i="176" s="1"/>
  <c r="T23" i="123"/>
  <c r="U23" i="123"/>
  <c r="W89" i="176" s="1"/>
  <c r="V23" i="123"/>
  <c r="X89" i="176" s="1"/>
  <c r="X23" i="123"/>
  <c r="Y23" i="123"/>
  <c r="C35" i="123"/>
  <c r="E35" i="123"/>
  <c r="G91" i="176" s="1"/>
  <c r="F35" i="123"/>
  <c r="H91" i="176" s="1"/>
  <c r="G35" i="123"/>
  <c r="I91" i="176" s="1"/>
  <c r="J35" i="123"/>
  <c r="L91" i="176" s="1"/>
  <c r="L35" i="123"/>
  <c r="N91" i="176" s="1"/>
  <c r="M35" i="123"/>
  <c r="O91" i="176" s="1"/>
  <c r="N35" i="123"/>
  <c r="P91" i="176" s="1"/>
  <c r="O35" i="123"/>
  <c r="Q91" i="176" s="1"/>
  <c r="Q35" i="123"/>
  <c r="S91" i="176" s="1"/>
  <c r="S35" i="123"/>
  <c r="U91" i="176" s="1"/>
  <c r="U35" i="123"/>
  <c r="W91" i="176" s="1"/>
  <c r="V35" i="123"/>
  <c r="X91" i="176" s="1"/>
  <c r="X35" i="123"/>
  <c r="C36" i="123"/>
  <c r="F36" i="177" s="1"/>
  <c r="E36" i="123"/>
  <c r="F36" i="123"/>
  <c r="G36" i="123"/>
  <c r="H36" i="123"/>
  <c r="I36" i="123"/>
  <c r="J36" i="123"/>
  <c r="K36" i="123"/>
  <c r="L36" i="123"/>
  <c r="M36" i="123"/>
  <c r="N36" i="123"/>
  <c r="O36" i="123"/>
  <c r="P36" i="123"/>
  <c r="Q36" i="123"/>
  <c r="R36" i="123"/>
  <c r="S36" i="123"/>
  <c r="T36" i="123"/>
  <c r="U36" i="123"/>
  <c r="V36" i="123"/>
  <c r="X36" i="123"/>
  <c r="P36" i="177" s="1"/>
  <c r="Y36" i="123"/>
  <c r="C37" i="123"/>
  <c r="F37" i="177" s="1"/>
  <c r="D37" i="123"/>
  <c r="E37" i="123"/>
  <c r="F37" i="123"/>
  <c r="G37" i="123"/>
  <c r="H37" i="123"/>
  <c r="I37" i="123"/>
  <c r="J37" i="123"/>
  <c r="K37" i="123"/>
  <c r="L37" i="123"/>
  <c r="M37" i="123"/>
  <c r="N37" i="123"/>
  <c r="O37" i="123"/>
  <c r="P37" i="123"/>
  <c r="Q37" i="123"/>
  <c r="R37" i="123"/>
  <c r="S37" i="123"/>
  <c r="T37" i="123"/>
  <c r="U37" i="123"/>
  <c r="V37" i="123"/>
  <c r="X37" i="123"/>
  <c r="P37" i="177" s="1"/>
  <c r="Y37" i="123"/>
  <c r="D39" i="123"/>
  <c r="H39" i="123"/>
  <c r="P39" i="123"/>
  <c r="T39" i="123"/>
  <c r="Y38" i="123"/>
  <c r="E39" i="123"/>
  <c r="G39" i="123"/>
  <c r="I39" i="123"/>
  <c r="K39" i="123"/>
  <c r="M39" i="123"/>
  <c r="O39" i="123"/>
  <c r="Q39" i="123"/>
  <c r="R39" i="123"/>
  <c r="X39" i="123"/>
  <c r="P39" i="177" s="1"/>
  <c r="Y39" i="123"/>
  <c r="C43" i="123"/>
  <c r="F43" i="177" s="1"/>
  <c r="D43" i="123"/>
  <c r="E43" i="123"/>
  <c r="F43" i="123"/>
  <c r="G43" i="123"/>
  <c r="H43" i="123"/>
  <c r="I43" i="123"/>
  <c r="J43" i="123"/>
  <c r="K43" i="123"/>
  <c r="L43" i="123"/>
  <c r="M43" i="123"/>
  <c r="N43" i="123"/>
  <c r="O43" i="123"/>
  <c r="P43" i="123"/>
  <c r="Q43" i="123"/>
  <c r="R43" i="123"/>
  <c r="S43" i="123"/>
  <c r="T43" i="123"/>
  <c r="U43" i="123"/>
  <c r="V43" i="123"/>
  <c r="X43" i="123"/>
  <c r="P43" i="177" s="1"/>
  <c r="Y43" i="123"/>
  <c r="H6" i="122"/>
  <c r="I6" i="122"/>
  <c r="K61" i="176" s="1"/>
  <c r="K101" i="176" s="1"/>
  <c r="J6" i="122"/>
  <c r="L61" i="176" s="1"/>
  <c r="L101" i="176" s="1"/>
  <c r="L6" i="122"/>
  <c r="N61" i="176" s="1"/>
  <c r="N101" i="176" s="1"/>
  <c r="N6" i="122"/>
  <c r="P61" i="176" s="1"/>
  <c r="P101" i="176" s="1"/>
  <c r="O6" i="122"/>
  <c r="Q61" i="176" s="1"/>
  <c r="Q101" i="176" s="1"/>
  <c r="Q6" i="122"/>
  <c r="S61" i="176" s="1"/>
  <c r="S101" i="176" s="1"/>
  <c r="V6" i="122"/>
  <c r="X61" i="176" s="1"/>
  <c r="X101" i="176" s="1"/>
  <c r="Y6" i="122"/>
  <c r="G7" i="122"/>
  <c r="H7" i="122"/>
  <c r="I7" i="122"/>
  <c r="J7" i="122"/>
  <c r="K7" i="122"/>
  <c r="L7" i="122"/>
  <c r="M7" i="122"/>
  <c r="N7" i="122"/>
  <c r="O7" i="122"/>
  <c r="P7" i="122"/>
  <c r="Q7" i="122"/>
  <c r="R7" i="122"/>
  <c r="S7" i="122"/>
  <c r="T7" i="122"/>
  <c r="U7" i="122"/>
  <c r="V7" i="122"/>
  <c r="Y7" i="122"/>
  <c r="C8" i="122"/>
  <c r="E8" i="177" s="1"/>
  <c r="D8" i="122"/>
  <c r="E8" i="122"/>
  <c r="F8" i="122"/>
  <c r="H8" i="122"/>
  <c r="I8" i="122"/>
  <c r="J8" i="122"/>
  <c r="K8" i="122"/>
  <c r="L8" i="122"/>
  <c r="M8" i="122"/>
  <c r="N8" i="122"/>
  <c r="O8" i="122"/>
  <c r="P8" i="122"/>
  <c r="Q8" i="122"/>
  <c r="R8" i="122"/>
  <c r="S8" i="122"/>
  <c r="T8" i="122"/>
  <c r="U8" i="122"/>
  <c r="V8" i="122"/>
  <c r="X8" i="122"/>
  <c r="O8" i="177" s="1"/>
  <c r="Y8" i="122"/>
  <c r="R9" i="122"/>
  <c r="T62" i="176" s="1"/>
  <c r="T108" i="176" s="1"/>
  <c r="R10" i="122"/>
  <c r="H11" i="122"/>
  <c r="I11" i="122"/>
  <c r="J11" i="122"/>
  <c r="K11" i="122"/>
  <c r="O11" i="122"/>
  <c r="P11" i="122"/>
  <c r="Q11" i="122"/>
  <c r="R11" i="122"/>
  <c r="S11" i="122"/>
  <c r="T11" i="122"/>
  <c r="U11" i="122"/>
  <c r="V11" i="122"/>
  <c r="Y11" i="122"/>
  <c r="D12" i="122"/>
  <c r="E12" i="122"/>
  <c r="F12" i="122"/>
  <c r="G12" i="122"/>
  <c r="H12" i="122"/>
  <c r="I12" i="122"/>
  <c r="J12" i="122"/>
  <c r="K12" i="122"/>
  <c r="L12" i="122"/>
  <c r="M12" i="122"/>
  <c r="N12" i="122"/>
  <c r="O12" i="122"/>
  <c r="P12" i="122"/>
  <c r="Q12" i="122"/>
  <c r="R12" i="122"/>
  <c r="S12" i="122"/>
  <c r="T12" i="122"/>
  <c r="U12" i="122"/>
  <c r="V12" i="122"/>
  <c r="X12" i="122"/>
  <c r="O12" i="177" s="1"/>
  <c r="Y12" i="122"/>
  <c r="H13" i="122"/>
  <c r="I13" i="122"/>
  <c r="J13" i="122"/>
  <c r="K13" i="122"/>
  <c r="L13" i="122"/>
  <c r="M13" i="122"/>
  <c r="N13" i="122"/>
  <c r="O13" i="122"/>
  <c r="P13" i="122"/>
  <c r="Q13" i="122"/>
  <c r="R13" i="122"/>
  <c r="S13" i="122"/>
  <c r="T13" i="122"/>
  <c r="U13" i="122"/>
  <c r="V13" i="122"/>
  <c r="X13" i="122"/>
  <c r="O13" i="177" s="1"/>
  <c r="Y13" i="122"/>
  <c r="D14" i="122"/>
  <c r="E14" i="122"/>
  <c r="G14" i="122"/>
  <c r="H14" i="122"/>
  <c r="I14" i="122"/>
  <c r="J14" i="122"/>
  <c r="K14" i="122"/>
  <c r="L14" i="122"/>
  <c r="M14" i="122"/>
  <c r="N14" i="122"/>
  <c r="O14" i="122"/>
  <c r="P14" i="122"/>
  <c r="Q14" i="122"/>
  <c r="R14" i="122"/>
  <c r="S14" i="122"/>
  <c r="T14" i="122"/>
  <c r="U14" i="122"/>
  <c r="V14" i="122"/>
  <c r="Y14" i="122"/>
  <c r="D15" i="122"/>
  <c r="F15" i="122"/>
  <c r="G15" i="122"/>
  <c r="H15" i="122"/>
  <c r="I15" i="122"/>
  <c r="J15" i="122"/>
  <c r="K15" i="122"/>
  <c r="L15" i="122"/>
  <c r="M15" i="122"/>
  <c r="N15" i="122"/>
  <c r="O15" i="122"/>
  <c r="P15" i="122"/>
  <c r="Q15" i="122"/>
  <c r="R15" i="122"/>
  <c r="S15" i="122"/>
  <c r="T15" i="122"/>
  <c r="U15" i="122"/>
  <c r="V15" i="122"/>
  <c r="X15" i="122"/>
  <c r="O15" i="177" s="1"/>
  <c r="Y15" i="122"/>
  <c r="D16" i="122"/>
  <c r="F16" i="122"/>
  <c r="H16" i="122"/>
  <c r="L16" i="122"/>
  <c r="M16" i="122"/>
  <c r="O65" i="176" s="1"/>
  <c r="O122" i="176" s="1"/>
  <c r="N16" i="122"/>
  <c r="P16" i="122"/>
  <c r="R16" i="122"/>
  <c r="S16" i="122"/>
  <c r="U65" i="176" s="1"/>
  <c r="U122" i="176" s="1"/>
  <c r="T16" i="122"/>
  <c r="U16" i="122"/>
  <c r="W65" i="176" s="1"/>
  <c r="W122" i="176" s="1"/>
  <c r="V16" i="122"/>
  <c r="Y16" i="122"/>
  <c r="D17" i="122"/>
  <c r="F17" i="122"/>
  <c r="G17" i="122"/>
  <c r="H17" i="122"/>
  <c r="I17" i="122"/>
  <c r="J17" i="122"/>
  <c r="K17" i="122"/>
  <c r="L17" i="122"/>
  <c r="M17" i="122"/>
  <c r="N17" i="122"/>
  <c r="O17" i="122"/>
  <c r="P17" i="122"/>
  <c r="Q17" i="122"/>
  <c r="R17" i="122"/>
  <c r="S17" i="122"/>
  <c r="T17" i="122"/>
  <c r="U17" i="122"/>
  <c r="V17" i="122"/>
  <c r="Y17" i="122"/>
  <c r="D18" i="122"/>
  <c r="F18" i="122"/>
  <c r="H18" i="122"/>
  <c r="I18" i="122"/>
  <c r="J18" i="122"/>
  <c r="K18" i="122"/>
  <c r="L18" i="122"/>
  <c r="M18" i="122"/>
  <c r="N18" i="122"/>
  <c r="O18" i="122"/>
  <c r="P18" i="122"/>
  <c r="Q18" i="122"/>
  <c r="R18" i="122"/>
  <c r="S18" i="122"/>
  <c r="T18" i="122"/>
  <c r="U18" i="122"/>
  <c r="V18" i="122"/>
  <c r="Y18" i="122"/>
  <c r="C19" i="122"/>
  <c r="E19" i="177" s="1"/>
  <c r="D19" i="122"/>
  <c r="F66" i="176" s="1"/>
  <c r="E19" i="122"/>
  <c r="F19" i="122"/>
  <c r="H66" i="176" s="1"/>
  <c r="G19" i="122"/>
  <c r="H19" i="122"/>
  <c r="J66" i="176" s="1"/>
  <c r="I19" i="122"/>
  <c r="J19" i="122"/>
  <c r="L66" i="176" s="1"/>
  <c r="K19" i="122"/>
  <c r="L19" i="122"/>
  <c r="N66" i="176" s="1"/>
  <c r="M19" i="122"/>
  <c r="N19" i="122"/>
  <c r="P66" i="176" s="1"/>
  <c r="O19" i="122"/>
  <c r="P19" i="122"/>
  <c r="R66" i="176" s="1"/>
  <c r="Q19" i="122"/>
  <c r="R19" i="122"/>
  <c r="S19" i="122"/>
  <c r="T19" i="122"/>
  <c r="U19" i="122"/>
  <c r="V19" i="122"/>
  <c r="X19" i="122"/>
  <c r="Y19" i="122"/>
  <c r="H20" i="122"/>
  <c r="I20" i="122"/>
  <c r="J20" i="122"/>
  <c r="K20" i="122"/>
  <c r="L20" i="122"/>
  <c r="M20" i="122"/>
  <c r="N20" i="122"/>
  <c r="O20" i="122"/>
  <c r="P20" i="122"/>
  <c r="R20" i="122"/>
  <c r="T20" i="122"/>
  <c r="V67" i="176" s="1"/>
  <c r="V20" i="122"/>
  <c r="X20" i="122"/>
  <c r="C21" i="122"/>
  <c r="D21" i="122"/>
  <c r="E21" i="122"/>
  <c r="F21" i="122"/>
  <c r="G21" i="122"/>
  <c r="H21" i="122"/>
  <c r="I21" i="122"/>
  <c r="J21" i="122"/>
  <c r="K21" i="122"/>
  <c r="L21" i="122"/>
  <c r="M21" i="122"/>
  <c r="N21" i="122"/>
  <c r="O21" i="122"/>
  <c r="P21" i="122"/>
  <c r="Q21" i="122"/>
  <c r="R21" i="122"/>
  <c r="S21" i="122"/>
  <c r="T21" i="122"/>
  <c r="V68" i="176" s="1"/>
  <c r="V129" i="176" s="1"/>
  <c r="U21" i="122"/>
  <c r="V21" i="122"/>
  <c r="X21" i="122"/>
  <c r="Y21" i="122"/>
  <c r="C22" i="122"/>
  <c r="D22" i="122"/>
  <c r="E22" i="122"/>
  <c r="F22" i="122"/>
  <c r="G22" i="122"/>
  <c r="H22" i="122"/>
  <c r="I22" i="122"/>
  <c r="J22" i="122"/>
  <c r="K22" i="122"/>
  <c r="L22" i="122"/>
  <c r="M22" i="122"/>
  <c r="N22" i="122"/>
  <c r="O22" i="122"/>
  <c r="P22" i="122"/>
  <c r="Q22" i="122"/>
  <c r="R22" i="122"/>
  <c r="S22" i="122"/>
  <c r="T22" i="122"/>
  <c r="U22" i="122"/>
  <c r="V22" i="122"/>
  <c r="X22" i="122"/>
  <c r="Y22" i="122"/>
  <c r="C23" i="122"/>
  <c r="D23" i="122"/>
  <c r="E23" i="122"/>
  <c r="F23" i="122"/>
  <c r="G23" i="122"/>
  <c r="H23" i="122"/>
  <c r="I23" i="122"/>
  <c r="J23" i="122"/>
  <c r="K23" i="122"/>
  <c r="L23" i="122"/>
  <c r="M23" i="122"/>
  <c r="N23" i="122"/>
  <c r="O23" i="122"/>
  <c r="P23" i="122"/>
  <c r="Q23" i="122"/>
  <c r="R23" i="122"/>
  <c r="S23" i="122"/>
  <c r="T23" i="122"/>
  <c r="V70" i="176" s="1"/>
  <c r="U23" i="122"/>
  <c r="V23" i="122"/>
  <c r="X23" i="122"/>
  <c r="Y23" i="122"/>
  <c r="E35" i="122"/>
  <c r="F35" i="122"/>
  <c r="G35" i="122"/>
  <c r="H35" i="122"/>
  <c r="J35" i="122"/>
  <c r="L35" i="122"/>
  <c r="M35" i="122"/>
  <c r="N35" i="122"/>
  <c r="O35" i="122"/>
  <c r="P35" i="122"/>
  <c r="Q35" i="122"/>
  <c r="T35" i="122"/>
  <c r="V72" i="176" s="1"/>
  <c r="U35" i="122"/>
  <c r="W72" i="176" s="1"/>
  <c r="V35" i="122"/>
  <c r="Y35" i="122"/>
  <c r="C36" i="122"/>
  <c r="E36" i="177" s="1"/>
  <c r="E36" i="122"/>
  <c r="F36" i="122"/>
  <c r="G36" i="122"/>
  <c r="H36" i="122"/>
  <c r="I36" i="122"/>
  <c r="J36" i="122"/>
  <c r="K36" i="122"/>
  <c r="L36" i="122"/>
  <c r="M36" i="122"/>
  <c r="N36" i="122"/>
  <c r="O36" i="122"/>
  <c r="P36" i="122"/>
  <c r="Q36" i="122"/>
  <c r="R36" i="122"/>
  <c r="S36" i="122"/>
  <c r="T36" i="122"/>
  <c r="U36" i="122"/>
  <c r="V36" i="122"/>
  <c r="X36" i="122"/>
  <c r="O36" i="177" s="1"/>
  <c r="Y36" i="122"/>
  <c r="C37" i="122"/>
  <c r="E37" i="177" s="1"/>
  <c r="D37" i="122"/>
  <c r="E37" i="122"/>
  <c r="F37" i="122"/>
  <c r="G37" i="122"/>
  <c r="H37" i="122"/>
  <c r="I37" i="122"/>
  <c r="J37" i="122"/>
  <c r="K37" i="122"/>
  <c r="L37" i="122"/>
  <c r="M37" i="122"/>
  <c r="N37" i="122"/>
  <c r="O37" i="122"/>
  <c r="P37" i="122"/>
  <c r="Q37" i="122"/>
  <c r="R37" i="122"/>
  <c r="S37" i="122"/>
  <c r="T37" i="122"/>
  <c r="U37" i="122"/>
  <c r="V37" i="122"/>
  <c r="X37" i="122"/>
  <c r="O37" i="177" s="1"/>
  <c r="Y37" i="122"/>
  <c r="G38" i="122"/>
  <c r="K38" i="122"/>
  <c r="N39" i="122"/>
  <c r="O38" i="122"/>
  <c r="R39" i="122"/>
  <c r="V39" i="122"/>
  <c r="X38" i="122"/>
  <c r="E39" i="122"/>
  <c r="G39" i="122"/>
  <c r="H39" i="122"/>
  <c r="K39" i="122"/>
  <c r="O39" i="122"/>
  <c r="P39" i="122"/>
  <c r="T39" i="122"/>
  <c r="X39" i="122"/>
  <c r="O39" i="177" s="1"/>
  <c r="D40" i="122"/>
  <c r="E40" i="122"/>
  <c r="G40" i="122"/>
  <c r="H40" i="122"/>
  <c r="I40" i="122"/>
  <c r="J40" i="122"/>
  <c r="K40" i="122"/>
  <c r="L40" i="122"/>
  <c r="M40" i="122"/>
  <c r="N40" i="122"/>
  <c r="O40" i="122"/>
  <c r="P40" i="122"/>
  <c r="Q40" i="122"/>
  <c r="R40" i="122"/>
  <c r="S40" i="122"/>
  <c r="T40" i="122"/>
  <c r="U40" i="122"/>
  <c r="V40" i="122"/>
  <c r="X40" i="122"/>
  <c r="O40" i="177" s="1"/>
  <c r="Y40" i="122"/>
  <c r="C41" i="122"/>
  <c r="E41" i="177" s="1"/>
  <c r="D41" i="122"/>
  <c r="E41" i="122"/>
  <c r="F41" i="122"/>
  <c r="G41" i="122"/>
  <c r="H41" i="122"/>
  <c r="I41" i="122"/>
  <c r="J41" i="122"/>
  <c r="K41" i="122"/>
  <c r="L41" i="122"/>
  <c r="M41" i="122"/>
  <c r="N41" i="122"/>
  <c r="O41" i="122"/>
  <c r="P41" i="122"/>
  <c r="Q41" i="122"/>
  <c r="R41" i="122"/>
  <c r="S41" i="122"/>
  <c r="T41" i="122"/>
  <c r="U41" i="122"/>
  <c r="V41" i="122"/>
  <c r="X41" i="122"/>
  <c r="O41" i="177" s="1"/>
  <c r="Y41" i="122"/>
  <c r="D42" i="122"/>
  <c r="E42" i="122"/>
  <c r="F42" i="122"/>
  <c r="G42" i="122"/>
  <c r="H42" i="122"/>
  <c r="I42" i="122"/>
  <c r="J42" i="122"/>
  <c r="K42" i="122"/>
  <c r="L42" i="122"/>
  <c r="M42" i="122"/>
  <c r="N42" i="122"/>
  <c r="O42" i="122"/>
  <c r="P42" i="122"/>
  <c r="Q42" i="122"/>
  <c r="R42" i="122"/>
  <c r="S42" i="122"/>
  <c r="T42" i="122"/>
  <c r="U42" i="122"/>
  <c r="V42" i="122"/>
  <c r="X42" i="122"/>
  <c r="O42" i="177" s="1"/>
  <c r="Y42" i="122"/>
  <c r="C43" i="122"/>
  <c r="E43" i="177" s="1"/>
  <c r="D43" i="122"/>
  <c r="E43" i="122"/>
  <c r="F43" i="122"/>
  <c r="G43" i="122"/>
  <c r="H43" i="122"/>
  <c r="I43" i="122"/>
  <c r="J43" i="122"/>
  <c r="K43" i="122"/>
  <c r="L43" i="122"/>
  <c r="M43" i="122"/>
  <c r="N43" i="122"/>
  <c r="O43" i="122"/>
  <c r="P43" i="122"/>
  <c r="Q43" i="122"/>
  <c r="R43" i="122"/>
  <c r="S43" i="122"/>
  <c r="T43" i="122"/>
  <c r="U43" i="122"/>
  <c r="V43" i="122"/>
  <c r="X43" i="122"/>
  <c r="O43" i="177" s="1"/>
  <c r="Y43" i="122"/>
  <c r="X44" i="122"/>
  <c r="H6" i="121"/>
  <c r="J42" i="176" s="1"/>
  <c r="J100" i="176" s="1"/>
  <c r="I6" i="121"/>
  <c r="K42" i="176" s="1"/>
  <c r="K100" i="176" s="1"/>
  <c r="J6" i="121"/>
  <c r="L42" i="176" s="1"/>
  <c r="L100" i="176" s="1"/>
  <c r="K6" i="121"/>
  <c r="M42" i="176" s="1"/>
  <c r="M100" i="176" s="1"/>
  <c r="L6" i="121"/>
  <c r="N42" i="176" s="1"/>
  <c r="N100" i="176" s="1"/>
  <c r="M6" i="121"/>
  <c r="O42" i="176" s="1"/>
  <c r="O100" i="176" s="1"/>
  <c r="N6" i="121"/>
  <c r="P42" i="176" s="1"/>
  <c r="P100" i="176" s="1"/>
  <c r="O6" i="121"/>
  <c r="Q42" i="176" s="1"/>
  <c r="Q100" i="176" s="1"/>
  <c r="P6" i="121"/>
  <c r="R42" i="176" s="1"/>
  <c r="R100" i="176" s="1"/>
  <c r="Q6" i="121"/>
  <c r="S42" i="176" s="1"/>
  <c r="S100" i="176" s="1"/>
  <c r="R6" i="121"/>
  <c r="T42" i="176" s="1"/>
  <c r="T100" i="176" s="1"/>
  <c r="S6" i="121"/>
  <c r="U42" i="176" s="1"/>
  <c r="U100" i="176" s="1"/>
  <c r="T6" i="121"/>
  <c r="U6" i="121"/>
  <c r="W42" i="176" s="1"/>
  <c r="W100" i="176" s="1"/>
  <c r="V6" i="121"/>
  <c r="X42" i="176" s="1"/>
  <c r="X100" i="176" s="1"/>
  <c r="G7" i="121"/>
  <c r="H7" i="121"/>
  <c r="I7" i="121"/>
  <c r="J7" i="121"/>
  <c r="K7" i="121"/>
  <c r="L7" i="121"/>
  <c r="M7" i="121"/>
  <c r="N7" i="121"/>
  <c r="O7" i="121"/>
  <c r="P7" i="121"/>
  <c r="Q7" i="121"/>
  <c r="R7" i="121"/>
  <c r="S7" i="121"/>
  <c r="T7" i="121"/>
  <c r="U7" i="121"/>
  <c r="V7" i="121"/>
  <c r="Y7" i="121"/>
  <c r="C8" i="121"/>
  <c r="D8" i="177" s="1"/>
  <c r="D8" i="121"/>
  <c r="E8" i="121"/>
  <c r="F8" i="121"/>
  <c r="H8" i="121"/>
  <c r="I8" i="121"/>
  <c r="J8" i="121"/>
  <c r="K8" i="121"/>
  <c r="L8" i="121"/>
  <c r="M8" i="121"/>
  <c r="N8" i="121"/>
  <c r="O8" i="121"/>
  <c r="P8" i="121"/>
  <c r="Q8" i="121"/>
  <c r="R8" i="121"/>
  <c r="S8" i="121"/>
  <c r="T8" i="121"/>
  <c r="U8" i="121"/>
  <c r="V8" i="121"/>
  <c r="X8" i="121"/>
  <c r="N8" i="177" s="1"/>
  <c r="Y8" i="121"/>
  <c r="K10" i="121"/>
  <c r="Y10" i="121"/>
  <c r="K11" i="121"/>
  <c r="P11" i="121"/>
  <c r="S11" i="121"/>
  <c r="T11" i="121"/>
  <c r="U11" i="121"/>
  <c r="V11" i="121"/>
  <c r="Y11" i="121"/>
  <c r="D12" i="121"/>
  <c r="E12" i="121"/>
  <c r="F12" i="121"/>
  <c r="G12" i="121"/>
  <c r="H12" i="121"/>
  <c r="I12" i="121"/>
  <c r="J12" i="121"/>
  <c r="K12" i="121"/>
  <c r="L12" i="121"/>
  <c r="M12" i="121"/>
  <c r="N12" i="121"/>
  <c r="O12" i="121"/>
  <c r="P12" i="121"/>
  <c r="Q12" i="121"/>
  <c r="R12" i="121"/>
  <c r="S12" i="121"/>
  <c r="T12" i="121"/>
  <c r="U12" i="121"/>
  <c r="V12" i="121"/>
  <c r="X12" i="121"/>
  <c r="N12" i="177" s="1"/>
  <c r="Y12" i="121"/>
  <c r="H13" i="121"/>
  <c r="I13" i="121"/>
  <c r="J13" i="121"/>
  <c r="K13" i="121"/>
  <c r="L13" i="121"/>
  <c r="M13" i="121"/>
  <c r="N13" i="121"/>
  <c r="O13" i="121"/>
  <c r="P13" i="121"/>
  <c r="Q13" i="121"/>
  <c r="R13" i="121"/>
  <c r="S13" i="121"/>
  <c r="T13" i="121"/>
  <c r="U13" i="121"/>
  <c r="V13" i="121"/>
  <c r="X13" i="121"/>
  <c r="N13" i="177" s="1"/>
  <c r="Y13" i="121"/>
  <c r="D14" i="121"/>
  <c r="E14" i="121"/>
  <c r="G14" i="121"/>
  <c r="H14" i="121"/>
  <c r="I14" i="121"/>
  <c r="J14" i="121"/>
  <c r="K14" i="121"/>
  <c r="L14" i="121"/>
  <c r="M14" i="121"/>
  <c r="N14" i="121"/>
  <c r="O14" i="121"/>
  <c r="P14" i="121"/>
  <c r="Q14" i="121"/>
  <c r="R14" i="121"/>
  <c r="S14" i="121"/>
  <c r="T14" i="121"/>
  <c r="U14" i="121"/>
  <c r="V14" i="121"/>
  <c r="Y14" i="121"/>
  <c r="D15" i="121"/>
  <c r="F15" i="121"/>
  <c r="G15" i="121"/>
  <c r="H15" i="121"/>
  <c r="I15" i="121"/>
  <c r="J15" i="121"/>
  <c r="K15" i="121"/>
  <c r="L15" i="121"/>
  <c r="M15" i="121"/>
  <c r="N15" i="121"/>
  <c r="O15" i="121"/>
  <c r="P15" i="121"/>
  <c r="Q15" i="121"/>
  <c r="R15" i="121"/>
  <c r="S15" i="121"/>
  <c r="T15" i="121"/>
  <c r="U15" i="121"/>
  <c r="V15" i="121"/>
  <c r="X15" i="121"/>
  <c r="N15" i="177" s="1"/>
  <c r="Y15" i="121"/>
  <c r="F16" i="121"/>
  <c r="H46" i="176" s="1"/>
  <c r="H121" i="176" s="1"/>
  <c r="H16" i="121"/>
  <c r="J46" i="176" s="1"/>
  <c r="J121" i="176" s="1"/>
  <c r="I16" i="121"/>
  <c r="K46" i="176" s="1"/>
  <c r="K121" i="176" s="1"/>
  <c r="J16" i="121"/>
  <c r="L46" i="176" s="1"/>
  <c r="L121" i="176" s="1"/>
  <c r="K16" i="121"/>
  <c r="M46" i="176" s="1"/>
  <c r="M121" i="176" s="1"/>
  <c r="L16" i="121"/>
  <c r="N46" i="176" s="1"/>
  <c r="N121" i="176" s="1"/>
  <c r="M16" i="121"/>
  <c r="O46" i="176" s="1"/>
  <c r="O121" i="176" s="1"/>
  <c r="N16" i="121"/>
  <c r="P46" i="176" s="1"/>
  <c r="P121" i="176" s="1"/>
  <c r="O16" i="121"/>
  <c r="Q46" i="176" s="1"/>
  <c r="Q121" i="176" s="1"/>
  <c r="P16" i="121"/>
  <c r="R46" i="176" s="1"/>
  <c r="R121" i="176" s="1"/>
  <c r="Q16" i="121"/>
  <c r="S46" i="176" s="1"/>
  <c r="S121" i="176" s="1"/>
  <c r="R16" i="121"/>
  <c r="T46" i="176" s="1"/>
  <c r="T121" i="176" s="1"/>
  <c r="S16" i="121"/>
  <c r="U46" i="176" s="1"/>
  <c r="U121" i="176" s="1"/>
  <c r="T16" i="121"/>
  <c r="V46" i="176" s="1"/>
  <c r="V121" i="176" s="1"/>
  <c r="U16" i="121"/>
  <c r="W46" i="176" s="1"/>
  <c r="W121" i="176" s="1"/>
  <c r="Y16" i="121"/>
  <c r="D17" i="121"/>
  <c r="F17" i="121"/>
  <c r="G17" i="121"/>
  <c r="H17" i="121"/>
  <c r="I17" i="121"/>
  <c r="J17" i="121"/>
  <c r="K17" i="121"/>
  <c r="L17" i="121"/>
  <c r="M17" i="121"/>
  <c r="N17" i="121"/>
  <c r="O17" i="121"/>
  <c r="P17" i="121"/>
  <c r="Q17" i="121"/>
  <c r="R17" i="121"/>
  <c r="S17" i="121"/>
  <c r="T17" i="121"/>
  <c r="U17" i="121"/>
  <c r="V17" i="121"/>
  <c r="Y17" i="121"/>
  <c r="F18" i="121"/>
  <c r="H18" i="121"/>
  <c r="I18" i="121"/>
  <c r="J18" i="121"/>
  <c r="K18" i="121"/>
  <c r="L18" i="121"/>
  <c r="M18" i="121"/>
  <c r="N18" i="121"/>
  <c r="O18" i="121"/>
  <c r="P18" i="121"/>
  <c r="Q18" i="121"/>
  <c r="R18" i="121"/>
  <c r="S18" i="121"/>
  <c r="T18" i="121"/>
  <c r="U18" i="121"/>
  <c r="V18" i="121"/>
  <c r="Y18" i="121"/>
  <c r="C19" i="121"/>
  <c r="D19" i="121"/>
  <c r="F47" i="176" s="1"/>
  <c r="E19" i="121"/>
  <c r="G47" i="176" s="1"/>
  <c r="F19" i="121"/>
  <c r="H47" i="176" s="1"/>
  <c r="G19" i="121"/>
  <c r="I47" i="176" s="1"/>
  <c r="H19" i="121"/>
  <c r="J47" i="176" s="1"/>
  <c r="I19" i="121"/>
  <c r="K47" i="176" s="1"/>
  <c r="J19" i="121"/>
  <c r="L47" i="176" s="1"/>
  <c r="K19" i="121"/>
  <c r="M47" i="176" s="1"/>
  <c r="L19" i="121"/>
  <c r="N47" i="176" s="1"/>
  <c r="M19" i="121"/>
  <c r="O47" i="176" s="1"/>
  <c r="N19" i="121"/>
  <c r="P47" i="176" s="1"/>
  <c r="O19" i="121"/>
  <c r="Q47" i="176" s="1"/>
  <c r="P19" i="121"/>
  <c r="R47" i="176" s="1"/>
  <c r="Q19" i="121"/>
  <c r="S47" i="176" s="1"/>
  <c r="R19" i="121"/>
  <c r="T47" i="176" s="1"/>
  <c r="S19" i="121"/>
  <c r="U47" i="176" s="1"/>
  <c r="T19" i="121"/>
  <c r="U19" i="121"/>
  <c r="W47" i="176" s="1"/>
  <c r="V19" i="121"/>
  <c r="X47" i="176" s="1"/>
  <c r="X19" i="121"/>
  <c r="Y19" i="121"/>
  <c r="C20" i="121"/>
  <c r="D20" i="121"/>
  <c r="F48" i="176" s="1"/>
  <c r="E20" i="121"/>
  <c r="G48" i="176" s="1"/>
  <c r="F20" i="121"/>
  <c r="H48" i="176" s="1"/>
  <c r="G20" i="121"/>
  <c r="I48" i="176" s="1"/>
  <c r="I20" i="121"/>
  <c r="K48" i="176" s="1"/>
  <c r="J20" i="121"/>
  <c r="L48" i="176" s="1"/>
  <c r="K20" i="121"/>
  <c r="M48" i="176" s="1"/>
  <c r="M20" i="121"/>
  <c r="O48" i="176" s="1"/>
  <c r="N20" i="121"/>
  <c r="P48" i="176" s="1"/>
  <c r="O20" i="121"/>
  <c r="Q48" i="176" s="1"/>
  <c r="Q20" i="121"/>
  <c r="S48" i="176" s="1"/>
  <c r="R20" i="121"/>
  <c r="T48" i="176" s="1"/>
  <c r="S20" i="121"/>
  <c r="U48" i="176" s="1"/>
  <c r="X20" i="121"/>
  <c r="Y20" i="121"/>
  <c r="C21" i="121"/>
  <c r="D21" i="121"/>
  <c r="F49" i="176" s="1"/>
  <c r="F128" i="176" s="1"/>
  <c r="E21" i="121"/>
  <c r="G49" i="176" s="1"/>
  <c r="G128" i="176" s="1"/>
  <c r="F21" i="121"/>
  <c r="H49" i="176" s="1"/>
  <c r="H128" i="176" s="1"/>
  <c r="G21" i="121"/>
  <c r="I49" i="176" s="1"/>
  <c r="I128" i="176" s="1"/>
  <c r="H21" i="121"/>
  <c r="J49" i="176" s="1"/>
  <c r="J128" i="176" s="1"/>
  <c r="I21" i="121"/>
  <c r="K49" i="176" s="1"/>
  <c r="K128" i="176" s="1"/>
  <c r="J21" i="121"/>
  <c r="L49" i="176" s="1"/>
  <c r="L128" i="176" s="1"/>
  <c r="K21" i="121"/>
  <c r="M49" i="176" s="1"/>
  <c r="M128" i="176" s="1"/>
  <c r="L21" i="121"/>
  <c r="N49" i="176" s="1"/>
  <c r="N128" i="176" s="1"/>
  <c r="M21" i="121"/>
  <c r="O49" i="176" s="1"/>
  <c r="O128" i="176" s="1"/>
  <c r="N21" i="121"/>
  <c r="P49" i="176" s="1"/>
  <c r="P128" i="176" s="1"/>
  <c r="O21" i="121"/>
  <c r="Q49" i="176" s="1"/>
  <c r="Q128" i="176" s="1"/>
  <c r="P21" i="121"/>
  <c r="R49" i="176" s="1"/>
  <c r="R128" i="176" s="1"/>
  <c r="Q21" i="121"/>
  <c r="S49" i="176" s="1"/>
  <c r="S128" i="176" s="1"/>
  <c r="R21" i="121"/>
  <c r="T49" i="176" s="1"/>
  <c r="T128" i="176" s="1"/>
  <c r="S21" i="121"/>
  <c r="U49" i="176" s="1"/>
  <c r="U128" i="176" s="1"/>
  <c r="T21" i="121"/>
  <c r="V49" i="176" s="1"/>
  <c r="V128" i="176" s="1"/>
  <c r="U21" i="121"/>
  <c r="W49" i="176" s="1"/>
  <c r="W128" i="176" s="1"/>
  <c r="V21" i="121"/>
  <c r="X49" i="176" s="1"/>
  <c r="X128" i="176" s="1"/>
  <c r="X21" i="121"/>
  <c r="Y21" i="121"/>
  <c r="C22" i="121"/>
  <c r="D22" i="121"/>
  <c r="F50" i="176" s="1"/>
  <c r="E22" i="121"/>
  <c r="G50" i="176" s="1"/>
  <c r="F22" i="121"/>
  <c r="H50" i="176" s="1"/>
  <c r="G22" i="121"/>
  <c r="I50" i="176" s="1"/>
  <c r="H22" i="121"/>
  <c r="J50" i="176" s="1"/>
  <c r="I22" i="121"/>
  <c r="K50" i="176" s="1"/>
  <c r="J22" i="121"/>
  <c r="L50" i="176" s="1"/>
  <c r="K22" i="121"/>
  <c r="M50" i="176" s="1"/>
  <c r="L22" i="121"/>
  <c r="N50" i="176" s="1"/>
  <c r="M22" i="121"/>
  <c r="O50" i="176" s="1"/>
  <c r="N22" i="121"/>
  <c r="P50" i="176" s="1"/>
  <c r="O22" i="121"/>
  <c r="Q50" i="176" s="1"/>
  <c r="P22" i="121"/>
  <c r="R50" i="176" s="1"/>
  <c r="Q22" i="121"/>
  <c r="S50" i="176" s="1"/>
  <c r="R22" i="121"/>
  <c r="T50" i="176" s="1"/>
  <c r="S22" i="121"/>
  <c r="U50" i="176" s="1"/>
  <c r="T22" i="121"/>
  <c r="U22" i="121"/>
  <c r="W50" i="176" s="1"/>
  <c r="V22" i="121"/>
  <c r="X50" i="176" s="1"/>
  <c r="X22" i="121"/>
  <c r="Y22" i="121"/>
  <c r="C23" i="121"/>
  <c r="D23" i="121"/>
  <c r="F51" i="176" s="1"/>
  <c r="E23" i="121"/>
  <c r="G51" i="176" s="1"/>
  <c r="F23" i="121"/>
  <c r="H51" i="176" s="1"/>
  <c r="G23" i="121"/>
  <c r="I51" i="176" s="1"/>
  <c r="H23" i="121"/>
  <c r="J51" i="176" s="1"/>
  <c r="I23" i="121"/>
  <c r="J23" i="121"/>
  <c r="L51" i="176" s="1"/>
  <c r="K23" i="121"/>
  <c r="M51" i="176" s="1"/>
  <c r="L23" i="121"/>
  <c r="M23" i="121"/>
  <c r="O51" i="176" s="1"/>
  <c r="N23" i="121"/>
  <c r="P51" i="176" s="1"/>
  <c r="O23" i="121"/>
  <c r="Q51" i="176" s="1"/>
  <c r="P23" i="121"/>
  <c r="R51" i="176" s="1"/>
  <c r="Q23" i="121"/>
  <c r="S51" i="176" s="1"/>
  <c r="R23" i="121"/>
  <c r="T51" i="176" s="1"/>
  <c r="S23" i="121"/>
  <c r="U51" i="176" s="1"/>
  <c r="T23" i="121"/>
  <c r="V51" i="176" s="1"/>
  <c r="U23" i="121"/>
  <c r="V23" i="121"/>
  <c r="X51" i="176" s="1"/>
  <c r="X23" i="121"/>
  <c r="Y23" i="121"/>
  <c r="F35" i="121"/>
  <c r="G35" i="121"/>
  <c r="I53" i="176" s="1"/>
  <c r="J35" i="121"/>
  <c r="L53" i="176" s="1"/>
  <c r="K35" i="121"/>
  <c r="M53" i="176" s="1"/>
  <c r="L35" i="121"/>
  <c r="N53" i="176" s="1"/>
  <c r="N35" i="121"/>
  <c r="P53" i="176" s="1"/>
  <c r="P35" i="121"/>
  <c r="R53" i="176" s="1"/>
  <c r="Q35" i="121"/>
  <c r="R35" i="121"/>
  <c r="T53" i="176" s="1"/>
  <c r="S35" i="121"/>
  <c r="U53" i="176" s="1"/>
  <c r="T35" i="121"/>
  <c r="U35" i="121"/>
  <c r="W53" i="176" s="1"/>
  <c r="X35" i="121"/>
  <c r="C36" i="121"/>
  <c r="D36" i="177" s="1"/>
  <c r="E36" i="121"/>
  <c r="F36" i="121"/>
  <c r="G36" i="121"/>
  <c r="H36" i="121"/>
  <c r="I36" i="121"/>
  <c r="J36" i="121"/>
  <c r="K36" i="121"/>
  <c r="L36" i="121"/>
  <c r="M36" i="121"/>
  <c r="N36" i="121"/>
  <c r="O36" i="121"/>
  <c r="P36" i="121"/>
  <c r="Q36" i="121"/>
  <c r="R36" i="121"/>
  <c r="S36" i="121"/>
  <c r="T36" i="121"/>
  <c r="U36" i="121"/>
  <c r="V36" i="121"/>
  <c r="X36" i="121"/>
  <c r="N36" i="177" s="1"/>
  <c r="Y36" i="121"/>
  <c r="C37" i="121"/>
  <c r="D37" i="121"/>
  <c r="E37" i="121"/>
  <c r="F37" i="121"/>
  <c r="G37" i="121"/>
  <c r="H37" i="121"/>
  <c r="I37" i="121"/>
  <c r="J37" i="121"/>
  <c r="K37" i="121"/>
  <c r="L37" i="121"/>
  <c r="M37" i="121"/>
  <c r="N37" i="121"/>
  <c r="O37" i="121"/>
  <c r="P37" i="121"/>
  <c r="Q37" i="121"/>
  <c r="R37" i="121"/>
  <c r="S37" i="121"/>
  <c r="T37" i="121"/>
  <c r="U37" i="121"/>
  <c r="V37" i="121"/>
  <c r="X37" i="121"/>
  <c r="N37" i="177" s="1"/>
  <c r="Y37" i="121"/>
  <c r="M38" i="121"/>
  <c r="O54" i="176" s="1"/>
  <c r="Q38" i="121"/>
  <c r="S54" i="176" s="1"/>
  <c r="U38" i="121"/>
  <c r="W54" i="176" s="1"/>
  <c r="H39" i="121"/>
  <c r="J39" i="121"/>
  <c r="L39" i="121"/>
  <c r="M39" i="121"/>
  <c r="N39" i="121"/>
  <c r="P39" i="121"/>
  <c r="Q39" i="121"/>
  <c r="T39" i="121"/>
  <c r="U39" i="121"/>
  <c r="V39" i="121"/>
  <c r="Y39" i="121"/>
  <c r="D40" i="121"/>
  <c r="E40" i="121"/>
  <c r="G40" i="121"/>
  <c r="H40" i="121"/>
  <c r="I40" i="121"/>
  <c r="J40" i="121"/>
  <c r="K40" i="121"/>
  <c r="L40" i="121"/>
  <c r="M40" i="121"/>
  <c r="N40" i="121"/>
  <c r="O40" i="121"/>
  <c r="P40" i="121"/>
  <c r="Q40" i="121"/>
  <c r="R40" i="121"/>
  <c r="S40" i="121"/>
  <c r="T40" i="121"/>
  <c r="U40" i="121"/>
  <c r="V40" i="121"/>
  <c r="X40" i="121"/>
  <c r="N40" i="177" s="1"/>
  <c r="Y40" i="121"/>
  <c r="C41" i="121"/>
  <c r="D41" i="177" s="1"/>
  <c r="D41" i="121"/>
  <c r="E41" i="121"/>
  <c r="F41" i="121"/>
  <c r="G41" i="121"/>
  <c r="H41" i="121"/>
  <c r="I41" i="121"/>
  <c r="J41" i="121"/>
  <c r="K41" i="121"/>
  <c r="L41" i="121"/>
  <c r="M41" i="121"/>
  <c r="N41" i="121"/>
  <c r="O41" i="121"/>
  <c r="P41" i="121"/>
  <c r="Q41" i="121"/>
  <c r="R41" i="121"/>
  <c r="S41" i="121"/>
  <c r="T41" i="121"/>
  <c r="U41" i="121"/>
  <c r="V41" i="121"/>
  <c r="X41" i="121"/>
  <c r="N41" i="177" s="1"/>
  <c r="Y41" i="121"/>
  <c r="D42" i="121"/>
  <c r="E42" i="121"/>
  <c r="F42" i="121"/>
  <c r="G42" i="121"/>
  <c r="H42" i="121"/>
  <c r="I42" i="121"/>
  <c r="J42" i="121"/>
  <c r="K42" i="121"/>
  <c r="L42" i="121"/>
  <c r="M42" i="121"/>
  <c r="N42" i="121"/>
  <c r="O42" i="121"/>
  <c r="P42" i="121"/>
  <c r="Q42" i="121"/>
  <c r="R42" i="121"/>
  <c r="S42" i="121"/>
  <c r="T42" i="121"/>
  <c r="U42" i="121"/>
  <c r="V42" i="121"/>
  <c r="X42" i="121"/>
  <c r="N42" i="177" s="1"/>
  <c r="Y42" i="121"/>
  <c r="C43" i="121"/>
  <c r="D43" i="177" s="1"/>
  <c r="D43" i="121"/>
  <c r="E43" i="121"/>
  <c r="F43" i="121"/>
  <c r="G43" i="121"/>
  <c r="H43" i="121"/>
  <c r="I43" i="121"/>
  <c r="J43" i="121"/>
  <c r="K43" i="121"/>
  <c r="L43" i="121"/>
  <c r="M43" i="121"/>
  <c r="N43" i="121"/>
  <c r="O43" i="121"/>
  <c r="P43" i="121"/>
  <c r="Q43" i="121"/>
  <c r="R43" i="121"/>
  <c r="S43" i="121"/>
  <c r="T43" i="121"/>
  <c r="U43" i="121"/>
  <c r="V43" i="121"/>
  <c r="X43" i="121"/>
  <c r="N43" i="177" s="1"/>
  <c r="Y43" i="121"/>
  <c r="H92" i="99"/>
  <c r="H6" i="98" s="1"/>
  <c r="H110" i="99"/>
  <c r="I6" i="98" s="1"/>
  <c r="K23" i="176" s="1"/>
  <c r="K99" i="176" s="1"/>
  <c r="H128" i="99"/>
  <c r="J6" i="98" s="1"/>
  <c r="L23" i="176" s="1"/>
  <c r="L99" i="176" s="1"/>
  <c r="H146" i="99"/>
  <c r="K6" i="98" s="1"/>
  <c r="M23" i="176" s="1"/>
  <c r="M99" i="176" s="1"/>
  <c r="H164" i="99"/>
  <c r="L6" i="98" s="1"/>
  <c r="N23" i="176" s="1"/>
  <c r="N99" i="176" s="1"/>
  <c r="H182" i="99"/>
  <c r="M6" i="98" s="1"/>
  <c r="H200" i="99"/>
  <c r="N6" i="98" s="1"/>
  <c r="P23" i="176" s="1"/>
  <c r="P99" i="176" s="1"/>
  <c r="H218" i="99"/>
  <c r="O6" i="98" s="1"/>
  <c r="Q23" i="176" s="1"/>
  <c r="Q99" i="176" s="1"/>
  <c r="H236" i="99"/>
  <c r="P6" i="98" s="1"/>
  <c r="R23" i="176" s="1"/>
  <c r="R99" i="176" s="1"/>
  <c r="H254" i="99"/>
  <c r="Q6" i="98" s="1"/>
  <c r="S23" i="176" s="1"/>
  <c r="S99" i="176" s="1"/>
  <c r="H272" i="99"/>
  <c r="R6" i="98" s="1"/>
  <c r="T23" i="176" s="1"/>
  <c r="T99" i="176" s="1"/>
  <c r="H290" i="99"/>
  <c r="S6" i="98" s="1"/>
  <c r="U23" i="176" s="1"/>
  <c r="U99" i="176" s="1"/>
  <c r="H308" i="99"/>
  <c r="T6" i="98" s="1"/>
  <c r="H326" i="99"/>
  <c r="U6" i="98" s="1"/>
  <c r="W23" i="176" s="1"/>
  <c r="W99" i="176" s="1"/>
  <c r="H344" i="99"/>
  <c r="V6" i="98" s="1"/>
  <c r="X23" i="176" s="1"/>
  <c r="X99" i="176" s="1"/>
  <c r="H383" i="99"/>
  <c r="Y6" i="98" s="1"/>
  <c r="G7" i="98"/>
  <c r="H7" i="98"/>
  <c r="I7" i="98"/>
  <c r="J7" i="98"/>
  <c r="K7" i="98"/>
  <c r="L7" i="98"/>
  <c r="M7" i="98"/>
  <c r="N7" i="98"/>
  <c r="O7" i="98"/>
  <c r="P7" i="98"/>
  <c r="Q7" i="98"/>
  <c r="R7" i="98"/>
  <c r="S7" i="98"/>
  <c r="T7" i="98"/>
  <c r="U7" i="98"/>
  <c r="V7" i="98"/>
  <c r="Y7" i="98"/>
  <c r="C8" i="98"/>
  <c r="C8" i="177" s="1"/>
  <c r="D8" i="98"/>
  <c r="E8" i="98"/>
  <c r="F8" i="98"/>
  <c r="H8" i="98"/>
  <c r="I8" i="98"/>
  <c r="J8" i="98"/>
  <c r="K8" i="98"/>
  <c r="L8" i="98"/>
  <c r="M8" i="98"/>
  <c r="N8" i="98"/>
  <c r="O8" i="98"/>
  <c r="P8" i="98"/>
  <c r="Q8" i="98"/>
  <c r="R8" i="98"/>
  <c r="S8" i="98"/>
  <c r="T8" i="98"/>
  <c r="U8" i="98"/>
  <c r="V8" i="98"/>
  <c r="X8" i="98"/>
  <c r="M8" i="177" s="1"/>
  <c r="Y8" i="98"/>
  <c r="H16" i="99"/>
  <c r="C20" i="98" s="1"/>
  <c r="H52" i="99"/>
  <c r="E20" i="98" s="1"/>
  <c r="G29" i="176" s="1"/>
  <c r="H70" i="99"/>
  <c r="F20" i="98" s="1"/>
  <c r="H88" i="99"/>
  <c r="G20" i="98" s="1"/>
  <c r="H97" i="99"/>
  <c r="H106" i="99"/>
  <c r="H20" i="98" s="1"/>
  <c r="J29" i="176" s="1"/>
  <c r="H115" i="99"/>
  <c r="H124" i="99"/>
  <c r="I20" i="98" s="1"/>
  <c r="H133" i="99"/>
  <c r="H132" i="99" s="1"/>
  <c r="J10" i="98" s="1"/>
  <c r="H142" i="99"/>
  <c r="H151" i="99"/>
  <c r="H160" i="99"/>
  <c r="K20" i="98" s="1"/>
  <c r="M29" i="176" s="1"/>
  <c r="H169" i="99"/>
  <c r="H178" i="99"/>
  <c r="L20" i="98" s="1"/>
  <c r="N29" i="176" s="1"/>
  <c r="H187" i="99"/>
  <c r="H196" i="99"/>
  <c r="M20" i="98" s="1"/>
  <c r="O29" i="176" s="1"/>
  <c r="H205" i="99"/>
  <c r="N11" i="98" s="1"/>
  <c r="H214" i="99"/>
  <c r="N20" i="98" s="1"/>
  <c r="P29" i="176" s="1"/>
  <c r="H223" i="99"/>
  <c r="O11" i="98" s="1"/>
  <c r="H232" i="99"/>
  <c r="O20" i="98" s="1"/>
  <c r="Q29" i="176" s="1"/>
  <c r="H241" i="99"/>
  <c r="H240" i="99" s="1"/>
  <c r="H250" i="99"/>
  <c r="P20" i="98" s="1"/>
  <c r="R29" i="176" s="1"/>
  <c r="H259" i="99"/>
  <c r="H268" i="99"/>
  <c r="Q20" i="98" s="1"/>
  <c r="H277" i="99"/>
  <c r="H276" i="99" s="1"/>
  <c r="R10" i="98" s="1"/>
  <c r="H286" i="99"/>
  <c r="H295" i="99"/>
  <c r="H304" i="99"/>
  <c r="S20" i="98" s="1"/>
  <c r="H313" i="99"/>
  <c r="H312" i="99" s="1"/>
  <c r="T10" i="98" s="1"/>
  <c r="H322" i="99"/>
  <c r="T20" i="98" s="1"/>
  <c r="H331" i="99"/>
  <c r="H340" i="99"/>
  <c r="U20" i="98" s="1"/>
  <c r="H349" i="99"/>
  <c r="H358" i="99"/>
  <c r="V20" i="98" s="1"/>
  <c r="H379" i="99"/>
  <c r="X20" i="98" s="1"/>
  <c r="H388" i="99"/>
  <c r="H397" i="99"/>
  <c r="Y20" i="98" s="1"/>
  <c r="D17" i="98"/>
  <c r="F17" i="98"/>
  <c r="G17" i="98"/>
  <c r="H17" i="98"/>
  <c r="I17" i="98"/>
  <c r="J17" i="98"/>
  <c r="K17" i="98"/>
  <c r="L17" i="98"/>
  <c r="M17" i="98"/>
  <c r="N17" i="98"/>
  <c r="O17" i="98"/>
  <c r="P17" i="98"/>
  <c r="Q17" i="98"/>
  <c r="R17" i="98"/>
  <c r="S17" i="98"/>
  <c r="T17" i="98"/>
  <c r="U17" i="98"/>
  <c r="V17" i="98"/>
  <c r="Y17" i="98"/>
  <c r="F18" i="98"/>
  <c r="H18" i="98"/>
  <c r="I18" i="98"/>
  <c r="J18" i="98"/>
  <c r="K18" i="98"/>
  <c r="L18" i="98"/>
  <c r="M18" i="98"/>
  <c r="N18" i="98"/>
  <c r="O18" i="98"/>
  <c r="P18" i="98"/>
  <c r="Q18" i="98"/>
  <c r="R18" i="98"/>
  <c r="S18" i="98"/>
  <c r="T18" i="98"/>
  <c r="U18" i="98"/>
  <c r="V18" i="98"/>
  <c r="Y18" i="98"/>
  <c r="D19" i="98"/>
  <c r="E19" i="98"/>
  <c r="G28" i="176" s="1"/>
  <c r="F19" i="98"/>
  <c r="G19" i="98"/>
  <c r="I28" i="176" s="1"/>
  <c r="H19" i="98"/>
  <c r="I19" i="98"/>
  <c r="J19" i="98"/>
  <c r="L28" i="176" s="1"/>
  <c r="K19" i="98"/>
  <c r="AF33" i="136" s="1"/>
  <c r="L19" i="98"/>
  <c r="M19" i="98"/>
  <c r="O28" i="176" s="1"/>
  <c r="N19" i="98"/>
  <c r="P28" i="176" s="1"/>
  <c r="O19" i="98"/>
  <c r="P19" i="98"/>
  <c r="Q19" i="98"/>
  <c r="S28" i="176" s="1"/>
  <c r="R19" i="98"/>
  <c r="T28" i="176" s="1"/>
  <c r="S19" i="98"/>
  <c r="T19" i="98"/>
  <c r="U19" i="98"/>
  <c r="W28" i="176" s="1"/>
  <c r="V19" i="98"/>
  <c r="X28" i="176" s="1"/>
  <c r="X19" i="98"/>
  <c r="Y19" i="98"/>
  <c r="D20" i="98"/>
  <c r="J20" i="98"/>
  <c r="R20" i="98"/>
  <c r="T29" i="176" s="1"/>
  <c r="C21" i="98"/>
  <c r="D21" i="98"/>
  <c r="M35" i="136" s="1"/>
  <c r="E21" i="98"/>
  <c r="G30" i="176" s="1"/>
  <c r="G127" i="176" s="1"/>
  <c r="F21" i="98"/>
  <c r="G21" i="98"/>
  <c r="I30" i="176" s="1"/>
  <c r="I127" i="176" s="1"/>
  <c r="H21" i="98"/>
  <c r="J30" i="176" s="1"/>
  <c r="J127" i="176" s="1"/>
  <c r="I21" i="98"/>
  <c r="J21" i="98"/>
  <c r="L30" i="176" s="1"/>
  <c r="L127" i="176" s="1"/>
  <c r="K21" i="98"/>
  <c r="L21" i="98"/>
  <c r="M21" i="98"/>
  <c r="N21" i="98"/>
  <c r="O21" i="98"/>
  <c r="P21" i="98"/>
  <c r="R30" i="176" s="1"/>
  <c r="R127" i="176" s="1"/>
  <c r="Q21" i="98"/>
  <c r="R21" i="98"/>
  <c r="T30" i="176" s="1"/>
  <c r="T127" i="176" s="1"/>
  <c r="S21" i="98"/>
  <c r="T21" i="98"/>
  <c r="U21" i="98"/>
  <c r="V21" i="98"/>
  <c r="X21" i="98"/>
  <c r="Y21" i="98"/>
  <c r="C22" i="98"/>
  <c r="D22" i="98"/>
  <c r="F31" i="176" s="1"/>
  <c r="E22" i="98"/>
  <c r="F22" i="98"/>
  <c r="H31" i="176" s="1"/>
  <c r="G22" i="98"/>
  <c r="I31" i="176" s="1"/>
  <c r="H22" i="98"/>
  <c r="I22" i="98"/>
  <c r="J22" i="98"/>
  <c r="K22" i="98"/>
  <c r="L22" i="98"/>
  <c r="N31" i="176" s="1"/>
  <c r="M22" i="98"/>
  <c r="N22" i="98"/>
  <c r="O22" i="98"/>
  <c r="P22" i="98"/>
  <c r="R31" i="176" s="1"/>
  <c r="Q22" i="98"/>
  <c r="R22" i="98"/>
  <c r="T31" i="176" s="1"/>
  <c r="S22" i="98"/>
  <c r="U31" i="176" s="1"/>
  <c r="T22" i="98"/>
  <c r="U22" i="98"/>
  <c r="W31" i="176" s="1"/>
  <c r="V22" i="98"/>
  <c r="X31" i="176" s="1"/>
  <c r="X22" i="98"/>
  <c r="Y22" i="98"/>
  <c r="C23" i="98"/>
  <c r="D23" i="98"/>
  <c r="E23" i="98"/>
  <c r="G32" i="176" s="1"/>
  <c r="F23" i="98"/>
  <c r="H32" i="176" s="1"/>
  <c r="G23" i="98"/>
  <c r="I32" i="176" s="1"/>
  <c r="H23" i="98"/>
  <c r="J32" i="176" s="1"/>
  <c r="I23" i="98"/>
  <c r="K32" i="176" s="1"/>
  <c r="J23" i="98"/>
  <c r="L32" i="176" s="1"/>
  <c r="K23" i="98"/>
  <c r="M32" i="176" s="1"/>
  <c r="L23" i="98"/>
  <c r="AG37" i="136" s="1"/>
  <c r="M23" i="98"/>
  <c r="O32" i="176" s="1"/>
  <c r="N23" i="98"/>
  <c r="P32" i="176" s="1"/>
  <c r="O23" i="98"/>
  <c r="P23" i="98"/>
  <c r="R32" i="176" s="1"/>
  <c r="Q23" i="98"/>
  <c r="S32" i="176" s="1"/>
  <c r="R23" i="98"/>
  <c r="S23" i="98"/>
  <c r="U32" i="176" s="1"/>
  <c r="T23" i="98"/>
  <c r="U23" i="98"/>
  <c r="W32" i="176" s="1"/>
  <c r="V23" i="98"/>
  <c r="X23" i="98"/>
  <c r="Y23" i="98"/>
  <c r="H405" i="99"/>
  <c r="C35" i="98" s="1"/>
  <c r="H423" i="99"/>
  <c r="E35" i="98" s="1"/>
  <c r="G34" i="176" s="1"/>
  <c r="H432" i="99"/>
  <c r="F35" i="98" s="1"/>
  <c r="H34" i="176" s="1"/>
  <c r="H441" i="99"/>
  <c r="G35" i="98" s="1"/>
  <c r="I34" i="176" s="1"/>
  <c r="H450" i="99"/>
  <c r="H35" i="98" s="1"/>
  <c r="H459" i="99"/>
  <c r="I35" i="98" s="1"/>
  <c r="H468" i="99"/>
  <c r="J35" i="98" s="1"/>
  <c r="L34" i="176" s="1"/>
  <c r="H477" i="99"/>
  <c r="K35" i="98" s="1"/>
  <c r="M34" i="176" s="1"/>
  <c r="H486" i="99"/>
  <c r="L35" i="98" s="1"/>
  <c r="N34" i="176" s="1"/>
  <c r="H495" i="99"/>
  <c r="M35" i="98" s="1"/>
  <c r="O34" i="176" s="1"/>
  <c r="H504" i="99"/>
  <c r="N35" i="98" s="1"/>
  <c r="P34" i="176" s="1"/>
  <c r="H513" i="99"/>
  <c r="O35" i="98" s="1"/>
  <c r="H522" i="99"/>
  <c r="P35" i="98" s="1"/>
  <c r="H531" i="99"/>
  <c r="Q35" i="98" s="1"/>
  <c r="S34" i="176" s="1"/>
  <c r="H540" i="99"/>
  <c r="R35" i="98" s="1"/>
  <c r="T34" i="176" s="1"/>
  <c r="H549" i="99"/>
  <c r="S35" i="98" s="1"/>
  <c r="U34" i="176" s="1"/>
  <c r="H558" i="99"/>
  <c r="T35" i="98" s="1"/>
  <c r="H567" i="99"/>
  <c r="U35" i="98" s="1"/>
  <c r="W34" i="176" s="1"/>
  <c r="H576" i="99"/>
  <c r="V35" i="98" s="1"/>
  <c r="X34" i="176" s="1"/>
  <c r="H588" i="99"/>
  <c r="X35" i="98" s="1"/>
  <c r="H597" i="99"/>
  <c r="Y35" i="98" s="1"/>
  <c r="C36" i="98"/>
  <c r="C36" i="177" s="1"/>
  <c r="E36" i="98"/>
  <c r="F36" i="98"/>
  <c r="G36" i="98"/>
  <c r="H36" i="98"/>
  <c r="I36" i="98"/>
  <c r="J36" i="98"/>
  <c r="K36" i="98"/>
  <c r="L36" i="98"/>
  <c r="M36" i="98"/>
  <c r="N36" i="98"/>
  <c r="O36" i="98"/>
  <c r="P36" i="98"/>
  <c r="Q36" i="98"/>
  <c r="R36" i="98"/>
  <c r="S36" i="98"/>
  <c r="T36" i="98"/>
  <c r="U36" i="98"/>
  <c r="V36" i="98"/>
  <c r="X36" i="98"/>
  <c r="M36" i="177" s="1"/>
  <c r="Y36" i="98"/>
  <c r="C37" i="98"/>
  <c r="C37" i="177" s="1"/>
  <c r="D37" i="98"/>
  <c r="E37" i="98"/>
  <c r="F37" i="98"/>
  <c r="G37" i="98"/>
  <c r="H37" i="98"/>
  <c r="I37" i="98"/>
  <c r="J37" i="98"/>
  <c r="K37" i="98"/>
  <c r="L37" i="98"/>
  <c r="M37" i="98"/>
  <c r="N37" i="98"/>
  <c r="O37" i="98"/>
  <c r="P37" i="98"/>
  <c r="Q37" i="98"/>
  <c r="R37" i="98"/>
  <c r="S37" i="98"/>
  <c r="T37" i="98"/>
  <c r="U37" i="98"/>
  <c r="V37" i="98"/>
  <c r="X37" i="98"/>
  <c r="M37" i="177" s="1"/>
  <c r="Y37" i="98"/>
  <c r="H427" i="99"/>
  <c r="H426" i="99" s="1"/>
  <c r="E38" i="98" s="1"/>
  <c r="G35" i="176" s="1"/>
  <c r="H445" i="99"/>
  <c r="H454" i="99"/>
  <c r="H453" i="99" s="1"/>
  <c r="H38" i="98" s="1"/>
  <c r="H463" i="99"/>
  <c r="H472" i="99"/>
  <c r="H481" i="99"/>
  <c r="H490" i="99"/>
  <c r="L39" i="98" s="1"/>
  <c r="H499" i="99"/>
  <c r="H508" i="99"/>
  <c r="H517" i="99"/>
  <c r="H516" i="99" s="1"/>
  <c r="O38" i="98" s="1"/>
  <c r="H526" i="99"/>
  <c r="P39" i="98" s="1"/>
  <c r="H535" i="99"/>
  <c r="H534" i="99" s="1"/>
  <c r="Q38" i="98" s="1"/>
  <c r="H544" i="99"/>
  <c r="H553" i="99"/>
  <c r="H562" i="99"/>
  <c r="T39" i="98" s="1"/>
  <c r="H571" i="99"/>
  <c r="H580" i="99"/>
  <c r="H592" i="99"/>
  <c r="H591" i="99" s="1"/>
  <c r="X38" i="98" s="1"/>
  <c r="H601" i="99"/>
  <c r="H39" i="98"/>
  <c r="O39" i="98"/>
  <c r="X39" i="98"/>
  <c r="M39" i="177" s="1"/>
  <c r="E40" i="98"/>
  <c r="G40" i="98"/>
  <c r="H40" i="98"/>
  <c r="I40" i="98"/>
  <c r="J40" i="98"/>
  <c r="K40" i="98"/>
  <c r="L40" i="98"/>
  <c r="M40" i="98"/>
  <c r="N40" i="98"/>
  <c r="O40" i="98"/>
  <c r="P40" i="98"/>
  <c r="Q40" i="98"/>
  <c r="R40" i="98"/>
  <c r="S40" i="98"/>
  <c r="T40" i="98"/>
  <c r="U40" i="98"/>
  <c r="V40" i="98"/>
  <c r="X40" i="98"/>
  <c r="M40" i="177" s="1"/>
  <c r="Y40" i="98"/>
  <c r="C41" i="98"/>
  <c r="C41" i="177" s="1"/>
  <c r="E41" i="98"/>
  <c r="F41" i="98"/>
  <c r="G41" i="98"/>
  <c r="H41" i="98"/>
  <c r="I41" i="98"/>
  <c r="J41" i="98"/>
  <c r="K41" i="98"/>
  <c r="L41" i="98"/>
  <c r="M41" i="98"/>
  <c r="N41" i="98"/>
  <c r="O41" i="98"/>
  <c r="P41" i="98"/>
  <c r="Q41" i="98"/>
  <c r="R41" i="98"/>
  <c r="S41" i="98"/>
  <c r="T41" i="98"/>
  <c r="U41" i="98"/>
  <c r="V41" i="98"/>
  <c r="X41" i="98"/>
  <c r="M41" i="177" s="1"/>
  <c r="Y41" i="98"/>
  <c r="D42" i="98"/>
  <c r="E42" i="98"/>
  <c r="F42" i="98"/>
  <c r="G42" i="98"/>
  <c r="H42" i="98"/>
  <c r="I42" i="98"/>
  <c r="J42" i="98"/>
  <c r="K42" i="98"/>
  <c r="L42" i="98"/>
  <c r="M42" i="98"/>
  <c r="N42" i="98"/>
  <c r="O42" i="98"/>
  <c r="P42" i="98"/>
  <c r="Q42" i="98"/>
  <c r="R42" i="98"/>
  <c r="S42" i="98"/>
  <c r="T42" i="98"/>
  <c r="U42" i="98"/>
  <c r="V42" i="98"/>
  <c r="X42" i="98"/>
  <c r="M42" i="177" s="1"/>
  <c r="Y42" i="98"/>
  <c r="C43" i="98"/>
  <c r="C43" i="177" s="1"/>
  <c r="D43" i="98"/>
  <c r="E43" i="98"/>
  <c r="F43" i="98"/>
  <c r="G43" i="98"/>
  <c r="H43" i="98"/>
  <c r="I43" i="98"/>
  <c r="J43" i="98"/>
  <c r="K43" i="98"/>
  <c r="L43" i="98"/>
  <c r="M43" i="98"/>
  <c r="N43" i="98"/>
  <c r="O43" i="98"/>
  <c r="P43" i="98"/>
  <c r="Q43" i="98"/>
  <c r="R43" i="98"/>
  <c r="S43" i="98"/>
  <c r="T43" i="98"/>
  <c r="U43" i="98"/>
  <c r="V43" i="98"/>
  <c r="X43" i="98"/>
  <c r="M43" i="177" s="1"/>
  <c r="Y43" i="98"/>
  <c r="P19" i="60"/>
  <c r="P22" i="60"/>
  <c r="N24" i="60" s="1"/>
  <c r="N25" i="60" s="1"/>
  <c r="R22" i="60"/>
  <c r="Q24" i="60" s="1"/>
  <c r="B12" i="127"/>
  <c r="C12" i="127"/>
  <c r="D12" i="127"/>
  <c r="E12" i="127"/>
  <c r="F12" i="127"/>
  <c r="G12" i="127"/>
  <c r="F11" i="118"/>
  <c r="F16" i="118"/>
  <c r="F44" i="113"/>
  <c r="G44" i="113" s="1"/>
  <c r="C44" i="113" s="1"/>
  <c r="F45" i="113"/>
  <c r="G45" i="113" s="1"/>
  <c r="C45" i="113" s="1"/>
  <c r="D46" i="113"/>
  <c r="F46" i="113"/>
  <c r="I10" i="110"/>
  <c r="I11" i="110"/>
  <c r="I12" i="110"/>
  <c r="I13" i="110"/>
  <c r="I14" i="110"/>
  <c r="I15" i="110"/>
  <c r="I16" i="110"/>
  <c r="I17" i="110"/>
  <c r="I18" i="110"/>
  <c r="I19" i="110"/>
  <c r="I20" i="110"/>
  <c r="I21" i="110"/>
  <c r="I22" i="110"/>
  <c r="I23" i="110"/>
  <c r="I24" i="110"/>
  <c r="I25" i="110"/>
  <c r="I26" i="110"/>
  <c r="I27" i="110"/>
  <c r="I28" i="110"/>
  <c r="I29" i="110"/>
  <c r="I30" i="110"/>
  <c r="I31" i="110"/>
  <c r="I32" i="110"/>
  <c r="I33" i="110"/>
  <c r="I34" i="110"/>
  <c r="I35" i="110"/>
  <c r="I36" i="110"/>
  <c r="I37" i="110"/>
  <c r="I38" i="110"/>
  <c r="I39" i="110"/>
  <c r="F41" i="110"/>
  <c r="K45" i="110"/>
  <c r="K46" i="110"/>
  <c r="K47" i="110"/>
  <c r="G57" i="110"/>
  <c r="G58" i="110"/>
  <c r="G59" i="110"/>
  <c r="E60" i="110"/>
  <c r="I38" i="115"/>
  <c r="L40" i="115"/>
  <c r="N40" i="115"/>
  <c r="L45" i="115"/>
  <c r="N45" i="115"/>
  <c r="I56" i="115"/>
  <c r="I57" i="115"/>
  <c r="J62" i="115"/>
  <c r="K62" i="115" s="1"/>
  <c r="K65" i="115"/>
  <c r="H67" i="115"/>
  <c r="H69" i="115" s="1"/>
  <c r="H71" i="115" s="1"/>
  <c r="K69" i="115"/>
  <c r="N69" i="115"/>
  <c r="K74" i="115"/>
  <c r="N74" i="115"/>
  <c r="E7" i="119"/>
  <c r="I7" i="119"/>
  <c r="S7" i="119"/>
  <c r="E8" i="119"/>
  <c r="G8" i="119"/>
  <c r="I8" i="119"/>
  <c r="S8" i="119"/>
  <c r="T8" i="119"/>
  <c r="E9" i="119"/>
  <c r="D29" i="119" s="1"/>
  <c r="I9" i="119"/>
  <c r="S9" i="119"/>
  <c r="E10" i="119"/>
  <c r="G10" i="119"/>
  <c r="I10" i="119"/>
  <c r="S10" i="119"/>
  <c r="T10" i="119"/>
  <c r="E11" i="119"/>
  <c r="I11" i="119"/>
  <c r="S11" i="119"/>
  <c r="E12" i="119"/>
  <c r="G12" i="119"/>
  <c r="I12" i="119"/>
  <c r="S12" i="119"/>
  <c r="T12" i="119"/>
  <c r="E13" i="119"/>
  <c r="D33" i="119" s="1"/>
  <c r="I13" i="119"/>
  <c r="S13" i="119"/>
  <c r="E14" i="119"/>
  <c r="G14" i="119"/>
  <c r="I14" i="119"/>
  <c r="S14" i="119"/>
  <c r="T14" i="119"/>
  <c r="E15" i="119"/>
  <c r="I15" i="119"/>
  <c r="S15" i="119"/>
  <c r="B18" i="119"/>
  <c r="D18" i="119"/>
  <c r="L18" i="119"/>
  <c r="M18" i="119"/>
  <c r="O18" i="119"/>
  <c r="O19" i="119" s="1"/>
  <c r="O23" i="119" s="1"/>
  <c r="P18" i="119"/>
  <c r="N28" i="119" s="1"/>
  <c r="Q18" i="119"/>
  <c r="N27" i="119" s="1"/>
  <c r="B27" i="119"/>
  <c r="C27" i="119" s="1"/>
  <c r="E27" i="119"/>
  <c r="B28" i="119"/>
  <c r="C28" i="119" s="1"/>
  <c r="E28" i="119"/>
  <c r="B29" i="119"/>
  <c r="C29" i="119" s="1"/>
  <c r="B30" i="119"/>
  <c r="C30" i="119" s="1"/>
  <c r="E30" i="119"/>
  <c r="J30" i="119"/>
  <c r="B31" i="119"/>
  <c r="C31" i="119" s="1"/>
  <c r="D31" i="119"/>
  <c r="B32" i="119"/>
  <c r="C32" i="119" s="1"/>
  <c r="E32" i="119"/>
  <c r="B33" i="119"/>
  <c r="C33" i="119" s="1"/>
  <c r="B34" i="119"/>
  <c r="C34" i="119" s="1"/>
  <c r="E34" i="119"/>
  <c r="B35" i="119"/>
  <c r="C35" i="119" s="1"/>
  <c r="A16" i="112"/>
  <c r="D37" i="112"/>
  <c r="A40" i="112"/>
  <c r="A50" i="112"/>
  <c r="C15" i="109"/>
  <c r="A23" i="109" s="1"/>
  <c r="D23" i="109" s="1"/>
  <c r="E23" i="109" s="1"/>
  <c r="F23" i="109" s="1"/>
  <c r="C16" i="109"/>
  <c r="A24" i="109" s="1"/>
  <c r="D24" i="109" s="1"/>
  <c r="E24" i="109" s="1"/>
  <c r="F24" i="109" s="1"/>
  <c r="C17" i="109"/>
  <c r="A25" i="109" s="1"/>
  <c r="D25" i="109" s="1"/>
  <c r="E25" i="109" s="1"/>
  <c r="F25" i="109" s="1"/>
  <c r="C18" i="109"/>
  <c r="A26" i="109" s="1"/>
  <c r="D26" i="109" s="1"/>
  <c r="E26" i="109" s="1"/>
  <c r="F26" i="109" s="1"/>
  <c r="G13" i="109"/>
  <c r="A46" i="109"/>
  <c r="A54" i="109"/>
  <c r="A62" i="109"/>
  <c r="A64" i="109"/>
  <c r="A82" i="109"/>
  <c r="A107" i="109"/>
  <c r="A108" i="109" s="1"/>
  <c r="A84" i="109" s="1"/>
  <c r="A88" i="109"/>
  <c r="A92" i="109"/>
  <c r="T3" i="130"/>
  <c r="T4" i="130"/>
  <c r="T5" i="130"/>
  <c r="T6" i="130"/>
  <c r="T7" i="130"/>
  <c r="T8" i="130"/>
  <c r="T9" i="130"/>
  <c r="T10" i="130"/>
  <c r="T11" i="130"/>
  <c r="B14" i="130"/>
  <c r="C14" i="130"/>
  <c r="D14" i="130"/>
  <c r="E14" i="130"/>
  <c r="F14" i="130"/>
  <c r="G14" i="130"/>
  <c r="H14" i="130"/>
  <c r="I14" i="130"/>
  <c r="J14" i="130"/>
  <c r="K14" i="130"/>
  <c r="M14" i="130"/>
  <c r="N14" i="130"/>
  <c r="O14" i="130"/>
  <c r="P14" i="130"/>
  <c r="P16" i="130" s="1"/>
  <c r="Q14" i="130"/>
  <c r="R14" i="130"/>
  <c r="S14" i="130"/>
  <c r="V14" i="130"/>
  <c r="C23" i="130"/>
  <c r="D40" i="130" s="1"/>
  <c r="P23" i="130"/>
  <c r="Q23" i="130"/>
  <c r="R23" i="130"/>
  <c r="L24" i="130"/>
  <c r="P24" i="130"/>
  <c r="Q24" i="130"/>
  <c r="R24" i="130"/>
  <c r="L25" i="130"/>
  <c r="P25" i="130"/>
  <c r="Q25" i="130"/>
  <c r="R25" i="130"/>
  <c r="L26" i="130"/>
  <c r="P26" i="130"/>
  <c r="Q26" i="130"/>
  <c r="R26" i="130"/>
  <c r="L27" i="130"/>
  <c r="P27" i="130"/>
  <c r="Q27" i="130"/>
  <c r="R27" i="130"/>
  <c r="L28" i="130"/>
  <c r="P28" i="130"/>
  <c r="Q28" i="130"/>
  <c r="R28" i="130"/>
  <c r="L29" i="130"/>
  <c r="P29" i="130"/>
  <c r="Q29" i="130"/>
  <c r="R29" i="130"/>
  <c r="L30" i="130"/>
  <c r="P30" i="130"/>
  <c r="Q30" i="130"/>
  <c r="R30" i="130"/>
  <c r="L31" i="130"/>
  <c r="P31" i="130"/>
  <c r="Q31" i="130"/>
  <c r="R31" i="130"/>
  <c r="B34" i="130"/>
  <c r="D34" i="130"/>
  <c r="E34" i="130"/>
  <c r="F34" i="130"/>
  <c r="G34" i="130"/>
  <c r="H34" i="130"/>
  <c r="I34" i="130"/>
  <c r="K34" i="130"/>
  <c r="M34" i="130"/>
  <c r="M35" i="130" s="1"/>
  <c r="N36" i="130" s="1"/>
  <c r="N38" i="130" s="1"/>
  <c r="N34" i="130"/>
  <c r="O34" i="130"/>
  <c r="M40" i="130" s="1"/>
  <c r="B40" i="130"/>
  <c r="C40" i="130" s="1"/>
  <c r="E40" i="130"/>
  <c r="B41" i="130"/>
  <c r="C41" i="130" s="1"/>
  <c r="D41" i="130"/>
  <c r="E41" i="130"/>
  <c r="M41" i="130"/>
  <c r="B42" i="130"/>
  <c r="C42" i="130" s="1"/>
  <c r="D42" i="130"/>
  <c r="E42" i="130"/>
  <c r="B43" i="130"/>
  <c r="C43" i="130" s="1"/>
  <c r="D43" i="130"/>
  <c r="E43" i="130"/>
  <c r="I43" i="130"/>
  <c r="B44" i="130"/>
  <c r="C44" i="130" s="1"/>
  <c r="D44" i="130"/>
  <c r="E44" i="130"/>
  <c r="B45" i="130"/>
  <c r="C45" i="130" s="1"/>
  <c r="D45" i="130"/>
  <c r="E45" i="130"/>
  <c r="B46" i="130"/>
  <c r="C46" i="130" s="1"/>
  <c r="D46" i="130"/>
  <c r="E46" i="130"/>
  <c r="B47" i="130"/>
  <c r="C47" i="130" s="1"/>
  <c r="D47" i="130"/>
  <c r="E47" i="130"/>
  <c r="B48" i="130"/>
  <c r="C48" i="130" s="1"/>
  <c r="D48" i="130"/>
  <c r="E48" i="130"/>
  <c r="R11" i="98"/>
  <c r="AM30" i="132" s="1"/>
  <c r="AM46" i="132" s="1"/>
  <c r="C185" i="112"/>
  <c r="D185" i="112" s="1"/>
  <c r="C209" i="112"/>
  <c r="D209" i="112" s="1"/>
  <c r="E209" i="112" s="1"/>
  <c r="E35" i="114"/>
  <c r="E35" i="119"/>
  <c r="E31" i="119"/>
  <c r="T15" i="119"/>
  <c r="G13" i="119"/>
  <c r="T11" i="119"/>
  <c r="G11" i="119"/>
  <c r="G9" i="119"/>
  <c r="T7" i="119"/>
  <c r="G7" i="119"/>
  <c r="C18" i="112"/>
  <c r="D18" i="112" s="1"/>
  <c r="C184" i="112"/>
  <c r="D184" i="112" s="1"/>
  <c r="C267" i="112"/>
  <c r="D267" i="112" s="1"/>
  <c r="C208" i="112"/>
  <c r="D208" i="112" s="1"/>
  <c r="E208" i="112" s="1"/>
  <c r="C125" i="112"/>
  <c r="D125" i="112" s="1"/>
  <c r="E125" i="112" s="1"/>
  <c r="F34" i="154" s="1"/>
  <c r="D16" i="153" s="1"/>
  <c r="D16" i="155" s="1"/>
  <c r="D44" i="155" s="1"/>
  <c r="N61" i="114"/>
  <c r="I61" i="114" s="1"/>
  <c r="Q61" i="114" s="1"/>
  <c r="N62" i="114"/>
  <c r="I62" i="114" s="1"/>
  <c r="N63" i="114"/>
  <c r="I63" i="114" s="1"/>
  <c r="S63" i="114" s="1"/>
  <c r="N69" i="114"/>
  <c r="I69" i="114" s="1"/>
  <c r="N78" i="114"/>
  <c r="I78" i="114" s="1"/>
  <c r="Q78" i="114" s="1"/>
  <c r="N79" i="114"/>
  <c r="I79" i="114" s="1"/>
  <c r="N80" i="114"/>
  <c r="I80" i="114" s="1"/>
  <c r="R80" i="114" s="1"/>
  <c r="N81" i="114"/>
  <c r="I81" i="114" s="1"/>
  <c r="N82" i="114"/>
  <c r="I82" i="114" s="1"/>
  <c r="N83" i="114"/>
  <c r="I83" i="114" s="1"/>
  <c r="N84" i="114"/>
  <c r="I84" i="114" s="1"/>
  <c r="U84" i="114" s="1"/>
  <c r="N85" i="114"/>
  <c r="I85" i="114" s="1"/>
  <c r="N88" i="114"/>
  <c r="I88" i="114" s="1"/>
  <c r="Q88" i="114" s="1"/>
  <c r="N89" i="114"/>
  <c r="I89" i="114" s="1"/>
  <c r="X107" i="114"/>
  <c r="X108" i="114" s="1"/>
  <c r="V46" i="133"/>
  <c r="U46" i="133" s="1"/>
  <c r="U28" i="133" s="1"/>
  <c r="H45" i="102" s="1"/>
  <c r="E13" i="121" s="1"/>
  <c r="W28" i="133"/>
  <c r="H45" i="106" s="1"/>
  <c r="G32" i="146"/>
  <c r="M32" i="146"/>
  <c r="G12" i="146"/>
  <c r="M16" i="146" s="1"/>
  <c r="J13" i="146"/>
  <c r="F26" i="154"/>
  <c r="F11" i="153" s="1"/>
  <c r="F24" i="157"/>
  <c r="F24" i="154"/>
  <c r="F25" i="154" s="1"/>
  <c r="F24" i="91"/>
  <c r="F25" i="91" s="1"/>
  <c r="H18" i="60"/>
  <c r="D11" i="60"/>
  <c r="D11" i="116" s="1"/>
  <c r="H24" i="123"/>
  <c r="J90" i="176" s="1"/>
  <c r="F15" i="116"/>
  <c r="F43" i="116" s="1"/>
  <c r="U24" i="123"/>
  <c r="W90" i="176" s="1"/>
  <c r="U24" i="122"/>
  <c r="T38" i="123"/>
  <c r="P38" i="123"/>
  <c r="R92" i="176" s="1"/>
  <c r="H38" i="123"/>
  <c r="J92" i="176" s="1"/>
  <c r="D38" i="123"/>
  <c r="F92" i="176" s="1"/>
  <c r="Y39" i="122"/>
  <c r="Y10" i="122"/>
  <c r="Q10" i="122"/>
  <c r="AJ40" i="136"/>
  <c r="W34" i="132"/>
  <c r="H561" i="99"/>
  <c r="T38" i="98" s="1"/>
  <c r="H525" i="99"/>
  <c r="P38" i="98" s="1"/>
  <c r="H489" i="99"/>
  <c r="L38" i="98" s="1"/>
  <c r="AP37" i="136"/>
  <c r="AP37" i="132"/>
  <c r="AL37" i="136"/>
  <c r="AL37" i="132"/>
  <c r="AH37" i="136"/>
  <c r="AH37" i="132"/>
  <c r="Z37" i="136"/>
  <c r="Z37" i="132"/>
  <c r="N37" i="136"/>
  <c r="N37" i="132"/>
  <c r="AP36" i="136"/>
  <c r="AH36" i="136"/>
  <c r="AP35" i="132"/>
  <c r="AL35" i="132"/>
  <c r="AH35" i="132"/>
  <c r="Z35" i="132"/>
  <c r="N34" i="136"/>
  <c r="Z33" i="136"/>
  <c r="N33" i="136"/>
  <c r="N33" i="132"/>
  <c r="U11" i="98"/>
  <c r="AN32" i="132"/>
  <c r="AN48" i="132" s="1"/>
  <c r="W32" i="136"/>
  <c r="AS37" i="136"/>
  <c r="AS36" i="136"/>
  <c r="AS36" i="132"/>
  <c r="AK36" i="132"/>
  <c r="M36" i="136"/>
  <c r="M36" i="132"/>
  <c r="AS35" i="136"/>
  <c r="AS33" i="136"/>
  <c r="AM32" i="136"/>
  <c r="AM32" i="132"/>
  <c r="AM48" i="132" s="1"/>
  <c r="AI32" i="132"/>
  <c r="AI48" i="132" s="1"/>
  <c r="AI32" i="136"/>
  <c r="AD32" i="132"/>
  <c r="AD48" i="132" s="1"/>
  <c r="AD32" i="136"/>
  <c r="AJ37" i="132"/>
  <c r="AF37" i="132"/>
  <c r="F37" i="136"/>
  <c r="AN36" i="136"/>
  <c r="AN36" i="132"/>
  <c r="AJ36" i="132"/>
  <c r="AF36" i="132"/>
  <c r="X36" i="136"/>
  <c r="X36" i="132"/>
  <c r="F36" i="132"/>
  <c r="AN35" i="132"/>
  <c r="AF35" i="136"/>
  <c r="F35" i="132"/>
  <c r="X34" i="132"/>
  <c r="AN33" i="132"/>
  <c r="X33" i="136"/>
  <c r="X33" i="132"/>
  <c r="AL32" i="136"/>
  <c r="Z32" i="132"/>
  <c r="Z48" i="132" s="1"/>
  <c r="AI37" i="132"/>
  <c r="W37" i="132"/>
  <c r="AQ35" i="132"/>
  <c r="AM35" i="136"/>
  <c r="AM35" i="132"/>
  <c r="AI35" i="132"/>
  <c r="AD35" i="136"/>
  <c r="AD35" i="132"/>
  <c r="AQ34" i="136"/>
  <c r="AI34" i="136"/>
  <c r="AI34" i="132"/>
  <c r="AD34" i="132"/>
  <c r="AQ33" i="136"/>
  <c r="AQ33" i="132"/>
  <c r="AI33" i="136"/>
  <c r="AI33" i="132"/>
  <c r="AK32" i="132"/>
  <c r="AK48" i="132" s="1"/>
  <c r="AG32" i="132"/>
  <c r="AG48" i="132" s="1"/>
  <c r="AG32" i="136"/>
  <c r="Y32" i="136"/>
  <c r="V35" i="133"/>
  <c r="V31" i="133"/>
  <c r="H47" i="104" s="1"/>
  <c r="E15" i="122" s="1"/>
  <c r="W33" i="133"/>
  <c r="H377" i="106" s="1"/>
  <c r="X18" i="123" s="1"/>
  <c r="P18" i="177" s="1"/>
  <c r="J53" i="147"/>
  <c r="G16" i="148" s="1"/>
  <c r="G19" i="148" s="1"/>
  <c r="J55" i="147"/>
  <c r="J43" i="147"/>
  <c r="AQ32" i="132"/>
  <c r="AQ48" i="132" s="1"/>
  <c r="H14" i="106"/>
  <c r="C18" i="123" s="1"/>
  <c r="F18" i="177" s="1"/>
  <c r="U89" i="114"/>
  <c r="R89" i="114"/>
  <c r="V83" i="114"/>
  <c r="T83" i="114"/>
  <c r="S83" i="114"/>
  <c r="V79" i="114"/>
  <c r="T79" i="114"/>
  <c r="S79" i="114"/>
  <c r="R62" i="114"/>
  <c r="S62" i="114"/>
  <c r="T62" i="114"/>
  <c r="N16" i="146"/>
  <c r="S88" i="114"/>
  <c r="U88" i="114"/>
  <c r="R88" i="114"/>
  <c r="V88" i="114"/>
  <c r="T88" i="114"/>
  <c r="S84" i="114"/>
  <c r="S82" i="114"/>
  <c r="U82" i="114"/>
  <c r="V82" i="114"/>
  <c r="T82" i="114"/>
  <c r="R82" i="114"/>
  <c r="S80" i="114"/>
  <c r="S78" i="114"/>
  <c r="U78" i="114"/>
  <c r="V78" i="114"/>
  <c r="T78" i="114"/>
  <c r="R78" i="114"/>
  <c r="V61" i="114"/>
  <c r="U61" i="114"/>
  <c r="T61" i="114"/>
  <c r="S61" i="114"/>
  <c r="R61" i="114"/>
  <c r="T53" i="133"/>
  <c r="T35" i="133" s="1"/>
  <c r="U35" i="133"/>
  <c r="G21" i="148"/>
  <c r="AI39" i="132"/>
  <c r="AG39" i="132"/>
  <c r="Y37" i="132"/>
  <c r="AM36" i="132"/>
  <c r="AG34" i="136"/>
  <c r="AG34" i="132"/>
  <c r="AG33" i="136"/>
  <c r="L24" i="98"/>
  <c r="E17" i="116"/>
  <c r="E45" i="116" s="1"/>
  <c r="W23" i="122"/>
  <c r="S24" i="122"/>
  <c r="G10" i="155"/>
  <c r="G38" i="155" s="1"/>
  <c r="AJ31" i="136"/>
  <c r="AP36" i="132"/>
  <c r="N36" i="132"/>
  <c r="Y34" i="136"/>
  <c r="E18" i="116"/>
  <c r="D18" i="158"/>
  <c r="D46" i="158" s="1"/>
  <c r="H18" i="156"/>
  <c r="U44" i="121"/>
  <c r="W55" i="176" s="1"/>
  <c r="W23" i="123"/>
  <c r="W22" i="123"/>
  <c r="W19" i="123"/>
  <c r="K19" i="177" s="1"/>
  <c r="H47" i="165"/>
  <c r="F15" i="161"/>
  <c r="F43" i="161" s="1"/>
  <c r="G18" i="161"/>
  <c r="G46" i="161" s="1"/>
  <c r="E38" i="161"/>
  <c r="C11" i="161"/>
  <c r="C39" i="161" s="1"/>
  <c r="V32" i="176" l="1"/>
  <c r="V30" i="176"/>
  <c r="V127" i="176" s="1"/>
  <c r="V66" i="176"/>
  <c r="V85" i="176"/>
  <c r="V47" i="133"/>
  <c r="H386" i="102"/>
  <c r="Y9" i="121" s="1"/>
  <c r="M16" i="130"/>
  <c r="V88" i="176"/>
  <c r="V86" i="176"/>
  <c r="Y44" i="121"/>
  <c r="H186" i="106"/>
  <c r="V53" i="176"/>
  <c r="K19" i="148"/>
  <c r="K28" i="148"/>
  <c r="K27" i="148"/>
  <c r="J75" i="168"/>
  <c r="D39" i="121"/>
  <c r="AI117" i="167"/>
  <c r="P73" i="176"/>
  <c r="N44" i="122"/>
  <c r="AK40" i="136"/>
  <c r="R35" i="176"/>
  <c r="K29" i="176"/>
  <c r="Z34" i="136"/>
  <c r="Z34" i="132"/>
  <c r="C124" i="112"/>
  <c r="D124" i="112" s="1"/>
  <c r="E124" i="112" s="1"/>
  <c r="F33" i="154" s="1"/>
  <c r="C16" i="153" s="1"/>
  <c r="C16" i="112"/>
  <c r="D16" i="112" s="1"/>
  <c r="A65" i="112"/>
  <c r="AG81" i="167"/>
  <c r="AG53" i="167" s="1"/>
  <c r="N33" i="176"/>
  <c r="AI79" i="167"/>
  <c r="P31" i="176"/>
  <c r="AP77" i="167"/>
  <c r="W29" i="176"/>
  <c r="P26" i="176"/>
  <c r="P113" i="176" s="1"/>
  <c r="P25" i="176"/>
  <c r="N23" i="177"/>
  <c r="Z51" i="176"/>
  <c r="N21" i="177"/>
  <c r="Z49" i="176"/>
  <c r="Z128" i="176" s="1"/>
  <c r="D20" i="177"/>
  <c r="E48" i="176"/>
  <c r="R45" i="176"/>
  <c r="R114" i="176" s="1"/>
  <c r="R44" i="176"/>
  <c r="AH116" i="167"/>
  <c r="O72" i="176"/>
  <c r="AK114" i="167"/>
  <c r="R70" i="176"/>
  <c r="M114" i="167"/>
  <c r="F70" i="176"/>
  <c r="AD113" i="167"/>
  <c r="L69" i="176"/>
  <c r="M112" i="167"/>
  <c r="F68" i="176"/>
  <c r="F129" i="176" s="1"/>
  <c r="T24" i="122"/>
  <c r="Y34" i="132"/>
  <c r="O24" i="122"/>
  <c r="AJ115" i="166" s="1"/>
  <c r="AJ55" i="166" s="1"/>
  <c r="AO33" i="136"/>
  <c r="AQ36" i="132"/>
  <c r="W39" i="136"/>
  <c r="AQ39" i="132"/>
  <c r="V28" i="133"/>
  <c r="H45" i="104" s="1"/>
  <c r="E13" i="122" s="1"/>
  <c r="AI36" i="136"/>
  <c r="P11" i="98"/>
  <c r="AP30" i="132"/>
  <c r="AP46" i="132" s="1"/>
  <c r="W26" i="176"/>
  <c r="W113" i="176" s="1"/>
  <c r="W25" i="176"/>
  <c r="AL33" i="132"/>
  <c r="AG83" i="167"/>
  <c r="N35" i="176"/>
  <c r="AI31" i="136"/>
  <c r="I24" i="122"/>
  <c r="K24" i="121"/>
  <c r="M52" i="176" s="1"/>
  <c r="J24" i="123"/>
  <c r="L90" i="176" s="1"/>
  <c r="AL83" i="167"/>
  <c r="S35" i="176"/>
  <c r="Z82" i="167"/>
  <c r="K34" i="176"/>
  <c r="AS37" i="132"/>
  <c r="M23" i="177"/>
  <c r="Z32" i="176"/>
  <c r="AJ37" i="136"/>
  <c r="Q32" i="176"/>
  <c r="C23" i="177"/>
  <c r="E32" i="176"/>
  <c r="AL79" i="167"/>
  <c r="S31" i="176"/>
  <c r="AH79" i="167"/>
  <c r="O31" i="176"/>
  <c r="Z36" i="132"/>
  <c r="K31" i="176"/>
  <c r="N36" i="136"/>
  <c r="G31" i="176"/>
  <c r="AS78" i="167"/>
  <c r="M21" i="177"/>
  <c r="Z30" i="176"/>
  <c r="Z127" i="176" s="1"/>
  <c r="AN78" i="167"/>
  <c r="U30" i="176"/>
  <c r="U127" i="176" s="1"/>
  <c r="AJ78" i="167"/>
  <c r="Q30" i="176"/>
  <c r="Q127" i="176" s="1"/>
  <c r="AF78" i="167"/>
  <c r="M30" i="176"/>
  <c r="M127" i="176" s="1"/>
  <c r="F35" i="136"/>
  <c r="C21" i="177"/>
  <c r="E30" i="176"/>
  <c r="E127" i="176" s="1"/>
  <c r="V28" i="176"/>
  <c r="AK33" i="136"/>
  <c r="R28" i="176"/>
  <c r="AG33" i="132"/>
  <c r="N28" i="176"/>
  <c r="Z33" i="132"/>
  <c r="K28" i="176"/>
  <c r="AS77" i="167"/>
  <c r="M20" i="177"/>
  <c r="Z29" i="176"/>
  <c r="AL77" i="167"/>
  <c r="S29" i="176"/>
  <c r="F77" i="167"/>
  <c r="C20" i="177"/>
  <c r="E29" i="176"/>
  <c r="M24" i="98"/>
  <c r="O23" i="176"/>
  <c r="O99" i="176" s="1"/>
  <c r="N35" i="177"/>
  <c r="Z53" i="176"/>
  <c r="W99" i="167"/>
  <c r="H53" i="176"/>
  <c r="AO96" i="167"/>
  <c r="V50" i="176"/>
  <c r="V47" i="176"/>
  <c r="W45" i="176"/>
  <c r="W114" i="176" s="1"/>
  <c r="W44" i="176"/>
  <c r="M45" i="176"/>
  <c r="M114" i="176" s="1"/>
  <c r="M44" i="176"/>
  <c r="V42" i="176"/>
  <c r="V100" i="176" s="1"/>
  <c r="AS117" i="167"/>
  <c r="O38" i="177"/>
  <c r="Z73" i="176"/>
  <c r="AQ116" i="167"/>
  <c r="X72" i="176"/>
  <c r="AK116" i="167"/>
  <c r="R72" i="176"/>
  <c r="AG116" i="167"/>
  <c r="N72" i="176"/>
  <c r="W116" i="167"/>
  <c r="H72" i="176"/>
  <c r="AS114" i="167"/>
  <c r="O23" i="177"/>
  <c r="Z70" i="176"/>
  <c r="AN114" i="167"/>
  <c r="U70" i="176"/>
  <c r="AJ114" i="167"/>
  <c r="Q70" i="176"/>
  <c r="AF114" i="167"/>
  <c r="M70" i="176"/>
  <c r="X114" i="167"/>
  <c r="I70" i="176"/>
  <c r="F114" i="167"/>
  <c r="E23" i="177"/>
  <c r="E70" i="176"/>
  <c r="AP113" i="167"/>
  <c r="W69" i="176"/>
  <c r="AL113" i="167"/>
  <c r="S69" i="176"/>
  <c r="AH113" i="167"/>
  <c r="O69" i="176"/>
  <c r="Z113" i="167"/>
  <c r="K69" i="176"/>
  <c r="N113" i="167"/>
  <c r="G69" i="176"/>
  <c r="AS112" i="167"/>
  <c r="O21" i="177"/>
  <c r="Z68" i="176"/>
  <c r="Z129" i="176" s="1"/>
  <c r="AN112" i="167"/>
  <c r="U68" i="176"/>
  <c r="U129" i="176" s="1"/>
  <c r="AJ112" i="167"/>
  <c r="Q68" i="176"/>
  <c r="Q129" i="176" s="1"/>
  <c r="AF112" i="167"/>
  <c r="M68" i="176"/>
  <c r="M129" i="176" s="1"/>
  <c r="X112" i="167"/>
  <c r="I68" i="176"/>
  <c r="I129" i="176" s="1"/>
  <c r="F112" i="167"/>
  <c r="E21" i="177"/>
  <c r="E68" i="176"/>
  <c r="E129" i="176" s="1"/>
  <c r="AM111" i="167"/>
  <c r="T67" i="176"/>
  <c r="AH111" i="167"/>
  <c r="O67" i="176"/>
  <c r="Z111" i="167"/>
  <c r="K67" i="176"/>
  <c r="AQ110" i="167"/>
  <c r="X66" i="176"/>
  <c r="AM110" i="167"/>
  <c r="T66" i="176"/>
  <c r="AK109" i="167"/>
  <c r="AK50" i="167" s="1"/>
  <c r="R65" i="176"/>
  <c r="R122" i="176" s="1"/>
  <c r="Y109" i="167"/>
  <c r="J65" i="176"/>
  <c r="J122" i="176" s="1"/>
  <c r="U64" i="176"/>
  <c r="U115" i="176" s="1"/>
  <c r="U63" i="176"/>
  <c r="Q64" i="176"/>
  <c r="Q115" i="176" s="1"/>
  <c r="Q63" i="176"/>
  <c r="J63" i="176"/>
  <c r="J64" i="176"/>
  <c r="J115" i="176" s="1"/>
  <c r="H24" i="122"/>
  <c r="J61" i="176"/>
  <c r="J101" i="176" s="1"/>
  <c r="W43" i="123"/>
  <c r="F35" i="177"/>
  <c r="E91" i="176"/>
  <c r="P22" i="177"/>
  <c r="Z88" i="176"/>
  <c r="F22" i="177"/>
  <c r="E88" i="176"/>
  <c r="P20" i="177"/>
  <c r="Z86" i="176"/>
  <c r="U83" i="176"/>
  <c r="U116" i="176" s="1"/>
  <c r="U82" i="176"/>
  <c r="P83" i="176"/>
  <c r="P116" i="176" s="1"/>
  <c r="P82" i="176"/>
  <c r="J83" i="176"/>
  <c r="J116" i="176" s="1"/>
  <c r="V80" i="176"/>
  <c r="V102" i="176" s="1"/>
  <c r="C41" i="112"/>
  <c r="D41" i="112" s="1"/>
  <c r="E41" i="112" s="1"/>
  <c r="AN75" i="167"/>
  <c r="AN48" i="167" s="1"/>
  <c r="U27" i="176"/>
  <c r="U120" i="176" s="1"/>
  <c r="AH75" i="167"/>
  <c r="AH48" i="167" s="1"/>
  <c r="O27" i="176"/>
  <c r="O120" i="176" s="1"/>
  <c r="AD100" i="167"/>
  <c r="L54" i="176"/>
  <c r="AG100" i="167"/>
  <c r="N54" i="176"/>
  <c r="AI100" i="167"/>
  <c r="P54" i="176"/>
  <c r="AK100" i="167"/>
  <c r="R54" i="176"/>
  <c r="V54" i="176"/>
  <c r="AQ100" i="167"/>
  <c r="X54" i="176"/>
  <c r="M111" i="167"/>
  <c r="F67" i="176"/>
  <c r="W111" i="167"/>
  <c r="H67" i="176"/>
  <c r="V61" i="176"/>
  <c r="V101" i="176" s="1"/>
  <c r="AH117" i="167"/>
  <c r="O73" i="176"/>
  <c r="AN116" i="167"/>
  <c r="U72" i="176"/>
  <c r="AS116" i="167"/>
  <c r="O35" i="177"/>
  <c r="Z72" i="176"/>
  <c r="K23" i="177"/>
  <c r="Y89" i="176"/>
  <c r="AR114" i="167"/>
  <c r="J23" i="177"/>
  <c r="Y70" i="176"/>
  <c r="M37" i="132"/>
  <c r="F32" i="176"/>
  <c r="AD36" i="132"/>
  <c r="L31" i="176"/>
  <c r="M35" i="132"/>
  <c r="F30" i="176"/>
  <c r="F127" i="176" s="1"/>
  <c r="W76" i="167"/>
  <c r="H28" i="176"/>
  <c r="AN77" i="167"/>
  <c r="U29" i="176"/>
  <c r="F97" i="167"/>
  <c r="D23" i="177"/>
  <c r="E51" i="176"/>
  <c r="D21" i="177"/>
  <c r="E49" i="176"/>
  <c r="E128" i="176" s="1"/>
  <c r="X45" i="176"/>
  <c r="X114" i="176" s="1"/>
  <c r="X44" i="176"/>
  <c r="AG112" i="167"/>
  <c r="N68" i="176"/>
  <c r="N129" i="176" s="1"/>
  <c r="AD111" i="167"/>
  <c r="L67" i="176"/>
  <c r="AI30" i="136"/>
  <c r="AO37" i="132"/>
  <c r="AO33" i="132"/>
  <c r="AD36" i="136"/>
  <c r="AQ36" i="136"/>
  <c r="AK37" i="136"/>
  <c r="AD39" i="136"/>
  <c r="G16" i="146"/>
  <c r="D11" i="153"/>
  <c r="D11" i="155" s="1"/>
  <c r="W33" i="136"/>
  <c r="AL33" i="136"/>
  <c r="AP115" i="167"/>
  <c r="AP55" i="167" s="1"/>
  <c r="W71" i="176"/>
  <c r="R24" i="123"/>
  <c r="T90" i="176" s="1"/>
  <c r="C102" i="112"/>
  <c r="D102" i="112" s="1"/>
  <c r="Y83" i="167"/>
  <c r="J35" i="176"/>
  <c r="AO39" i="132"/>
  <c r="V34" i="176"/>
  <c r="AK39" i="136"/>
  <c r="R34" i="176"/>
  <c r="Y39" i="136"/>
  <c r="J34" i="176"/>
  <c r="AQ37" i="136"/>
  <c r="X32" i="176"/>
  <c r="R24" i="98"/>
  <c r="T32" i="176"/>
  <c r="V31" i="176"/>
  <c r="Y79" i="167"/>
  <c r="J31" i="176"/>
  <c r="AQ35" i="136"/>
  <c r="X30" i="176"/>
  <c r="X127" i="176" s="1"/>
  <c r="AI35" i="136"/>
  <c r="P30" i="176"/>
  <c r="P127" i="176" s="1"/>
  <c r="W78" i="167"/>
  <c r="H30" i="176"/>
  <c r="H127" i="176" s="1"/>
  <c r="AS76" i="167"/>
  <c r="M19" i="177"/>
  <c r="Z28" i="176"/>
  <c r="AN33" i="136"/>
  <c r="U28" i="176"/>
  <c r="AJ76" i="167"/>
  <c r="Q28" i="176"/>
  <c r="Y33" i="136"/>
  <c r="J28" i="176"/>
  <c r="F28" i="176"/>
  <c r="T11" i="98"/>
  <c r="AQ77" i="167"/>
  <c r="X29" i="176"/>
  <c r="V29" i="176"/>
  <c r="Q26" i="176"/>
  <c r="Q113" i="176" s="1"/>
  <c r="X34" i="136"/>
  <c r="I29" i="176"/>
  <c r="T24" i="98"/>
  <c r="V23" i="176"/>
  <c r="V99" i="176" s="1"/>
  <c r="W37" i="121"/>
  <c r="D37" i="177"/>
  <c r="AL99" i="167"/>
  <c r="S53" i="176"/>
  <c r="AP97" i="167"/>
  <c r="W51" i="176"/>
  <c r="Z97" i="167"/>
  <c r="K51" i="176"/>
  <c r="N22" i="177"/>
  <c r="Z50" i="176"/>
  <c r="D22" i="177"/>
  <c r="E50" i="176"/>
  <c r="N20" i="177"/>
  <c r="Z48" i="176"/>
  <c r="N19" i="177"/>
  <c r="Z47" i="176"/>
  <c r="E47" i="176"/>
  <c r="D19" i="177"/>
  <c r="V45" i="176"/>
  <c r="V114" i="176" s="1"/>
  <c r="V44" i="176"/>
  <c r="AF117" i="167"/>
  <c r="M73" i="176"/>
  <c r="W37" i="122"/>
  <c r="AJ116" i="167"/>
  <c r="Q72" i="176"/>
  <c r="AD116" i="167"/>
  <c r="L72" i="176"/>
  <c r="N116" i="167"/>
  <c r="G72" i="176"/>
  <c r="AQ114" i="167"/>
  <c r="X70" i="176"/>
  <c r="AM114" i="167"/>
  <c r="T70" i="176"/>
  <c r="AI114" i="167"/>
  <c r="P70" i="176"/>
  <c r="AD114" i="167"/>
  <c r="L70" i="176"/>
  <c r="W114" i="167"/>
  <c r="H70" i="176"/>
  <c r="V69" i="176"/>
  <c r="AK113" i="167"/>
  <c r="R69" i="176"/>
  <c r="AG113" i="167"/>
  <c r="N69" i="176"/>
  <c r="Y113" i="167"/>
  <c r="J69" i="176"/>
  <c r="M113" i="167"/>
  <c r="F69" i="176"/>
  <c r="AQ112" i="167"/>
  <c r="X68" i="176"/>
  <c r="X129" i="176" s="1"/>
  <c r="AM112" i="167"/>
  <c r="T68" i="176"/>
  <c r="T129" i="176" s="1"/>
  <c r="AI112" i="167"/>
  <c r="P68" i="176"/>
  <c r="P129" i="176" s="1"/>
  <c r="AD112" i="167"/>
  <c r="L68" i="176"/>
  <c r="L129" i="176" s="1"/>
  <c r="W112" i="167"/>
  <c r="H68" i="176"/>
  <c r="H129" i="176" s="1"/>
  <c r="AS111" i="167"/>
  <c r="O20" i="177"/>
  <c r="Z67" i="176"/>
  <c r="AK111" i="167"/>
  <c r="R67" i="176"/>
  <c r="AG111" i="167"/>
  <c r="N67" i="176"/>
  <c r="Y111" i="167"/>
  <c r="J67" i="176"/>
  <c r="AP110" i="167"/>
  <c r="W66" i="176"/>
  <c r="AL110" i="167"/>
  <c r="S66" i="176"/>
  <c r="AH110" i="167"/>
  <c r="O66" i="176"/>
  <c r="Z110" i="167"/>
  <c r="K66" i="176"/>
  <c r="N110" i="167"/>
  <c r="G66" i="176"/>
  <c r="V65" i="176"/>
  <c r="V122" i="176" s="1"/>
  <c r="AI109" i="167"/>
  <c r="AI50" i="167" s="1"/>
  <c r="P65" i="176"/>
  <c r="P122" i="176" s="1"/>
  <c r="W109" i="167"/>
  <c r="W50" i="167" s="1"/>
  <c r="H65" i="176"/>
  <c r="H122" i="176" s="1"/>
  <c r="X64" i="176"/>
  <c r="X115" i="176" s="1"/>
  <c r="X63" i="176"/>
  <c r="T64" i="176"/>
  <c r="T115" i="176" s="1"/>
  <c r="T63" i="176"/>
  <c r="M64" i="176"/>
  <c r="M115" i="176" s="1"/>
  <c r="M63" i="176"/>
  <c r="V89" i="176"/>
  <c r="V87" i="176"/>
  <c r="V130" i="176" s="1"/>
  <c r="F20" i="177"/>
  <c r="E86" i="176"/>
  <c r="S82" i="176"/>
  <c r="S83" i="176"/>
  <c r="S116" i="176" s="1"/>
  <c r="O83" i="176"/>
  <c r="O116" i="176" s="1"/>
  <c r="O82" i="176"/>
  <c r="C42" i="112"/>
  <c r="D42" i="112" s="1"/>
  <c r="E42" i="112" s="1"/>
  <c r="C8" i="113"/>
  <c r="C9" i="113" s="1"/>
  <c r="C10" i="113" s="1"/>
  <c r="AQ75" i="167"/>
  <c r="AQ48" i="167" s="1"/>
  <c r="X27" i="176"/>
  <c r="X120" i="176" s="1"/>
  <c r="J45" i="176"/>
  <c r="J114" i="176" s="1"/>
  <c r="J44" i="176"/>
  <c r="P44" i="176"/>
  <c r="P45" i="176"/>
  <c r="P114" i="176" s="1"/>
  <c r="Q45" i="176"/>
  <c r="Q114" i="176" s="1"/>
  <c r="Q44" i="176"/>
  <c r="AO94" i="167"/>
  <c r="V48" i="176"/>
  <c r="M100" i="167"/>
  <c r="F54" i="176"/>
  <c r="X111" i="167"/>
  <c r="I67" i="176"/>
  <c r="AL111" i="167"/>
  <c r="S67" i="176"/>
  <c r="F116" i="167"/>
  <c r="E35" i="177"/>
  <c r="E72" i="176"/>
  <c r="N117" i="167"/>
  <c r="G73" i="176"/>
  <c r="G44" i="123"/>
  <c r="I93" i="176" s="1"/>
  <c r="I92" i="176"/>
  <c r="P38" i="177"/>
  <c r="Z92" i="176"/>
  <c r="AM31" i="132"/>
  <c r="AM47" i="132" s="1"/>
  <c r="T25" i="176"/>
  <c r="T26" i="176"/>
  <c r="T113" i="176" s="1"/>
  <c r="AG37" i="132"/>
  <c r="N32" i="176"/>
  <c r="AG35" i="136"/>
  <c r="N30" i="176"/>
  <c r="N127" i="176" s="1"/>
  <c r="M34" i="136"/>
  <c r="F29" i="176"/>
  <c r="AL116" i="167"/>
  <c r="S72" i="176"/>
  <c r="X116" i="167"/>
  <c r="I72" i="176"/>
  <c r="AG114" i="167"/>
  <c r="N70" i="176"/>
  <c r="AQ113" i="167"/>
  <c r="X69" i="176"/>
  <c r="AI113" i="167"/>
  <c r="P69" i="176"/>
  <c r="W113" i="167"/>
  <c r="H69" i="176"/>
  <c r="AK112" i="167"/>
  <c r="R68" i="176"/>
  <c r="R129" i="176" s="1"/>
  <c r="Y112" i="167"/>
  <c r="J68" i="176"/>
  <c r="J129" i="176" s="1"/>
  <c r="AN110" i="167"/>
  <c r="U66" i="176"/>
  <c r="K22" i="177"/>
  <c r="Y88" i="176"/>
  <c r="AI30" i="132"/>
  <c r="AI46" i="132" s="1"/>
  <c r="W23" i="98"/>
  <c r="AN115" i="167"/>
  <c r="AN55" i="167" s="1"/>
  <c r="U71" i="176"/>
  <c r="D39" i="116"/>
  <c r="AM36" i="136"/>
  <c r="Y37" i="136"/>
  <c r="AK37" i="132"/>
  <c r="AN34" i="132"/>
  <c r="M34" i="132"/>
  <c r="N34" i="132"/>
  <c r="T44" i="123"/>
  <c r="W21" i="123"/>
  <c r="M38" i="177"/>
  <c r="Z35" i="176"/>
  <c r="AJ83" i="167"/>
  <c r="Q35" i="176"/>
  <c r="M35" i="177"/>
  <c r="Z34" i="176"/>
  <c r="O44" i="98"/>
  <c r="Q34" i="176"/>
  <c r="C35" i="177"/>
  <c r="E34" i="176"/>
  <c r="M22" i="177"/>
  <c r="Z31" i="176"/>
  <c r="AJ79" i="167"/>
  <c r="Q31" i="176"/>
  <c r="AF79" i="167"/>
  <c r="M31" i="176"/>
  <c r="F79" i="167"/>
  <c r="C22" i="177"/>
  <c r="E31" i="176"/>
  <c r="AP78" i="167"/>
  <c r="W30" i="176"/>
  <c r="W127" i="176" s="1"/>
  <c r="AL78" i="167"/>
  <c r="S30" i="176"/>
  <c r="S127" i="176" s="1"/>
  <c r="AH78" i="167"/>
  <c r="O30" i="176"/>
  <c r="O127" i="176" s="1"/>
  <c r="Z78" i="167"/>
  <c r="K30" i="176"/>
  <c r="K127" i="176" s="1"/>
  <c r="AD34" i="136"/>
  <c r="L29" i="176"/>
  <c r="AF33" i="132"/>
  <c r="M28" i="176"/>
  <c r="W77" i="167"/>
  <c r="H29" i="176"/>
  <c r="H24" i="98"/>
  <c r="J23" i="176"/>
  <c r="J99" i="176" s="1"/>
  <c r="W43" i="121"/>
  <c r="AG97" i="167"/>
  <c r="N51" i="176"/>
  <c r="U45" i="176"/>
  <c r="U114" i="176" s="1"/>
  <c r="U44" i="176"/>
  <c r="AS118" i="167"/>
  <c r="AS60" i="167" s="1"/>
  <c r="O44" i="177"/>
  <c r="Z74" i="176"/>
  <c r="X117" i="167"/>
  <c r="I73" i="176"/>
  <c r="AI116" i="167"/>
  <c r="P72" i="176"/>
  <c r="Y116" i="167"/>
  <c r="J72" i="176"/>
  <c r="AP114" i="167"/>
  <c r="W70" i="176"/>
  <c r="AL114" i="167"/>
  <c r="S70" i="176"/>
  <c r="AH114" i="167"/>
  <c r="O70" i="176"/>
  <c r="Z114" i="167"/>
  <c r="K70" i="176"/>
  <c r="N114" i="167"/>
  <c r="G70" i="176"/>
  <c r="AS113" i="167"/>
  <c r="O22" i="177"/>
  <c r="Z69" i="176"/>
  <c r="AN113" i="167"/>
  <c r="U69" i="176"/>
  <c r="AJ113" i="167"/>
  <c r="Q69" i="176"/>
  <c r="AF113" i="167"/>
  <c r="M69" i="176"/>
  <c r="X113" i="167"/>
  <c r="I69" i="176"/>
  <c r="F113" i="167"/>
  <c r="E22" i="177"/>
  <c r="E69" i="176"/>
  <c r="AP112" i="167"/>
  <c r="W68" i="176"/>
  <c r="W129" i="176" s="1"/>
  <c r="AL112" i="167"/>
  <c r="S68" i="176"/>
  <c r="S129" i="176" s="1"/>
  <c r="AH112" i="167"/>
  <c r="O68" i="176"/>
  <c r="O129" i="176" s="1"/>
  <c r="Z112" i="167"/>
  <c r="K68" i="176"/>
  <c r="K129" i="176" s="1"/>
  <c r="N112" i="167"/>
  <c r="G68" i="176"/>
  <c r="G129" i="176" s="1"/>
  <c r="AQ111" i="167"/>
  <c r="X67" i="176"/>
  <c r="AJ111" i="167"/>
  <c r="Q67" i="176"/>
  <c r="AF111" i="167"/>
  <c r="M67" i="176"/>
  <c r="M109" i="167"/>
  <c r="M50" i="167" s="1"/>
  <c r="F65" i="176"/>
  <c r="F122" i="176" s="1"/>
  <c r="W64" i="176"/>
  <c r="W115" i="176" s="1"/>
  <c r="W63" i="176"/>
  <c r="S63" i="176"/>
  <c r="S64" i="176"/>
  <c r="S115" i="176" s="1"/>
  <c r="L64" i="176"/>
  <c r="L115" i="176" s="1"/>
  <c r="P23" i="177"/>
  <c r="Z89" i="176"/>
  <c r="F23" i="177"/>
  <c r="E89" i="176"/>
  <c r="P21" i="177"/>
  <c r="Z87" i="176"/>
  <c r="Z130" i="176" s="1"/>
  <c r="F21" i="177"/>
  <c r="E87" i="176"/>
  <c r="E130" i="176" s="1"/>
  <c r="X83" i="176"/>
  <c r="X116" i="176" s="1"/>
  <c r="X82" i="176"/>
  <c r="R83" i="176"/>
  <c r="R116" i="176" s="1"/>
  <c r="R82" i="176"/>
  <c r="L83" i="176"/>
  <c r="L116" i="176" s="1"/>
  <c r="L82" i="176"/>
  <c r="Z32" i="136"/>
  <c r="K27" i="176"/>
  <c r="K120" i="176" s="1"/>
  <c r="H52" i="116"/>
  <c r="F111" i="167"/>
  <c r="E20" i="177"/>
  <c r="E67" i="176"/>
  <c r="N111" i="167"/>
  <c r="G67" i="176"/>
  <c r="Y117" i="167"/>
  <c r="J73" i="176"/>
  <c r="AM116" i="167"/>
  <c r="T72" i="176"/>
  <c r="H204" i="106"/>
  <c r="V91" i="176"/>
  <c r="AJ117" i="167"/>
  <c r="Q73" i="176"/>
  <c r="Y114" i="167"/>
  <c r="J70" i="176"/>
  <c r="AM113" i="167"/>
  <c r="T69" i="176"/>
  <c r="AI111" i="167"/>
  <c r="P67" i="176"/>
  <c r="AS110" i="167"/>
  <c r="O19" i="177"/>
  <c r="Z66" i="176"/>
  <c r="AJ110" i="167"/>
  <c r="Q66" i="176"/>
  <c r="AF110" i="167"/>
  <c r="M66" i="176"/>
  <c r="X110" i="167"/>
  <c r="I66" i="176"/>
  <c r="AQ109" i="167"/>
  <c r="AQ50" i="167" s="1"/>
  <c r="X65" i="176"/>
  <c r="X122" i="176" s="1"/>
  <c r="AM109" i="167"/>
  <c r="AM50" i="167" s="1"/>
  <c r="T65" i="176"/>
  <c r="T122" i="176" s="1"/>
  <c r="AG109" i="167"/>
  <c r="AG50" i="167" s="1"/>
  <c r="N65" i="176"/>
  <c r="N122" i="176" s="1"/>
  <c r="V64" i="176"/>
  <c r="V115" i="176" s="1"/>
  <c r="V63" i="176"/>
  <c r="R64" i="176"/>
  <c r="R115" i="176" s="1"/>
  <c r="R63" i="176"/>
  <c r="K64" i="176"/>
  <c r="K115" i="176" s="1"/>
  <c r="P35" i="177"/>
  <c r="Z91" i="176"/>
  <c r="P19" i="177"/>
  <c r="Z85" i="176"/>
  <c r="W83" i="176"/>
  <c r="W116" i="176" s="1"/>
  <c r="W82" i="176"/>
  <c r="Q83" i="176"/>
  <c r="Q116" i="176" s="1"/>
  <c r="Q82" i="176"/>
  <c r="K82" i="176"/>
  <c r="K83" i="176"/>
  <c r="K116" i="176" s="1"/>
  <c r="Q26" i="168"/>
  <c r="Q84" i="176"/>
  <c r="Q123" i="176" s="1"/>
  <c r="V27" i="176"/>
  <c r="V120" i="176" s="1"/>
  <c r="V124" i="176" s="1"/>
  <c r="D35" i="177"/>
  <c r="E53" i="176"/>
  <c r="Y99" i="167"/>
  <c r="J53" i="176"/>
  <c r="AJ106" i="167"/>
  <c r="AJ35" i="167" s="1"/>
  <c r="Q62" i="176"/>
  <c r="Q108" i="176" s="1"/>
  <c r="AL106" i="167"/>
  <c r="AL35" i="167" s="1"/>
  <c r="S62" i="176"/>
  <c r="S108" i="176" s="1"/>
  <c r="AN111" i="167"/>
  <c r="U67" i="176"/>
  <c r="AP111" i="167"/>
  <c r="W67" i="176"/>
  <c r="Z116" i="167"/>
  <c r="K72" i="176"/>
  <c r="AF116" i="167"/>
  <c r="M72" i="176"/>
  <c r="AK117" i="167"/>
  <c r="R73" i="176"/>
  <c r="AM117" i="167"/>
  <c r="T73" i="176"/>
  <c r="AQ117" i="167"/>
  <c r="X73" i="176"/>
  <c r="Y85" i="176"/>
  <c r="D85" i="176" s="1"/>
  <c r="E85" i="176"/>
  <c r="F110" i="167"/>
  <c r="E66" i="176"/>
  <c r="B108" i="132"/>
  <c r="B124" i="166"/>
  <c r="F25" i="157"/>
  <c r="D11" i="156"/>
  <c r="S11" i="98"/>
  <c r="H294" i="99"/>
  <c r="H293" i="99" s="1"/>
  <c r="S9" i="98" s="1"/>
  <c r="U24" i="176" s="1"/>
  <c r="U106" i="176" s="1"/>
  <c r="H186" i="99"/>
  <c r="M11" i="98"/>
  <c r="AP31" i="132"/>
  <c r="AP47" i="132" s="1"/>
  <c r="W22" i="122"/>
  <c r="U80" i="114"/>
  <c r="AJ33" i="132"/>
  <c r="R24" i="122"/>
  <c r="AM115" i="166" s="1"/>
  <c r="AM55" i="166" s="1"/>
  <c r="H498" i="99"/>
  <c r="M38" i="98" s="1"/>
  <c r="AH83" i="166" s="1"/>
  <c r="M39" i="98"/>
  <c r="AM76" i="167"/>
  <c r="AM33" i="136"/>
  <c r="Q63" i="114"/>
  <c r="V63" i="114"/>
  <c r="R63" i="114"/>
  <c r="AM30" i="136"/>
  <c r="AM31" i="136"/>
  <c r="W41" i="121"/>
  <c r="AR80" i="167"/>
  <c r="AR37" i="136"/>
  <c r="Y33" i="132"/>
  <c r="T63" i="114"/>
  <c r="T84" i="114"/>
  <c r="N23" i="146"/>
  <c r="N22" i="146"/>
  <c r="AP76" i="167"/>
  <c r="AP33" i="132"/>
  <c r="AO100" i="167"/>
  <c r="H81" i="104"/>
  <c r="H76" i="104"/>
  <c r="H74" i="104" s="1"/>
  <c r="G6" i="122" s="1"/>
  <c r="Q80" i="114"/>
  <c r="T80" i="114"/>
  <c r="H471" i="99"/>
  <c r="J38" i="98" s="1"/>
  <c r="L35" i="176" s="1"/>
  <c r="J39" i="98"/>
  <c r="M33" i="132"/>
  <c r="M33" i="136"/>
  <c r="W22" i="121"/>
  <c r="AR96" i="167" s="1"/>
  <c r="U63" i="114"/>
  <c r="V80" i="114"/>
  <c r="V84" i="114"/>
  <c r="H84" i="104"/>
  <c r="T85" i="114"/>
  <c r="V85" i="114"/>
  <c r="U81" i="114"/>
  <c r="R81" i="114"/>
  <c r="S69" i="114"/>
  <c r="U69" i="114"/>
  <c r="AN80" i="167"/>
  <c r="AN37" i="132"/>
  <c r="X37" i="136"/>
  <c r="X37" i="132"/>
  <c r="X35" i="136"/>
  <c r="X35" i="132"/>
  <c r="G46" i="113"/>
  <c r="C46" i="113" s="1"/>
  <c r="W43" i="98"/>
  <c r="W37" i="98"/>
  <c r="W22" i="98"/>
  <c r="D35" i="119"/>
  <c r="N7" i="119"/>
  <c r="N61" i="110"/>
  <c r="I101" i="114"/>
  <c r="H240" i="106"/>
  <c r="H258" i="106"/>
  <c r="H257" i="106" s="1"/>
  <c r="Q9" i="123" s="1"/>
  <c r="S81" i="176" s="1"/>
  <c r="S109" i="176" s="1"/>
  <c r="AO79" i="167"/>
  <c r="G46" i="155"/>
  <c r="H96" i="104"/>
  <c r="H95" i="104" s="1"/>
  <c r="H9" i="122" s="1"/>
  <c r="H204" i="104"/>
  <c r="P24" i="122"/>
  <c r="AK115" i="166" s="1"/>
  <c r="AK55" i="166" s="1"/>
  <c r="H293" i="104"/>
  <c r="S9" i="122" s="1"/>
  <c r="AN106" i="166" s="1"/>
  <c r="AN35" i="166" s="1"/>
  <c r="Q101" i="114"/>
  <c r="B56" i="132"/>
  <c r="AO36" i="136"/>
  <c r="AO36" i="132"/>
  <c r="W35" i="136"/>
  <c r="AK33" i="132"/>
  <c r="AS34" i="132"/>
  <c r="Y36" i="136"/>
  <c r="A94" i="109"/>
  <c r="J11" i="98"/>
  <c r="Y24" i="122"/>
  <c r="AO114" i="167"/>
  <c r="AO112" i="167"/>
  <c r="Q24" i="122"/>
  <c r="AL115" i="166" s="1"/>
  <c r="AL55" i="166" s="1"/>
  <c r="J24" i="122"/>
  <c r="AD90" i="132" s="1"/>
  <c r="AD101" i="132" s="1"/>
  <c r="T24" i="123"/>
  <c r="V32" i="168" s="1"/>
  <c r="V50" i="168" s="1"/>
  <c r="V24" i="123"/>
  <c r="X90" i="176" s="1"/>
  <c r="AR79" i="166"/>
  <c r="AQ92" i="166"/>
  <c r="AQ49" i="166" s="1"/>
  <c r="AQ92" i="167"/>
  <c r="AQ49" i="167" s="1"/>
  <c r="AJ99" i="166"/>
  <c r="AJ99" i="167"/>
  <c r="H203" i="104"/>
  <c r="N9" i="122" s="1"/>
  <c r="N10" i="122"/>
  <c r="M33" i="168"/>
  <c r="AF133" i="167"/>
  <c r="Y30" i="168"/>
  <c r="AR130" i="167"/>
  <c r="AR62" i="132"/>
  <c r="AD83" i="167"/>
  <c r="AD40" i="132"/>
  <c r="AP82" i="167"/>
  <c r="AP39" i="136"/>
  <c r="AH82" i="167"/>
  <c r="AH39" i="136"/>
  <c r="AO78" i="167"/>
  <c r="AO35" i="132"/>
  <c r="Y78" i="166"/>
  <c r="Y78" i="167"/>
  <c r="Y35" i="136"/>
  <c r="AJ77" i="166"/>
  <c r="AJ77" i="167"/>
  <c r="AJ34" i="136"/>
  <c r="AS99" i="166"/>
  <c r="AS99" i="167"/>
  <c r="AI110" i="166"/>
  <c r="AI110" i="167"/>
  <c r="W37" i="123"/>
  <c r="W33" i="168"/>
  <c r="AP133" i="167"/>
  <c r="G28" i="168"/>
  <c r="N128" i="167"/>
  <c r="AH99" i="166"/>
  <c r="AH99" i="167"/>
  <c r="H168" i="104"/>
  <c r="L11" i="122"/>
  <c r="H552" i="104"/>
  <c r="S38" i="122" s="1"/>
  <c r="AN92" i="132" s="1"/>
  <c r="S39" i="122"/>
  <c r="H570" i="104"/>
  <c r="U38" i="122" s="1"/>
  <c r="V73" i="176" s="1"/>
  <c r="U39" i="122"/>
  <c r="F28" i="168"/>
  <c r="M128" i="167"/>
  <c r="H387" i="106"/>
  <c r="Y11" i="123"/>
  <c r="K33" i="168"/>
  <c r="Z133" i="167"/>
  <c r="H18" i="158"/>
  <c r="Y31" i="168"/>
  <c r="AR131" i="167"/>
  <c r="AP101" i="166"/>
  <c r="AP59" i="166" s="1"/>
  <c r="AP101" i="167"/>
  <c r="AP59" i="167" s="1"/>
  <c r="AA23" i="122"/>
  <c r="Y35" i="132"/>
  <c r="H76" i="102"/>
  <c r="H84" i="102"/>
  <c r="W20" i="123"/>
  <c r="J32" i="168"/>
  <c r="J50" i="168" s="1"/>
  <c r="Y132" i="167"/>
  <c r="F35" i="157"/>
  <c r="E16" i="156" s="1"/>
  <c r="E16" i="158" s="1"/>
  <c r="E44" i="158" s="1"/>
  <c r="AJ74" i="167"/>
  <c r="AJ43" i="167" s="1"/>
  <c r="AJ31" i="132"/>
  <c r="AJ47" i="132" s="1"/>
  <c r="A63" i="109"/>
  <c r="A47" i="109"/>
  <c r="H570" i="99"/>
  <c r="U38" i="98" s="1"/>
  <c r="U39" i="98"/>
  <c r="AO82" i="167"/>
  <c r="AO39" i="136"/>
  <c r="AK82" i="167"/>
  <c r="AK39" i="132"/>
  <c r="AG82" i="166"/>
  <c r="AG82" i="167"/>
  <c r="AG39" i="136"/>
  <c r="Y82" i="166"/>
  <c r="Y82" i="167"/>
  <c r="Y39" i="132"/>
  <c r="Z79" i="166"/>
  <c r="Z79" i="167"/>
  <c r="Z36" i="136"/>
  <c r="H387" i="99"/>
  <c r="H386" i="99" s="1"/>
  <c r="Y9" i="98" s="1"/>
  <c r="Y11" i="98"/>
  <c r="H185" i="99"/>
  <c r="M9" i="98" s="1"/>
  <c r="O24" i="176" s="1"/>
  <c r="O106" i="176" s="1"/>
  <c r="AD97" i="166"/>
  <c r="AD97" i="167"/>
  <c r="J24" i="121"/>
  <c r="W97" i="166"/>
  <c r="W97" i="167"/>
  <c r="W23" i="121"/>
  <c r="AK96" i="166"/>
  <c r="AK96" i="167"/>
  <c r="AG96" i="166"/>
  <c r="AG96" i="167"/>
  <c r="Y96" i="166"/>
  <c r="Y96" i="167"/>
  <c r="M96" i="166"/>
  <c r="M96" i="167"/>
  <c r="AQ95" i="166"/>
  <c r="AQ95" i="167"/>
  <c r="AM95" i="166"/>
  <c r="AM95" i="167"/>
  <c r="AI95" i="166"/>
  <c r="AI95" i="167"/>
  <c r="AD95" i="166"/>
  <c r="AD95" i="167"/>
  <c r="W95" i="166"/>
  <c r="W95" i="167"/>
  <c r="W21" i="121"/>
  <c r="AA21" i="121" s="1"/>
  <c r="AK91" i="167"/>
  <c r="AK44" i="167" s="1"/>
  <c r="AK90" i="167"/>
  <c r="AK39" i="167" s="1"/>
  <c r="T24" i="121"/>
  <c r="P24" i="121"/>
  <c r="R52" i="176" s="1"/>
  <c r="AP116" i="167"/>
  <c r="U44" i="122"/>
  <c r="AQ108" i="167"/>
  <c r="AQ45" i="167" s="1"/>
  <c r="AQ107" i="167"/>
  <c r="AQ40" i="167" s="1"/>
  <c r="AM108" i="167"/>
  <c r="AM45" i="167" s="1"/>
  <c r="AM107" i="167"/>
  <c r="AM40" i="167" s="1"/>
  <c r="N11" i="122"/>
  <c r="O28" i="168"/>
  <c r="AH128" i="167"/>
  <c r="K28" i="168"/>
  <c r="Z128" i="167"/>
  <c r="S25" i="168"/>
  <c r="S24" i="168"/>
  <c r="S49" i="168" s="1"/>
  <c r="AL125" i="167"/>
  <c r="AL46" i="167" s="1"/>
  <c r="AL124" i="167"/>
  <c r="AL41" i="167" s="1"/>
  <c r="O25" i="168"/>
  <c r="O24" i="168"/>
  <c r="O49" i="168" s="1"/>
  <c r="AH125" i="167"/>
  <c r="AH46" i="167" s="1"/>
  <c r="AH124" i="167"/>
  <c r="AH41" i="167" s="1"/>
  <c r="AF75" i="166"/>
  <c r="AF48" i="166" s="1"/>
  <c r="AF75" i="167"/>
  <c r="AF48" i="167" s="1"/>
  <c r="AF32" i="132"/>
  <c r="AF48" i="132" s="1"/>
  <c r="AF32" i="136"/>
  <c r="W75" i="166"/>
  <c r="W48" i="166" s="1"/>
  <c r="W75" i="167"/>
  <c r="W48" i="167" s="1"/>
  <c r="W32" i="132"/>
  <c r="W48" i="132" s="1"/>
  <c r="Y91" i="167"/>
  <c r="Y90" i="167"/>
  <c r="I11" i="121"/>
  <c r="H114" i="102"/>
  <c r="H132" i="102"/>
  <c r="J11" i="121"/>
  <c r="AF89" i="166"/>
  <c r="AF34" i="166" s="1"/>
  <c r="AF89" i="167"/>
  <c r="AF34" i="167" s="1"/>
  <c r="H168" i="102"/>
  <c r="L11" i="121"/>
  <c r="M11" i="121"/>
  <c r="H186" i="102"/>
  <c r="AI91" i="167"/>
  <c r="AI44" i="167" s="1"/>
  <c r="AI90" i="167"/>
  <c r="AI39" i="167" s="1"/>
  <c r="AJ56" i="132"/>
  <c r="AJ72" i="132" s="1"/>
  <c r="AJ91" i="167"/>
  <c r="AJ44" i="167" s="1"/>
  <c r="AJ90" i="167"/>
  <c r="AJ39" i="167" s="1"/>
  <c r="Q11" i="121"/>
  <c r="H258" i="102"/>
  <c r="Q10" i="121" s="1"/>
  <c r="H276" i="102"/>
  <c r="R11" i="121"/>
  <c r="AP94" i="166"/>
  <c r="AP94" i="167"/>
  <c r="H426" i="102"/>
  <c r="E38" i="121" s="1"/>
  <c r="G54" i="176" s="1"/>
  <c r="E39" i="121"/>
  <c r="I16" i="122"/>
  <c r="K65" i="176" s="1"/>
  <c r="K122" i="176" s="1"/>
  <c r="H114" i="104"/>
  <c r="H113" i="104" s="1"/>
  <c r="I9" i="122" s="1"/>
  <c r="J16" i="122"/>
  <c r="L63" i="176" s="1"/>
  <c r="H132" i="104"/>
  <c r="H131" i="104" s="1"/>
  <c r="J9" i="122" s="1"/>
  <c r="L62" i="176" s="1"/>
  <c r="L108" i="176" s="1"/>
  <c r="AF109" i="166"/>
  <c r="AF50" i="166" s="1"/>
  <c r="AF109" i="167"/>
  <c r="AF50" i="167" s="1"/>
  <c r="H471" i="104"/>
  <c r="J38" i="122" s="1"/>
  <c r="L73" i="176" s="1"/>
  <c r="J39" i="122"/>
  <c r="H489" i="104"/>
  <c r="L38" i="122" s="1"/>
  <c r="L39" i="122"/>
  <c r="R28" i="168"/>
  <c r="AK128" i="167"/>
  <c r="H312" i="106"/>
  <c r="T11" i="123"/>
  <c r="H329" i="106"/>
  <c r="U9" i="123" s="1"/>
  <c r="U10" i="123"/>
  <c r="M34" i="168"/>
  <c r="AF134" i="167"/>
  <c r="H543" i="99"/>
  <c r="R38" i="98" s="1"/>
  <c r="R39" i="98"/>
  <c r="W79" i="166"/>
  <c r="W79" i="167"/>
  <c r="W36" i="136"/>
  <c r="W36" i="132"/>
  <c r="AK78" i="167"/>
  <c r="AK35" i="132"/>
  <c r="W110" i="166"/>
  <c r="W110" i="167"/>
  <c r="V45" i="133"/>
  <c r="H376" i="106"/>
  <c r="W54" i="133"/>
  <c r="W36" i="133" s="1"/>
  <c r="Y81" i="166"/>
  <c r="Y53" i="166" s="1"/>
  <c r="Y81" i="167"/>
  <c r="T44" i="98"/>
  <c r="H76" i="99"/>
  <c r="G8" i="98" s="1"/>
  <c r="W8" i="98" s="1"/>
  <c r="H81" i="102"/>
  <c r="H84" i="99"/>
  <c r="AJ34" i="132"/>
  <c r="AL34" i="132"/>
  <c r="AM81" i="166"/>
  <c r="AM53" i="166" s="1"/>
  <c r="AM81" i="167"/>
  <c r="AM53" i="167" s="1"/>
  <c r="H74" i="115"/>
  <c r="H76" i="115" s="1"/>
  <c r="H77" i="115" s="1"/>
  <c r="N10" i="119"/>
  <c r="AS82" i="167"/>
  <c r="AS39" i="136"/>
  <c r="X44" i="98"/>
  <c r="AN82" i="167"/>
  <c r="AN39" i="132"/>
  <c r="AJ82" i="167"/>
  <c r="AJ39" i="136"/>
  <c r="AF82" i="167"/>
  <c r="AF39" i="132"/>
  <c r="X82" i="167"/>
  <c r="X39" i="132"/>
  <c r="F82" i="167"/>
  <c r="F39" i="136"/>
  <c r="AQ80" i="167"/>
  <c r="AO37" i="136"/>
  <c r="AM80" i="166"/>
  <c r="AM80" i="167"/>
  <c r="AM37" i="136"/>
  <c r="AM37" i="132"/>
  <c r="AI80" i="166"/>
  <c r="AI80" i="167"/>
  <c r="AI37" i="136"/>
  <c r="AD80" i="166"/>
  <c r="AD80" i="167"/>
  <c r="AD37" i="136"/>
  <c r="AD37" i="132"/>
  <c r="W80" i="166"/>
  <c r="W80" i="167"/>
  <c r="W37" i="136"/>
  <c r="AK79" i="166"/>
  <c r="AK79" i="167"/>
  <c r="AK36" i="136"/>
  <c r="AG79" i="166"/>
  <c r="AG79" i="167"/>
  <c r="AG36" i="136"/>
  <c r="AG36" i="132"/>
  <c r="AM77" i="167"/>
  <c r="AM34" i="136"/>
  <c r="AN74" i="167"/>
  <c r="AN43" i="167" s="1"/>
  <c r="AN73" i="167"/>
  <c r="AN38" i="167" s="1"/>
  <c r="AN31" i="136"/>
  <c r="AN30" i="136"/>
  <c r="AK77" i="166"/>
  <c r="AK77" i="167"/>
  <c r="AK34" i="136"/>
  <c r="AH97" i="166"/>
  <c r="AH97" i="167"/>
  <c r="M24" i="121"/>
  <c r="O52" i="176" s="1"/>
  <c r="AM92" i="166"/>
  <c r="AM49" i="166" s="1"/>
  <c r="AM92" i="167"/>
  <c r="AM49" i="167" s="1"/>
  <c r="AI92" i="166"/>
  <c r="AI49" i="166" s="1"/>
  <c r="AI92" i="167"/>
  <c r="AI49" i="167" s="1"/>
  <c r="AD92" i="166"/>
  <c r="AD49" i="166" s="1"/>
  <c r="AD92" i="167"/>
  <c r="AD49" i="167" s="1"/>
  <c r="AP91" i="167"/>
  <c r="AP44" i="167" s="1"/>
  <c r="AP90" i="167"/>
  <c r="AP39" i="167" s="1"/>
  <c r="AF91" i="167"/>
  <c r="AF44" i="167" s="1"/>
  <c r="AF90" i="167"/>
  <c r="AF39" i="167" s="1"/>
  <c r="Z31" i="168"/>
  <c r="AS131" i="167"/>
  <c r="U31" i="168"/>
  <c r="AN131" i="167"/>
  <c r="Q31" i="168"/>
  <c r="AJ131" i="167"/>
  <c r="M31" i="168"/>
  <c r="AF131" i="167"/>
  <c r="I31" i="168"/>
  <c r="X131" i="167"/>
  <c r="E31" i="168"/>
  <c r="F131" i="167"/>
  <c r="W30" i="168"/>
  <c r="AP130" i="167"/>
  <c r="S30" i="168"/>
  <c r="AL130" i="167"/>
  <c r="O30" i="168"/>
  <c r="AH130" i="167"/>
  <c r="K30" i="168"/>
  <c r="Z130" i="167"/>
  <c r="G30" i="168"/>
  <c r="N130" i="167"/>
  <c r="Z29" i="168"/>
  <c r="AS129" i="167"/>
  <c r="U29" i="168"/>
  <c r="AN129" i="167"/>
  <c r="Q29" i="168"/>
  <c r="AJ129" i="167"/>
  <c r="M29" i="168"/>
  <c r="AF129" i="167"/>
  <c r="I29" i="168"/>
  <c r="X129" i="167"/>
  <c r="E29" i="168"/>
  <c r="F129" i="167"/>
  <c r="W28" i="168"/>
  <c r="AP128" i="167"/>
  <c r="S28" i="168"/>
  <c r="AL128" i="167"/>
  <c r="X25" i="168"/>
  <c r="X24" i="168"/>
  <c r="X49" i="168" s="1"/>
  <c r="AQ124" i="167"/>
  <c r="AQ41" i="167" s="1"/>
  <c r="AQ125" i="167"/>
  <c r="AQ46" i="167" s="1"/>
  <c r="AL75" i="166"/>
  <c r="AL48" i="166" s="1"/>
  <c r="AL75" i="167"/>
  <c r="AL48" i="167" s="1"/>
  <c r="AL32" i="132"/>
  <c r="AL48" i="132" s="1"/>
  <c r="H6" i="118"/>
  <c r="H14" i="118" s="1"/>
  <c r="D14" i="118"/>
  <c r="D16" i="118" s="1"/>
  <c r="D17" i="118" s="1"/>
  <c r="D18" i="118" s="1"/>
  <c r="T49" i="133"/>
  <c r="T31" i="133" s="1"/>
  <c r="H47" i="99" s="1"/>
  <c r="E15" i="98" s="1"/>
  <c r="U31" i="133"/>
  <c r="H47" i="102" s="1"/>
  <c r="E15" i="121" s="1"/>
  <c r="Y100" i="166"/>
  <c r="Y100" i="167"/>
  <c r="H417" i="104"/>
  <c r="D38" i="122" s="1"/>
  <c r="D39" i="122"/>
  <c r="H150" i="106"/>
  <c r="K11" i="123"/>
  <c r="H168" i="106"/>
  <c r="L11" i="123"/>
  <c r="H552" i="106"/>
  <c r="S38" i="123" s="1"/>
  <c r="U92" i="176" s="1"/>
  <c r="S39" i="123"/>
  <c r="H570" i="106"/>
  <c r="U38" i="123" s="1"/>
  <c r="W92" i="176" s="1"/>
  <c r="U39" i="123"/>
  <c r="Z34" i="168"/>
  <c r="AS134" i="167"/>
  <c r="AP74" i="167"/>
  <c r="AP43" i="167" s="1"/>
  <c r="AP73" i="167"/>
  <c r="AP38" i="167" s="1"/>
  <c r="AP30" i="136"/>
  <c r="R34" i="168"/>
  <c r="AK134" i="167"/>
  <c r="AL82" i="167"/>
  <c r="AL39" i="132"/>
  <c r="N82" i="166"/>
  <c r="N82" i="167"/>
  <c r="AG78" i="166"/>
  <c r="AG78" i="167"/>
  <c r="AG35" i="132"/>
  <c r="AH77" i="167"/>
  <c r="AH34" i="132"/>
  <c r="W41" i="122"/>
  <c r="AD110" i="166"/>
  <c r="AD110" i="167"/>
  <c r="V48" i="133"/>
  <c r="U48" i="133" s="1"/>
  <c r="W30" i="133"/>
  <c r="H462" i="102"/>
  <c r="I38" i="121" s="1"/>
  <c r="K54" i="176" s="1"/>
  <c r="I39" i="121"/>
  <c r="H186" i="104"/>
  <c r="H185" i="104" s="1"/>
  <c r="M9" i="122" s="1"/>
  <c r="M11" i="122"/>
  <c r="I28" i="168"/>
  <c r="X128" i="167"/>
  <c r="I34" i="168"/>
  <c r="X134" i="167"/>
  <c r="Y38" i="132"/>
  <c r="Y49" i="132" s="1"/>
  <c r="Y27" i="168"/>
  <c r="D27" i="168" s="1"/>
  <c r="AR127" i="167"/>
  <c r="J44" i="98"/>
  <c r="L36" i="176" s="1"/>
  <c r="W19" i="122"/>
  <c r="J19" i="177" s="1"/>
  <c r="AP31" i="136"/>
  <c r="AO35" i="136"/>
  <c r="H81" i="99"/>
  <c r="G13" i="98" s="1"/>
  <c r="T46" i="133"/>
  <c r="T28" i="133" s="1"/>
  <c r="H45" i="99" s="1"/>
  <c r="AK74" i="167"/>
  <c r="AK43" i="167" s="1"/>
  <c r="AK73" i="167"/>
  <c r="AK38" i="167" s="1"/>
  <c r="AK31" i="132"/>
  <c r="AK47" i="132" s="1"/>
  <c r="AK30" i="136"/>
  <c r="N39" i="136"/>
  <c r="Z39" i="136"/>
  <c r="Y29" i="168"/>
  <c r="AR129" i="167"/>
  <c r="T14" i="130"/>
  <c r="AS83" i="166"/>
  <c r="AS83" i="167"/>
  <c r="AS40" i="136"/>
  <c r="AS40" i="132"/>
  <c r="AQ82" i="166"/>
  <c r="AQ82" i="167"/>
  <c r="AQ39" i="136"/>
  <c r="AM82" i="166"/>
  <c r="AM82" i="167"/>
  <c r="AM39" i="132"/>
  <c r="AM39" i="136"/>
  <c r="AI82" i="166"/>
  <c r="AI82" i="167"/>
  <c r="AI39" i="136"/>
  <c r="AD82" i="166"/>
  <c r="AD82" i="167"/>
  <c r="AD39" i="132"/>
  <c r="W82" i="166"/>
  <c r="W82" i="167"/>
  <c r="W39" i="132"/>
  <c r="N78" i="166"/>
  <c r="N78" i="167"/>
  <c r="W21" i="98"/>
  <c r="N35" i="136"/>
  <c r="N35" i="132"/>
  <c r="AF77" i="166"/>
  <c r="AF77" i="167"/>
  <c r="AF34" i="132"/>
  <c r="AH76" i="167"/>
  <c r="AH33" i="132"/>
  <c r="AD76" i="167"/>
  <c r="AD33" i="136"/>
  <c r="H168" i="99"/>
  <c r="L10" i="98" s="1"/>
  <c r="L11" i="98"/>
  <c r="V24" i="98"/>
  <c r="X33" i="176" s="1"/>
  <c r="N24" i="98"/>
  <c r="AI38" i="136" s="1"/>
  <c r="AH100" i="166"/>
  <c r="AH100" i="167"/>
  <c r="AN99" i="166"/>
  <c r="AN99" i="167"/>
  <c r="AD99" i="166"/>
  <c r="AD99" i="167"/>
  <c r="Y24" i="121"/>
  <c r="Y45" i="121" s="1"/>
  <c r="AO63" i="132"/>
  <c r="AO97" i="167"/>
  <c r="AK97" i="166"/>
  <c r="AK97" i="167"/>
  <c r="AN94" i="166"/>
  <c r="AN94" i="167"/>
  <c r="AI94" i="166"/>
  <c r="AI94" i="167"/>
  <c r="Z94" i="166"/>
  <c r="Z94" i="167"/>
  <c r="M94" i="166"/>
  <c r="M94" i="167"/>
  <c r="AQ93" i="166"/>
  <c r="AQ93" i="167"/>
  <c r="AM93" i="166"/>
  <c r="AM93" i="167"/>
  <c r="AI93" i="166"/>
  <c r="AI93" i="167"/>
  <c r="AD93" i="166"/>
  <c r="AD93" i="167"/>
  <c r="W93" i="166"/>
  <c r="W93" i="167"/>
  <c r="W19" i="121"/>
  <c r="I19" i="177" s="1"/>
  <c r="AD108" i="167"/>
  <c r="AD45" i="167" s="1"/>
  <c r="Q33" i="168"/>
  <c r="AJ133" i="167"/>
  <c r="Z27" i="168"/>
  <c r="AS127" i="167"/>
  <c r="U27" i="168"/>
  <c r="AN127" i="167"/>
  <c r="Q27" i="168"/>
  <c r="AJ127" i="167"/>
  <c r="M27" i="168"/>
  <c r="AF127" i="167"/>
  <c r="I27" i="168"/>
  <c r="X127" i="167"/>
  <c r="E27" i="168"/>
  <c r="F127" i="167"/>
  <c r="K25" i="168"/>
  <c r="K24" i="168"/>
  <c r="K49" i="168" s="1"/>
  <c r="Z125" i="167"/>
  <c r="Z124" i="167"/>
  <c r="W26" i="168"/>
  <c r="AP126" i="167"/>
  <c r="AP51" i="167" s="1"/>
  <c r="S26" i="168"/>
  <c r="AL126" i="167"/>
  <c r="AL51" i="167" s="1"/>
  <c r="N26" i="168"/>
  <c r="AG126" i="167"/>
  <c r="AG51" i="167" s="1"/>
  <c r="F34" i="91"/>
  <c r="D16" i="60" s="1"/>
  <c r="J9" i="119"/>
  <c r="K9" i="119" s="1"/>
  <c r="F18" i="119"/>
  <c r="E29" i="119"/>
  <c r="T9" i="119"/>
  <c r="AP75" i="166"/>
  <c r="AP48" i="166" s="1"/>
  <c r="AP75" i="167"/>
  <c r="AP48" i="167" s="1"/>
  <c r="AP32" i="132"/>
  <c r="AP48" i="132" s="1"/>
  <c r="AO32" i="136"/>
  <c r="AO32" i="132"/>
  <c r="AO48" i="132" s="1"/>
  <c r="AP32" i="136"/>
  <c r="X97" i="114"/>
  <c r="X103" i="114" s="1"/>
  <c r="X111" i="114" s="1"/>
  <c r="X112" i="114" s="1"/>
  <c r="X101" i="114"/>
  <c r="F3" i="91"/>
  <c r="F3" i="154"/>
  <c r="F53" i="154" s="1"/>
  <c r="H63" i="106"/>
  <c r="O16" i="98"/>
  <c r="H222" i="99"/>
  <c r="H222" i="102"/>
  <c r="H348" i="102"/>
  <c r="H347" i="102" s="1"/>
  <c r="V9" i="121" s="1"/>
  <c r="X43" i="176" s="1"/>
  <c r="X107" i="176" s="1"/>
  <c r="F99" i="166"/>
  <c r="F99" i="167"/>
  <c r="H543" i="102"/>
  <c r="R38" i="121" s="1"/>
  <c r="R39" i="121"/>
  <c r="AQ99" i="166"/>
  <c r="AQ99" i="167"/>
  <c r="H16" i="123"/>
  <c r="H96" i="106"/>
  <c r="K26" i="168"/>
  <c r="Z126" i="167"/>
  <c r="Z51" i="167" s="1"/>
  <c r="L26" i="168"/>
  <c r="AD126" i="167"/>
  <c r="AD51" i="167" s="1"/>
  <c r="H489" i="106"/>
  <c r="L38" i="123" s="1"/>
  <c r="N92" i="176" s="1"/>
  <c r="L39" i="123"/>
  <c r="R33" i="168"/>
  <c r="AK133" i="167"/>
  <c r="T33" i="168"/>
  <c r="AM133" i="167"/>
  <c r="F34" i="157"/>
  <c r="D16" i="156" s="1"/>
  <c r="D16" i="158" s="1"/>
  <c r="D44" i="158" s="1"/>
  <c r="R16" i="130"/>
  <c r="R18" i="130" s="1"/>
  <c r="I16" i="130"/>
  <c r="N83" i="166"/>
  <c r="N83" i="167"/>
  <c r="AP80" i="166"/>
  <c r="AP80" i="167"/>
  <c r="AL80" i="166"/>
  <c r="AL80" i="167"/>
  <c r="AH80" i="166"/>
  <c r="AH80" i="167"/>
  <c r="Z80" i="166"/>
  <c r="Z80" i="167"/>
  <c r="N80" i="166"/>
  <c r="N80" i="167"/>
  <c r="AS79" i="166"/>
  <c r="AS79" i="167"/>
  <c r="AN79" i="166"/>
  <c r="AN79" i="167"/>
  <c r="N79" i="166"/>
  <c r="N79" i="167"/>
  <c r="M78" i="166"/>
  <c r="M78" i="167"/>
  <c r="AD77" i="166"/>
  <c r="AD77" i="167"/>
  <c r="AQ76" i="166"/>
  <c r="AQ76" i="167"/>
  <c r="AN76" i="166"/>
  <c r="AN76" i="167"/>
  <c r="AK76" i="166"/>
  <c r="AK76" i="167"/>
  <c r="AG76" i="166"/>
  <c r="AG76" i="167"/>
  <c r="Z76" i="166"/>
  <c r="Z76" i="167"/>
  <c r="N76" i="166"/>
  <c r="N76" i="167"/>
  <c r="AD74" i="167"/>
  <c r="AD43" i="167" s="1"/>
  <c r="AD73" i="167"/>
  <c r="AD38" i="167" s="1"/>
  <c r="Y77" i="166"/>
  <c r="Y77" i="167"/>
  <c r="N77" i="166"/>
  <c r="N77" i="167"/>
  <c r="Q24" i="98"/>
  <c r="AM99" i="166"/>
  <c r="AM99" i="167"/>
  <c r="AI99" i="166"/>
  <c r="AI99" i="167"/>
  <c r="AS97" i="166"/>
  <c r="AS97" i="167"/>
  <c r="AN97" i="166"/>
  <c r="AN97" i="167"/>
  <c r="AJ97" i="166"/>
  <c r="AJ97" i="167"/>
  <c r="N97" i="166"/>
  <c r="N97" i="167"/>
  <c r="AS96" i="166"/>
  <c r="AS96" i="167"/>
  <c r="AN96" i="166"/>
  <c r="AN96" i="167"/>
  <c r="AJ96" i="166"/>
  <c r="AJ96" i="167"/>
  <c r="AF96" i="166"/>
  <c r="AF96" i="167"/>
  <c r="X96" i="166"/>
  <c r="X96" i="167"/>
  <c r="F96" i="166"/>
  <c r="F96" i="167"/>
  <c r="AP95" i="166"/>
  <c r="AP95" i="167"/>
  <c r="AL95" i="166"/>
  <c r="AL95" i="167"/>
  <c r="AH95" i="166"/>
  <c r="AH95" i="167"/>
  <c r="Z95" i="166"/>
  <c r="Z95" i="167"/>
  <c r="N95" i="166"/>
  <c r="N95" i="167"/>
  <c r="AS94" i="166"/>
  <c r="AS94" i="167"/>
  <c r="AM94" i="166"/>
  <c r="AM94" i="167"/>
  <c r="AH94" i="166"/>
  <c r="AH94" i="167"/>
  <c r="X94" i="166"/>
  <c r="X94" i="167"/>
  <c r="F60" i="132"/>
  <c r="F94" i="167"/>
  <c r="AP93" i="166"/>
  <c r="AP93" i="167"/>
  <c r="AL93" i="166"/>
  <c r="AL93" i="167"/>
  <c r="AH93" i="166"/>
  <c r="AH93" i="167"/>
  <c r="Z93" i="166"/>
  <c r="Z93" i="167"/>
  <c r="N93" i="166"/>
  <c r="N93" i="167"/>
  <c r="AP92" i="166"/>
  <c r="AP49" i="166" s="1"/>
  <c r="AP92" i="167"/>
  <c r="AP49" i="167" s="1"/>
  <c r="AL92" i="166"/>
  <c r="AL49" i="166" s="1"/>
  <c r="AL92" i="167"/>
  <c r="AL49" i="167" s="1"/>
  <c r="AH92" i="166"/>
  <c r="AH49" i="166" s="1"/>
  <c r="AH92" i="167"/>
  <c r="AH49" i="167" s="1"/>
  <c r="Z92" i="166"/>
  <c r="Z49" i="166" s="1"/>
  <c r="Z92" i="167"/>
  <c r="AO57" i="132"/>
  <c r="AO73" i="132" s="1"/>
  <c r="AO91" i="167"/>
  <c r="AO90" i="167"/>
  <c r="AO39" i="167" s="1"/>
  <c r="AO116" i="167"/>
  <c r="AO111" i="167"/>
  <c r="AP109" i="166"/>
  <c r="AP50" i="166" s="1"/>
  <c r="AP109" i="167"/>
  <c r="AP50" i="167" s="1"/>
  <c r="AP82" i="132"/>
  <c r="AP98" i="132" s="1"/>
  <c r="AP108" i="167"/>
  <c r="AP45" i="167" s="1"/>
  <c r="AP107" i="167"/>
  <c r="AP40" i="167" s="1"/>
  <c r="AL82" i="132"/>
  <c r="AL98" i="132" s="1"/>
  <c r="AL108" i="167"/>
  <c r="AL45" i="167" s="1"/>
  <c r="AL107" i="167"/>
  <c r="AL40" i="167" s="1"/>
  <c r="Z82" i="132"/>
  <c r="Z98" i="132" s="1"/>
  <c r="Z108" i="167"/>
  <c r="Z107" i="167"/>
  <c r="U33" i="168"/>
  <c r="AN133" i="167"/>
  <c r="P33" i="168"/>
  <c r="AI133" i="167"/>
  <c r="L33" i="168"/>
  <c r="AD133" i="167"/>
  <c r="G33" i="168"/>
  <c r="N133" i="167"/>
  <c r="X31" i="168"/>
  <c r="AQ131" i="167"/>
  <c r="T31" i="168"/>
  <c r="AM131" i="167"/>
  <c r="P31" i="168"/>
  <c r="AI131" i="167"/>
  <c r="L31" i="168"/>
  <c r="AD131" i="167"/>
  <c r="H31" i="168"/>
  <c r="W131" i="167"/>
  <c r="V30" i="168"/>
  <c r="AO130" i="167"/>
  <c r="R30" i="168"/>
  <c r="AK130" i="167"/>
  <c r="N30" i="168"/>
  <c r="AG130" i="167"/>
  <c r="J30" i="168"/>
  <c r="Y130" i="167"/>
  <c r="F30" i="168"/>
  <c r="M130" i="167"/>
  <c r="X29" i="168"/>
  <c r="AQ129" i="167"/>
  <c r="T29" i="168"/>
  <c r="AM129" i="167"/>
  <c r="P29" i="168"/>
  <c r="AI129" i="167"/>
  <c r="L29" i="168"/>
  <c r="AD129" i="167"/>
  <c r="H29" i="168"/>
  <c r="W129" i="167"/>
  <c r="V28" i="168"/>
  <c r="AO128" i="167"/>
  <c r="N28" i="168"/>
  <c r="AG128" i="167"/>
  <c r="J28" i="168"/>
  <c r="Y128" i="167"/>
  <c r="X27" i="168"/>
  <c r="AQ127" i="167"/>
  <c r="T27" i="168"/>
  <c r="AM127" i="167"/>
  <c r="P27" i="168"/>
  <c r="AI127" i="167"/>
  <c r="L27" i="168"/>
  <c r="AD127" i="167"/>
  <c r="H27" i="168"/>
  <c r="W127" i="167"/>
  <c r="W25" i="168"/>
  <c r="W24" i="168"/>
  <c r="W49" i="168" s="1"/>
  <c r="AP125" i="167"/>
  <c r="AP46" i="167" s="1"/>
  <c r="AP124" i="167"/>
  <c r="AP41" i="167" s="1"/>
  <c r="R25" i="168"/>
  <c r="R24" i="168"/>
  <c r="R49" i="168" s="1"/>
  <c r="AK125" i="167"/>
  <c r="AK46" i="167" s="1"/>
  <c r="AK124" i="167"/>
  <c r="AK41" i="167" s="1"/>
  <c r="J25" i="168"/>
  <c r="Y125" i="167"/>
  <c r="Y124" i="167"/>
  <c r="V26" i="168"/>
  <c r="AO126" i="167"/>
  <c r="R26" i="168"/>
  <c r="AK126" i="167"/>
  <c r="AK51" i="167" s="1"/>
  <c r="F26" i="168"/>
  <c r="M126" i="167"/>
  <c r="M51" i="167" s="1"/>
  <c r="F35" i="91"/>
  <c r="E16" i="60" s="1"/>
  <c r="X70" i="133"/>
  <c r="M51" i="146"/>
  <c r="B30" i="132"/>
  <c r="AO75" i="167"/>
  <c r="AO48" i="167" s="1"/>
  <c r="AI75" i="166"/>
  <c r="AI48" i="166" s="1"/>
  <c r="AI75" i="167"/>
  <c r="AI48" i="167" s="1"/>
  <c r="AD75" i="166"/>
  <c r="AD48" i="166" s="1"/>
  <c r="AD75" i="167"/>
  <c r="AD48" i="167" s="1"/>
  <c r="AQ94" i="166"/>
  <c r="AQ94" i="167"/>
  <c r="H240" i="104"/>
  <c r="H239" i="104" s="1"/>
  <c r="P9" i="122" s="1"/>
  <c r="H348" i="104"/>
  <c r="M26" i="168"/>
  <c r="AF126" i="167"/>
  <c r="AF51" i="167" s="1"/>
  <c r="H222" i="106"/>
  <c r="H221" i="106" s="1"/>
  <c r="O9" i="123" s="1"/>
  <c r="Q81" i="176" s="1"/>
  <c r="Q109" i="176" s="1"/>
  <c r="H348" i="106"/>
  <c r="K34" i="168"/>
  <c r="Z134" i="167"/>
  <c r="T34" i="168"/>
  <c r="AM134" i="167"/>
  <c r="V33" i="168"/>
  <c r="AO133" i="167"/>
  <c r="G20" i="152"/>
  <c r="AK83" i="166"/>
  <c r="AK83" i="167"/>
  <c r="J34" i="168"/>
  <c r="Y134" i="167"/>
  <c r="AF98" i="166"/>
  <c r="AF54" i="166" s="1"/>
  <c r="AF98" i="167"/>
  <c r="AF54" i="167" s="1"/>
  <c r="T32" i="168"/>
  <c r="T50" i="168" s="1"/>
  <c r="AM132" i="167"/>
  <c r="AM56" i="167" s="1"/>
  <c r="F35" i="160"/>
  <c r="E16" i="159" s="1"/>
  <c r="E16" i="161" s="1"/>
  <c r="E44" i="161" s="1"/>
  <c r="AO80" i="167"/>
  <c r="AK80" i="166"/>
  <c r="AK80" i="167"/>
  <c r="AG80" i="166"/>
  <c r="AG80" i="167"/>
  <c r="Y80" i="166"/>
  <c r="Y80" i="167"/>
  <c r="M80" i="166"/>
  <c r="M80" i="167"/>
  <c r="AQ79" i="166"/>
  <c r="AQ79" i="167"/>
  <c r="AM79" i="166"/>
  <c r="AM79" i="167"/>
  <c r="AD79" i="166"/>
  <c r="AD79" i="167"/>
  <c r="X79" i="166"/>
  <c r="X79" i="167"/>
  <c r="M79" i="166"/>
  <c r="M79" i="167"/>
  <c r="AQ78" i="166"/>
  <c r="AQ78" i="167"/>
  <c r="AM78" i="166"/>
  <c r="AM78" i="167"/>
  <c r="AI78" i="166"/>
  <c r="AI78" i="167"/>
  <c r="AD78" i="166"/>
  <c r="AD78" i="167"/>
  <c r="X78" i="166"/>
  <c r="X78" i="167"/>
  <c r="F78" i="166"/>
  <c r="F78" i="167"/>
  <c r="M77" i="166"/>
  <c r="M77" i="167"/>
  <c r="Y76" i="166"/>
  <c r="Y76" i="167"/>
  <c r="M76" i="166"/>
  <c r="M76" i="167"/>
  <c r="H330" i="99"/>
  <c r="AI77" i="166"/>
  <c r="AI77" i="167"/>
  <c r="H150" i="99"/>
  <c r="K10" i="98" s="1"/>
  <c r="Z77" i="166"/>
  <c r="Z77" i="167"/>
  <c r="Y24" i="98"/>
  <c r="P24" i="98"/>
  <c r="AP100" i="166"/>
  <c r="AP100" i="167"/>
  <c r="AP99" i="166"/>
  <c r="AP99" i="167"/>
  <c r="AG99" i="166"/>
  <c r="AG99" i="167"/>
  <c r="X99" i="166"/>
  <c r="X99" i="167"/>
  <c r="AQ97" i="166"/>
  <c r="AQ97" i="167"/>
  <c r="AM63" i="132"/>
  <c r="AM97" i="167"/>
  <c r="AI97" i="166"/>
  <c r="AI97" i="167"/>
  <c r="AF97" i="166"/>
  <c r="AF97" i="167"/>
  <c r="Y97" i="166"/>
  <c r="Y97" i="167"/>
  <c r="M97" i="166"/>
  <c r="M97" i="167"/>
  <c r="AQ96" i="166"/>
  <c r="AQ96" i="167"/>
  <c r="AM96" i="166"/>
  <c r="AM96" i="167"/>
  <c r="AI96" i="166"/>
  <c r="AI96" i="167"/>
  <c r="AD96" i="166"/>
  <c r="AD96" i="167"/>
  <c r="W96" i="166"/>
  <c r="W96" i="167"/>
  <c r="AO95" i="167"/>
  <c r="AK95" i="166"/>
  <c r="AK95" i="167"/>
  <c r="AG95" i="166"/>
  <c r="AG95" i="167"/>
  <c r="Y95" i="166"/>
  <c r="Y95" i="167"/>
  <c r="M95" i="166"/>
  <c r="M95" i="167"/>
  <c r="AL94" i="166"/>
  <c r="AL94" i="167"/>
  <c r="AF94" i="166"/>
  <c r="AF94" i="167"/>
  <c r="AO93" i="167"/>
  <c r="AK93" i="166"/>
  <c r="AK93" i="167"/>
  <c r="AG93" i="166"/>
  <c r="AG93" i="167"/>
  <c r="Y93" i="166"/>
  <c r="Y93" i="167"/>
  <c r="M93" i="166"/>
  <c r="M93" i="167"/>
  <c r="AO92" i="167"/>
  <c r="AO49" i="167" s="1"/>
  <c r="AK92" i="166"/>
  <c r="AK49" i="166" s="1"/>
  <c r="AK92" i="167"/>
  <c r="AK49" i="167" s="1"/>
  <c r="AG92" i="166"/>
  <c r="AG49" i="166" s="1"/>
  <c r="AG92" i="167"/>
  <c r="AG49" i="167" s="1"/>
  <c r="Y92" i="166"/>
  <c r="Y49" i="166" s="1"/>
  <c r="Y92" i="167"/>
  <c r="AN91" i="167"/>
  <c r="AN44" i="167" s="1"/>
  <c r="AN90" i="167"/>
  <c r="AN39" i="167" s="1"/>
  <c r="AO113" i="167"/>
  <c r="AO110" i="167"/>
  <c r="AK110" i="166"/>
  <c r="AK110" i="167"/>
  <c r="AG110" i="166"/>
  <c r="AG110" i="167"/>
  <c r="Y110" i="166"/>
  <c r="Y110" i="167"/>
  <c r="M110" i="166"/>
  <c r="M110" i="167"/>
  <c r="AO109" i="167"/>
  <c r="AO108" i="167"/>
  <c r="AO45" i="167" s="1"/>
  <c r="AO107" i="167"/>
  <c r="AO40" i="167" s="1"/>
  <c r="AK108" i="167"/>
  <c r="AK45" i="167" s="1"/>
  <c r="AK107" i="167"/>
  <c r="AK40" i="167" s="1"/>
  <c r="Y108" i="167"/>
  <c r="Y107" i="167"/>
  <c r="AM106" i="166"/>
  <c r="AM35" i="166" s="1"/>
  <c r="AM106" i="167"/>
  <c r="AM35" i="167" s="1"/>
  <c r="Z33" i="168"/>
  <c r="AS133" i="167"/>
  <c r="O33" i="168"/>
  <c r="AH133" i="167"/>
  <c r="E33" i="168"/>
  <c r="F133" i="167"/>
  <c r="W31" i="168"/>
  <c r="AP131" i="167"/>
  <c r="S31" i="168"/>
  <c r="AL131" i="167"/>
  <c r="O31" i="168"/>
  <c r="AH131" i="167"/>
  <c r="K31" i="168"/>
  <c r="Z131" i="167"/>
  <c r="G31" i="168"/>
  <c r="N131" i="167"/>
  <c r="Z30" i="168"/>
  <c r="AS130" i="167"/>
  <c r="U30" i="168"/>
  <c r="AN130" i="167"/>
  <c r="Q30" i="168"/>
  <c r="AJ130" i="167"/>
  <c r="M30" i="168"/>
  <c r="AF130" i="167"/>
  <c r="I30" i="168"/>
  <c r="X130" i="167"/>
  <c r="E30" i="168"/>
  <c r="F130" i="167"/>
  <c r="W29" i="168"/>
  <c r="AP129" i="167"/>
  <c r="S29" i="168"/>
  <c r="AL129" i="167"/>
  <c r="O29" i="168"/>
  <c r="AH129" i="167"/>
  <c r="K29" i="168"/>
  <c r="Z129" i="167"/>
  <c r="G29" i="168"/>
  <c r="N129" i="167"/>
  <c r="Z28" i="168"/>
  <c r="AS128" i="167"/>
  <c r="U28" i="168"/>
  <c r="AN128" i="167"/>
  <c r="Q28" i="168"/>
  <c r="AJ128" i="167"/>
  <c r="M28" i="168"/>
  <c r="AF128" i="167"/>
  <c r="E28" i="168"/>
  <c r="F128" i="167"/>
  <c r="W27" i="168"/>
  <c r="AP127" i="167"/>
  <c r="S27" i="168"/>
  <c r="AL127" i="167"/>
  <c r="O27" i="168"/>
  <c r="AH127" i="167"/>
  <c r="K27" i="168"/>
  <c r="Z127" i="167"/>
  <c r="G27" i="168"/>
  <c r="N127" i="167"/>
  <c r="Q25" i="168"/>
  <c r="Q24" i="168"/>
  <c r="Q49" i="168" s="1"/>
  <c r="AJ125" i="167"/>
  <c r="AJ46" i="167" s="1"/>
  <c r="AJ124" i="167"/>
  <c r="AJ41" i="167" s="1"/>
  <c r="U26" i="168"/>
  <c r="AN126" i="167"/>
  <c r="AN51" i="167" s="1"/>
  <c r="AJ126" i="167"/>
  <c r="AJ51" i="167" s="1"/>
  <c r="W41" i="123"/>
  <c r="AM75" i="166"/>
  <c r="AM48" i="166" s="1"/>
  <c r="AM75" i="167"/>
  <c r="AM48" i="167" s="1"/>
  <c r="Z75" i="166"/>
  <c r="Z48" i="166" s="1"/>
  <c r="Z75" i="167"/>
  <c r="F26" i="91"/>
  <c r="F11" i="60" s="1"/>
  <c r="F11" i="116" s="1"/>
  <c r="F39" i="116" s="1"/>
  <c r="F24" i="160"/>
  <c r="F27" i="160"/>
  <c r="G11" i="159" s="1"/>
  <c r="G11" i="161" s="1"/>
  <c r="G39" i="161" s="1"/>
  <c r="F27" i="157"/>
  <c r="G11" i="156" s="1"/>
  <c r="G11" i="158" s="1"/>
  <c r="F26" i="160"/>
  <c r="F11" i="159" s="1"/>
  <c r="F11" i="161" s="1"/>
  <c r="F26" i="157"/>
  <c r="F11" i="156" s="1"/>
  <c r="F11" i="158" s="1"/>
  <c r="F39" i="158" s="1"/>
  <c r="F27" i="154"/>
  <c r="G11" i="153" s="1"/>
  <c r="G11" i="155" s="1"/>
  <c r="G39" i="155" s="1"/>
  <c r="W97" i="114"/>
  <c r="W103" i="114" s="1"/>
  <c r="W111" i="114" s="1"/>
  <c r="W112" i="114" s="1"/>
  <c r="H329" i="102"/>
  <c r="U9" i="121" s="1"/>
  <c r="W43" i="176" s="1"/>
  <c r="W107" i="176" s="1"/>
  <c r="E46" i="158"/>
  <c r="Y94" i="166"/>
  <c r="Y94" i="167"/>
  <c r="AG94" i="166"/>
  <c r="AG94" i="167"/>
  <c r="AK94" i="166"/>
  <c r="AK94" i="167"/>
  <c r="AJ109" i="166"/>
  <c r="AJ50" i="166" s="1"/>
  <c r="AJ109" i="167"/>
  <c r="AJ50" i="167" s="1"/>
  <c r="AO117" i="167"/>
  <c r="O26" i="168"/>
  <c r="AH126" i="167"/>
  <c r="AH51" i="167" s="1"/>
  <c r="J33" i="168"/>
  <c r="Y133" i="167"/>
  <c r="O34" i="168"/>
  <c r="AH134" i="167"/>
  <c r="Q34" i="168"/>
  <c r="AJ134" i="167"/>
  <c r="AH74" i="167"/>
  <c r="AH43" i="167" s="1"/>
  <c r="AH73" i="167"/>
  <c r="AH38" i="167" s="1"/>
  <c r="W32" i="168"/>
  <c r="W50" i="168" s="1"/>
  <c r="AP132" i="167"/>
  <c r="AP56" i="167" s="1"/>
  <c r="AM74" i="167"/>
  <c r="AM43" i="167" s="1"/>
  <c r="AM73" i="167"/>
  <c r="AM38" i="167" s="1"/>
  <c r="M39" i="130"/>
  <c r="E18" i="119"/>
  <c r="D27" i="119"/>
  <c r="AS80" i="166"/>
  <c r="AS80" i="167"/>
  <c r="AJ80" i="166"/>
  <c r="AJ80" i="167"/>
  <c r="AF80" i="166"/>
  <c r="AF80" i="167"/>
  <c r="X80" i="166"/>
  <c r="X80" i="167"/>
  <c r="F80" i="166"/>
  <c r="F80" i="167"/>
  <c r="AP79" i="166"/>
  <c r="AP79" i="167"/>
  <c r="AO76" i="167"/>
  <c r="AL76" i="166"/>
  <c r="AL76" i="167"/>
  <c r="AI76" i="166"/>
  <c r="AI76" i="167"/>
  <c r="AF76" i="166"/>
  <c r="AF76" i="167"/>
  <c r="X76" i="166"/>
  <c r="X76" i="167"/>
  <c r="AO73" i="167"/>
  <c r="AO38" i="167" s="1"/>
  <c r="AO77" i="167"/>
  <c r="AI74" i="167"/>
  <c r="AI43" i="167" s="1"/>
  <c r="AI73" i="167"/>
  <c r="AI38" i="167" s="1"/>
  <c r="AG77" i="166"/>
  <c r="AG77" i="167"/>
  <c r="X77" i="166"/>
  <c r="X77" i="167"/>
  <c r="O24" i="98"/>
  <c r="AL100" i="166"/>
  <c r="AL100" i="167"/>
  <c r="AO65" i="132"/>
  <c r="AO99" i="167"/>
  <c r="AK99" i="166"/>
  <c r="AK99" i="167"/>
  <c r="AF99" i="166"/>
  <c r="AF99" i="167"/>
  <c r="AL97" i="166"/>
  <c r="AL97" i="167"/>
  <c r="X97" i="166"/>
  <c r="X97" i="167"/>
  <c r="AP96" i="166"/>
  <c r="AP96" i="167"/>
  <c r="AL96" i="166"/>
  <c r="AL96" i="167"/>
  <c r="AH96" i="166"/>
  <c r="AH96" i="167"/>
  <c r="Z96" i="166"/>
  <c r="Z96" i="167"/>
  <c r="N96" i="166"/>
  <c r="N96" i="167"/>
  <c r="AS95" i="166"/>
  <c r="AS95" i="167"/>
  <c r="AN95" i="166"/>
  <c r="AN95" i="167"/>
  <c r="AJ95" i="166"/>
  <c r="AJ95" i="167"/>
  <c r="AF95" i="166"/>
  <c r="AF95" i="167"/>
  <c r="X95" i="166"/>
  <c r="X95" i="167"/>
  <c r="F95" i="166"/>
  <c r="F95" i="167"/>
  <c r="AJ94" i="166"/>
  <c r="AJ94" i="167"/>
  <c r="AD94" i="166"/>
  <c r="AD94" i="167"/>
  <c r="N94" i="166"/>
  <c r="N94" i="167"/>
  <c r="AS93" i="166"/>
  <c r="AS93" i="167"/>
  <c r="AN93" i="166"/>
  <c r="AN93" i="167"/>
  <c r="AJ93" i="166"/>
  <c r="AJ93" i="167"/>
  <c r="AF93" i="166"/>
  <c r="AF93" i="167"/>
  <c r="X93" i="166"/>
  <c r="X93" i="167"/>
  <c r="F93" i="166"/>
  <c r="F93" i="167"/>
  <c r="AN92" i="166"/>
  <c r="AN49" i="166" s="1"/>
  <c r="AN92" i="167"/>
  <c r="AN49" i="167" s="1"/>
  <c r="AJ92" i="166"/>
  <c r="AJ49" i="166" s="1"/>
  <c r="AJ92" i="167"/>
  <c r="AJ49" i="167" s="1"/>
  <c r="AF92" i="166"/>
  <c r="AF49" i="166" s="1"/>
  <c r="AF92" i="167"/>
  <c r="AF49" i="167" s="1"/>
  <c r="AQ57" i="132"/>
  <c r="AQ73" i="132" s="1"/>
  <c r="AQ91" i="167"/>
  <c r="AQ44" i="167" s="1"/>
  <c r="AQ90" i="167"/>
  <c r="AQ39" i="167" s="1"/>
  <c r="AN109" i="166"/>
  <c r="AN50" i="166" s="1"/>
  <c r="AN109" i="167"/>
  <c r="AN50" i="167" s="1"/>
  <c r="AH109" i="166"/>
  <c r="AH50" i="166" s="1"/>
  <c r="AH109" i="167"/>
  <c r="AH50" i="167" s="1"/>
  <c r="AN108" i="167"/>
  <c r="AN45" i="167" s="1"/>
  <c r="AN107" i="167"/>
  <c r="AN40" i="167" s="1"/>
  <c r="AJ108" i="167"/>
  <c r="AJ45" i="167" s="1"/>
  <c r="AJ107" i="167"/>
  <c r="AJ40" i="167" s="1"/>
  <c r="AF108" i="167"/>
  <c r="AF45" i="167" s="1"/>
  <c r="AF107" i="167"/>
  <c r="AF40" i="167" s="1"/>
  <c r="X33" i="168"/>
  <c r="AQ133" i="167"/>
  <c r="S33" i="168"/>
  <c r="AL133" i="167"/>
  <c r="N33" i="168"/>
  <c r="AG133" i="167"/>
  <c r="I33" i="168"/>
  <c r="X133" i="167"/>
  <c r="V31" i="168"/>
  <c r="AO131" i="167"/>
  <c r="R31" i="168"/>
  <c r="AK131" i="167"/>
  <c r="N31" i="168"/>
  <c r="AG131" i="167"/>
  <c r="J31" i="168"/>
  <c r="Y131" i="167"/>
  <c r="F31" i="168"/>
  <c r="M131" i="167"/>
  <c r="X30" i="168"/>
  <c r="AQ130" i="167"/>
  <c r="T30" i="168"/>
  <c r="AM130" i="167"/>
  <c r="P30" i="168"/>
  <c r="AI130" i="167"/>
  <c r="L30" i="168"/>
  <c r="AD130" i="167"/>
  <c r="H30" i="168"/>
  <c r="W130" i="167"/>
  <c r="V29" i="168"/>
  <c r="AO129" i="167"/>
  <c r="R29" i="168"/>
  <c r="AK129" i="167"/>
  <c r="N29" i="168"/>
  <c r="AG129" i="167"/>
  <c r="J29" i="168"/>
  <c r="Y129" i="167"/>
  <c r="F29" i="168"/>
  <c r="M129" i="167"/>
  <c r="X28" i="168"/>
  <c r="AQ128" i="167"/>
  <c r="T28" i="168"/>
  <c r="AM128" i="167"/>
  <c r="P28" i="168"/>
  <c r="AI128" i="167"/>
  <c r="L28" i="168"/>
  <c r="AD128" i="167"/>
  <c r="H28" i="168"/>
  <c r="W128" i="167"/>
  <c r="V27" i="168"/>
  <c r="AO127" i="167"/>
  <c r="R27" i="168"/>
  <c r="AK127" i="167"/>
  <c r="N27" i="168"/>
  <c r="AG127" i="167"/>
  <c r="J27" i="168"/>
  <c r="Y127" i="167"/>
  <c r="F27" i="168"/>
  <c r="M127" i="167"/>
  <c r="U25" i="168"/>
  <c r="U24" i="168"/>
  <c r="U49" i="168" s="1"/>
  <c r="AN125" i="167"/>
  <c r="AN46" i="167" s="1"/>
  <c r="AN124" i="167"/>
  <c r="AN41" i="167" s="1"/>
  <c r="P25" i="168"/>
  <c r="P24" i="168"/>
  <c r="P49" i="168" s="1"/>
  <c r="AI125" i="167"/>
  <c r="AI46" i="167" s="1"/>
  <c r="AI124" i="167"/>
  <c r="AI41" i="167" s="1"/>
  <c r="L25" i="168"/>
  <c r="L24" i="168"/>
  <c r="L49" i="168" s="1"/>
  <c r="AD125" i="167"/>
  <c r="AD46" i="167" s="1"/>
  <c r="AD124" i="167"/>
  <c r="AD41" i="167" s="1"/>
  <c r="X26" i="168"/>
  <c r="AQ126" i="167"/>
  <c r="AQ51" i="167" s="1"/>
  <c r="T26" i="168"/>
  <c r="AM126" i="167"/>
  <c r="AM51" i="167" s="1"/>
  <c r="P26" i="168"/>
  <c r="AI126" i="167"/>
  <c r="AI51" i="167" s="1"/>
  <c r="R101" i="114"/>
  <c r="AK75" i="166"/>
  <c r="AK48" i="166" s="1"/>
  <c r="AK75" i="167"/>
  <c r="AK48" i="167" s="1"/>
  <c r="AG75" i="166"/>
  <c r="AG48" i="166" s="1"/>
  <c r="AG75" i="167"/>
  <c r="AG48" i="167" s="1"/>
  <c r="Y75" i="166"/>
  <c r="Y48" i="166" s="1"/>
  <c r="Y75" i="167"/>
  <c r="N99" i="166"/>
  <c r="N99" i="167"/>
  <c r="Z99" i="166"/>
  <c r="Z99" i="167"/>
  <c r="H150" i="104"/>
  <c r="H149" i="104" s="1"/>
  <c r="K9" i="122" s="1"/>
  <c r="AL109" i="166"/>
  <c r="AL50" i="166" s="1"/>
  <c r="AL109" i="167"/>
  <c r="AL50" i="167" s="1"/>
  <c r="H386" i="104"/>
  <c r="Y9" i="122" s="1"/>
  <c r="H114" i="106"/>
  <c r="H113" i="106" s="1"/>
  <c r="I9" i="123" s="1"/>
  <c r="K81" i="176" s="1"/>
  <c r="K109" i="176" s="1"/>
  <c r="L34" i="168"/>
  <c r="AD134" i="167"/>
  <c r="S34" i="168"/>
  <c r="AL134" i="167"/>
  <c r="A149" i="112"/>
  <c r="G34" i="168"/>
  <c r="N134" i="167"/>
  <c r="F34" i="168"/>
  <c r="M134" i="167"/>
  <c r="H33" i="168"/>
  <c r="W133" i="167"/>
  <c r="H26" i="168"/>
  <c r="W126" i="167"/>
  <c r="W51" i="167" s="1"/>
  <c r="E45" i="161"/>
  <c r="W94" i="166"/>
  <c r="W94" i="167"/>
  <c r="W92" i="166"/>
  <c r="W49" i="166" s="1"/>
  <c r="W92" i="167"/>
  <c r="W49" i="167" s="1"/>
  <c r="F43" i="155"/>
  <c r="G8" i="122"/>
  <c r="W8" i="122" s="1"/>
  <c r="H74" i="99"/>
  <c r="G6" i="98" s="1"/>
  <c r="H12" i="106"/>
  <c r="C16" i="123" s="1"/>
  <c r="H43" i="99"/>
  <c r="E11" i="98" s="1"/>
  <c r="E13" i="98"/>
  <c r="AL83" i="166"/>
  <c r="AL40" i="136"/>
  <c r="AL40" i="132"/>
  <c r="Y83" i="166"/>
  <c r="Y40" i="136"/>
  <c r="Y40" i="132"/>
  <c r="H44" i="98"/>
  <c r="H329" i="99"/>
  <c r="U9" i="98" s="1"/>
  <c r="U10" i="98"/>
  <c r="AI38" i="132"/>
  <c r="AI49" i="132" s="1"/>
  <c r="D5" i="116"/>
  <c r="D33" i="116" s="1"/>
  <c r="D24" i="60"/>
  <c r="V33" i="133"/>
  <c r="H377" i="104" s="1"/>
  <c r="X18" i="122" s="1"/>
  <c r="O18" i="177" s="1"/>
  <c r="U51" i="133"/>
  <c r="AD100" i="166"/>
  <c r="AD66" i="132"/>
  <c r="J44" i="121"/>
  <c r="R44" i="121"/>
  <c r="H10" i="122"/>
  <c r="H44" i="122"/>
  <c r="Y117" i="166"/>
  <c r="Y92" i="132"/>
  <c r="AK117" i="166"/>
  <c r="AK92" i="132"/>
  <c r="P44" i="122"/>
  <c r="H167" i="106"/>
  <c r="L9" i="123" s="1"/>
  <c r="N81" i="176" s="1"/>
  <c r="N109" i="176" s="1"/>
  <c r="L10" i="123"/>
  <c r="H311" i="106"/>
  <c r="T9" i="123" s="1"/>
  <c r="T10" i="123"/>
  <c r="N134" i="166"/>
  <c r="N118" i="132"/>
  <c r="AH134" i="166"/>
  <c r="AH118" i="132"/>
  <c r="M44" i="123"/>
  <c r="O93" i="176" s="1"/>
  <c r="AP134" i="166"/>
  <c r="AP118" i="132"/>
  <c r="G13" i="122"/>
  <c r="H79" i="104"/>
  <c r="G11" i="122" s="1"/>
  <c r="AG83" i="166"/>
  <c r="AG40" i="132"/>
  <c r="U44" i="98"/>
  <c r="AP77" i="166"/>
  <c r="AO34" i="132"/>
  <c r="AO34" i="136"/>
  <c r="AP34" i="132"/>
  <c r="AP34" i="136"/>
  <c r="H239" i="99"/>
  <c r="P9" i="98" s="1"/>
  <c r="P10" i="98"/>
  <c r="F77" i="166"/>
  <c r="F34" i="132"/>
  <c r="F34" i="136"/>
  <c r="W20" i="98"/>
  <c r="AL38" i="132"/>
  <c r="AL49" i="132" s="1"/>
  <c r="O45" i="98"/>
  <c r="A55" i="109"/>
  <c r="A58" i="109" s="1"/>
  <c r="F6" i="91" s="1"/>
  <c r="A56" i="109"/>
  <c r="H373" i="106"/>
  <c r="X14" i="123" s="1"/>
  <c r="P14" i="177" s="1"/>
  <c r="H10" i="106"/>
  <c r="N44" i="121"/>
  <c r="AI100" i="166"/>
  <c r="AI66" i="132"/>
  <c r="AQ100" i="166"/>
  <c r="AQ66" i="132"/>
  <c r="V44" i="121"/>
  <c r="M117" i="166"/>
  <c r="M92" i="132"/>
  <c r="AG117" i="166"/>
  <c r="AG92" i="132"/>
  <c r="L44" i="122"/>
  <c r="AO117" i="166"/>
  <c r="AO92" i="132"/>
  <c r="I10" i="123"/>
  <c r="H293" i="106"/>
  <c r="S9" i="123" s="1"/>
  <c r="U81" i="176" s="1"/>
  <c r="U109" i="176" s="1"/>
  <c r="S10" i="123"/>
  <c r="H347" i="106"/>
  <c r="V9" i="123" s="1"/>
  <c r="X81" i="176" s="1"/>
  <c r="X109" i="176" s="1"/>
  <c r="V10" i="123"/>
  <c r="Z134" i="166"/>
  <c r="Z118" i="132"/>
  <c r="AL134" i="166"/>
  <c r="AL118" i="132"/>
  <c r="Q44" i="123"/>
  <c r="S93" i="176" s="1"/>
  <c r="AR130" i="166"/>
  <c r="AR114" i="132"/>
  <c r="Y115" i="166"/>
  <c r="Y55" i="166" s="1"/>
  <c r="Y90" i="132"/>
  <c r="Y101" i="132" s="1"/>
  <c r="H46" i="158"/>
  <c r="AR37" i="132"/>
  <c r="AR80" i="166"/>
  <c r="AG38" i="136"/>
  <c r="AG81" i="166"/>
  <c r="AG53" i="166" s="1"/>
  <c r="AK73" i="166"/>
  <c r="AK38" i="166" s="1"/>
  <c r="AK74" i="166"/>
  <c r="AK43" i="166" s="1"/>
  <c r="AH74" i="166"/>
  <c r="AH43" i="166" s="1"/>
  <c r="AH73" i="166"/>
  <c r="AH38" i="166" s="1"/>
  <c r="AJ41" i="136"/>
  <c r="AJ84" i="166"/>
  <c r="AJ58" i="166" s="1"/>
  <c r="AI117" i="166"/>
  <c r="AI92" i="132"/>
  <c r="AN81" i="132"/>
  <c r="AN97" i="132" s="1"/>
  <c r="M134" i="166"/>
  <c r="M118" i="132"/>
  <c r="Y134" i="166"/>
  <c r="Y118" i="132"/>
  <c r="AK134" i="166"/>
  <c r="AK118" i="132"/>
  <c r="Z115" i="166"/>
  <c r="Z55" i="166" s="1"/>
  <c r="Z90" i="132"/>
  <c r="Z101" i="132" s="1"/>
  <c r="AP115" i="166"/>
  <c r="AP55" i="166" s="1"/>
  <c r="AP90" i="132"/>
  <c r="AP101" i="132" s="1"/>
  <c r="AA20" i="123"/>
  <c r="AR128" i="166"/>
  <c r="AR112" i="132"/>
  <c r="AM132" i="166"/>
  <c r="AM56" i="166" s="1"/>
  <c r="AM116" i="132"/>
  <c r="AM127" i="132" s="1"/>
  <c r="AH38" i="132"/>
  <c r="AH49" i="132" s="1"/>
  <c r="AH81" i="166"/>
  <c r="AH53" i="166" s="1"/>
  <c r="AJ74" i="166"/>
  <c r="AJ43" i="166" s="1"/>
  <c r="N26" i="119"/>
  <c r="N12" i="119"/>
  <c r="N11" i="119"/>
  <c r="AD40" i="136"/>
  <c r="AD83" i="166"/>
  <c r="AS39" i="132"/>
  <c r="AS82" i="166"/>
  <c r="AP39" i="132"/>
  <c r="AP82" i="166"/>
  <c r="AO82" i="166"/>
  <c r="AN39" i="136"/>
  <c r="AN82" i="166"/>
  <c r="AL39" i="136"/>
  <c r="AL82" i="166"/>
  <c r="P44" i="98"/>
  <c r="AK82" i="166"/>
  <c r="AJ39" i="132"/>
  <c r="AJ82" i="166"/>
  <c r="AH39" i="132"/>
  <c r="AH82" i="166"/>
  <c r="AF39" i="136"/>
  <c r="AF82" i="166"/>
  <c r="Z39" i="132"/>
  <c r="Z82" i="166"/>
  <c r="X39" i="136"/>
  <c r="X82" i="166"/>
  <c r="F39" i="132"/>
  <c r="F82" i="166"/>
  <c r="AQ37" i="132"/>
  <c r="AQ80" i="166"/>
  <c r="AO80" i="166"/>
  <c r="AL36" i="136"/>
  <c r="AL79" i="166"/>
  <c r="AJ36" i="136"/>
  <c r="AJ79" i="166"/>
  <c r="AH36" i="132"/>
  <c r="AH79" i="166"/>
  <c r="AF36" i="136"/>
  <c r="AF79" i="166"/>
  <c r="Y36" i="132"/>
  <c r="Y79" i="166"/>
  <c r="F36" i="136"/>
  <c r="F79" i="166"/>
  <c r="AS35" i="132"/>
  <c r="AS78" i="166"/>
  <c r="AP35" i="136"/>
  <c r="AP78" i="166"/>
  <c r="AN35" i="136"/>
  <c r="AN78" i="166"/>
  <c r="AL35" i="136"/>
  <c r="AL78" i="166"/>
  <c r="AJ35" i="136"/>
  <c r="AJ78" i="166"/>
  <c r="AH35" i="136"/>
  <c r="AH78" i="166"/>
  <c r="AF35" i="132"/>
  <c r="AF78" i="166"/>
  <c r="Z35" i="136"/>
  <c r="Z78" i="166"/>
  <c r="W35" i="132"/>
  <c r="W78" i="166"/>
  <c r="AM34" i="132"/>
  <c r="AM77" i="166"/>
  <c r="AH34" i="136"/>
  <c r="AH77" i="166"/>
  <c r="AS33" i="132"/>
  <c r="AS76" i="166"/>
  <c r="AP33" i="136"/>
  <c r="AP76" i="166"/>
  <c r="AM33" i="132"/>
  <c r="AM76" i="166"/>
  <c r="AJ33" i="136"/>
  <c r="AJ76" i="166"/>
  <c r="AH33" i="136"/>
  <c r="AH76" i="166"/>
  <c r="AD33" i="132"/>
  <c r="AD76" i="166"/>
  <c r="W33" i="132"/>
  <c r="W76" i="166"/>
  <c r="AO30" i="136"/>
  <c r="AO73" i="166"/>
  <c r="AO38" i="166" s="1"/>
  <c r="AD30" i="136"/>
  <c r="AD73" i="166"/>
  <c r="AD38" i="166" s="1"/>
  <c r="AD74" i="166"/>
  <c r="AD43" i="166" s="1"/>
  <c r="AS34" i="136"/>
  <c r="AS77" i="166"/>
  <c r="AQ34" i="132"/>
  <c r="AQ77" i="166"/>
  <c r="AN34" i="136"/>
  <c r="AN77" i="166"/>
  <c r="H275" i="99"/>
  <c r="R9" i="98" s="1"/>
  <c r="AL34" i="136"/>
  <c r="AL77" i="166"/>
  <c r="AI31" i="132"/>
  <c r="AI47" i="132" s="1"/>
  <c r="AI73" i="166"/>
  <c r="AI38" i="166" s="1"/>
  <c r="AI74" i="166"/>
  <c r="AI43" i="166" s="1"/>
  <c r="W34" i="136"/>
  <c r="W77" i="166"/>
  <c r="I24" i="98"/>
  <c r="Q44" i="121"/>
  <c r="AL99" i="166"/>
  <c r="H44" i="121"/>
  <c r="Y99" i="166"/>
  <c r="W99" i="166"/>
  <c r="U24" i="121"/>
  <c r="AP97" i="166"/>
  <c r="L24" i="121"/>
  <c r="AG97" i="166"/>
  <c r="AD98" i="166"/>
  <c r="AD54" i="166" s="1"/>
  <c r="I24" i="121"/>
  <c r="Z97" i="166"/>
  <c r="AO96" i="166"/>
  <c r="AO95" i="166"/>
  <c r="AO93" i="166"/>
  <c r="AO92" i="166"/>
  <c r="AO49" i="166" s="1"/>
  <c r="AP91" i="166"/>
  <c r="AP44" i="166" s="1"/>
  <c r="AP90" i="166"/>
  <c r="AP39" i="166" s="1"/>
  <c r="AN91" i="166"/>
  <c r="AN44" i="166" s="1"/>
  <c r="AN90" i="166"/>
  <c r="AN39" i="166" s="1"/>
  <c r="AK90" i="166"/>
  <c r="AK39" i="166" s="1"/>
  <c r="AK91" i="166"/>
  <c r="AK44" i="166" s="1"/>
  <c r="AI90" i="166"/>
  <c r="AI39" i="166" s="1"/>
  <c r="AI91" i="166"/>
  <c r="AI44" i="166" s="1"/>
  <c r="AF91" i="166"/>
  <c r="AF44" i="166" s="1"/>
  <c r="AF90" i="166"/>
  <c r="AF39" i="166" s="1"/>
  <c r="Y90" i="166"/>
  <c r="Y39" i="166" s="1"/>
  <c r="Y91" i="166"/>
  <c r="Y44" i="166" s="1"/>
  <c r="N24" i="121"/>
  <c r="AF117" i="166"/>
  <c r="AF92" i="132"/>
  <c r="AQ116" i="166"/>
  <c r="AQ91" i="132"/>
  <c r="AP116" i="166"/>
  <c r="AP91" i="132"/>
  <c r="AM116" i="166"/>
  <c r="AM91" i="132"/>
  <c r="AK116" i="166"/>
  <c r="AK91" i="132"/>
  <c r="AI116" i="166"/>
  <c r="AI91" i="132"/>
  <c r="AG116" i="166"/>
  <c r="AG91" i="132"/>
  <c r="Z116" i="166"/>
  <c r="Z91" i="132"/>
  <c r="G44" i="122"/>
  <c r="X116" i="166"/>
  <c r="X91" i="132"/>
  <c r="N116" i="166"/>
  <c r="N91" i="132"/>
  <c r="V24" i="122"/>
  <c r="AQ114" i="166"/>
  <c r="AQ89" i="132"/>
  <c r="AO114" i="166"/>
  <c r="AO89" i="132"/>
  <c r="AM114" i="166"/>
  <c r="AM89" i="132"/>
  <c r="AK114" i="166"/>
  <c r="AK89" i="132"/>
  <c r="N24" i="122"/>
  <c r="AI114" i="166"/>
  <c r="AI89" i="132"/>
  <c r="AG114" i="166"/>
  <c r="AG89" i="132"/>
  <c r="AD114" i="166"/>
  <c r="AD89" i="132"/>
  <c r="Y114" i="166"/>
  <c r="Y89" i="132"/>
  <c r="W114" i="166"/>
  <c r="W89" i="132"/>
  <c r="M114" i="166"/>
  <c r="M89" i="132"/>
  <c r="AQ113" i="166"/>
  <c r="AQ88" i="132"/>
  <c r="AO113" i="166"/>
  <c r="AO88" i="132"/>
  <c r="AM113" i="166"/>
  <c r="AM88" i="132"/>
  <c r="AK113" i="166"/>
  <c r="AK88" i="132"/>
  <c r="AI113" i="166"/>
  <c r="AI88" i="132"/>
  <c r="AG113" i="166"/>
  <c r="AG88" i="132"/>
  <c r="AD113" i="166"/>
  <c r="AD88" i="132"/>
  <c r="Y113" i="166"/>
  <c r="Y88" i="132"/>
  <c r="W113" i="166"/>
  <c r="W88" i="132"/>
  <c r="M113" i="166"/>
  <c r="M88" i="132"/>
  <c r="AQ112" i="166"/>
  <c r="AQ87" i="132"/>
  <c r="AO112" i="166"/>
  <c r="AO87" i="132"/>
  <c r="AM112" i="166"/>
  <c r="AM87" i="132"/>
  <c r="AK112" i="166"/>
  <c r="AK87" i="132"/>
  <c r="AI112" i="166"/>
  <c r="AI87" i="132"/>
  <c r="AG112" i="166"/>
  <c r="AG87" i="132"/>
  <c r="AD112" i="166"/>
  <c r="AD87" i="132"/>
  <c r="Y112" i="166"/>
  <c r="Y87" i="132"/>
  <c r="W112" i="166"/>
  <c r="W87" i="132"/>
  <c r="W21" i="122"/>
  <c r="M112" i="166"/>
  <c r="M87" i="132"/>
  <c r="AQ111" i="166"/>
  <c r="AQ86" i="132"/>
  <c r="AM111" i="166"/>
  <c r="AM86" i="132"/>
  <c r="AK111" i="166"/>
  <c r="AK86" i="132"/>
  <c r="AI111" i="166"/>
  <c r="AI86" i="132"/>
  <c r="AG111" i="166"/>
  <c r="AG86" i="132"/>
  <c r="AD111" i="166"/>
  <c r="AD86" i="132"/>
  <c r="Y111" i="166"/>
  <c r="Y86" i="132"/>
  <c r="AQ110" i="166"/>
  <c r="AQ85" i="132"/>
  <c r="AO110" i="166"/>
  <c r="AO85" i="132"/>
  <c r="AM110" i="166"/>
  <c r="AM85" i="132"/>
  <c r="AQ109" i="166"/>
  <c r="AQ50" i="166" s="1"/>
  <c r="AQ84" i="132"/>
  <c r="AQ100" i="132" s="1"/>
  <c r="AO109" i="166"/>
  <c r="AO50" i="166" s="1"/>
  <c r="AO84" i="132"/>
  <c r="AO100" i="132" s="1"/>
  <c r="AM109" i="166"/>
  <c r="AM50" i="166" s="1"/>
  <c r="AM84" i="132"/>
  <c r="AM100" i="132" s="1"/>
  <c r="AI109" i="166"/>
  <c r="AI50" i="166" s="1"/>
  <c r="AI84" i="132"/>
  <c r="AI100" i="132" s="1"/>
  <c r="AG109" i="166"/>
  <c r="AG50" i="166" s="1"/>
  <c r="AG84" i="132"/>
  <c r="AG100" i="132" s="1"/>
  <c r="W109" i="166"/>
  <c r="W50" i="166" s="1"/>
  <c r="W84" i="132"/>
  <c r="W100" i="132" s="1"/>
  <c r="AQ107" i="166"/>
  <c r="AQ40" i="166" s="1"/>
  <c r="AQ108" i="166"/>
  <c r="AQ45" i="166" s="1"/>
  <c r="AQ82" i="132"/>
  <c r="AQ98" i="132" s="1"/>
  <c r="AO107" i="166"/>
  <c r="AO40" i="166" s="1"/>
  <c r="AO108" i="166"/>
  <c r="AO45" i="166" s="1"/>
  <c r="AO82" i="132"/>
  <c r="AO98" i="132" s="1"/>
  <c r="AM107" i="166"/>
  <c r="AM40" i="166" s="1"/>
  <c r="AM108" i="166"/>
  <c r="AM45" i="166" s="1"/>
  <c r="AM82" i="132"/>
  <c r="AM98" i="132" s="1"/>
  <c r="AK107" i="166"/>
  <c r="AK40" i="166" s="1"/>
  <c r="AK108" i="166"/>
  <c r="AK45" i="166" s="1"/>
  <c r="AK82" i="132"/>
  <c r="AK98" i="132" s="1"/>
  <c r="AG107" i="166"/>
  <c r="AG40" i="166" s="1"/>
  <c r="AG108" i="166"/>
  <c r="AG45" i="166" s="1"/>
  <c r="AG82" i="132"/>
  <c r="AG98" i="132" s="1"/>
  <c r="AD108" i="166"/>
  <c r="AD45" i="166" s="1"/>
  <c r="Y107" i="166"/>
  <c r="Y40" i="166" s="1"/>
  <c r="Y108" i="166"/>
  <c r="Y45" i="166" s="1"/>
  <c r="Y82" i="132"/>
  <c r="Y98" i="132" s="1"/>
  <c r="X135" i="166"/>
  <c r="X61" i="166" s="1"/>
  <c r="AQ133" i="166"/>
  <c r="AQ117" i="132"/>
  <c r="AN133" i="166"/>
  <c r="AN117" i="132"/>
  <c r="AL133" i="166"/>
  <c r="AL117" i="132"/>
  <c r="AI133" i="166"/>
  <c r="AI117" i="132"/>
  <c r="AG133" i="166"/>
  <c r="AG117" i="132"/>
  <c r="J44" i="123"/>
  <c r="L93" i="176" s="1"/>
  <c r="AD133" i="166"/>
  <c r="AD117" i="132"/>
  <c r="X133" i="166"/>
  <c r="X117" i="132"/>
  <c r="E44" i="123"/>
  <c r="G93" i="176" s="1"/>
  <c r="N133" i="166"/>
  <c r="N117" i="132"/>
  <c r="AQ131" i="166"/>
  <c r="AQ115" i="132"/>
  <c r="AO131" i="166"/>
  <c r="AO115" i="132"/>
  <c r="AM131" i="166"/>
  <c r="AM115" i="132"/>
  <c r="AK131" i="166"/>
  <c r="AK115" i="132"/>
  <c r="AI131" i="166"/>
  <c r="AI115" i="132"/>
  <c r="AG131" i="166"/>
  <c r="AG115" i="132"/>
  <c r="AD131" i="166"/>
  <c r="AD115" i="132"/>
  <c r="Y131" i="166"/>
  <c r="Y115" i="132"/>
  <c r="W131" i="166"/>
  <c r="W115" i="132"/>
  <c r="M131" i="166"/>
  <c r="M115" i="132"/>
  <c r="AQ130" i="166"/>
  <c r="AQ114" i="132"/>
  <c r="AO130" i="166"/>
  <c r="AO114" i="132"/>
  <c r="AM130" i="166"/>
  <c r="AM114" i="132"/>
  <c r="AK130" i="166"/>
  <c r="AK114" i="132"/>
  <c r="AI130" i="166"/>
  <c r="AI114" i="132"/>
  <c r="AG130" i="166"/>
  <c r="AG114" i="132"/>
  <c r="AD130" i="166"/>
  <c r="AD114" i="132"/>
  <c r="Y130" i="166"/>
  <c r="Y114" i="132"/>
  <c r="W130" i="166"/>
  <c r="W114" i="132"/>
  <c r="M130" i="166"/>
  <c r="M114" i="132"/>
  <c r="AQ129" i="166"/>
  <c r="AQ113" i="132"/>
  <c r="AO129" i="166"/>
  <c r="AO113" i="132"/>
  <c r="AM129" i="166"/>
  <c r="AM113" i="132"/>
  <c r="AK129" i="166"/>
  <c r="AK113" i="132"/>
  <c r="AI129" i="166"/>
  <c r="AI113" i="132"/>
  <c r="AG129" i="166"/>
  <c r="AG113" i="132"/>
  <c r="AD129" i="166"/>
  <c r="AD113" i="132"/>
  <c r="Y129" i="166"/>
  <c r="Y113" i="132"/>
  <c r="W129" i="166"/>
  <c r="W113" i="132"/>
  <c r="M129" i="166"/>
  <c r="M113" i="132"/>
  <c r="AQ128" i="166"/>
  <c r="AQ112" i="132"/>
  <c r="AO128" i="166"/>
  <c r="AO112" i="132"/>
  <c r="AM128" i="166"/>
  <c r="AM112" i="132"/>
  <c r="AK128" i="166"/>
  <c r="AK112" i="132"/>
  <c r="AI128" i="166"/>
  <c r="AI112" i="132"/>
  <c r="AG128" i="166"/>
  <c r="AG112" i="132"/>
  <c r="AD128" i="166"/>
  <c r="AD112" i="132"/>
  <c r="Y128" i="166"/>
  <c r="Y112" i="132"/>
  <c r="W128" i="166"/>
  <c r="W112" i="132"/>
  <c r="M128" i="166"/>
  <c r="M112" i="132"/>
  <c r="AQ127" i="166"/>
  <c r="AQ111" i="132"/>
  <c r="AO127" i="166"/>
  <c r="AO111" i="132"/>
  <c r="AM127" i="166"/>
  <c r="AM111" i="132"/>
  <c r="AK127" i="166"/>
  <c r="AK111" i="132"/>
  <c r="AI127" i="166"/>
  <c r="AI111" i="132"/>
  <c r="AG127" i="166"/>
  <c r="AG111" i="132"/>
  <c r="AD127" i="166"/>
  <c r="AD111" i="132"/>
  <c r="Y127" i="166"/>
  <c r="Y111" i="132"/>
  <c r="W127" i="166"/>
  <c r="W111" i="132"/>
  <c r="M127" i="166"/>
  <c r="M111" i="132"/>
  <c r="AQ125" i="166"/>
  <c r="AQ46" i="166" s="1"/>
  <c r="AQ124" i="166"/>
  <c r="AQ41" i="166" s="1"/>
  <c r="AQ109" i="132"/>
  <c r="AQ125" i="132" s="1"/>
  <c r="AQ108" i="132"/>
  <c r="AQ124" i="132" s="1"/>
  <c r="AO108" i="132"/>
  <c r="AO124" i="132" s="1"/>
  <c r="AL124" i="166"/>
  <c r="AL41" i="166" s="1"/>
  <c r="AL125" i="166"/>
  <c r="AL46" i="166" s="1"/>
  <c r="AL108" i="132"/>
  <c r="AL124" i="132" s="1"/>
  <c r="AL109" i="132"/>
  <c r="AL125" i="132" s="1"/>
  <c r="AJ124" i="166"/>
  <c r="AJ41" i="166" s="1"/>
  <c r="AJ125" i="166"/>
  <c r="AJ46" i="166" s="1"/>
  <c r="AJ108" i="132"/>
  <c r="AJ124" i="132" s="1"/>
  <c r="AJ109" i="132"/>
  <c r="AJ125" i="132" s="1"/>
  <c r="AH124" i="166"/>
  <c r="AH41" i="166" s="1"/>
  <c r="AH125" i="166"/>
  <c r="AH46" i="166" s="1"/>
  <c r="AH108" i="132"/>
  <c r="AH124" i="132" s="1"/>
  <c r="AH109" i="132"/>
  <c r="AH125" i="132" s="1"/>
  <c r="AF109" i="132"/>
  <c r="AF125" i="132" s="1"/>
  <c r="Z124" i="166"/>
  <c r="Z41" i="166" s="1"/>
  <c r="Z125" i="166"/>
  <c r="Z46" i="166" s="1"/>
  <c r="Z108" i="132"/>
  <c r="Z124" i="132" s="1"/>
  <c r="Z109" i="132"/>
  <c r="Z125" i="132" s="1"/>
  <c r="P24" i="123"/>
  <c r="R90" i="176" s="1"/>
  <c r="K24" i="123"/>
  <c r="M90" i="176" s="1"/>
  <c r="AP126" i="166"/>
  <c r="AP51" i="166" s="1"/>
  <c r="AP110" i="132"/>
  <c r="AP126" i="132" s="1"/>
  <c r="AN126" i="166"/>
  <c r="AN51" i="166" s="1"/>
  <c r="AN110" i="132"/>
  <c r="AN126" i="132" s="1"/>
  <c r="AL126" i="166"/>
  <c r="AL51" i="166" s="1"/>
  <c r="AL110" i="132"/>
  <c r="AL126" i="132" s="1"/>
  <c r="AJ126" i="166"/>
  <c r="AJ51" i="166" s="1"/>
  <c r="AJ110" i="132"/>
  <c r="AJ126" i="132" s="1"/>
  <c r="AG126" i="166"/>
  <c r="AG51" i="166" s="1"/>
  <c r="AG110" i="132"/>
  <c r="AG126" i="132" s="1"/>
  <c r="Z126" i="166"/>
  <c r="Z51" i="166" s="1"/>
  <c r="Z110" i="132"/>
  <c r="Z126" i="132" s="1"/>
  <c r="W126" i="166"/>
  <c r="W51" i="166" s="1"/>
  <c r="W110" i="132"/>
  <c r="W126" i="132" s="1"/>
  <c r="W101" i="114"/>
  <c r="U101" i="114"/>
  <c r="V101" i="114"/>
  <c r="V52" i="133"/>
  <c r="E45" i="158"/>
  <c r="H52" i="155"/>
  <c r="G46" i="158"/>
  <c r="H52" i="161"/>
  <c r="H96" i="102"/>
  <c r="H204" i="102"/>
  <c r="H240" i="102"/>
  <c r="AL91" i="166"/>
  <c r="AL44" i="166" s="1"/>
  <c r="AL90" i="166"/>
  <c r="AL39" i="166" s="1"/>
  <c r="H312" i="102"/>
  <c r="H312" i="104"/>
  <c r="H330" i="104"/>
  <c r="AP111" i="166"/>
  <c r="AP86" i="132"/>
  <c r="H132" i="106"/>
  <c r="AQ55" i="132"/>
  <c r="AQ71" i="132" s="1"/>
  <c r="AF56" i="132"/>
  <c r="AF72" i="132" s="1"/>
  <c r="AL56" i="132"/>
  <c r="AL72" i="132" s="1"/>
  <c r="AN56" i="132"/>
  <c r="AN72" i="132" s="1"/>
  <c r="AP56" i="132"/>
  <c r="AP72" i="132" s="1"/>
  <c r="Y57" i="132"/>
  <c r="Y73" i="132" s="1"/>
  <c r="AI57" i="132"/>
  <c r="AI73" i="132" s="1"/>
  <c r="AK57" i="132"/>
  <c r="AK73" i="132" s="1"/>
  <c r="Z58" i="132"/>
  <c r="Z74" i="132" s="1"/>
  <c r="AF58" i="132"/>
  <c r="AF74" i="132" s="1"/>
  <c r="AH58" i="132"/>
  <c r="AH74" i="132" s="1"/>
  <c r="AJ58" i="132"/>
  <c r="AJ74" i="132" s="1"/>
  <c r="AL58" i="132"/>
  <c r="AL74" i="132" s="1"/>
  <c r="AN58" i="132"/>
  <c r="AN74" i="132" s="1"/>
  <c r="AP58" i="132"/>
  <c r="AP74" i="132" s="1"/>
  <c r="M59" i="132"/>
  <c r="W59" i="132"/>
  <c r="Y59" i="132"/>
  <c r="AD59" i="132"/>
  <c r="AG59" i="132"/>
  <c r="AI59" i="132"/>
  <c r="AK59" i="132"/>
  <c r="AM59" i="132"/>
  <c r="AO59" i="132"/>
  <c r="AQ59" i="132"/>
  <c r="AS59" i="132"/>
  <c r="N60" i="132"/>
  <c r="X60" i="132"/>
  <c r="Z60" i="132"/>
  <c r="AF60" i="132"/>
  <c r="AH60" i="132"/>
  <c r="AJ60" i="132"/>
  <c r="AL60" i="132"/>
  <c r="AN60" i="132"/>
  <c r="AP60" i="132"/>
  <c r="M61" i="132"/>
  <c r="W61" i="132"/>
  <c r="Y61" i="132"/>
  <c r="AD61" i="132"/>
  <c r="AG61" i="132"/>
  <c r="AI61" i="132"/>
  <c r="AK61" i="132"/>
  <c r="AM61" i="132"/>
  <c r="AO61" i="132"/>
  <c r="AQ61" i="132"/>
  <c r="AS61" i="132"/>
  <c r="F62" i="132"/>
  <c r="N62" i="132"/>
  <c r="X62" i="132"/>
  <c r="Z62" i="132"/>
  <c r="AF62" i="132"/>
  <c r="AH62" i="132"/>
  <c r="AJ62" i="132"/>
  <c r="AL62" i="132"/>
  <c r="AN62" i="132"/>
  <c r="AP62" i="132"/>
  <c r="M63" i="132"/>
  <c r="W63" i="132"/>
  <c r="Y63" i="132"/>
  <c r="AD63" i="132"/>
  <c r="AG63" i="132"/>
  <c r="AI63" i="132"/>
  <c r="AK63" i="132"/>
  <c r="AQ63" i="132"/>
  <c r="AS63" i="132"/>
  <c r="AF64" i="132"/>
  <c r="AF75" i="132" s="1"/>
  <c r="W65" i="132"/>
  <c r="Y65" i="132"/>
  <c r="AD65" i="132"/>
  <c r="AG65" i="132"/>
  <c r="AI65" i="132"/>
  <c r="AK65" i="132"/>
  <c r="AM65" i="132"/>
  <c r="AQ65" i="132"/>
  <c r="AS65" i="132"/>
  <c r="AH66" i="132"/>
  <c r="AL66" i="132"/>
  <c r="AP66" i="132"/>
  <c r="AD81" i="132"/>
  <c r="AD97" i="132" s="1"/>
  <c r="AM81" i="132"/>
  <c r="AM97" i="132" s="1"/>
  <c r="AD83" i="132"/>
  <c r="AD99" i="132" s="1"/>
  <c r="AM83" i="132"/>
  <c r="AM99" i="132" s="1"/>
  <c r="AQ83" i="132"/>
  <c r="AQ99" i="132" s="1"/>
  <c r="Z84" i="132"/>
  <c r="Z100" i="132" s="1"/>
  <c r="AH84" i="132"/>
  <c r="AH100" i="132" s="1"/>
  <c r="AL84" i="132"/>
  <c r="AL100" i="132" s="1"/>
  <c r="AP84" i="132"/>
  <c r="AP100" i="132" s="1"/>
  <c r="W85" i="132"/>
  <c r="AD85" i="132"/>
  <c r="AI85" i="132"/>
  <c r="AR127" i="166"/>
  <c r="AR111" i="132"/>
  <c r="AR131" i="166"/>
  <c r="AR115" i="132"/>
  <c r="AO115" i="166"/>
  <c r="AO55" i="166" s="1"/>
  <c r="AO90" i="132"/>
  <c r="AO101" i="132" s="1"/>
  <c r="AI118" i="166"/>
  <c r="AI60" i="166" s="1"/>
  <c r="AI93" i="132"/>
  <c r="AI102" i="132" s="1"/>
  <c r="AN115" i="166"/>
  <c r="AN55" i="166" s="1"/>
  <c r="AN90" i="132"/>
  <c r="AN101" i="132" s="1"/>
  <c r="D114" i="166"/>
  <c r="AT114" i="166"/>
  <c r="D89" i="132"/>
  <c r="AT89" i="132"/>
  <c r="AG38" i="132"/>
  <c r="AG49" i="132" s="1"/>
  <c r="AA23" i="98"/>
  <c r="AA19" i="123"/>
  <c r="U19" i="177" s="1"/>
  <c r="AA22" i="123"/>
  <c r="AA23" i="123"/>
  <c r="H45" i="122"/>
  <c r="AA22" i="121"/>
  <c r="AR114" i="166"/>
  <c r="AR89" i="132"/>
  <c r="AA21" i="98"/>
  <c r="AR78" i="166"/>
  <c r="J17" i="146"/>
  <c r="AK40" i="132"/>
  <c r="AH31" i="132"/>
  <c r="AH47" i="132" s="1"/>
  <c r="AH30" i="132"/>
  <c r="AH46" i="132" s="1"/>
  <c r="AK30" i="132"/>
  <c r="AK46" i="132" s="1"/>
  <c r="AR95" i="166"/>
  <c r="AA19" i="121"/>
  <c r="AG74" i="166"/>
  <c r="AG43" i="166" s="1"/>
  <c r="AP74" i="166"/>
  <c r="AP43" i="166" s="1"/>
  <c r="AP73" i="166"/>
  <c r="AP38" i="166" s="1"/>
  <c r="R44" i="122"/>
  <c r="AM117" i="166"/>
  <c r="AM92" i="132"/>
  <c r="H44" i="123"/>
  <c r="J93" i="176" s="1"/>
  <c r="L44" i="123"/>
  <c r="N93" i="176" s="1"/>
  <c r="P44" i="123"/>
  <c r="R93" i="176" s="1"/>
  <c r="AL90" i="132"/>
  <c r="AL101" i="132" s="1"/>
  <c r="AA21" i="123"/>
  <c r="AR129" i="166"/>
  <c r="AR113" i="132"/>
  <c r="AP132" i="166"/>
  <c r="AP56" i="166" s="1"/>
  <c r="AP116" i="132"/>
  <c r="AP127" i="132" s="1"/>
  <c r="AM38" i="132"/>
  <c r="AM49" i="132" s="1"/>
  <c r="Y132" i="166"/>
  <c r="Y56" i="166" s="1"/>
  <c r="Y116" i="132"/>
  <c r="Y127" i="132" s="1"/>
  <c r="AQ116" i="132"/>
  <c r="AQ127" i="132" s="1"/>
  <c r="AM73" i="166"/>
  <c r="AM38" i="166" s="1"/>
  <c r="AM74" i="166"/>
  <c r="AM43" i="166" s="1"/>
  <c r="F19" i="119"/>
  <c r="Q39" i="98"/>
  <c r="AJ40" i="132"/>
  <c r="AJ83" i="166"/>
  <c r="AN37" i="136"/>
  <c r="AN80" i="166"/>
  <c r="AF37" i="136"/>
  <c r="M37" i="136"/>
  <c r="F37" i="132"/>
  <c r="AO79" i="166"/>
  <c r="AI36" i="132"/>
  <c r="AI79" i="166"/>
  <c r="AO78" i="166"/>
  <c r="AK35" i="136"/>
  <c r="AK78" i="166"/>
  <c r="AK34" i="132"/>
  <c r="AF34" i="136"/>
  <c r="AO76" i="166"/>
  <c r="AN74" i="166"/>
  <c r="AN43" i="166" s="1"/>
  <c r="AN73" i="166"/>
  <c r="AN38" i="166" s="1"/>
  <c r="K11" i="98"/>
  <c r="AO77" i="166"/>
  <c r="U24" i="98"/>
  <c r="S24" i="98"/>
  <c r="K24" i="98"/>
  <c r="M33" i="176" s="1"/>
  <c r="AO99" i="166"/>
  <c r="AO97" i="166"/>
  <c r="R24" i="121"/>
  <c r="AM97" i="166"/>
  <c r="F97" i="166"/>
  <c r="AO94" i="166"/>
  <c r="W20" i="121"/>
  <c r="F94" i="166"/>
  <c r="AQ90" i="166"/>
  <c r="AQ39" i="166" s="1"/>
  <c r="AQ91" i="166"/>
  <c r="AQ44" i="166" s="1"/>
  <c r="AO90" i="166"/>
  <c r="AO39" i="166" s="1"/>
  <c r="AO91" i="166"/>
  <c r="AO44" i="166" s="1"/>
  <c r="AM91" i="166"/>
  <c r="AM44" i="166" s="1"/>
  <c r="AJ91" i="166"/>
  <c r="AJ44" i="166" s="1"/>
  <c r="AJ90" i="166"/>
  <c r="AJ39" i="166" s="1"/>
  <c r="AG90" i="166"/>
  <c r="AG39" i="166" s="1"/>
  <c r="AG91" i="166"/>
  <c r="AG44" i="166" s="1"/>
  <c r="AD90" i="166"/>
  <c r="AD39" i="166" s="1"/>
  <c r="AD91" i="166"/>
  <c r="AD44" i="166" s="1"/>
  <c r="S24" i="121"/>
  <c r="Q24" i="121"/>
  <c r="AS118" i="166"/>
  <c r="AS60" i="166" s="1"/>
  <c r="AS93" i="132"/>
  <c r="AS102" i="132" s="1"/>
  <c r="W43" i="122"/>
  <c r="AS117" i="166"/>
  <c r="AS92" i="132"/>
  <c r="AJ117" i="166"/>
  <c r="AJ92" i="132"/>
  <c r="X117" i="166"/>
  <c r="X92" i="132"/>
  <c r="AP118" i="166"/>
  <c r="AP60" i="166" s="1"/>
  <c r="AP93" i="132"/>
  <c r="AP102" i="132" s="1"/>
  <c r="T44" i="122"/>
  <c r="AO116" i="166"/>
  <c r="AO91" i="132"/>
  <c r="AL116" i="166"/>
  <c r="AL91" i="132"/>
  <c r="O44" i="122"/>
  <c r="AJ116" i="166"/>
  <c r="AJ91" i="132"/>
  <c r="AH116" i="166"/>
  <c r="AH91" i="132"/>
  <c r="AD116" i="166"/>
  <c r="AD91" i="132"/>
  <c r="Y116" i="166"/>
  <c r="Y91" i="132"/>
  <c r="W116" i="166"/>
  <c r="W91" i="132"/>
  <c r="AS114" i="166"/>
  <c r="AS89" i="132"/>
  <c r="AP114" i="166"/>
  <c r="AP89" i="132"/>
  <c r="AN114" i="166"/>
  <c r="AN89" i="132"/>
  <c r="AL114" i="166"/>
  <c r="AL89" i="132"/>
  <c r="AJ114" i="166"/>
  <c r="AJ89" i="132"/>
  <c r="AH114" i="166"/>
  <c r="AH89" i="132"/>
  <c r="AF114" i="166"/>
  <c r="AF89" i="132"/>
  <c r="Z114" i="166"/>
  <c r="Z89" i="132"/>
  <c r="X114" i="166"/>
  <c r="X89" i="132"/>
  <c r="N114" i="166"/>
  <c r="N89" i="132"/>
  <c r="F114" i="166"/>
  <c r="F89" i="132"/>
  <c r="AS113" i="166"/>
  <c r="AS88" i="132"/>
  <c r="AP113" i="166"/>
  <c r="AP88" i="132"/>
  <c r="AN113" i="166"/>
  <c r="AN88" i="132"/>
  <c r="AL113" i="166"/>
  <c r="AL88" i="132"/>
  <c r="AJ113" i="166"/>
  <c r="AJ88" i="132"/>
  <c r="AH113" i="166"/>
  <c r="AH88" i="132"/>
  <c r="AF113" i="166"/>
  <c r="AF88" i="132"/>
  <c r="Z113" i="166"/>
  <c r="Z88" i="132"/>
  <c r="X113" i="166"/>
  <c r="X88" i="132"/>
  <c r="N113" i="166"/>
  <c r="N88" i="132"/>
  <c r="F113" i="166"/>
  <c r="F88" i="132"/>
  <c r="AS112" i="166"/>
  <c r="AS87" i="132"/>
  <c r="AP112" i="166"/>
  <c r="AP87" i="132"/>
  <c r="AN112" i="166"/>
  <c r="AN87" i="132"/>
  <c r="AL112" i="166"/>
  <c r="AL87" i="132"/>
  <c r="AJ112" i="166"/>
  <c r="AJ87" i="132"/>
  <c r="AH112" i="166"/>
  <c r="AH87" i="132"/>
  <c r="AF112" i="166"/>
  <c r="AF87" i="132"/>
  <c r="Z112" i="166"/>
  <c r="Z87" i="132"/>
  <c r="X112" i="166"/>
  <c r="X87" i="132"/>
  <c r="N112" i="166"/>
  <c r="N87" i="132"/>
  <c r="F112" i="166"/>
  <c r="F87" i="132"/>
  <c r="AS111" i="166"/>
  <c r="AS86" i="132"/>
  <c r="AO111" i="166"/>
  <c r="AO86" i="132"/>
  <c r="AL111" i="166"/>
  <c r="AL86" i="132"/>
  <c r="AJ111" i="166"/>
  <c r="AJ86" i="132"/>
  <c r="AH111" i="166"/>
  <c r="AH86" i="132"/>
  <c r="AF111" i="166"/>
  <c r="AF86" i="132"/>
  <c r="Z111" i="166"/>
  <c r="Z86" i="132"/>
  <c r="X111" i="166"/>
  <c r="X86" i="132"/>
  <c r="AS110" i="166"/>
  <c r="AS85" i="132"/>
  <c r="AP110" i="166"/>
  <c r="AP85" i="132"/>
  <c r="AN110" i="166"/>
  <c r="AN85" i="132"/>
  <c r="AL110" i="166"/>
  <c r="AL85" i="132"/>
  <c r="AJ110" i="166"/>
  <c r="AJ85" i="132"/>
  <c r="AH110" i="166"/>
  <c r="AH85" i="132"/>
  <c r="AF110" i="166"/>
  <c r="AF85" i="132"/>
  <c r="Z110" i="166"/>
  <c r="Z85" i="132"/>
  <c r="X110" i="166"/>
  <c r="X85" i="132"/>
  <c r="N110" i="166"/>
  <c r="N85" i="132"/>
  <c r="F110" i="166"/>
  <c r="F85" i="132"/>
  <c r="AK109" i="166"/>
  <c r="AK50" i="166" s="1"/>
  <c r="AK84" i="132"/>
  <c r="AK100" i="132" s="1"/>
  <c r="Y109" i="166"/>
  <c r="Y50" i="166" s="1"/>
  <c r="Y84" i="132"/>
  <c r="Y100" i="132" s="1"/>
  <c r="M109" i="166"/>
  <c r="M50" i="166" s="1"/>
  <c r="M84" i="132"/>
  <c r="M100" i="132" s="1"/>
  <c r="AP108" i="166"/>
  <c r="AP45" i="166" s="1"/>
  <c r="AP107" i="166"/>
  <c r="AP40" i="166" s="1"/>
  <c r="AP83" i="132"/>
  <c r="AP99" i="132" s="1"/>
  <c r="AN108" i="166"/>
  <c r="AN45" i="166" s="1"/>
  <c r="AN107" i="166"/>
  <c r="AN40" i="166" s="1"/>
  <c r="AN83" i="132"/>
  <c r="AN99" i="132" s="1"/>
  <c r="AL108" i="166"/>
  <c r="AL45" i="166" s="1"/>
  <c r="AL107" i="166"/>
  <c r="AL40" i="166" s="1"/>
  <c r="AL83" i="132"/>
  <c r="AL99" i="132" s="1"/>
  <c r="AJ108" i="166"/>
  <c r="AJ45" i="166" s="1"/>
  <c r="AJ107" i="166"/>
  <c r="AJ40" i="166" s="1"/>
  <c r="AJ83" i="132"/>
  <c r="AJ99" i="132" s="1"/>
  <c r="AH108" i="166"/>
  <c r="AH45" i="166" s="1"/>
  <c r="AH107" i="166"/>
  <c r="AH40" i="166" s="1"/>
  <c r="AH83" i="132"/>
  <c r="AH99" i="132" s="1"/>
  <c r="AF108" i="166"/>
  <c r="AF45" i="166" s="1"/>
  <c r="AF107" i="166"/>
  <c r="AF40" i="166" s="1"/>
  <c r="AF83" i="132"/>
  <c r="AF99" i="132" s="1"/>
  <c r="Z108" i="166"/>
  <c r="Z45" i="166" s="1"/>
  <c r="Z107" i="166"/>
  <c r="Z40" i="166" s="1"/>
  <c r="Z83" i="132"/>
  <c r="Z99" i="132" s="1"/>
  <c r="L24" i="122"/>
  <c r="AS133" i="166"/>
  <c r="AS117" i="132"/>
  <c r="U44" i="123"/>
  <c r="W93" i="176" s="1"/>
  <c r="AP133" i="166"/>
  <c r="AP117" i="132"/>
  <c r="AM133" i="166"/>
  <c r="AM117" i="132"/>
  <c r="AJ133" i="166"/>
  <c r="AJ117" i="132"/>
  <c r="AH133" i="166"/>
  <c r="AH117" i="132"/>
  <c r="AF133" i="166"/>
  <c r="AF117" i="132"/>
  <c r="Z133" i="166"/>
  <c r="Z117" i="132"/>
  <c r="W133" i="166"/>
  <c r="W117" i="132"/>
  <c r="F133" i="166"/>
  <c r="F117" i="132"/>
  <c r="AS131" i="166"/>
  <c r="AS115" i="132"/>
  <c r="AP131" i="166"/>
  <c r="AP115" i="132"/>
  <c r="AN131" i="166"/>
  <c r="AN115" i="132"/>
  <c r="AL131" i="166"/>
  <c r="AL115" i="132"/>
  <c r="AJ131" i="166"/>
  <c r="AJ115" i="132"/>
  <c r="M24" i="123"/>
  <c r="O90" i="176" s="1"/>
  <c r="AH131" i="166"/>
  <c r="AH115" i="132"/>
  <c r="AF131" i="166"/>
  <c r="AF115" i="132"/>
  <c r="I24" i="123"/>
  <c r="K90" i="176" s="1"/>
  <c r="Z131" i="166"/>
  <c r="Z115" i="132"/>
  <c r="X131" i="166"/>
  <c r="X115" i="132"/>
  <c r="N131" i="166"/>
  <c r="N115" i="132"/>
  <c r="F131" i="166"/>
  <c r="F115" i="132"/>
  <c r="AS130" i="166"/>
  <c r="AS114" i="132"/>
  <c r="AP130" i="166"/>
  <c r="AP114" i="132"/>
  <c r="AN130" i="166"/>
  <c r="AN114" i="132"/>
  <c r="AL130" i="166"/>
  <c r="AL114" i="132"/>
  <c r="AJ130" i="166"/>
  <c r="AJ114" i="132"/>
  <c r="AH130" i="166"/>
  <c r="AH114" i="132"/>
  <c r="AF130" i="166"/>
  <c r="AF114" i="132"/>
  <c r="Z130" i="166"/>
  <c r="Z114" i="132"/>
  <c r="X130" i="166"/>
  <c r="X114" i="132"/>
  <c r="N130" i="166"/>
  <c r="N114" i="132"/>
  <c r="F130" i="166"/>
  <c r="F114" i="132"/>
  <c r="AS129" i="166"/>
  <c r="AS113" i="132"/>
  <c r="AP129" i="166"/>
  <c r="AP113" i="132"/>
  <c r="AN129" i="166"/>
  <c r="AN113" i="132"/>
  <c r="AL129" i="166"/>
  <c r="AL113" i="132"/>
  <c r="AJ129" i="166"/>
  <c r="AJ113" i="132"/>
  <c r="AH129" i="166"/>
  <c r="AH113" i="132"/>
  <c r="AF129" i="166"/>
  <c r="AF113" i="132"/>
  <c r="Z129" i="166"/>
  <c r="Z113" i="132"/>
  <c r="X129" i="166"/>
  <c r="X113" i="132"/>
  <c r="N129" i="166"/>
  <c r="N113" i="132"/>
  <c r="F129" i="166"/>
  <c r="F113" i="132"/>
  <c r="AS128" i="166"/>
  <c r="AS112" i="132"/>
  <c r="AP128" i="166"/>
  <c r="AP112" i="132"/>
  <c r="AN128" i="166"/>
  <c r="AN112" i="132"/>
  <c r="AL128" i="166"/>
  <c r="AL112" i="132"/>
  <c r="AJ128" i="166"/>
  <c r="AJ112" i="132"/>
  <c r="AH128" i="166"/>
  <c r="AH112" i="132"/>
  <c r="AF128" i="166"/>
  <c r="AF112" i="132"/>
  <c r="Z128" i="166"/>
  <c r="Z112" i="132"/>
  <c r="X128" i="166"/>
  <c r="X112" i="132"/>
  <c r="N128" i="166"/>
  <c r="N112" i="132"/>
  <c r="F128" i="166"/>
  <c r="F112" i="132"/>
  <c r="AS127" i="166"/>
  <c r="AS111" i="132"/>
  <c r="AP127" i="166"/>
  <c r="AP111" i="132"/>
  <c r="AN127" i="166"/>
  <c r="AN111" i="132"/>
  <c r="AL127" i="166"/>
  <c r="AL111" i="132"/>
  <c r="AJ127" i="166"/>
  <c r="AJ111" i="132"/>
  <c r="AH127" i="166"/>
  <c r="AH111" i="132"/>
  <c r="AF127" i="166"/>
  <c r="AF111" i="132"/>
  <c r="Z127" i="166"/>
  <c r="Z111" i="132"/>
  <c r="X127" i="166"/>
  <c r="X111" i="132"/>
  <c r="N127" i="166"/>
  <c r="N111" i="132"/>
  <c r="F127" i="166"/>
  <c r="F111" i="132"/>
  <c r="AP124" i="166"/>
  <c r="AP41" i="166" s="1"/>
  <c r="AP125" i="166"/>
  <c r="AP46" i="166" s="1"/>
  <c r="AP108" i="132"/>
  <c r="AP124" i="132" s="1"/>
  <c r="AP109" i="132"/>
  <c r="AP125" i="132" s="1"/>
  <c r="AN124" i="166"/>
  <c r="AN41" i="166" s="1"/>
  <c r="AN125" i="166"/>
  <c r="AN46" i="166" s="1"/>
  <c r="AN108" i="132"/>
  <c r="AN124" i="132" s="1"/>
  <c r="AN109" i="132"/>
  <c r="AN125" i="132" s="1"/>
  <c r="AK125" i="166"/>
  <c r="AK46" i="166" s="1"/>
  <c r="AK124" i="166"/>
  <c r="AK41" i="166" s="1"/>
  <c r="AK109" i="132"/>
  <c r="AK125" i="132" s="1"/>
  <c r="AK108" i="132"/>
  <c r="AK124" i="132" s="1"/>
  <c r="AI125" i="166"/>
  <c r="AI46" i="166" s="1"/>
  <c r="AI124" i="166"/>
  <c r="AI41" i="166" s="1"/>
  <c r="AI109" i="132"/>
  <c r="AI125" i="132" s="1"/>
  <c r="AI108" i="132"/>
  <c r="AI124" i="132" s="1"/>
  <c r="AD125" i="166"/>
  <c r="AD46" i="166" s="1"/>
  <c r="AD124" i="166"/>
  <c r="AD41" i="166" s="1"/>
  <c r="AD109" i="132"/>
  <c r="AD125" i="132" s="1"/>
  <c r="AD108" i="132"/>
  <c r="AD124" i="132" s="1"/>
  <c r="Y125" i="166"/>
  <c r="Y46" i="166" s="1"/>
  <c r="Y124" i="166"/>
  <c r="Y41" i="166" s="1"/>
  <c r="Y109" i="132"/>
  <c r="Y125" i="132" s="1"/>
  <c r="Y108" i="132"/>
  <c r="Y124" i="132" s="1"/>
  <c r="Y24" i="123"/>
  <c r="AQ126" i="166"/>
  <c r="AQ51" i="166" s="1"/>
  <c r="AQ110" i="132"/>
  <c r="AQ126" i="132" s="1"/>
  <c r="AO126" i="166"/>
  <c r="AO51" i="166" s="1"/>
  <c r="AO110" i="132"/>
  <c r="AO126" i="132" s="1"/>
  <c r="AM126" i="166"/>
  <c r="AM51" i="166" s="1"/>
  <c r="AM110" i="132"/>
  <c r="AM126" i="132" s="1"/>
  <c r="AK126" i="166"/>
  <c r="AK51" i="166" s="1"/>
  <c r="AK110" i="132"/>
  <c r="AK126" i="132" s="1"/>
  <c r="AI126" i="166"/>
  <c r="AI51" i="166" s="1"/>
  <c r="AI110" i="132"/>
  <c r="AI126" i="132" s="1"/>
  <c r="AD126" i="166"/>
  <c r="AD51" i="166" s="1"/>
  <c r="AD110" i="132"/>
  <c r="AD126" i="132" s="1"/>
  <c r="Y126" i="166"/>
  <c r="Y51" i="166" s="1"/>
  <c r="Y110" i="132"/>
  <c r="Y126" i="132" s="1"/>
  <c r="M126" i="166"/>
  <c r="M51" i="166" s="1"/>
  <c r="M110" i="132"/>
  <c r="M126" i="132" s="1"/>
  <c r="D34" i="119"/>
  <c r="D30" i="119"/>
  <c r="D28" i="119"/>
  <c r="AN32" i="136"/>
  <c r="AN75" i="166"/>
  <c r="AN48" i="166" s="1"/>
  <c r="AH32" i="132"/>
  <c r="AH48" i="132" s="1"/>
  <c r="AH75" i="166"/>
  <c r="AH48" i="166" s="1"/>
  <c r="A71" i="109"/>
  <c r="T101" i="114"/>
  <c r="AQ32" i="136"/>
  <c r="AQ75" i="166"/>
  <c r="AQ48" i="166" s="1"/>
  <c r="AO75" i="166"/>
  <c r="AO48" i="166" s="1"/>
  <c r="M100" i="166"/>
  <c r="L44" i="121"/>
  <c r="AG100" i="166"/>
  <c r="P44" i="121"/>
  <c r="AK100" i="166"/>
  <c r="AO100" i="166"/>
  <c r="F111" i="166"/>
  <c r="F86" i="132"/>
  <c r="W20" i="122"/>
  <c r="M111" i="166"/>
  <c r="M86" i="132"/>
  <c r="N111" i="166"/>
  <c r="N86" i="132"/>
  <c r="W111" i="166"/>
  <c r="W86" i="132"/>
  <c r="K24" i="122"/>
  <c r="M24" i="122"/>
  <c r="AJ106" i="166"/>
  <c r="AJ35" i="166" s="1"/>
  <c r="AJ81" i="132"/>
  <c r="AJ97" i="132" s="1"/>
  <c r="AL106" i="166"/>
  <c r="AL35" i="166" s="1"/>
  <c r="AL81" i="132"/>
  <c r="AL97" i="132" s="1"/>
  <c r="AN111" i="166"/>
  <c r="AN86" i="132"/>
  <c r="F116" i="166"/>
  <c r="F91" i="132"/>
  <c r="N117" i="166"/>
  <c r="N92" i="132"/>
  <c r="AD92" i="132"/>
  <c r="AF116" i="166"/>
  <c r="AF91" i="132"/>
  <c r="AH117" i="166"/>
  <c r="AH92" i="132"/>
  <c r="AN116" i="166"/>
  <c r="AN91" i="132"/>
  <c r="AP117" i="166"/>
  <c r="AP92" i="132"/>
  <c r="V44" i="122"/>
  <c r="AQ117" i="166"/>
  <c r="AQ92" i="132"/>
  <c r="AS116" i="166"/>
  <c r="AS91" i="132"/>
  <c r="AF126" i="166"/>
  <c r="AF51" i="166" s="1"/>
  <c r="AF110" i="132"/>
  <c r="AF126" i="132" s="1"/>
  <c r="L24" i="123"/>
  <c r="N90" i="176" s="1"/>
  <c r="AH126" i="166"/>
  <c r="AH51" i="166" s="1"/>
  <c r="AH110" i="132"/>
  <c r="AH126" i="132" s="1"/>
  <c r="N24" i="123"/>
  <c r="P90" i="176" s="1"/>
  <c r="Q24" i="123"/>
  <c r="S90" i="176" s="1"/>
  <c r="S24" i="123"/>
  <c r="U90" i="176" s="1"/>
  <c r="X134" i="166"/>
  <c r="X118" i="132"/>
  <c r="Y133" i="166"/>
  <c r="Y117" i="132"/>
  <c r="AD134" i="166"/>
  <c r="AD118" i="132"/>
  <c r="K44" i="123"/>
  <c r="M93" i="176" s="1"/>
  <c r="AF134" i="166"/>
  <c r="AF118" i="132"/>
  <c r="O44" i="123"/>
  <c r="Q93" i="176" s="1"/>
  <c r="AJ134" i="166"/>
  <c r="AJ118" i="132"/>
  <c r="AK133" i="166"/>
  <c r="AK117" i="132"/>
  <c r="R44" i="123"/>
  <c r="T93" i="176" s="1"/>
  <c r="AM134" i="166"/>
  <c r="AM118" i="132"/>
  <c r="AN134" i="166"/>
  <c r="AN118" i="132"/>
  <c r="AO133" i="166"/>
  <c r="AO117" i="132"/>
  <c r="X44" i="123"/>
  <c r="AS134" i="166"/>
  <c r="AS118" i="132"/>
  <c r="Y44" i="123"/>
  <c r="A232" i="112"/>
  <c r="A315" i="112"/>
  <c r="AF55" i="132"/>
  <c r="AF71" i="132" s="1"/>
  <c r="AP55" i="132"/>
  <c r="AP71" i="132" s="1"/>
  <c r="Y56" i="132"/>
  <c r="Y72" i="132" s="1"/>
  <c r="AD56" i="132"/>
  <c r="AD72" i="132" s="1"/>
  <c r="AG56" i="132"/>
  <c r="AG72" i="132" s="1"/>
  <c r="AI56" i="132"/>
  <c r="AI72" i="132" s="1"/>
  <c r="AK56" i="132"/>
  <c r="AK72" i="132" s="1"/>
  <c r="AO56" i="132"/>
  <c r="AO72" i="132" s="1"/>
  <c r="AQ56" i="132"/>
  <c r="AQ72" i="132" s="1"/>
  <c r="AF57" i="132"/>
  <c r="AF73" i="132" s="1"/>
  <c r="AJ57" i="132"/>
  <c r="AJ73" i="132" s="1"/>
  <c r="AL57" i="132"/>
  <c r="AL73" i="132" s="1"/>
  <c r="AN57" i="132"/>
  <c r="AN73" i="132" s="1"/>
  <c r="AP57" i="132"/>
  <c r="AP73" i="132" s="1"/>
  <c r="W58" i="132"/>
  <c r="W74" i="132" s="1"/>
  <c r="Y58" i="132"/>
  <c r="Y74" i="132" s="1"/>
  <c r="AD58" i="132"/>
  <c r="AD74" i="132" s="1"/>
  <c r="AG58" i="132"/>
  <c r="AG74" i="132" s="1"/>
  <c r="AI58" i="132"/>
  <c r="AI74" i="132" s="1"/>
  <c r="AK58" i="132"/>
  <c r="AK74" i="132" s="1"/>
  <c r="AM58" i="132"/>
  <c r="AM74" i="132" s="1"/>
  <c r="AO58" i="132"/>
  <c r="AO74" i="132" s="1"/>
  <c r="AQ58" i="132"/>
  <c r="AQ74" i="132" s="1"/>
  <c r="F59" i="132"/>
  <c r="N59" i="132"/>
  <c r="X59" i="132"/>
  <c r="Z59" i="132"/>
  <c r="AF59" i="132"/>
  <c r="AH59" i="132"/>
  <c r="AJ59" i="132"/>
  <c r="AL59" i="132"/>
  <c r="AN59" i="132"/>
  <c r="AP59" i="132"/>
  <c r="M60" i="132"/>
  <c r="W60" i="132"/>
  <c r="Y60" i="132"/>
  <c r="AD60" i="132"/>
  <c r="AG60" i="132"/>
  <c r="AI60" i="132"/>
  <c r="AK60" i="132"/>
  <c r="AM60" i="132"/>
  <c r="AO60" i="132"/>
  <c r="AQ60" i="132"/>
  <c r="AS60" i="132"/>
  <c r="F61" i="132"/>
  <c r="N61" i="132"/>
  <c r="X61" i="132"/>
  <c r="Z61" i="132"/>
  <c r="AF61" i="132"/>
  <c r="AH61" i="132"/>
  <c r="AJ61" i="132"/>
  <c r="AL61" i="132"/>
  <c r="AN61" i="132"/>
  <c r="AP61" i="132"/>
  <c r="AR61" i="132"/>
  <c r="M62" i="132"/>
  <c r="W62" i="132"/>
  <c r="Y62" i="132"/>
  <c r="AD62" i="132"/>
  <c r="AG62" i="132"/>
  <c r="AI62" i="132"/>
  <c r="AK62" i="132"/>
  <c r="AM62" i="132"/>
  <c r="AO62" i="132"/>
  <c r="AQ62" i="132"/>
  <c r="AS62" i="132"/>
  <c r="F63" i="132"/>
  <c r="N63" i="132"/>
  <c r="X63" i="132"/>
  <c r="Z63" i="132"/>
  <c r="AF63" i="132"/>
  <c r="AH63" i="132"/>
  <c r="AJ63" i="132"/>
  <c r="AL63" i="132"/>
  <c r="AN63" i="132"/>
  <c r="AP63" i="132"/>
  <c r="AD64" i="132"/>
  <c r="AD75" i="132" s="1"/>
  <c r="AK64" i="132"/>
  <c r="AK75" i="132" s="1"/>
  <c r="F65" i="132"/>
  <c r="N65" i="132"/>
  <c r="X65" i="132"/>
  <c r="Z65" i="132"/>
  <c r="AF65" i="132"/>
  <c r="AH65" i="132"/>
  <c r="AJ65" i="132"/>
  <c r="AL65" i="132"/>
  <c r="AN65" i="132"/>
  <c r="AP65" i="132"/>
  <c r="M66" i="132"/>
  <c r="Y66" i="132"/>
  <c r="AG66" i="132"/>
  <c r="AK66" i="132"/>
  <c r="AO66" i="132"/>
  <c r="AP67" i="132"/>
  <c r="AP76" i="132" s="1"/>
  <c r="AF82" i="132"/>
  <c r="AF98" i="132" s="1"/>
  <c r="AJ82" i="132"/>
  <c r="AJ98" i="132" s="1"/>
  <c r="AN82" i="132"/>
  <c r="AN98" i="132" s="1"/>
  <c r="Y83" i="132"/>
  <c r="Y99" i="132" s="1"/>
  <c r="AG83" i="132"/>
  <c r="AG99" i="132" s="1"/>
  <c r="AK83" i="132"/>
  <c r="AK99" i="132" s="1"/>
  <c r="AO83" i="132"/>
  <c r="AO99" i="132" s="1"/>
  <c r="AF84" i="132"/>
  <c r="AF100" i="132" s="1"/>
  <c r="AJ84" i="132"/>
  <c r="AJ100" i="132" s="1"/>
  <c r="AN84" i="132"/>
  <c r="AN100" i="132" s="1"/>
  <c r="M85" i="132"/>
  <c r="Y85" i="132"/>
  <c r="AG85" i="132"/>
  <c r="AK85" i="132"/>
  <c r="G20" i="151"/>
  <c r="G38" i="161"/>
  <c r="C10" i="161"/>
  <c r="C38" i="161" s="1"/>
  <c r="H18" i="159"/>
  <c r="H18" i="161"/>
  <c r="B73" i="166"/>
  <c r="B90" i="166"/>
  <c r="B107" i="166"/>
  <c r="E46" i="116"/>
  <c r="H18" i="116"/>
  <c r="H46" i="116" s="1"/>
  <c r="AR35" i="132"/>
  <c r="D19" i="165"/>
  <c r="C5" i="162"/>
  <c r="C5" i="163" s="1"/>
  <c r="C13" i="163" s="1"/>
  <c r="F54" i="91"/>
  <c r="AA22" i="98"/>
  <c r="AR36" i="136"/>
  <c r="F49" i="154"/>
  <c r="D19" i="153" s="1"/>
  <c r="E11" i="153"/>
  <c r="E11" i="155" s="1"/>
  <c r="AG40" i="136"/>
  <c r="L44" i="98"/>
  <c r="N36" i="176" s="1"/>
  <c r="AQ38" i="136"/>
  <c r="AQ38" i="132"/>
  <c r="AQ49" i="132" s="1"/>
  <c r="AO38" i="136"/>
  <c r="AO38" i="132"/>
  <c r="AO49" i="132" s="1"/>
  <c r="G39" i="158"/>
  <c r="E13" i="123"/>
  <c r="Q89" i="114"/>
  <c r="V89" i="114"/>
  <c r="T89" i="114"/>
  <c r="S89" i="114"/>
  <c r="U85" i="114"/>
  <c r="S85" i="114"/>
  <c r="U83" i="114"/>
  <c r="R83" i="114"/>
  <c r="Q81" i="114"/>
  <c r="V81" i="114"/>
  <c r="T81" i="114"/>
  <c r="S81" i="114"/>
  <c r="Q79" i="114"/>
  <c r="U79" i="114"/>
  <c r="R79" i="114"/>
  <c r="V69" i="114"/>
  <c r="T69" i="114"/>
  <c r="R69" i="114"/>
  <c r="Q62" i="114"/>
  <c r="U62" i="114"/>
  <c r="V62" i="114"/>
  <c r="N40" i="136"/>
  <c r="N40" i="132"/>
  <c r="M44" i="121"/>
  <c r="E44" i="122"/>
  <c r="K44" i="122"/>
  <c r="C16" i="155"/>
  <c r="C44" i="155" s="1"/>
  <c r="G24" i="146"/>
  <c r="M17" i="146"/>
  <c r="N24" i="146"/>
  <c r="F49" i="157"/>
  <c r="D19" i="156" s="1"/>
  <c r="E11" i="156"/>
  <c r="E11" i="158" s="1"/>
  <c r="H50" i="104"/>
  <c r="E18" i="122" s="1"/>
  <c r="AS41" i="136"/>
  <c r="F49" i="91"/>
  <c r="D19" i="60" s="1"/>
  <c r="E11" i="60"/>
  <c r="F11" i="155"/>
  <c r="F39" i="155" s="1"/>
  <c r="O25" i="119"/>
  <c r="O24" i="119"/>
  <c r="AF38" i="132"/>
  <c r="AF49" i="132" s="1"/>
  <c r="Y44" i="122"/>
  <c r="F19" i="154"/>
  <c r="D10" i="153" s="1"/>
  <c r="F19" i="157"/>
  <c r="D10" i="156" s="1"/>
  <c r="F19" i="160"/>
  <c r="D10" i="159" s="1"/>
  <c r="F19" i="91"/>
  <c r="D10" i="60" s="1"/>
  <c r="D10" i="165"/>
  <c r="D34" i="165" s="1"/>
  <c r="R33" i="130"/>
  <c r="D16" i="130"/>
  <c r="D18" i="130" s="1"/>
  <c r="C9" i="109"/>
  <c r="H600" i="99"/>
  <c r="Y38" i="98" s="1"/>
  <c r="Y44" i="98" s="1"/>
  <c r="Y45" i="98" s="1"/>
  <c r="Y39" i="98"/>
  <c r="H579" i="99"/>
  <c r="V38" i="98" s="1"/>
  <c r="X35" i="176" s="1"/>
  <c r="V39" i="98"/>
  <c r="H507" i="99"/>
  <c r="N38" i="98" s="1"/>
  <c r="P35" i="176" s="1"/>
  <c r="N39" i="98"/>
  <c r="E44" i="98"/>
  <c r="G36" i="176" s="1"/>
  <c r="H96" i="99"/>
  <c r="H11" i="98"/>
  <c r="O24" i="121"/>
  <c r="O24" i="123"/>
  <c r="Q90" i="176" s="1"/>
  <c r="C183" i="112"/>
  <c r="D183" i="112" s="1"/>
  <c r="C290" i="112"/>
  <c r="D290" i="112" s="1"/>
  <c r="E290" i="112" s="1"/>
  <c r="F33" i="160" s="1"/>
  <c r="C207" i="112"/>
  <c r="D207" i="112" s="1"/>
  <c r="E207" i="112" s="1"/>
  <c r="F33" i="157" s="1"/>
  <c r="E16" i="165"/>
  <c r="E41" i="165" s="1"/>
  <c r="D32" i="119"/>
  <c r="K7" i="119"/>
  <c r="G10" i="165"/>
  <c r="G34" i="165" s="1"/>
  <c r="G11" i="116"/>
  <c r="G39" i="116" s="1"/>
  <c r="N67" i="114"/>
  <c r="I67" i="114" s="1"/>
  <c r="N71" i="114"/>
  <c r="I71" i="114" s="1"/>
  <c r="G40" i="146"/>
  <c r="M40" i="146"/>
  <c r="H185" i="102"/>
  <c r="M9" i="121" s="1"/>
  <c r="M10" i="121"/>
  <c r="H113" i="102"/>
  <c r="I9" i="121" s="1"/>
  <c r="I10" i="121"/>
  <c r="E10" i="155"/>
  <c r="E38" i="155" s="1"/>
  <c r="F15" i="158"/>
  <c r="F43" i="158" s="1"/>
  <c r="H444" i="102"/>
  <c r="G38" i="121" s="1"/>
  <c r="G39" i="121"/>
  <c r="H480" i="102"/>
  <c r="K38" i="121" s="1"/>
  <c r="K39" i="121"/>
  <c r="H516" i="102"/>
  <c r="O38" i="121" s="1"/>
  <c r="O39" i="121"/>
  <c r="H552" i="102"/>
  <c r="S38" i="121" s="1"/>
  <c r="S39" i="121"/>
  <c r="H591" i="102"/>
  <c r="X38" i="121" s="1"/>
  <c r="X39" i="121"/>
  <c r="N39" i="177" s="1"/>
  <c r="H462" i="104"/>
  <c r="I38" i="122" s="1"/>
  <c r="I39" i="122"/>
  <c r="H534" i="104"/>
  <c r="Q38" i="122" s="1"/>
  <c r="Q39" i="122"/>
  <c r="H95" i="106"/>
  <c r="H9" i="123" s="1"/>
  <c r="J81" i="176" s="1"/>
  <c r="J109" i="176" s="1"/>
  <c r="H10" i="123"/>
  <c r="H149" i="106"/>
  <c r="K9" i="123" s="1"/>
  <c r="M81" i="176" s="1"/>
  <c r="M109" i="176" s="1"/>
  <c r="K10" i="123"/>
  <c r="H185" i="106"/>
  <c r="M9" i="123" s="1"/>
  <c r="O81" i="176" s="1"/>
  <c r="O109" i="176" s="1"/>
  <c r="M10" i="123"/>
  <c r="H239" i="106"/>
  <c r="P9" i="123" s="1"/>
  <c r="R81" i="176" s="1"/>
  <c r="R109" i="176" s="1"/>
  <c r="P10" i="123"/>
  <c r="H276" i="106"/>
  <c r="R11" i="123"/>
  <c r="H507" i="106"/>
  <c r="N38" i="123" s="1"/>
  <c r="P92" i="176" s="1"/>
  <c r="N39" i="123"/>
  <c r="H579" i="106"/>
  <c r="V38" i="123" s="1"/>
  <c r="X92" i="176" s="1"/>
  <c r="V39" i="123"/>
  <c r="W31" i="133"/>
  <c r="W35" i="133"/>
  <c r="H76" i="106" s="1"/>
  <c r="H74" i="106" s="1"/>
  <c r="AH32" i="136"/>
  <c r="AN30" i="132"/>
  <c r="AN46" i="132" s="1"/>
  <c r="AJ35" i="132"/>
  <c r="H204" i="99"/>
  <c r="H131" i="99"/>
  <c r="J9" i="98" s="1"/>
  <c r="L24" i="176" s="1"/>
  <c r="L106" i="176" s="1"/>
  <c r="H311" i="99"/>
  <c r="T9" i="98" s="1"/>
  <c r="AL36" i="132"/>
  <c r="N39" i="132"/>
  <c r="Q44" i="98"/>
  <c r="S36" i="176" s="1"/>
  <c r="M10" i="98"/>
  <c r="J10" i="122"/>
  <c r="S10" i="122"/>
  <c r="U45" i="122"/>
  <c r="N76" i="114"/>
  <c r="C17" i="112"/>
  <c r="D17" i="112" s="1"/>
  <c r="C101" i="112"/>
  <c r="D101" i="112" s="1"/>
  <c r="C291" i="112"/>
  <c r="D291" i="112" s="1"/>
  <c r="E291" i="112" s="1"/>
  <c r="M41" i="146"/>
  <c r="C18" i="119"/>
  <c r="C40" i="112"/>
  <c r="D40" i="112" s="1"/>
  <c r="E40" i="112" s="1"/>
  <c r="F33" i="91" s="1"/>
  <c r="C100" i="112"/>
  <c r="D100" i="112" s="1"/>
  <c r="C266" i="112"/>
  <c r="D266" i="112" s="1"/>
  <c r="E39" i="98"/>
  <c r="N37" i="130"/>
  <c r="L23" i="130"/>
  <c r="L34" i="130" s="1"/>
  <c r="C34" i="130"/>
  <c r="N14" i="119"/>
  <c r="N13" i="119"/>
  <c r="I18" i="119"/>
  <c r="I22" i="119" s="1"/>
  <c r="N9" i="119"/>
  <c r="N8" i="119"/>
  <c r="I40" i="115"/>
  <c r="I42" i="115" s="1"/>
  <c r="I45" i="115"/>
  <c r="I47" i="115" s="1"/>
  <c r="I48" i="115" s="1"/>
  <c r="H552" i="99"/>
  <c r="S38" i="98" s="1"/>
  <c r="U35" i="176" s="1"/>
  <c r="S39" i="98"/>
  <c r="H480" i="99"/>
  <c r="K38" i="98" s="1"/>
  <c r="M35" i="176" s="1"/>
  <c r="K39" i="98"/>
  <c r="H462" i="99"/>
  <c r="I38" i="98" s="1"/>
  <c r="K35" i="176" s="1"/>
  <c r="I39" i="98"/>
  <c r="H444" i="99"/>
  <c r="G38" i="98" s="1"/>
  <c r="I35" i="176" s="1"/>
  <c r="G39" i="98"/>
  <c r="H348" i="99"/>
  <c r="V11" i="98"/>
  <c r="H258" i="99"/>
  <c r="Q11" i="98"/>
  <c r="H114" i="99"/>
  <c r="I11" i="98"/>
  <c r="J24" i="98"/>
  <c r="L33" i="176" s="1"/>
  <c r="T44" i="121"/>
  <c r="V10" i="121"/>
  <c r="V24" i="121"/>
  <c r="H24" i="121"/>
  <c r="M39" i="122"/>
  <c r="M44" i="122"/>
  <c r="O10" i="122"/>
  <c r="J39" i="123"/>
  <c r="I44" i="123"/>
  <c r="K93" i="176" s="1"/>
  <c r="G9" i="165"/>
  <c r="G33" i="165" s="1"/>
  <c r="F13" i="165"/>
  <c r="C126" i="112"/>
  <c r="D126" i="112" s="1"/>
  <c r="E126" i="112" s="1"/>
  <c r="C268" i="112"/>
  <c r="D268" i="112" s="1"/>
  <c r="J15" i="119"/>
  <c r="K15" i="119" s="1"/>
  <c r="G15" i="119"/>
  <c r="N15" i="119" s="1"/>
  <c r="J13" i="119"/>
  <c r="K13" i="119" s="1"/>
  <c r="E33" i="119"/>
  <c r="T13" i="119"/>
  <c r="D5" i="165"/>
  <c r="D28" i="165" s="1"/>
  <c r="C39" i="155"/>
  <c r="D18" i="155"/>
  <c r="H18" i="155" s="1"/>
  <c r="H18" i="153"/>
  <c r="G10" i="158"/>
  <c r="G38" i="158" s="1"/>
  <c r="H293" i="102"/>
  <c r="S9" i="121" s="1"/>
  <c r="S10" i="121"/>
  <c r="C9" i="165"/>
  <c r="C10" i="165"/>
  <c r="G16" i="165"/>
  <c r="G41" i="165" s="1"/>
  <c r="G15" i="165"/>
  <c r="G40" i="165" s="1"/>
  <c r="E15" i="165"/>
  <c r="E40" i="165" s="1"/>
  <c r="E9" i="165"/>
  <c r="E33" i="165" s="1"/>
  <c r="D16" i="165"/>
  <c r="D41" i="165" s="1"/>
  <c r="V50" i="133"/>
  <c r="W32" i="133"/>
  <c r="H27" i="106" s="1"/>
  <c r="C10" i="158"/>
  <c r="H52" i="158"/>
  <c r="L21" i="148"/>
  <c r="C20" i="119" l="1"/>
  <c r="C22" i="119"/>
  <c r="E22" i="119"/>
  <c r="G16" i="122"/>
  <c r="H86" i="104"/>
  <c r="G18" i="122" s="1"/>
  <c r="C48" i="168"/>
  <c r="AV80" i="167"/>
  <c r="G16" i="98"/>
  <c r="H86" i="99"/>
  <c r="G18" i="98" s="1"/>
  <c r="G16" i="121"/>
  <c r="H86" i="102"/>
  <c r="G18" i="121" s="1"/>
  <c r="J18" i="119"/>
  <c r="U47" i="133"/>
  <c r="W70" i="133"/>
  <c r="V29" i="133"/>
  <c r="H63" i="104" s="1"/>
  <c r="AQ132" i="166"/>
  <c r="AQ56" i="166" s="1"/>
  <c r="AO116" i="132"/>
  <c r="AO127" i="132" s="1"/>
  <c r="AQ132" i="167"/>
  <c r="AQ56" i="167" s="1"/>
  <c r="AD116" i="132"/>
  <c r="AD127" i="132" s="1"/>
  <c r="AO132" i="166"/>
  <c r="AO56" i="166" s="1"/>
  <c r="AD132" i="167"/>
  <c r="AD56" i="167" s="1"/>
  <c r="AO132" i="167"/>
  <c r="AO56" i="167" s="1"/>
  <c r="X32" i="168"/>
  <c r="X50" i="168" s="1"/>
  <c r="AM90" i="132"/>
  <c r="AM101" i="132" s="1"/>
  <c r="AK90" i="132"/>
  <c r="AK101" i="132" s="1"/>
  <c r="AR96" i="166"/>
  <c r="AH64" i="132"/>
  <c r="AH75" i="132" s="1"/>
  <c r="AF106" i="167"/>
  <c r="AF35" i="167" s="1"/>
  <c r="M62" i="176"/>
  <c r="M108" i="176" s="1"/>
  <c r="T83" i="176"/>
  <c r="T116" i="176" s="1"/>
  <c r="T82" i="176"/>
  <c r="AJ98" i="167"/>
  <c r="AJ54" i="167" s="1"/>
  <c r="Q52" i="176"/>
  <c r="AR111" i="167"/>
  <c r="J20" i="177"/>
  <c r="Y67" i="176"/>
  <c r="AM118" i="167"/>
  <c r="AM60" i="167" s="1"/>
  <c r="T74" i="176"/>
  <c r="S22" i="177"/>
  <c r="AA50" i="176"/>
  <c r="AP72" i="167"/>
  <c r="AP33" i="167" s="1"/>
  <c r="W24" i="176"/>
  <c r="W106" i="176" s="1"/>
  <c r="AJ73" i="167"/>
  <c r="AJ38" i="167" s="1"/>
  <c r="Q27" i="176"/>
  <c r="Q120" i="176" s="1"/>
  <c r="AA37" i="123"/>
  <c r="U37" i="177" s="1"/>
  <c r="K37" i="177"/>
  <c r="AR113" i="167"/>
  <c r="J22" i="177"/>
  <c r="Y69" i="176"/>
  <c r="AA37" i="121"/>
  <c r="S37" i="177" s="1"/>
  <c r="I37" i="177"/>
  <c r="AA43" i="123"/>
  <c r="U43" i="177" s="1"/>
  <c r="K43" i="177"/>
  <c r="A57" i="109"/>
  <c r="AO101" i="167"/>
  <c r="AO59" i="167" s="1"/>
  <c r="V55" i="176"/>
  <c r="S25" i="176"/>
  <c r="S26" i="176"/>
  <c r="S113" i="176" s="1"/>
  <c r="AP119" i="167"/>
  <c r="AP65" i="167" s="1"/>
  <c r="W75" i="176"/>
  <c r="W136" i="176" s="1"/>
  <c r="Z117" i="167"/>
  <c r="K73" i="176"/>
  <c r="AN100" i="167"/>
  <c r="U54" i="176"/>
  <c r="AF100" i="167"/>
  <c r="M54" i="176"/>
  <c r="AH89" i="167"/>
  <c r="AH34" i="167" s="1"/>
  <c r="O43" i="176"/>
  <c r="O107" i="176" s="1"/>
  <c r="J25" i="176"/>
  <c r="J26" i="176"/>
  <c r="J113" i="176" s="1"/>
  <c r="AF38" i="136"/>
  <c r="H14" i="104"/>
  <c r="AF118" i="167"/>
  <c r="AF60" i="167" s="1"/>
  <c r="M74" i="176"/>
  <c r="R22" i="177"/>
  <c r="AA31" i="176"/>
  <c r="AF115" i="167"/>
  <c r="AF55" i="167" s="1"/>
  <c r="M71" i="176"/>
  <c r="AK101" i="167"/>
  <c r="AK59" i="167" s="1"/>
  <c r="R55" i="176"/>
  <c r="V74" i="176"/>
  <c r="AM98" i="167"/>
  <c r="AM54" i="167" s="1"/>
  <c r="T52" i="176"/>
  <c r="AN81" i="167"/>
  <c r="AN53" i="167" s="1"/>
  <c r="U33" i="176"/>
  <c r="M26" i="176"/>
  <c r="M113" i="176" s="1"/>
  <c r="M25" i="176"/>
  <c r="AD132" i="166"/>
  <c r="AD56" i="166" s="1"/>
  <c r="Y119" i="167"/>
  <c r="J75" i="176"/>
  <c r="J136" i="176" s="1"/>
  <c r="R23" i="177"/>
  <c r="AA32" i="176"/>
  <c r="AJ90" i="132"/>
  <c r="AJ101" i="132" s="1"/>
  <c r="AP98" i="167"/>
  <c r="AP54" i="167" s="1"/>
  <c r="W52" i="176"/>
  <c r="U20" i="177"/>
  <c r="AA86" i="176"/>
  <c r="K10" i="122"/>
  <c r="AR77" i="167"/>
  <c r="H20" i="177"/>
  <c r="Y29" i="176"/>
  <c r="V81" i="176"/>
  <c r="V109" i="176" s="1"/>
  <c r="Y118" i="167"/>
  <c r="J74" i="176"/>
  <c r="Y84" i="167"/>
  <c r="J36" i="176"/>
  <c r="H43" i="104"/>
  <c r="E11" i="122" s="1"/>
  <c r="AA8" i="122"/>
  <c r="T8" i="177" s="1"/>
  <c r="J8" i="177"/>
  <c r="AL81" i="167"/>
  <c r="AL53" i="167" s="1"/>
  <c r="S33" i="176"/>
  <c r="L32" i="168"/>
  <c r="L50" i="168" s="1"/>
  <c r="H21" i="177"/>
  <c r="Y30" i="176"/>
  <c r="O63" i="176"/>
  <c r="O64" i="176"/>
  <c r="O115" i="176" s="1"/>
  <c r="M117" i="167"/>
  <c r="F73" i="176"/>
  <c r="X135" i="167"/>
  <c r="X61" i="167" s="1"/>
  <c r="AG117" i="167"/>
  <c r="N73" i="176"/>
  <c r="S45" i="176"/>
  <c r="S114" i="176" s="1"/>
  <c r="S44" i="176"/>
  <c r="N45" i="176"/>
  <c r="N114" i="176" s="1"/>
  <c r="N44" i="176"/>
  <c r="L45" i="176"/>
  <c r="L114" i="176" s="1"/>
  <c r="L44" i="176"/>
  <c r="AR95" i="167"/>
  <c r="I21" i="177"/>
  <c r="Y49" i="176"/>
  <c r="AP83" i="167"/>
  <c r="W35" i="176"/>
  <c r="K20" i="177"/>
  <c r="Y86" i="176"/>
  <c r="T23" i="177"/>
  <c r="AA70" i="176"/>
  <c r="N63" i="176"/>
  <c r="N64" i="176"/>
  <c r="N115" i="176" s="1"/>
  <c r="AL115" i="167"/>
  <c r="AL55" i="167" s="1"/>
  <c r="S71" i="176"/>
  <c r="L25" i="176"/>
  <c r="L26" i="176"/>
  <c r="L113" i="176" s="1"/>
  <c r="AK115" i="167"/>
  <c r="AK55" i="167" s="1"/>
  <c r="R71" i="176"/>
  <c r="AR36" i="132"/>
  <c r="H22" i="177"/>
  <c r="Y31" i="176"/>
  <c r="G24" i="122"/>
  <c r="G45" i="122" s="1"/>
  <c r="I61" i="176"/>
  <c r="I101" i="176" s="1"/>
  <c r="AM115" i="167"/>
  <c r="AM55" i="167" s="1"/>
  <c r="T71" i="176"/>
  <c r="AN31" i="132"/>
  <c r="AN47" i="132" s="1"/>
  <c r="U26" i="176"/>
  <c r="U113" i="176" s="1"/>
  <c r="U25" i="176"/>
  <c r="H203" i="106"/>
  <c r="N9" i="123" s="1"/>
  <c r="N10" i="123"/>
  <c r="Y38" i="136"/>
  <c r="J33" i="176"/>
  <c r="K21" i="177"/>
  <c r="Y87" i="176"/>
  <c r="H23" i="177"/>
  <c r="Y32" i="176"/>
  <c r="AA37" i="122"/>
  <c r="T37" i="177" s="1"/>
  <c r="J37" i="177"/>
  <c r="Q25" i="176"/>
  <c r="AH81" i="167"/>
  <c r="AH53" i="167" s="1"/>
  <c r="O33" i="176"/>
  <c r="AH38" i="136"/>
  <c r="AI118" i="167"/>
  <c r="AI60" i="167" s="1"/>
  <c r="P74" i="176"/>
  <c r="AQ118" i="167"/>
  <c r="AQ60" i="167" s="1"/>
  <c r="X74" i="176"/>
  <c r="AH115" i="167"/>
  <c r="AH55" i="167" s="1"/>
  <c r="O71" i="176"/>
  <c r="AJ118" i="167"/>
  <c r="AJ60" i="167" s="1"/>
  <c r="Q74" i="176"/>
  <c r="X118" i="167"/>
  <c r="X60" i="167" s="1"/>
  <c r="I74" i="176"/>
  <c r="Z98" i="167"/>
  <c r="Z54" i="167" s="1"/>
  <c r="K52" i="176"/>
  <c r="AP84" i="167"/>
  <c r="AP58" i="167" s="1"/>
  <c r="W36" i="176"/>
  <c r="AK118" i="167"/>
  <c r="AK60" i="167" s="1"/>
  <c r="R74" i="176"/>
  <c r="AD101" i="167"/>
  <c r="AD59" i="167" s="1"/>
  <c r="L55" i="176"/>
  <c r="G24" i="98"/>
  <c r="I23" i="176"/>
  <c r="I99" i="176" s="1"/>
  <c r="AK81" i="167"/>
  <c r="AK53" i="167" s="1"/>
  <c r="R33" i="176"/>
  <c r="AI81" i="167"/>
  <c r="AI53" i="167" s="1"/>
  <c r="P33" i="176"/>
  <c r="X75" i="167"/>
  <c r="X48" i="167" s="1"/>
  <c r="I27" i="176"/>
  <c r="I120" i="176" s="1"/>
  <c r="Z106" i="167"/>
  <c r="K62" i="176"/>
  <c r="K108" i="176" s="1"/>
  <c r="AN106" i="167"/>
  <c r="AN35" i="167" s="1"/>
  <c r="U62" i="176"/>
  <c r="U108" i="176" s="1"/>
  <c r="AA43" i="98"/>
  <c r="R43" i="177" s="1"/>
  <c r="H43" i="177"/>
  <c r="Y98" i="167"/>
  <c r="J52" i="176"/>
  <c r="H257" i="102"/>
  <c r="Q9" i="121" s="1"/>
  <c r="N118" i="167"/>
  <c r="N60" i="167" s="1"/>
  <c r="G74" i="176"/>
  <c r="AA43" i="122"/>
  <c r="T43" i="177" s="1"/>
  <c r="J43" i="177"/>
  <c r="AL98" i="167"/>
  <c r="AL54" i="167" s="1"/>
  <c r="S52" i="176"/>
  <c r="AP81" i="167"/>
  <c r="AP53" i="167" s="1"/>
  <c r="W33" i="176"/>
  <c r="R45" i="122"/>
  <c r="S21" i="177"/>
  <c r="AA49" i="176"/>
  <c r="AA128" i="176" s="1"/>
  <c r="AR113" i="166"/>
  <c r="U23" i="177"/>
  <c r="AA89" i="176"/>
  <c r="AR112" i="167"/>
  <c r="J21" i="177"/>
  <c r="Y68" i="176"/>
  <c r="AI115" i="167"/>
  <c r="AI55" i="167" s="1"/>
  <c r="P71" i="176"/>
  <c r="AI98" i="167"/>
  <c r="AI54" i="167" s="1"/>
  <c r="P52" i="176"/>
  <c r="AL101" i="167"/>
  <c r="AL59" i="167" s="1"/>
  <c r="S55" i="176"/>
  <c r="AG118" i="132"/>
  <c r="AK72" i="167"/>
  <c r="AK33" i="167" s="1"/>
  <c r="R24" i="176"/>
  <c r="R106" i="176" s="1"/>
  <c r="AI81" i="166"/>
  <c r="AI53" i="166" s="1"/>
  <c r="G26" i="176"/>
  <c r="G113" i="176" s="1"/>
  <c r="F110" i="132"/>
  <c r="F126" i="132" s="1"/>
  <c r="F16" i="177"/>
  <c r="E84" i="176"/>
  <c r="E123" i="176" s="1"/>
  <c r="AA41" i="123"/>
  <c r="U41" i="177" s="1"/>
  <c r="K41" i="177"/>
  <c r="AV113" i="167"/>
  <c r="AK106" i="167"/>
  <c r="AK35" i="167" s="1"/>
  <c r="R62" i="176"/>
  <c r="R108" i="176" s="1"/>
  <c r="AV111" i="167"/>
  <c r="J24" i="168"/>
  <c r="J49" i="168" s="1"/>
  <c r="J84" i="176"/>
  <c r="J123" i="176" s="1"/>
  <c r="AM100" i="167"/>
  <c r="T54" i="176"/>
  <c r="AG30" i="136"/>
  <c r="N25" i="176"/>
  <c r="N26" i="176"/>
  <c r="N113" i="176" s="1"/>
  <c r="AH106" i="167"/>
  <c r="AH35" i="167" s="1"/>
  <c r="O62" i="176"/>
  <c r="O108" i="176" s="1"/>
  <c r="AF124" i="166"/>
  <c r="AF41" i="166" s="1"/>
  <c r="M83" i="176"/>
  <c r="M116" i="176" s="1"/>
  <c r="M82" i="176"/>
  <c r="AA8" i="98"/>
  <c r="R8" i="177" s="1"/>
  <c r="H8" i="177"/>
  <c r="I35" i="168"/>
  <c r="AM90" i="166"/>
  <c r="AM39" i="166" s="1"/>
  <c r="T44" i="176"/>
  <c r="T45" i="176"/>
  <c r="T114" i="176" s="1"/>
  <c r="P64" i="176"/>
  <c r="P115" i="176" s="1"/>
  <c r="P63" i="176"/>
  <c r="V52" i="176"/>
  <c r="X92" i="167"/>
  <c r="X49" i="167" s="1"/>
  <c r="I46" i="176"/>
  <c r="I121" i="176" s="1"/>
  <c r="AP117" i="167"/>
  <c r="W73" i="176"/>
  <c r="AI81" i="132"/>
  <c r="AI97" i="132" s="1"/>
  <c r="P62" i="176"/>
  <c r="P108" i="176" s="1"/>
  <c r="T45" i="123"/>
  <c r="V90" i="176"/>
  <c r="AV112" i="167"/>
  <c r="X109" i="167"/>
  <c r="X50" i="167" s="1"/>
  <c r="I65" i="176"/>
  <c r="I122" i="176" s="1"/>
  <c r="I22" i="177"/>
  <c r="Y50" i="176"/>
  <c r="O25" i="176"/>
  <c r="O26" i="176"/>
  <c r="O113" i="176" s="1"/>
  <c r="AJ84" i="167"/>
  <c r="AJ58" i="167" s="1"/>
  <c r="Q36" i="176"/>
  <c r="AJ41" i="132"/>
  <c r="AJ50" i="132" s="1"/>
  <c r="V92" i="176"/>
  <c r="V33" i="176"/>
  <c r="AO30" i="132"/>
  <c r="AO46" i="132" s="1"/>
  <c r="V26" i="176"/>
  <c r="V113" i="176" s="1"/>
  <c r="V25" i="176"/>
  <c r="AM38" i="136"/>
  <c r="T33" i="176"/>
  <c r="J82" i="176"/>
  <c r="Y115" i="167"/>
  <c r="J71" i="176"/>
  <c r="Z115" i="167"/>
  <c r="Z55" i="167" s="1"/>
  <c r="K71" i="176"/>
  <c r="AK31" i="136"/>
  <c r="R25" i="176"/>
  <c r="R26" i="176"/>
  <c r="R113" i="176" s="1"/>
  <c r="V71" i="176"/>
  <c r="AH118" i="167"/>
  <c r="AH60" i="167" s="1"/>
  <c r="O74" i="176"/>
  <c r="AH101" i="167"/>
  <c r="AH59" i="167" s="1"/>
  <c r="O55" i="176"/>
  <c r="AG115" i="167"/>
  <c r="AG55" i="167" s="1"/>
  <c r="N71" i="176"/>
  <c r="AR94" i="167"/>
  <c r="I20" i="177"/>
  <c r="Y48" i="176"/>
  <c r="AA47" i="176"/>
  <c r="S19" i="177"/>
  <c r="Y101" i="167"/>
  <c r="J55" i="176"/>
  <c r="AG118" i="167"/>
  <c r="AG60" i="167" s="1"/>
  <c r="N74" i="176"/>
  <c r="AI101" i="167"/>
  <c r="AI59" i="167" s="1"/>
  <c r="P55" i="176"/>
  <c r="AG108" i="132"/>
  <c r="AG124" i="132" s="1"/>
  <c r="N83" i="176"/>
  <c r="N116" i="176" s="1"/>
  <c r="N82" i="176"/>
  <c r="AM40" i="132"/>
  <c r="T35" i="176"/>
  <c r="AO125" i="166"/>
  <c r="AO46" i="166" s="1"/>
  <c r="V83" i="176"/>
  <c r="V116" i="176" s="1"/>
  <c r="V82" i="176"/>
  <c r="AH91" i="166"/>
  <c r="AH44" i="166" s="1"/>
  <c r="O45" i="176"/>
  <c r="O114" i="176" s="1"/>
  <c r="O44" i="176"/>
  <c r="Z90" i="166"/>
  <c r="Z39" i="166" s="1"/>
  <c r="K45" i="176"/>
  <c r="K114" i="176" s="1"/>
  <c r="K44" i="176"/>
  <c r="AR97" i="167"/>
  <c r="I23" i="177"/>
  <c r="Y51" i="176"/>
  <c r="AN117" i="167"/>
  <c r="U73" i="176"/>
  <c r="AD115" i="167"/>
  <c r="AD55" i="167" s="1"/>
  <c r="L71" i="176"/>
  <c r="AH83" i="167"/>
  <c r="O35" i="176"/>
  <c r="AJ115" i="167"/>
  <c r="AJ55" i="167" s="1"/>
  <c r="Q71" i="176"/>
  <c r="AN89" i="167"/>
  <c r="AN34" i="167" s="1"/>
  <c r="U43" i="176"/>
  <c r="U107" i="176" s="1"/>
  <c r="T17" i="119"/>
  <c r="AQ98" i="167"/>
  <c r="AQ54" i="167" s="1"/>
  <c r="X52" i="176"/>
  <c r="K26" i="176"/>
  <c r="K113" i="176" s="1"/>
  <c r="K25" i="176"/>
  <c r="AO74" i="167"/>
  <c r="AO43" i="167" s="1"/>
  <c r="X25" i="176"/>
  <c r="X26" i="176"/>
  <c r="X113" i="176" s="1"/>
  <c r="AL117" i="167"/>
  <c r="S73" i="176"/>
  <c r="AS100" i="167"/>
  <c r="N38" i="177"/>
  <c r="Z54" i="176"/>
  <c r="AJ100" i="167"/>
  <c r="Q54" i="176"/>
  <c r="X100" i="167"/>
  <c r="I54" i="176"/>
  <c r="Z89" i="167"/>
  <c r="K43" i="176"/>
  <c r="K107" i="176" s="1"/>
  <c r="Y45" i="122"/>
  <c r="D39" i="155"/>
  <c r="AH57" i="132"/>
  <c r="AH73" i="132" s="1"/>
  <c r="P44" i="177"/>
  <c r="Z93" i="176"/>
  <c r="AG101" i="167"/>
  <c r="AG59" i="167" s="1"/>
  <c r="N55" i="176"/>
  <c r="AG125" i="166"/>
  <c r="AG46" i="166" s="1"/>
  <c r="AN98" i="167"/>
  <c r="AN54" i="167" s="1"/>
  <c r="U52" i="176"/>
  <c r="U21" i="177"/>
  <c r="AA87" i="176"/>
  <c r="AA130" i="176" s="1"/>
  <c r="R21" i="177"/>
  <c r="AA30" i="176"/>
  <c r="AA127" i="176" s="1"/>
  <c r="U22" i="177"/>
  <c r="AA88" i="176"/>
  <c r="Z91" i="166"/>
  <c r="Z44" i="166" s="1"/>
  <c r="X119" i="132"/>
  <c r="X128" i="132" s="1"/>
  <c r="AQ115" i="167"/>
  <c r="AQ55" i="167" s="1"/>
  <c r="X71" i="176"/>
  <c r="AG98" i="167"/>
  <c r="AG54" i="167" s="1"/>
  <c r="N52" i="176"/>
  <c r="Z81" i="167"/>
  <c r="K33" i="176"/>
  <c r="AM72" i="167"/>
  <c r="AM33" i="167" s="1"/>
  <c r="T24" i="176"/>
  <c r="T106" i="176" s="1"/>
  <c r="AK84" i="167"/>
  <c r="AK58" i="167" s="1"/>
  <c r="R36" i="176"/>
  <c r="AM83" i="166"/>
  <c r="AJ73" i="166"/>
  <c r="AJ38" i="166" s="1"/>
  <c r="AD115" i="166"/>
  <c r="AD55" i="166" s="1"/>
  <c r="AG134" i="166"/>
  <c r="AQ101" i="167"/>
  <c r="AQ59" i="167" s="1"/>
  <c r="X55" i="176"/>
  <c r="AJ85" i="167"/>
  <c r="AJ63" i="167" s="1"/>
  <c r="Q37" i="176"/>
  <c r="Q134" i="176" s="1"/>
  <c r="I64" i="176"/>
  <c r="I115" i="176" s="1"/>
  <c r="I63" i="176"/>
  <c r="AM101" i="167"/>
  <c r="AM59" i="167" s="1"/>
  <c r="T55" i="176"/>
  <c r="X32" i="132"/>
  <c r="X48" i="132" s="1"/>
  <c r="AJ81" i="167"/>
  <c r="AJ53" i="167" s="1"/>
  <c r="Q33" i="176"/>
  <c r="AA41" i="122"/>
  <c r="T41" i="177" s="1"/>
  <c r="J41" i="177"/>
  <c r="M44" i="177"/>
  <c r="Z36" i="176"/>
  <c r="AP107" i="132"/>
  <c r="AP123" i="132" s="1"/>
  <c r="W81" i="176"/>
  <c r="W109" i="176" s="1"/>
  <c r="AD109" i="167"/>
  <c r="AD50" i="167" s="1"/>
  <c r="L65" i="176"/>
  <c r="L122" i="176" s="1"/>
  <c r="AP118" i="167"/>
  <c r="AP60" i="167" s="1"/>
  <c r="W74" i="176"/>
  <c r="AD98" i="167"/>
  <c r="AD54" i="167" s="1"/>
  <c r="L52" i="176"/>
  <c r="AR79" i="167"/>
  <c r="AV114" i="167"/>
  <c r="Y106" i="167"/>
  <c r="J62" i="176"/>
  <c r="J108" i="176" s="1"/>
  <c r="AA37" i="98"/>
  <c r="R37" i="177" s="1"/>
  <c r="H37" i="177"/>
  <c r="AA41" i="121"/>
  <c r="S41" i="177" s="1"/>
  <c r="I41" i="177"/>
  <c r="K63" i="176"/>
  <c r="V35" i="176"/>
  <c r="AA43" i="121"/>
  <c r="S43" i="177" s="1"/>
  <c r="I43" i="177"/>
  <c r="AV79" i="167"/>
  <c r="AA85" i="176"/>
  <c r="AR110" i="167"/>
  <c r="Y66" i="176"/>
  <c r="D66" i="176" s="1"/>
  <c r="AR93" i="167"/>
  <c r="Y47" i="176"/>
  <c r="D47" i="176" s="1"/>
  <c r="D14" i="165"/>
  <c r="D39" i="165" s="1"/>
  <c r="D16" i="116"/>
  <c r="D44" i="116" s="1"/>
  <c r="E16" i="116"/>
  <c r="E44" i="116" s="1"/>
  <c r="E14" i="165"/>
  <c r="E39" i="165" s="1"/>
  <c r="S10" i="98"/>
  <c r="AH90" i="166"/>
  <c r="AH39" i="166" s="1"/>
  <c r="Z81" i="132"/>
  <c r="Z97" i="132" s="1"/>
  <c r="AG73" i="166"/>
  <c r="AG38" i="166" s="1"/>
  <c r="AR97" i="166"/>
  <c r="AF108" i="132"/>
  <c r="AF124" i="132" s="1"/>
  <c r="AO109" i="132"/>
  <c r="AO125" i="132" s="1"/>
  <c r="AN117" i="166"/>
  <c r="V30" i="133"/>
  <c r="H64" i="104" s="1"/>
  <c r="F14" i="122" s="1"/>
  <c r="AH40" i="136"/>
  <c r="H79" i="99"/>
  <c r="G11" i="98" s="1"/>
  <c r="AV96" i="167"/>
  <c r="AV94" i="167"/>
  <c r="F3" i="160"/>
  <c r="F53" i="160" s="1"/>
  <c r="F3" i="157"/>
  <c r="F53" i="157" s="1"/>
  <c r="Z57" i="132"/>
  <c r="Z73" i="132" s="1"/>
  <c r="Z106" i="166"/>
  <c r="Z35" i="166" s="1"/>
  <c r="AA23" i="121"/>
  <c r="AF125" i="166"/>
  <c r="AF46" i="166" s="1"/>
  <c r="AO124" i="166"/>
  <c r="AO41" i="166" s="1"/>
  <c r="J45" i="121"/>
  <c r="AR85" i="132"/>
  <c r="AL38" i="136"/>
  <c r="Q10" i="123"/>
  <c r="M10" i="122"/>
  <c r="AK81" i="166"/>
  <c r="AK53" i="166" s="1"/>
  <c r="AH40" i="132"/>
  <c r="X81" i="166"/>
  <c r="X53" i="166" s="1"/>
  <c r="AV116" i="167"/>
  <c r="AO98" i="167"/>
  <c r="AO54" i="167" s="1"/>
  <c r="AA22" i="122"/>
  <c r="AD31" i="132"/>
  <c r="AD47" i="132" s="1"/>
  <c r="AD31" i="136"/>
  <c r="AD30" i="132"/>
  <c r="AD46" i="132" s="1"/>
  <c r="AH31" i="136"/>
  <c r="AH30" i="136"/>
  <c r="D11" i="158"/>
  <c r="D39" i="158"/>
  <c r="Y10" i="98"/>
  <c r="I10" i="122"/>
  <c r="AR63" i="132"/>
  <c r="AR59" i="132"/>
  <c r="S44" i="122"/>
  <c r="AR93" i="166"/>
  <c r="AR88" i="132"/>
  <c r="AA19" i="122"/>
  <c r="Z56" i="132"/>
  <c r="Z72" i="132" s="1"/>
  <c r="AR110" i="166"/>
  <c r="AL81" i="166"/>
  <c r="AL53" i="166" s="1"/>
  <c r="M44" i="98"/>
  <c r="Q23" i="168"/>
  <c r="AJ123" i="167"/>
  <c r="AJ36" i="167" s="1"/>
  <c r="Z83" i="166"/>
  <c r="Z83" i="167"/>
  <c r="AL84" i="166"/>
  <c r="AL58" i="166" s="1"/>
  <c r="AL84" i="167"/>
  <c r="AL58" i="167" s="1"/>
  <c r="Q32" i="168"/>
  <c r="Q50" i="168" s="1"/>
  <c r="AJ132" i="167"/>
  <c r="AJ56" i="167" s="1"/>
  <c r="Y74" i="167"/>
  <c r="Y73" i="167"/>
  <c r="AG84" i="166"/>
  <c r="AG58" i="166" s="1"/>
  <c r="AG84" i="167"/>
  <c r="AG58" i="167" s="1"/>
  <c r="M35" i="168"/>
  <c r="AF135" i="167"/>
  <c r="AF61" i="167" s="1"/>
  <c r="AA29" i="168"/>
  <c r="D129" i="167"/>
  <c r="AT129" i="167"/>
  <c r="R35" i="168"/>
  <c r="AK135" i="167"/>
  <c r="AK61" i="167" s="1"/>
  <c r="D80" i="167"/>
  <c r="AT80" i="167"/>
  <c r="M32" i="168"/>
  <c r="M50" i="168" s="1"/>
  <c r="AF132" i="167"/>
  <c r="AF56" i="167" s="1"/>
  <c r="K23" i="168"/>
  <c r="Z123" i="167"/>
  <c r="H221" i="102"/>
  <c r="O9" i="121" s="1"/>
  <c r="Q43" i="176" s="1"/>
  <c r="Q107" i="176" s="1"/>
  <c r="O10" i="121"/>
  <c r="AV97" i="167"/>
  <c r="AD84" i="166"/>
  <c r="AD58" i="166" s="1"/>
  <c r="AD84" i="167"/>
  <c r="AD58" i="167" s="1"/>
  <c r="X17" i="123"/>
  <c r="P17" i="177" s="1"/>
  <c r="H375" i="106"/>
  <c r="X16" i="123" s="1"/>
  <c r="AD117" i="167"/>
  <c r="J44" i="122"/>
  <c r="L74" i="176" s="1"/>
  <c r="N100" i="166"/>
  <c r="N100" i="167"/>
  <c r="E44" i="121"/>
  <c r="G55" i="176" s="1"/>
  <c r="H131" i="102"/>
  <c r="J9" i="121" s="1"/>
  <c r="L43" i="176" s="1"/>
  <c r="L107" i="176" s="1"/>
  <c r="J10" i="121"/>
  <c r="AI108" i="167"/>
  <c r="AI45" i="167" s="1"/>
  <c r="AI107" i="167"/>
  <c r="AI40" i="167" s="1"/>
  <c r="H74" i="102"/>
  <c r="G6" i="121" s="1"/>
  <c r="G8" i="121"/>
  <c r="W8" i="121" s="1"/>
  <c r="AO83" i="167"/>
  <c r="AL74" i="167"/>
  <c r="AL43" i="167" s="1"/>
  <c r="AL73" i="167"/>
  <c r="AL38" i="167" s="1"/>
  <c r="AD72" i="166"/>
  <c r="AD33" i="166" s="1"/>
  <c r="AD72" i="167"/>
  <c r="AD33" i="167" s="1"/>
  <c r="X34" i="168"/>
  <c r="AQ134" i="167"/>
  <c r="R23" i="168"/>
  <c r="AK123" i="167"/>
  <c r="AK36" i="167" s="1"/>
  <c r="M23" i="168"/>
  <c r="AF123" i="167"/>
  <c r="AF36" i="167" s="1"/>
  <c r="P45" i="123"/>
  <c r="R94" i="176" s="1"/>
  <c r="R137" i="176" s="1"/>
  <c r="AQ83" i="166"/>
  <c r="AQ83" i="167"/>
  <c r="Z35" i="168"/>
  <c r="AS135" i="167"/>
  <c r="AS61" i="167" s="1"/>
  <c r="Q35" i="168"/>
  <c r="AJ135" i="167"/>
  <c r="AJ61" i="167" s="1"/>
  <c r="AD117" i="166"/>
  <c r="AF81" i="166"/>
  <c r="AF53" i="166" s="1"/>
  <c r="AF81" i="167"/>
  <c r="AF53" i="167" s="1"/>
  <c r="N35" i="168"/>
  <c r="AG135" i="167"/>
  <c r="AG61" i="167" s="1"/>
  <c r="D96" i="167"/>
  <c r="AT96" i="167"/>
  <c r="AA31" i="168"/>
  <c r="D131" i="167"/>
  <c r="AT131" i="167"/>
  <c r="R32" i="168"/>
  <c r="R50" i="168" s="1"/>
  <c r="AK132" i="167"/>
  <c r="AK56" i="167" s="1"/>
  <c r="AD107" i="166"/>
  <c r="AD40" i="166" s="1"/>
  <c r="AI82" i="132"/>
  <c r="AI98" i="132" s="1"/>
  <c r="AA28" i="168"/>
  <c r="AT128" i="167"/>
  <c r="D128" i="167"/>
  <c r="O10" i="123"/>
  <c r="AJ38" i="132"/>
  <c r="AJ49" i="132" s="1"/>
  <c r="AP83" i="166"/>
  <c r="O35" i="168"/>
  <c r="AH135" i="167"/>
  <c r="AH61" i="167" s="1"/>
  <c r="S23" i="168"/>
  <c r="AL123" i="167"/>
  <c r="AL36" i="167" s="1"/>
  <c r="AM66" i="132"/>
  <c r="H149" i="99"/>
  <c r="K9" i="98" s="1"/>
  <c r="Z48" i="167"/>
  <c r="AV110" i="167"/>
  <c r="AV95" i="167"/>
  <c r="AV133" i="167"/>
  <c r="AO44" i="167"/>
  <c r="N34" i="168"/>
  <c r="AG134" i="167"/>
  <c r="H221" i="99"/>
  <c r="O9" i="98" s="1"/>
  <c r="Q24" i="176" s="1"/>
  <c r="Q106" i="176" s="1"/>
  <c r="O10" i="98"/>
  <c r="AD107" i="167"/>
  <c r="AD40" i="167" s="1"/>
  <c r="AH82" i="132"/>
  <c r="AH98" i="132" s="1"/>
  <c r="AH108" i="167"/>
  <c r="AH45" i="167" s="1"/>
  <c r="AH107" i="167"/>
  <c r="AH40" i="167" s="1"/>
  <c r="H64" i="106"/>
  <c r="F14" i="123" s="1"/>
  <c r="H8" i="106"/>
  <c r="C12" i="123" s="1"/>
  <c r="H11" i="106"/>
  <c r="C15" i="123" s="1"/>
  <c r="F15" i="177" s="1"/>
  <c r="H9" i="106"/>
  <c r="C13" i="123" s="1"/>
  <c r="F13" i="177" s="1"/>
  <c r="W34" i="168"/>
  <c r="AP134" i="167"/>
  <c r="V27" i="133"/>
  <c r="U45" i="133"/>
  <c r="V25" i="168"/>
  <c r="V24" i="168"/>
  <c r="V49" i="168" s="1"/>
  <c r="AO125" i="167"/>
  <c r="AO46" i="167" s="1"/>
  <c r="AO124" i="167"/>
  <c r="AO41" i="167" s="1"/>
  <c r="Z35" i="167"/>
  <c r="H275" i="102"/>
  <c r="R9" i="121" s="1"/>
  <c r="T43" i="176" s="1"/>
  <c r="T107" i="176" s="1"/>
  <c r="R10" i="121"/>
  <c r="AH72" i="166"/>
  <c r="AH33" i="166" s="1"/>
  <c r="AH72" i="167"/>
  <c r="AH33" i="167" s="1"/>
  <c r="AH29" i="136"/>
  <c r="AH29" i="132"/>
  <c r="AH45" i="132" s="1"/>
  <c r="AO81" i="167"/>
  <c r="AO53" i="167" s="1"/>
  <c r="AV78" i="167"/>
  <c r="K35" i="168"/>
  <c r="Z135" i="167"/>
  <c r="Z61" i="167" s="1"/>
  <c r="AN83" i="166"/>
  <c r="AN83" i="167"/>
  <c r="T35" i="168"/>
  <c r="AM135" i="167"/>
  <c r="AM61" i="167" s="1"/>
  <c r="P32" i="168"/>
  <c r="P50" i="168" s="1"/>
  <c r="AI132" i="167"/>
  <c r="AI56" i="167" s="1"/>
  <c r="D95" i="167"/>
  <c r="AT95" i="167"/>
  <c r="AT78" i="167"/>
  <c r="D78" i="167"/>
  <c r="U23" i="168"/>
  <c r="AN123" i="167"/>
  <c r="AN36" i="167" s="1"/>
  <c r="AV99" i="167"/>
  <c r="AV117" i="167"/>
  <c r="AO50" i="167"/>
  <c r="AV93" i="167"/>
  <c r="Z45" i="167"/>
  <c r="Z46" i="167"/>
  <c r="Z100" i="166"/>
  <c r="Z100" i="167"/>
  <c r="AV100" i="167" s="1"/>
  <c r="N25" i="168"/>
  <c r="N24" i="168"/>
  <c r="N49" i="168" s="1"/>
  <c r="AG125" i="167"/>
  <c r="AG46" i="167" s="1"/>
  <c r="AG124" i="167"/>
  <c r="AG41" i="167" s="1"/>
  <c r="AI106" i="166"/>
  <c r="AI35" i="166" s="1"/>
  <c r="AI106" i="167"/>
  <c r="AI35" i="167" s="1"/>
  <c r="X83" i="166"/>
  <c r="X83" i="167"/>
  <c r="F34" i="160"/>
  <c r="D16" i="159" s="1"/>
  <c r="D16" i="161" s="1"/>
  <c r="D44" i="161" s="1"/>
  <c r="AD41" i="136"/>
  <c r="D79" i="167"/>
  <c r="AT79" i="167"/>
  <c r="D37" i="136"/>
  <c r="Y45" i="123"/>
  <c r="U32" i="168"/>
  <c r="U50" i="168" s="1"/>
  <c r="AN132" i="167"/>
  <c r="AN56" i="167" s="1"/>
  <c r="AG109" i="132"/>
  <c r="AG125" i="132" s="1"/>
  <c r="K32" i="168"/>
  <c r="K50" i="168" s="1"/>
  <c r="Z132" i="167"/>
  <c r="Z56" i="167" s="1"/>
  <c r="W35" i="168"/>
  <c r="AP135" i="167"/>
  <c r="AP61" i="167" s="1"/>
  <c r="AF74" i="167"/>
  <c r="AF43" i="167" s="1"/>
  <c r="AF73" i="167"/>
  <c r="AF38" i="167" s="1"/>
  <c r="J35" i="168"/>
  <c r="Y135" i="167"/>
  <c r="D97" i="167"/>
  <c r="AT97" i="167"/>
  <c r="AA30" i="168"/>
  <c r="D130" i="167"/>
  <c r="AT130" i="167"/>
  <c r="AI83" i="132"/>
  <c r="AI99" i="132" s="1"/>
  <c r="Z66" i="132"/>
  <c r="AI108" i="166"/>
  <c r="AI45" i="166" s="1"/>
  <c r="AD84" i="132"/>
  <c r="AD100" i="132" s="1"/>
  <c r="X23" i="168"/>
  <c r="AQ123" i="167"/>
  <c r="AQ36" i="167" s="1"/>
  <c r="P10" i="122"/>
  <c r="AJ81" i="166"/>
  <c r="AJ53" i="166" s="1"/>
  <c r="AP40" i="132"/>
  <c r="AM100" i="166"/>
  <c r="AK38" i="132"/>
  <c r="AK49" i="132" s="1"/>
  <c r="AV76" i="167"/>
  <c r="AP89" i="166"/>
  <c r="AP34" i="166" s="1"/>
  <c r="AP89" i="167"/>
  <c r="AP34" i="167" s="1"/>
  <c r="AO134" i="167"/>
  <c r="AJ75" i="166"/>
  <c r="AJ48" i="166" s="1"/>
  <c r="AJ75" i="167"/>
  <c r="AJ48" i="167" s="1"/>
  <c r="AJ32" i="132"/>
  <c r="AJ48" i="132" s="1"/>
  <c r="AJ30" i="132"/>
  <c r="AJ46" i="132" s="1"/>
  <c r="AJ32" i="136"/>
  <c r="AJ30" i="136"/>
  <c r="C5" i="60"/>
  <c r="F53" i="91"/>
  <c r="AQ81" i="166"/>
  <c r="AQ53" i="166" s="1"/>
  <c r="AQ81" i="167"/>
  <c r="AQ53" i="167" s="1"/>
  <c r="AR78" i="167"/>
  <c r="AR35" i="136"/>
  <c r="M25" i="168"/>
  <c r="M24" i="168"/>
  <c r="M49" i="168" s="1"/>
  <c r="AF125" i="167"/>
  <c r="AF46" i="167" s="1"/>
  <c r="AF124" i="167"/>
  <c r="AF41" i="167" s="1"/>
  <c r="G13" i="121"/>
  <c r="H79" i="102"/>
  <c r="H78" i="102" s="1"/>
  <c r="H77" i="102" s="1"/>
  <c r="Z109" i="166"/>
  <c r="Z50" i="166" s="1"/>
  <c r="Z109" i="167"/>
  <c r="Z50" i="167" s="1"/>
  <c r="AH56" i="132"/>
  <c r="AH72" i="132" s="1"/>
  <c r="AH91" i="167"/>
  <c r="AH44" i="167" s="1"/>
  <c r="AH90" i="167"/>
  <c r="AH39" i="167" s="1"/>
  <c r="Z91" i="167"/>
  <c r="Z44" i="167" s="1"/>
  <c r="Z90" i="167"/>
  <c r="AV82" i="167"/>
  <c r="Y28" i="168"/>
  <c r="AR128" i="167"/>
  <c r="D114" i="167"/>
  <c r="AT114" i="167"/>
  <c r="AG107" i="167"/>
  <c r="AG40" i="167" s="1"/>
  <c r="AG108" i="167"/>
  <c r="AG45" i="167" s="1"/>
  <c r="N84" i="166"/>
  <c r="N58" i="166" s="1"/>
  <c r="N84" i="167"/>
  <c r="N58" i="167" s="1"/>
  <c r="D93" i="167"/>
  <c r="AT93" i="167"/>
  <c r="S35" i="168"/>
  <c r="AL135" i="167"/>
  <c r="AL61" i="167" s="1"/>
  <c r="AS84" i="166"/>
  <c r="AS58" i="166" s="1"/>
  <c r="AS84" i="167"/>
  <c r="AS58" i="167" s="1"/>
  <c r="AS41" i="132"/>
  <c r="AS50" i="132" s="1"/>
  <c r="W23" i="168"/>
  <c r="AP123" i="167"/>
  <c r="AP36" i="167" s="1"/>
  <c r="AM57" i="132"/>
  <c r="AM73" i="132" s="1"/>
  <c r="AM90" i="167"/>
  <c r="AM39" i="167" s="1"/>
  <c r="AM91" i="167"/>
  <c r="AM44" i="167" s="1"/>
  <c r="H167" i="102"/>
  <c r="L9" i="121" s="1"/>
  <c r="N43" i="176" s="1"/>
  <c r="N107" i="176" s="1"/>
  <c r="L10" i="121"/>
  <c r="AD81" i="166"/>
  <c r="AD53" i="166" s="1"/>
  <c r="AD81" i="167"/>
  <c r="AD53" i="167" s="1"/>
  <c r="AF83" i="166"/>
  <c r="AF83" i="167"/>
  <c r="H167" i="99"/>
  <c r="L9" i="98" s="1"/>
  <c r="N24" i="176" s="1"/>
  <c r="N106" i="176" s="1"/>
  <c r="T25" i="168"/>
  <c r="T24" i="168"/>
  <c r="T49" i="168" s="1"/>
  <c r="AM125" i="167"/>
  <c r="AM46" i="167" s="1"/>
  <c r="AM124" i="167"/>
  <c r="AM41" i="167" s="1"/>
  <c r="H16" i="165"/>
  <c r="H41" i="165" s="1"/>
  <c r="F10" i="165"/>
  <c r="F34" i="165" s="1"/>
  <c r="Z74" i="167"/>
  <c r="Z73" i="167"/>
  <c r="AQ74" i="167"/>
  <c r="AQ43" i="167" s="1"/>
  <c r="AQ73" i="167"/>
  <c r="AQ38" i="167" s="1"/>
  <c r="P34" i="168"/>
  <c r="AI134" i="167"/>
  <c r="O23" i="168"/>
  <c r="AH123" i="167"/>
  <c r="AH36" i="167" s="1"/>
  <c r="J23" i="168"/>
  <c r="Y123" i="167"/>
  <c r="Z34" i="167"/>
  <c r="AN72" i="166"/>
  <c r="AN33" i="166" s="1"/>
  <c r="AN72" i="167"/>
  <c r="AN33" i="167" s="1"/>
  <c r="AI83" i="166"/>
  <c r="AI83" i="167"/>
  <c r="AD41" i="132"/>
  <c r="AD50" i="132" s="1"/>
  <c r="AM56" i="132"/>
  <c r="AM72" i="132" s="1"/>
  <c r="S32" i="168"/>
  <c r="S50" i="168" s="1"/>
  <c r="AL132" i="167"/>
  <c r="AL56" i="167" s="1"/>
  <c r="N32" i="168"/>
  <c r="N50" i="168" s="1"/>
  <c r="AG132" i="167"/>
  <c r="AG56" i="167" s="1"/>
  <c r="AG124" i="166"/>
  <c r="AG41" i="166" s="1"/>
  <c r="O32" i="168"/>
  <c r="O50" i="168" s="1"/>
  <c r="AH132" i="167"/>
  <c r="AH56" i="167" s="1"/>
  <c r="T45" i="122"/>
  <c r="AO118" i="167"/>
  <c r="I44" i="121"/>
  <c r="D110" i="167"/>
  <c r="AT110" i="167"/>
  <c r="AA27" i="168"/>
  <c r="D127" i="167"/>
  <c r="AT127" i="167"/>
  <c r="T45" i="98"/>
  <c r="N66" i="132"/>
  <c r="AP123" i="166"/>
  <c r="AP36" i="166" s="1"/>
  <c r="L35" i="168"/>
  <c r="AD135" i="167"/>
  <c r="AD61" i="167" s="1"/>
  <c r="AD82" i="132"/>
  <c r="AD98" i="132" s="1"/>
  <c r="AI107" i="166"/>
  <c r="AI40" i="166" s="1"/>
  <c r="AD109" i="166"/>
  <c r="AD50" i="166" s="1"/>
  <c r="Z53" i="167"/>
  <c r="AJ38" i="136"/>
  <c r="AP40" i="136"/>
  <c r="V23" i="168"/>
  <c r="AO123" i="167"/>
  <c r="AO36" i="167" s="1"/>
  <c r="N23" i="168"/>
  <c r="AG123" i="167"/>
  <c r="AG36" i="167" s="1"/>
  <c r="AK38" i="136"/>
  <c r="R38" i="169"/>
  <c r="R40" i="169" s="1"/>
  <c r="AV127" i="167"/>
  <c r="AV129" i="167"/>
  <c r="AV131" i="167"/>
  <c r="AV77" i="167"/>
  <c r="F25" i="160"/>
  <c r="D11" i="159"/>
  <c r="H347" i="104"/>
  <c r="V9" i="122" s="1"/>
  <c r="X62" i="176" s="1"/>
  <c r="X108" i="176" s="1"/>
  <c r="V10" i="122"/>
  <c r="AV126" i="167"/>
  <c r="AV51" i="167" s="1"/>
  <c r="AO51" i="167"/>
  <c r="AV128" i="167"/>
  <c r="AV130" i="167"/>
  <c r="Z40" i="167"/>
  <c r="Z49" i="167"/>
  <c r="AV92" i="167"/>
  <c r="AV49" i="167" s="1"/>
  <c r="V34" i="168"/>
  <c r="J26" i="168"/>
  <c r="Y126" i="167"/>
  <c r="AQ89" i="166"/>
  <c r="AQ34" i="166" s="1"/>
  <c r="AQ89" i="167"/>
  <c r="AQ34" i="167" s="1"/>
  <c r="H61" i="106"/>
  <c r="F11" i="123" s="1"/>
  <c r="F13" i="123"/>
  <c r="Z41" i="167"/>
  <c r="AG73" i="167"/>
  <c r="AG38" i="167" s="1"/>
  <c r="AG74" i="167"/>
  <c r="AG43" i="167" s="1"/>
  <c r="AG30" i="132"/>
  <c r="AG46" i="132" s="1"/>
  <c r="AG31" i="136"/>
  <c r="AG31" i="132"/>
  <c r="AG47" i="132" s="1"/>
  <c r="AO115" i="167"/>
  <c r="AO55" i="167" s="1"/>
  <c r="U34" i="168"/>
  <c r="AN134" i="167"/>
  <c r="S44" i="123"/>
  <c r="U93" i="176" s="1"/>
  <c r="F39" i="160"/>
  <c r="D17" i="159" s="1"/>
  <c r="F39" i="154"/>
  <c r="D17" i="153" s="1"/>
  <c r="F39" i="91"/>
  <c r="D17" i="60" s="1"/>
  <c r="F39" i="157"/>
  <c r="D17" i="156" s="1"/>
  <c r="AH98" i="166"/>
  <c r="AH54" i="166" s="1"/>
  <c r="AH98" i="167"/>
  <c r="AH54" i="167" s="1"/>
  <c r="AM83" i="167"/>
  <c r="AM40" i="136"/>
  <c r="R44" i="98"/>
  <c r="T36" i="176" s="1"/>
  <c r="AD106" i="166"/>
  <c r="AD35" i="166" s="1"/>
  <c r="AD106" i="167"/>
  <c r="AD35" i="167" s="1"/>
  <c r="AL91" i="167"/>
  <c r="AL44" i="167" s="1"/>
  <c r="AL90" i="167"/>
  <c r="AL39" i="167" s="1"/>
  <c r="AG57" i="132"/>
  <c r="AG73" i="132" s="1"/>
  <c r="AG91" i="167"/>
  <c r="AG44" i="167" s="1"/>
  <c r="AG90" i="167"/>
  <c r="AG39" i="167" s="1"/>
  <c r="AD57" i="132"/>
  <c r="AD73" i="132" s="1"/>
  <c r="AD91" i="167"/>
  <c r="AD44" i="167" s="1"/>
  <c r="AD90" i="167"/>
  <c r="AD39" i="167" s="1"/>
  <c r="AK98" i="166"/>
  <c r="AK54" i="166" s="1"/>
  <c r="AK98" i="167"/>
  <c r="AK54" i="167" s="1"/>
  <c r="D113" i="167"/>
  <c r="AT113" i="167"/>
  <c r="H386" i="106"/>
  <c r="Y9" i="123" s="1"/>
  <c r="Y10" i="123"/>
  <c r="H167" i="104"/>
  <c r="L9" i="122" s="1"/>
  <c r="N62" i="176" s="1"/>
  <c r="N108" i="176" s="1"/>
  <c r="L10" i="122"/>
  <c r="G35" i="168"/>
  <c r="N135" i="167"/>
  <c r="N61" i="167" s="1"/>
  <c r="X31" i="136"/>
  <c r="X74" i="166"/>
  <c r="X43" i="166" s="1"/>
  <c r="X73" i="167"/>
  <c r="X38" i="167" s="1"/>
  <c r="H43" i="102"/>
  <c r="E11" i="121" s="1"/>
  <c r="H78" i="99"/>
  <c r="H77" i="99" s="1"/>
  <c r="G9" i="98" s="1"/>
  <c r="I24" i="176" s="1"/>
  <c r="I106" i="176" s="1"/>
  <c r="K38" i="146"/>
  <c r="K40" i="146" s="1"/>
  <c r="X31" i="132"/>
  <c r="X47" i="132" s="1"/>
  <c r="X73" i="166"/>
  <c r="X38" i="166" s="1"/>
  <c r="X30" i="132"/>
  <c r="X46" i="132" s="1"/>
  <c r="X74" i="167"/>
  <c r="X43" i="167" s="1"/>
  <c r="I38" i="169"/>
  <c r="I78" i="169" s="1"/>
  <c r="H370" i="106"/>
  <c r="H369" i="106" s="1"/>
  <c r="X38" i="132"/>
  <c r="X49" i="132" s="1"/>
  <c r="H78" i="104"/>
  <c r="H77" i="104" s="1"/>
  <c r="G9" i="122" s="1"/>
  <c r="X38" i="136"/>
  <c r="E26" i="168"/>
  <c r="F126" i="167"/>
  <c r="F51" i="167" s="1"/>
  <c r="F126" i="166"/>
  <c r="F51" i="166" s="1"/>
  <c r="K38" i="169"/>
  <c r="X108" i="167"/>
  <c r="X45" i="167" s="1"/>
  <c r="X107" i="167"/>
  <c r="X40" i="167" s="1"/>
  <c r="N108" i="167"/>
  <c r="N45" i="167" s="1"/>
  <c r="N74" i="167"/>
  <c r="N43" i="167" s="1"/>
  <c r="AN89" i="166"/>
  <c r="AN34" i="166" s="1"/>
  <c r="AN55" i="132"/>
  <c r="AN71" i="132" s="1"/>
  <c r="M45" i="122"/>
  <c r="AH118" i="166"/>
  <c r="AH60" i="166" s="1"/>
  <c r="AH93" i="132"/>
  <c r="AH102" i="132" s="1"/>
  <c r="V44" i="123"/>
  <c r="AQ134" i="166"/>
  <c r="AQ118" i="132"/>
  <c r="N44" i="123"/>
  <c r="P93" i="176" s="1"/>
  <c r="AI134" i="166"/>
  <c r="AI118" i="132"/>
  <c r="AH123" i="166"/>
  <c r="AH36" i="166" s="1"/>
  <c r="AH107" i="132"/>
  <c r="AH123" i="132" s="1"/>
  <c r="Y123" i="166"/>
  <c r="Y36" i="166" s="1"/>
  <c r="Y107" i="132"/>
  <c r="Y123" i="132" s="1"/>
  <c r="Q44" i="122"/>
  <c r="AL117" i="166"/>
  <c r="AL92" i="132"/>
  <c r="X44" i="121"/>
  <c r="AS100" i="166"/>
  <c r="AS66" i="132"/>
  <c r="K44" i="121"/>
  <c r="AF100" i="166"/>
  <c r="AF66" i="132"/>
  <c r="H46" i="155"/>
  <c r="I45" i="123"/>
  <c r="K94" i="176" s="1"/>
  <c r="K137" i="176" s="1"/>
  <c r="Z135" i="166"/>
  <c r="Z61" i="166" s="1"/>
  <c r="Z119" i="132"/>
  <c r="Z128" i="132" s="1"/>
  <c r="V45" i="121"/>
  <c r="AQ98" i="166"/>
  <c r="AQ54" i="166" s="1"/>
  <c r="AQ64" i="132"/>
  <c r="AQ75" i="132" s="1"/>
  <c r="T45" i="121"/>
  <c r="AO101" i="166"/>
  <c r="AO59" i="166" s="1"/>
  <c r="AO67" i="132"/>
  <c r="AO76" i="132" s="1"/>
  <c r="Z74" i="166"/>
  <c r="Z43" i="166" s="1"/>
  <c r="Z73" i="166"/>
  <c r="Z38" i="166" s="1"/>
  <c r="AL74" i="166"/>
  <c r="AL43" i="166" s="1"/>
  <c r="AL73" i="166"/>
  <c r="AL38" i="166" s="1"/>
  <c r="AQ73" i="166"/>
  <c r="AQ38" i="166" s="1"/>
  <c r="AQ74" i="166"/>
  <c r="AQ43" i="166" s="1"/>
  <c r="N18" i="119"/>
  <c r="AP119" i="166"/>
  <c r="AP65" i="166" s="1"/>
  <c r="AP94" i="132"/>
  <c r="AP103" i="132" s="1"/>
  <c r="AM125" i="166"/>
  <c r="AM46" i="166" s="1"/>
  <c r="AM124" i="166"/>
  <c r="AM41" i="166" s="1"/>
  <c r="AM109" i="132"/>
  <c r="AM125" i="132" s="1"/>
  <c r="AM108" i="132"/>
  <c r="AM124" i="132" s="1"/>
  <c r="O45" i="123"/>
  <c r="Q94" i="176" s="1"/>
  <c r="Q137" i="176" s="1"/>
  <c r="AJ132" i="166"/>
  <c r="AJ56" i="166" s="1"/>
  <c r="AJ116" i="132"/>
  <c r="AJ127" i="132" s="1"/>
  <c r="Y73" i="166"/>
  <c r="Y38" i="166" s="1"/>
  <c r="Y74" i="166"/>
  <c r="Y43" i="166" s="1"/>
  <c r="N108" i="166"/>
  <c r="N45" i="166" s="1"/>
  <c r="N83" i="132"/>
  <c r="N99" i="132" s="1"/>
  <c r="K45" i="122"/>
  <c r="AF118" i="166"/>
  <c r="AF60" i="166" s="1"/>
  <c r="AF93" i="132"/>
  <c r="AF102" i="132" s="1"/>
  <c r="M45" i="121"/>
  <c r="AH101" i="166"/>
  <c r="AH59" i="166" s="1"/>
  <c r="AH67" i="132"/>
  <c r="AH76" i="132" s="1"/>
  <c r="D79" i="166"/>
  <c r="AT79" i="166"/>
  <c r="AO64" i="132"/>
  <c r="AO75" i="132" s="1"/>
  <c r="R45" i="123"/>
  <c r="T94" i="176" s="1"/>
  <c r="T137" i="176" s="1"/>
  <c r="AM135" i="166"/>
  <c r="AM61" i="166" s="1"/>
  <c r="AM119" i="132"/>
  <c r="AM128" i="132" s="1"/>
  <c r="AF135" i="166"/>
  <c r="AF61" i="166" s="1"/>
  <c r="AF119" i="132"/>
  <c r="AF128" i="132" s="1"/>
  <c r="AN132" i="166"/>
  <c r="AN56" i="166" s="1"/>
  <c r="AN116" i="132"/>
  <c r="AN127" i="132" s="1"/>
  <c r="AI132" i="166"/>
  <c r="AI56" i="166" s="1"/>
  <c r="AI116" i="132"/>
  <c r="AI127" i="132" s="1"/>
  <c r="AQ118" i="166"/>
  <c r="AQ60" i="166" s="1"/>
  <c r="AQ93" i="132"/>
  <c r="AQ102" i="132" s="1"/>
  <c r="AH115" i="166"/>
  <c r="AH55" i="166" s="1"/>
  <c r="AH90" i="132"/>
  <c r="AH101" i="132" s="1"/>
  <c r="AA20" i="122"/>
  <c r="AR111" i="166"/>
  <c r="AR86" i="132"/>
  <c r="A72" i="109"/>
  <c r="A73" i="109"/>
  <c r="Z132" i="166"/>
  <c r="Z56" i="166" s="1"/>
  <c r="Z116" i="132"/>
  <c r="Z127" i="132" s="1"/>
  <c r="AP135" i="166"/>
  <c r="AP61" i="166" s="1"/>
  <c r="AP119" i="132"/>
  <c r="AP128" i="132" s="1"/>
  <c r="U45" i="123"/>
  <c r="W94" i="176" s="1"/>
  <c r="W137" i="176" s="1"/>
  <c r="AG115" i="166"/>
  <c r="AG55" i="166" s="1"/>
  <c r="AG90" i="132"/>
  <c r="AG101" i="132" s="1"/>
  <c r="L45" i="122"/>
  <c r="AJ118" i="166"/>
  <c r="AJ60" i="166" s="1"/>
  <c r="AJ93" i="132"/>
  <c r="AJ102" i="132" s="1"/>
  <c r="AL98" i="166"/>
  <c r="AL54" i="166" s="1"/>
  <c r="AL64" i="132"/>
  <c r="AL75" i="132" s="1"/>
  <c r="Q45" i="121"/>
  <c r="I45" i="121"/>
  <c r="Z101" i="166"/>
  <c r="Z59" i="166" s="1"/>
  <c r="Z67" i="132"/>
  <c r="Z76" i="132" s="1"/>
  <c r="AP38" i="136"/>
  <c r="AP81" i="166"/>
  <c r="AP53" i="166" s="1"/>
  <c r="AP38" i="132"/>
  <c r="AP49" i="132" s="1"/>
  <c r="D129" i="166"/>
  <c r="AT129" i="166"/>
  <c r="D113" i="132"/>
  <c r="AT113" i="132"/>
  <c r="AO118" i="132"/>
  <c r="AK135" i="166"/>
  <c r="AK61" i="166" s="1"/>
  <c r="AK119" i="132"/>
  <c r="AK128" i="132" s="1"/>
  <c r="H45" i="123"/>
  <c r="J94" i="176" s="1"/>
  <c r="J137" i="176" s="1"/>
  <c r="Y135" i="166"/>
  <c r="Y61" i="166" s="1"/>
  <c r="Y119" i="132"/>
  <c r="Y128" i="132" s="1"/>
  <c r="AT93" i="166"/>
  <c r="D93" i="166"/>
  <c r="AT59" i="132"/>
  <c r="D59" i="132"/>
  <c r="AT97" i="166"/>
  <c r="D97" i="166"/>
  <c r="AT63" i="132"/>
  <c r="D63" i="132"/>
  <c r="AT95" i="166"/>
  <c r="D95" i="166"/>
  <c r="AT61" i="132"/>
  <c r="D61" i="132"/>
  <c r="AT110" i="166"/>
  <c r="D85" i="132"/>
  <c r="D131" i="166"/>
  <c r="AT131" i="166"/>
  <c r="D115" i="132"/>
  <c r="AT115" i="132"/>
  <c r="D127" i="166"/>
  <c r="AT127" i="166"/>
  <c r="D111" i="132"/>
  <c r="AT111" i="132"/>
  <c r="H131" i="106"/>
  <c r="J9" i="123" s="1"/>
  <c r="L81" i="176" s="1"/>
  <c r="L109" i="176" s="1"/>
  <c r="J10" i="123"/>
  <c r="H311" i="104"/>
  <c r="T9" i="122" s="1"/>
  <c r="T10" i="122"/>
  <c r="H239" i="102"/>
  <c r="P9" i="121" s="1"/>
  <c r="P10" i="121"/>
  <c r="H95" i="102"/>
  <c r="H9" i="121" s="1"/>
  <c r="H10" i="121"/>
  <c r="AK132" i="166"/>
  <c r="AK56" i="166" s="1"/>
  <c r="AK116" i="132"/>
  <c r="AK127" i="132" s="1"/>
  <c r="AD135" i="166"/>
  <c r="AD61" i="166" s="1"/>
  <c r="AD119" i="132"/>
  <c r="AD128" i="132" s="1"/>
  <c r="J45" i="123"/>
  <c r="L94" i="176" s="1"/>
  <c r="L137" i="176" s="1"/>
  <c r="AQ115" i="166"/>
  <c r="AQ55" i="166" s="1"/>
  <c r="AQ90" i="132"/>
  <c r="AQ101" i="132" s="1"/>
  <c r="V45" i="122"/>
  <c r="AI98" i="166"/>
  <c r="AI54" i="166" s="1"/>
  <c r="AI64" i="132"/>
  <c r="AI75" i="132" s="1"/>
  <c r="N45" i="121"/>
  <c r="Z98" i="166"/>
  <c r="Z54" i="166" s="1"/>
  <c r="Z64" i="132"/>
  <c r="Z75" i="132" s="1"/>
  <c r="AD102" i="166"/>
  <c r="AD64" i="166" s="1"/>
  <c r="AD68" i="132"/>
  <c r="AD77" i="132" s="1"/>
  <c r="L45" i="121"/>
  <c r="AG98" i="166"/>
  <c r="AG54" i="166" s="1"/>
  <c r="AG64" i="132"/>
  <c r="AG75" i="132" s="1"/>
  <c r="AP98" i="166"/>
  <c r="AP54" i="166" s="1"/>
  <c r="U45" i="121"/>
  <c r="AP64" i="132"/>
  <c r="AP75" i="132" s="1"/>
  <c r="Y101" i="166"/>
  <c r="Y59" i="166" s="1"/>
  <c r="Y67" i="132"/>
  <c r="Y76" i="132" s="1"/>
  <c r="AL101" i="166"/>
  <c r="AL59" i="166" s="1"/>
  <c r="AL67" i="132"/>
  <c r="AL76" i="132" s="1"/>
  <c r="AK84" i="166"/>
  <c r="AK58" i="166" s="1"/>
  <c r="AK41" i="136"/>
  <c r="AK41" i="132"/>
  <c r="AK50" i="132" s="1"/>
  <c r="AT128" i="166"/>
  <c r="D128" i="166"/>
  <c r="AT112" i="132"/>
  <c r="D112" i="132"/>
  <c r="AO119" i="132"/>
  <c r="AO128" i="132" s="1"/>
  <c r="AG118" i="166"/>
  <c r="AG60" i="166" s="1"/>
  <c r="AG93" i="132"/>
  <c r="AG102" i="132" s="1"/>
  <c r="AK106" i="166"/>
  <c r="AK35" i="166" s="1"/>
  <c r="AK81" i="132"/>
  <c r="AK97" i="132" s="1"/>
  <c r="AF106" i="166"/>
  <c r="AF35" i="166" s="1"/>
  <c r="AF81" i="132"/>
  <c r="AF97" i="132" s="1"/>
  <c r="AI101" i="166"/>
  <c r="AI59" i="166" s="1"/>
  <c r="AI67" i="132"/>
  <c r="AI76" i="132" s="1"/>
  <c r="T48" i="133"/>
  <c r="T30" i="133" s="1"/>
  <c r="H64" i="99" s="1"/>
  <c r="U30" i="133"/>
  <c r="H64" i="102" s="1"/>
  <c r="F14" i="121" s="1"/>
  <c r="AR77" i="166"/>
  <c r="AR34" i="136"/>
  <c r="AR34" i="132"/>
  <c r="AA20" i="98"/>
  <c r="AH135" i="166"/>
  <c r="AH61" i="166" s="1"/>
  <c r="AH119" i="132"/>
  <c r="AH128" i="132" s="1"/>
  <c r="AO123" i="166"/>
  <c r="AO36" i="166" s="1"/>
  <c r="AO107" i="132"/>
  <c r="AO123" i="132" s="1"/>
  <c r="AL123" i="166"/>
  <c r="AL36" i="166" s="1"/>
  <c r="AL107" i="132"/>
  <c r="AL123" i="132" s="1"/>
  <c r="AG123" i="166"/>
  <c r="AG36" i="166" s="1"/>
  <c r="AG107" i="132"/>
  <c r="AG123" i="132" s="1"/>
  <c r="Y118" i="166"/>
  <c r="Y60" i="166" s="1"/>
  <c r="Y93" i="132"/>
  <c r="Y102" i="132" s="1"/>
  <c r="AH106" i="166"/>
  <c r="AH35" i="166" s="1"/>
  <c r="AH81" i="132"/>
  <c r="AH97" i="132" s="1"/>
  <c r="Y106" i="166"/>
  <c r="Y35" i="166" s="1"/>
  <c r="Y81" i="132"/>
  <c r="Y97" i="132" s="1"/>
  <c r="AD101" i="166"/>
  <c r="AD59" i="166" s="1"/>
  <c r="AD67" i="132"/>
  <c r="AD76" i="132" s="1"/>
  <c r="D5" i="153"/>
  <c r="D24" i="116"/>
  <c r="C25" i="162" s="1"/>
  <c r="AP72" i="166"/>
  <c r="AP33" i="166" s="1"/>
  <c r="AP29" i="136"/>
  <c r="AP29" i="132"/>
  <c r="AP45" i="132" s="1"/>
  <c r="H45" i="121"/>
  <c r="Y98" i="166"/>
  <c r="Y54" i="166" s="1"/>
  <c r="Y64" i="132"/>
  <c r="Y75" i="132" s="1"/>
  <c r="AK123" i="166"/>
  <c r="AK36" i="166" s="1"/>
  <c r="AK107" i="132"/>
  <c r="AK123" i="132" s="1"/>
  <c r="AF123" i="166"/>
  <c r="AF36" i="166" s="1"/>
  <c r="AF107" i="132"/>
  <c r="AF123" i="132" s="1"/>
  <c r="Z117" i="166"/>
  <c r="Z92" i="132"/>
  <c r="S44" i="121"/>
  <c r="AN100" i="166"/>
  <c r="AN66" i="132"/>
  <c r="O44" i="121"/>
  <c r="O45" i="121" s="1"/>
  <c r="AJ100" i="166"/>
  <c r="AJ66" i="132"/>
  <c r="G44" i="121"/>
  <c r="X100" i="166"/>
  <c r="X66" i="132"/>
  <c r="Z89" i="166"/>
  <c r="Z34" i="166" s="1"/>
  <c r="Z55" i="132"/>
  <c r="Z71" i="132" s="1"/>
  <c r="AH89" i="166"/>
  <c r="AH34" i="166" s="1"/>
  <c r="AH55" i="132"/>
  <c r="AH71" i="132" s="1"/>
  <c r="AL89" i="166"/>
  <c r="AL34" i="166" s="1"/>
  <c r="AL55" i="132"/>
  <c r="AL71" i="132" s="1"/>
  <c r="AK136" i="166"/>
  <c r="AK66" i="166" s="1"/>
  <c r="AJ98" i="166"/>
  <c r="AJ54" i="166" s="1"/>
  <c r="AJ64" i="132"/>
  <c r="AJ75" i="132" s="1"/>
  <c r="N118" i="166"/>
  <c r="N60" i="166" s="1"/>
  <c r="N93" i="132"/>
  <c r="N102" i="132" s="1"/>
  <c r="AS135" i="166"/>
  <c r="AS61" i="166" s="1"/>
  <c r="AS119" i="132"/>
  <c r="AS128" i="132" s="1"/>
  <c r="AJ135" i="166"/>
  <c r="AJ61" i="166" s="1"/>
  <c r="AJ119" i="132"/>
  <c r="AJ128" i="132" s="1"/>
  <c r="AL132" i="166"/>
  <c r="AL56" i="166" s="1"/>
  <c r="AL116" i="132"/>
  <c r="AL127" i="132" s="1"/>
  <c r="Q45" i="123"/>
  <c r="S94" i="176" s="1"/>
  <c r="S137" i="176" s="1"/>
  <c r="AG132" i="166"/>
  <c r="AG56" i="166" s="1"/>
  <c r="AG116" i="132"/>
  <c r="AG127" i="132" s="1"/>
  <c r="L45" i="123"/>
  <c r="N94" i="176" s="1"/>
  <c r="N137" i="176" s="1"/>
  <c r="AN118" i="166"/>
  <c r="AN60" i="166" s="1"/>
  <c r="AN93" i="132"/>
  <c r="AN102" i="132" s="1"/>
  <c r="AF115" i="166"/>
  <c r="AF55" i="166" s="1"/>
  <c r="AF90" i="132"/>
  <c r="AF101" i="132" s="1"/>
  <c r="P45" i="121"/>
  <c r="AK101" i="166"/>
  <c r="AK59" i="166" s="1"/>
  <c r="AK67" i="132"/>
  <c r="AK76" i="132" s="1"/>
  <c r="AG101" i="166"/>
  <c r="AG59" i="166" s="1"/>
  <c r="AG67" i="132"/>
  <c r="AG76" i="132" s="1"/>
  <c r="AH132" i="166"/>
  <c r="AH56" i="166" s="1"/>
  <c r="AH116" i="132"/>
  <c r="AH127" i="132" s="1"/>
  <c r="M45" i="123"/>
  <c r="O94" i="176" s="1"/>
  <c r="O137" i="176" s="1"/>
  <c r="AO118" i="166"/>
  <c r="AO60" i="166" s="1"/>
  <c r="AO93" i="132"/>
  <c r="AO102" i="132" s="1"/>
  <c r="AN98" i="166"/>
  <c r="AN54" i="166" s="1"/>
  <c r="AN64" i="132"/>
  <c r="AN75" i="132" s="1"/>
  <c r="AR94" i="166"/>
  <c r="AR60" i="132"/>
  <c r="AA20" i="121"/>
  <c r="AM98" i="166"/>
  <c r="AM54" i="166" s="1"/>
  <c r="AM64" i="132"/>
  <c r="AM75" i="132" s="1"/>
  <c r="R45" i="121"/>
  <c r="AO98" i="166"/>
  <c r="AO54" i="166" s="1"/>
  <c r="AN81" i="166"/>
  <c r="AN53" i="166" s="1"/>
  <c r="AN38" i="136"/>
  <c r="AN38" i="132"/>
  <c r="AN49" i="132" s="1"/>
  <c r="AF74" i="166"/>
  <c r="AF43" i="166" s="1"/>
  <c r="AF73" i="166"/>
  <c r="AF38" i="166" s="1"/>
  <c r="AF30" i="132"/>
  <c r="AF46" i="132" s="1"/>
  <c r="AF30" i="136"/>
  <c r="AF31" i="136"/>
  <c r="AF31" i="132"/>
  <c r="AF47" i="132" s="1"/>
  <c r="AM119" i="166"/>
  <c r="AM65" i="166" s="1"/>
  <c r="AM94" i="132"/>
  <c r="AM103" i="132" s="1"/>
  <c r="AO134" i="166"/>
  <c r="AG135" i="166"/>
  <c r="AG61" i="166" s="1"/>
  <c r="AG119" i="132"/>
  <c r="AG128" i="132" s="1"/>
  <c r="AM118" i="166"/>
  <c r="AM60" i="166" s="1"/>
  <c r="AM93" i="132"/>
  <c r="AM102" i="132" s="1"/>
  <c r="AT78" i="166"/>
  <c r="D78" i="166"/>
  <c r="AT35" i="132"/>
  <c r="D35" i="136"/>
  <c r="AT35" i="136"/>
  <c r="D35" i="132"/>
  <c r="O45" i="122"/>
  <c r="S45" i="122"/>
  <c r="D96" i="166"/>
  <c r="AT96" i="166"/>
  <c r="D62" i="132"/>
  <c r="AT62" i="132"/>
  <c r="Y119" i="166"/>
  <c r="Y65" i="166" s="1"/>
  <c r="Y94" i="132"/>
  <c r="Y103" i="132" s="1"/>
  <c r="AT130" i="166"/>
  <c r="D130" i="166"/>
  <c r="AT114" i="132"/>
  <c r="D114" i="132"/>
  <c r="AT37" i="132"/>
  <c r="AT80" i="166"/>
  <c r="D80" i="166"/>
  <c r="D37" i="132"/>
  <c r="AT37" i="136"/>
  <c r="H329" i="104"/>
  <c r="U9" i="122" s="1"/>
  <c r="U10" i="122"/>
  <c r="H311" i="102"/>
  <c r="T9" i="121" s="1"/>
  <c r="T10" i="121"/>
  <c r="H203" i="102"/>
  <c r="N9" i="121" s="1"/>
  <c r="N10" i="121"/>
  <c r="U52" i="133"/>
  <c r="V34" i="133"/>
  <c r="H373" i="104" s="1"/>
  <c r="K45" i="123"/>
  <c r="M94" i="176" s="1"/>
  <c r="M137" i="176" s="1"/>
  <c r="AF132" i="166"/>
  <c r="AF56" i="166" s="1"/>
  <c r="AF116" i="132"/>
  <c r="AF127" i="132" s="1"/>
  <c r="N135" i="166"/>
  <c r="N61" i="166" s="1"/>
  <c r="N119" i="132"/>
  <c r="N128" i="132" s="1"/>
  <c r="AA21" i="122"/>
  <c r="AR112" i="166"/>
  <c r="AR87" i="132"/>
  <c r="AI115" i="166"/>
  <c r="AI55" i="166" s="1"/>
  <c r="AI90" i="132"/>
  <c r="AI101" i="132" s="1"/>
  <c r="N45" i="122"/>
  <c r="X118" i="166"/>
  <c r="X60" i="166" s="1"/>
  <c r="X93" i="132"/>
  <c r="X102" i="132" s="1"/>
  <c r="Z81" i="166"/>
  <c r="Z53" i="166" s="1"/>
  <c r="Z38" i="132"/>
  <c r="Z49" i="132" s="1"/>
  <c r="Z38" i="136"/>
  <c r="AM29" i="136"/>
  <c r="AM72" i="166"/>
  <c r="AM33" i="166" s="1"/>
  <c r="AM29" i="132"/>
  <c r="AM45" i="132" s="1"/>
  <c r="AO74" i="166"/>
  <c r="AO43" i="166" s="1"/>
  <c r="AO83" i="166"/>
  <c r="AO81" i="166"/>
  <c r="AO53" i="166" s="1"/>
  <c r="AO135" i="166"/>
  <c r="AO61" i="166" s="1"/>
  <c r="AL135" i="166"/>
  <c r="AL61" i="166" s="1"/>
  <c r="AL119" i="132"/>
  <c r="AL128" i="132" s="1"/>
  <c r="AQ123" i="166"/>
  <c r="AQ36" i="166" s="1"/>
  <c r="AQ107" i="132"/>
  <c r="AQ123" i="132" s="1"/>
  <c r="AN123" i="166"/>
  <c r="AN36" i="166" s="1"/>
  <c r="AN107" i="132"/>
  <c r="AN123" i="132" s="1"/>
  <c r="AJ123" i="166"/>
  <c r="AJ36" i="166" s="1"/>
  <c r="AJ107" i="132"/>
  <c r="AJ123" i="132" s="1"/>
  <c r="Z123" i="166"/>
  <c r="Z36" i="166" s="1"/>
  <c r="Z107" i="132"/>
  <c r="Z123" i="132" s="1"/>
  <c r="AQ101" i="166"/>
  <c r="AQ59" i="166" s="1"/>
  <c r="AQ67" i="132"/>
  <c r="AQ76" i="132" s="1"/>
  <c r="H8" i="104"/>
  <c r="H9" i="104"/>
  <c r="C13" i="122" s="1"/>
  <c r="E13" i="177" s="1"/>
  <c r="H11" i="104"/>
  <c r="C15" i="122" s="1"/>
  <c r="C14" i="123"/>
  <c r="AJ42" i="136"/>
  <c r="AJ85" i="166"/>
  <c r="AJ63" i="166" s="1"/>
  <c r="AJ42" i="132"/>
  <c r="AJ51" i="132" s="1"/>
  <c r="AK72" i="166"/>
  <c r="AK33" i="166" s="1"/>
  <c r="AK29" i="136"/>
  <c r="AK29" i="132"/>
  <c r="AK45" i="132" s="1"/>
  <c r="U45" i="98"/>
  <c r="AP84" i="166"/>
  <c r="AP58" i="166" s="1"/>
  <c r="AP41" i="132"/>
  <c r="AP50" i="132" s="1"/>
  <c r="AP41" i="136"/>
  <c r="X108" i="166"/>
  <c r="X45" i="166" s="1"/>
  <c r="X107" i="166"/>
  <c r="X40" i="166" s="1"/>
  <c r="X83" i="132"/>
  <c r="X99" i="132" s="1"/>
  <c r="X82" i="132"/>
  <c r="X98" i="132" s="1"/>
  <c r="AK118" i="166"/>
  <c r="AK60" i="166" s="1"/>
  <c r="AK93" i="132"/>
  <c r="AK102" i="132" s="1"/>
  <c r="P45" i="122"/>
  <c r="AM101" i="166"/>
  <c r="AM59" i="166" s="1"/>
  <c r="AM67" i="132"/>
  <c r="AM76" i="132" s="1"/>
  <c r="T51" i="133"/>
  <c r="T33" i="133" s="1"/>
  <c r="U33" i="133"/>
  <c r="P45" i="98"/>
  <c r="AF29" i="132"/>
  <c r="AF45" i="132" s="1"/>
  <c r="AF72" i="166"/>
  <c r="AF33" i="166" s="1"/>
  <c r="AF29" i="136"/>
  <c r="Y84" i="166"/>
  <c r="Y58" i="166" s="1"/>
  <c r="Y41" i="136"/>
  <c r="H45" i="98"/>
  <c r="Y41" i="132"/>
  <c r="Y50" i="132" s="1"/>
  <c r="AH41" i="136"/>
  <c r="AH84" i="166"/>
  <c r="AH58" i="166" s="1"/>
  <c r="AH41" i="132"/>
  <c r="AH50" i="132" s="1"/>
  <c r="M45" i="98"/>
  <c r="N74" i="166"/>
  <c r="N43" i="166" s="1"/>
  <c r="N31" i="132"/>
  <c r="N47" i="132" s="1"/>
  <c r="N31" i="136"/>
  <c r="Q43" i="147"/>
  <c r="Q53" i="147"/>
  <c r="E10" i="150"/>
  <c r="F39" i="161"/>
  <c r="H46" i="161"/>
  <c r="U50" i="133"/>
  <c r="V32" i="133"/>
  <c r="H27" i="104" s="1"/>
  <c r="F35" i="154"/>
  <c r="E16" i="153" s="1"/>
  <c r="E127" i="112"/>
  <c r="AD38" i="132"/>
  <c r="AD49" i="132" s="1"/>
  <c r="AD38" i="136"/>
  <c r="J45" i="98"/>
  <c r="L37" i="176" s="1"/>
  <c r="L134" i="176" s="1"/>
  <c r="H113" i="99"/>
  <c r="I9" i="98" s="1"/>
  <c r="K24" i="176" s="1"/>
  <c r="K106" i="176" s="1"/>
  <c r="I10" i="98"/>
  <c r="Q10" i="98"/>
  <c r="H257" i="99"/>
  <c r="Q9" i="98" s="1"/>
  <c r="S24" i="176" s="1"/>
  <c r="S106" i="176" s="1"/>
  <c r="H347" i="99"/>
  <c r="V9" i="98" s="1"/>
  <c r="X24" i="176" s="1"/>
  <c r="X106" i="176" s="1"/>
  <c r="V10" i="98"/>
  <c r="X40" i="136"/>
  <c r="X40" i="132"/>
  <c r="Z40" i="132"/>
  <c r="I44" i="98"/>
  <c r="K36" i="176" s="1"/>
  <c r="Z40" i="136"/>
  <c r="AF40" i="136"/>
  <c r="AF40" i="132"/>
  <c r="K44" i="98"/>
  <c r="M36" i="176" s="1"/>
  <c r="AN40" i="132"/>
  <c r="AN40" i="136"/>
  <c r="G18" i="119"/>
  <c r="S44" i="98"/>
  <c r="U36" i="176" s="1"/>
  <c r="AL41" i="132"/>
  <c r="AL50" i="132" s="1"/>
  <c r="AL41" i="136"/>
  <c r="Q45" i="98"/>
  <c r="S37" i="176" s="1"/>
  <c r="S134" i="176" s="1"/>
  <c r="AG29" i="132"/>
  <c r="AG45" i="132" s="1"/>
  <c r="AG29" i="136"/>
  <c r="N10" i="98"/>
  <c r="H203" i="99"/>
  <c r="N9" i="98" s="1"/>
  <c r="P24" i="176" s="1"/>
  <c r="P106" i="176" s="1"/>
  <c r="V54" i="133"/>
  <c r="V36" i="133" s="1"/>
  <c r="H49" i="106"/>
  <c r="H47" i="106"/>
  <c r="H50" i="106"/>
  <c r="E18" i="123" s="1"/>
  <c r="H275" i="106"/>
  <c r="R9" i="123" s="1"/>
  <c r="T81" i="176" s="1"/>
  <c r="T109" i="176" s="1"/>
  <c r="R10" i="123"/>
  <c r="Q67" i="114"/>
  <c r="V67" i="114"/>
  <c r="T67" i="114"/>
  <c r="R67" i="114"/>
  <c r="S67" i="114"/>
  <c r="U67" i="114"/>
  <c r="C16" i="159"/>
  <c r="E294" i="112"/>
  <c r="E293" i="112"/>
  <c r="I44" i="122"/>
  <c r="H95" i="99"/>
  <c r="H9" i="98" s="1"/>
  <c r="J24" i="176" s="1"/>
  <c r="J106" i="176" s="1"/>
  <c r="H10" i="98"/>
  <c r="AN29" i="132"/>
  <c r="AN45" i="132" s="1"/>
  <c r="AN29" i="136"/>
  <c r="AI40" i="132"/>
  <c r="AI40" i="136"/>
  <c r="N44" i="98"/>
  <c r="P36" i="176" s="1"/>
  <c r="AQ40" i="132"/>
  <c r="AO40" i="136"/>
  <c r="V44" i="98"/>
  <c r="V36" i="176" s="1"/>
  <c r="AQ40" i="136"/>
  <c r="AO40" i="132"/>
  <c r="D10" i="161"/>
  <c r="H10" i="161" s="1"/>
  <c r="K10" i="161" s="1"/>
  <c r="H10" i="159"/>
  <c r="D10" i="155"/>
  <c r="H10" i="155" s="1"/>
  <c r="K10" i="155" s="1"/>
  <c r="H10" i="153"/>
  <c r="E10" i="165"/>
  <c r="H10" i="165" s="1"/>
  <c r="E34" i="165"/>
  <c r="H11" i="60"/>
  <c r="E39" i="116"/>
  <c r="H11" i="116"/>
  <c r="H11" i="158"/>
  <c r="H11" i="156"/>
  <c r="E39" i="158"/>
  <c r="T16" i="130"/>
  <c r="AG41" i="132"/>
  <c r="AG50" i="132" s="1"/>
  <c r="AG41" i="136"/>
  <c r="H11" i="155"/>
  <c r="H11" i="153"/>
  <c r="E39" i="155"/>
  <c r="G11" i="121"/>
  <c r="AT36" i="136"/>
  <c r="D36" i="136"/>
  <c r="AT36" i="132"/>
  <c r="D36" i="132"/>
  <c r="C38" i="158"/>
  <c r="H25" i="106"/>
  <c r="D13" i="123"/>
  <c r="C34" i="165"/>
  <c r="C33" i="165"/>
  <c r="D46" i="155"/>
  <c r="F6" i="160"/>
  <c r="F5" i="60"/>
  <c r="F6" i="154"/>
  <c r="F6" i="157"/>
  <c r="F38" i="165"/>
  <c r="Z30" i="136"/>
  <c r="Z31" i="136"/>
  <c r="Z30" i="132"/>
  <c r="Z46" i="132" s="1"/>
  <c r="Z31" i="132"/>
  <c r="Z47" i="132" s="1"/>
  <c r="AL31" i="136"/>
  <c r="AL31" i="132"/>
  <c r="AL47" i="132" s="1"/>
  <c r="AL30" i="132"/>
  <c r="AL46" i="132" s="1"/>
  <c r="AL30" i="136"/>
  <c r="AQ30" i="132"/>
  <c r="AQ46" i="132" s="1"/>
  <c r="AQ30" i="136"/>
  <c r="AQ31" i="132"/>
  <c r="AQ47" i="132" s="1"/>
  <c r="AO31" i="132"/>
  <c r="AO47" i="132" s="1"/>
  <c r="AQ31" i="136"/>
  <c r="AO31" i="136"/>
  <c r="E44" i="112"/>
  <c r="F36" i="91" s="1"/>
  <c r="F16" i="60" s="1"/>
  <c r="E43" i="112"/>
  <c r="C16" i="60"/>
  <c r="N64" i="114"/>
  <c r="I64" i="114" s="1"/>
  <c r="N66" i="114"/>
  <c r="I66" i="114" s="1"/>
  <c r="N70" i="114"/>
  <c r="I70" i="114" s="1"/>
  <c r="N59" i="114"/>
  <c r="I59" i="114" s="1"/>
  <c r="N73" i="114"/>
  <c r="I73" i="114" s="1"/>
  <c r="N68" i="114"/>
  <c r="I68" i="114" s="1"/>
  <c r="N74" i="114"/>
  <c r="I74" i="114" s="1"/>
  <c r="N65" i="114"/>
  <c r="I65" i="114" s="1"/>
  <c r="N72" i="114"/>
  <c r="I72" i="114" s="1"/>
  <c r="N60" i="114"/>
  <c r="I60" i="114" s="1"/>
  <c r="G44" i="98"/>
  <c r="I36" i="176" s="1"/>
  <c r="AD29" i="132"/>
  <c r="AD45" i="132" s="1"/>
  <c r="AD29" i="136"/>
  <c r="H84" i="106"/>
  <c r="H81" i="106"/>
  <c r="H79" i="106" s="1"/>
  <c r="V71" i="114"/>
  <c r="T71" i="114"/>
  <c r="S71" i="114"/>
  <c r="U71" i="114"/>
  <c r="K18" i="119"/>
  <c r="C16" i="156"/>
  <c r="E211" i="112"/>
  <c r="E210" i="112"/>
  <c r="Y31" i="136"/>
  <c r="Y30" i="132"/>
  <c r="Y46" i="132" s="1"/>
  <c r="Y31" i="132"/>
  <c r="Y47" i="132" s="1"/>
  <c r="Y30" i="136"/>
  <c r="N41" i="132"/>
  <c r="N50" i="132" s="1"/>
  <c r="N41" i="136"/>
  <c r="B18" i="109"/>
  <c r="B15" i="109"/>
  <c r="C12" i="109"/>
  <c r="C13" i="109" s="1"/>
  <c r="C14" i="109" s="1"/>
  <c r="B17" i="109"/>
  <c r="B16" i="109"/>
  <c r="D9" i="165"/>
  <c r="H9" i="165" s="1"/>
  <c r="J9" i="165" s="1"/>
  <c r="H10" i="60"/>
  <c r="M23" i="147" s="1"/>
  <c r="D10" i="116"/>
  <c r="H10" i="116" s="1"/>
  <c r="K10" i="116" s="1"/>
  <c r="C8" i="151" s="1"/>
  <c r="D10" i="158"/>
  <c r="H10" i="158" s="1"/>
  <c r="K10" i="158" s="1"/>
  <c r="H10" i="156"/>
  <c r="D17" i="165"/>
  <c r="D42" i="165" s="1"/>
  <c r="D19" i="116"/>
  <c r="D47" i="116" s="1"/>
  <c r="H12" i="104"/>
  <c r="C16" i="122" s="1"/>
  <c r="C18" i="122"/>
  <c r="D19" i="158"/>
  <c r="D47" i="158" s="1"/>
  <c r="M53" i="146"/>
  <c r="M50" i="146"/>
  <c r="M52" i="146"/>
  <c r="G50" i="146"/>
  <c r="D19" i="155"/>
  <c r="D47" i="155" s="1"/>
  <c r="E128" i="112"/>
  <c r="F36" i="154" s="1"/>
  <c r="F16" i="153" s="1"/>
  <c r="G10" i="98"/>
  <c r="L45" i="98"/>
  <c r="N37" i="176" s="1"/>
  <c r="N134" i="176" s="1"/>
  <c r="D38" i="158" l="1"/>
  <c r="D33" i="165"/>
  <c r="G22" i="119"/>
  <c r="G19" i="119"/>
  <c r="G23" i="119" s="1"/>
  <c r="X32" i="136"/>
  <c r="X75" i="166"/>
  <c r="X48" i="166" s="1"/>
  <c r="X84" i="132"/>
  <c r="X100" i="132" s="1"/>
  <c r="X109" i="166"/>
  <c r="X50" i="166" s="1"/>
  <c r="G16" i="123"/>
  <c r="I84" i="176" s="1"/>
  <c r="I123" i="176" s="1"/>
  <c r="H86" i="106"/>
  <c r="G18" i="123" s="1"/>
  <c r="W18" i="123" s="1"/>
  <c r="K18" i="177" s="1"/>
  <c r="K19" i="119"/>
  <c r="K21" i="119" s="1"/>
  <c r="D108" i="112" s="1"/>
  <c r="K22" i="119"/>
  <c r="H10" i="104"/>
  <c r="C14" i="122" s="1"/>
  <c r="X58" i="132"/>
  <c r="X74" i="132" s="1"/>
  <c r="X92" i="166"/>
  <c r="X49" i="166" s="1"/>
  <c r="V70" i="133"/>
  <c r="T47" i="133"/>
  <c r="U29" i="133"/>
  <c r="H63" i="102" s="1"/>
  <c r="AK120" i="132"/>
  <c r="AK129" i="132" s="1"/>
  <c r="AV132" i="167"/>
  <c r="AV56" i="167" s="1"/>
  <c r="AV107" i="167"/>
  <c r="AV40" i="167" s="1"/>
  <c r="AI119" i="167"/>
  <c r="AI65" i="167" s="1"/>
  <c r="P75" i="176"/>
  <c r="P136" i="176" s="1"/>
  <c r="AO89" i="167"/>
  <c r="AO34" i="167" s="1"/>
  <c r="V43" i="176"/>
  <c r="V107" i="176" s="1"/>
  <c r="AJ101" i="167"/>
  <c r="AJ59" i="167" s="1"/>
  <c r="Q55" i="176"/>
  <c r="Y102" i="167"/>
  <c r="J56" i="176"/>
  <c r="J135" i="176" s="1"/>
  <c r="Y89" i="167"/>
  <c r="J43" i="176"/>
  <c r="J107" i="176" s="1"/>
  <c r="V62" i="176"/>
  <c r="V108" i="176" s="1"/>
  <c r="Z102" i="167"/>
  <c r="Z64" i="167" s="1"/>
  <c r="K56" i="176"/>
  <c r="K135" i="176" s="1"/>
  <c r="AF119" i="167"/>
  <c r="AF65" i="167" s="1"/>
  <c r="M75" i="176"/>
  <c r="M136" i="176" s="1"/>
  <c r="AS101" i="167"/>
  <c r="AS59" i="167" s="1"/>
  <c r="N44" i="177"/>
  <c r="Z55" i="176"/>
  <c r="AH119" i="167"/>
  <c r="AH65" i="167" s="1"/>
  <c r="O75" i="176"/>
  <c r="O136" i="176" s="1"/>
  <c r="G45" i="176"/>
  <c r="G114" i="176" s="1"/>
  <c r="X30" i="136"/>
  <c r="I26" i="176"/>
  <c r="I113" i="176" s="1"/>
  <c r="I25" i="176"/>
  <c r="AQ84" i="167"/>
  <c r="AQ58" i="167" s="1"/>
  <c r="X36" i="176"/>
  <c r="AK85" i="167"/>
  <c r="AK63" i="167" s="1"/>
  <c r="R37" i="176"/>
  <c r="R134" i="176" s="1"/>
  <c r="X119" i="167"/>
  <c r="X65" i="167" s="1"/>
  <c r="I75" i="176"/>
  <c r="I136" i="176" s="1"/>
  <c r="AP85" i="167"/>
  <c r="AP63" i="167" s="1"/>
  <c r="W37" i="176"/>
  <c r="W134" i="176" s="1"/>
  <c r="T21" i="177"/>
  <c r="AA68" i="176"/>
  <c r="AA129" i="176" s="1"/>
  <c r="AM102" i="167"/>
  <c r="AM64" i="167" s="1"/>
  <c r="T56" i="176"/>
  <c r="T135" i="176" s="1"/>
  <c r="X101" i="167"/>
  <c r="X59" i="167" s="1"/>
  <c r="I55" i="176"/>
  <c r="AP102" i="167"/>
  <c r="AP64" i="167" s="1"/>
  <c r="W56" i="176"/>
  <c r="W135" i="176" s="1"/>
  <c r="AG102" i="167"/>
  <c r="AG64" i="167" s="1"/>
  <c r="N56" i="176"/>
  <c r="N135" i="176" s="1"/>
  <c r="AQ119" i="167"/>
  <c r="AQ65" i="167" s="1"/>
  <c r="X75" i="176"/>
  <c r="X136" i="176" s="1"/>
  <c r="AL102" i="167"/>
  <c r="AL64" i="167" s="1"/>
  <c r="S56" i="176"/>
  <c r="S135" i="176" s="1"/>
  <c r="AH102" i="167"/>
  <c r="AH64" i="167" s="1"/>
  <c r="O56" i="176"/>
  <c r="O135" i="176" s="1"/>
  <c r="AF101" i="167"/>
  <c r="AF59" i="167" s="1"/>
  <c r="M55" i="176"/>
  <c r="AO135" i="167"/>
  <c r="AO61" i="167" s="1"/>
  <c r="X93" i="176"/>
  <c r="Z101" i="167"/>
  <c r="K55" i="176"/>
  <c r="AD102" i="167"/>
  <c r="AD64" i="167" s="1"/>
  <c r="L56" i="176"/>
  <c r="L135" i="176" s="1"/>
  <c r="S23" i="177"/>
  <c r="AA51" i="176"/>
  <c r="V93" i="176"/>
  <c r="AM119" i="167"/>
  <c r="AM65" i="167" s="1"/>
  <c r="T75" i="176"/>
  <c r="T136" i="176" s="1"/>
  <c r="X115" i="167"/>
  <c r="X55" i="167" s="1"/>
  <c r="I71" i="176"/>
  <c r="X90" i="132"/>
  <c r="X101" i="132" s="1"/>
  <c r="X115" i="166"/>
  <c r="X55" i="166" s="1"/>
  <c r="F109" i="167"/>
  <c r="F50" i="167" s="1"/>
  <c r="E16" i="177"/>
  <c r="E65" i="176"/>
  <c r="E122" i="176" s="1"/>
  <c r="AJ102" i="167"/>
  <c r="AJ64" i="167" s="1"/>
  <c r="Q56" i="176"/>
  <c r="Q135" i="176" s="1"/>
  <c r="I45" i="176"/>
  <c r="I114" i="176" s="1"/>
  <c r="I44" i="176"/>
  <c r="AO29" i="136"/>
  <c r="AH85" i="167"/>
  <c r="AH63" i="167" s="1"/>
  <c r="O37" i="176"/>
  <c r="O134" i="176" s="1"/>
  <c r="AK119" i="167"/>
  <c r="AK65" i="167" s="1"/>
  <c r="R75" i="176"/>
  <c r="R136" i="176" s="1"/>
  <c r="AI89" i="167"/>
  <c r="AI34" i="167" s="1"/>
  <c r="P43" i="176"/>
  <c r="P107" i="176" s="1"/>
  <c r="AP106" i="167"/>
  <c r="AP35" i="167" s="1"/>
  <c r="W62" i="176"/>
  <c r="W108" i="176" s="1"/>
  <c r="AN119" i="167"/>
  <c r="AN65" i="167" s="1"/>
  <c r="U75" i="176"/>
  <c r="U136" i="176" s="1"/>
  <c r="R20" i="177"/>
  <c r="AA29" i="176"/>
  <c r="AI102" i="167"/>
  <c r="AI64" i="167" s="1"/>
  <c r="P56" i="176"/>
  <c r="P135" i="176" s="1"/>
  <c r="AK89" i="167"/>
  <c r="AK34" i="167" s="1"/>
  <c r="R43" i="176"/>
  <c r="R107" i="176" s="1"/>
  <c r="AG119" i="167"/>
  <c r="AG65" i="167" s="1"/>
  <c r="N75" i="176"/>
  <c r="N136" i="176" s="1"/>
  <c r="T20" i="177"/>
  <c r="AA67" i="176"/>
  <c r="AQ102" i="167"/>
  <c r="AQ64" i="167" s="1"/>
  <c r="X56" i="176"/>
  <c r="X135" i="176" s="1"/>
  <c r="X106" i="167"/>
  <c r="X35" i="167" s="1"/>
  <c r="I62" i="176"/>
  <c r="I108" i="176" s="1"/>
  <c r="AF72" i="167"/>
  <c r="AF33" i="167" s="1"/>
  <c r="M24" i="176"/>
  <c r="M106" i="176" s="1"/>
  <c r="AA8" i="121"/>
  <c r="S8" i="177" s="1"/>
  <c r="I8" i="177"/>
  <c r="AL89" i="167"/>
  <c r="AL34" i="167" s="1"/>
  <c r="S43" i="176"/>
  <c r="S107" i="176" s="1"/>
  <c r="X81" i="167"/>
  <c r="X53" i="167" s="1"/>
  <c r="I33" i="176"/>
  <c r="V24" i="176"/>
  <c r="V106" i="176" s="1"/>
  <c r="P81" i="176"/>
  <c r="P109" i="176" s="1"/>
  <c r="AI123" i="167"/>
  <c r="AI36" i="167" s="1"/>
  <c r="AI107" i="132"/>
  <c r="AI123" i="132" s="1"/>
  <c r="P23" i="168"/>
  <c r="AI123" i="166"/>
  <c r="AI36" i="166" s="1"/>
  <c r="G64" i="176"/>
  <c r="G115" i="176" s="1"/>
  <c r="W18" i="122"/>
  <c r="J18" i="177" s="1"/>
  <c r="E18" i="177"/>
  <c r="H78" i="106"/>
  <c r="H77" i="106" s="1"/>
  <c r="Z118" i="167"/>
  <c r="Z60" i="167" s="1"/>
  <c r="K74" i="176"/>
  <c r="Y85" i="167"/>
  <c r="J37" i="176"/>
  <c r="J134" i="176" s="1"/>
  <c r="AJ119" i="167"/>
  <c r="AJ65" i="167" s="1"/>
  <c r="Q75" i="176"/>
  <c r="Q136" i="176" s="1"/>
  <c r="S20" i="177"/>
  <c r="AA48" i="176"/>
  <c r="AK102" i="167"/>
  <c r="AK64" i="167" s="1"/>
  <c r="R56" i="176"/>
  <c r="R135" i="176" s="1"/>
  <c r="AN101" i="167"/>
  <c r="AN59" i="167" s="1"/>
  <c r="U55" i="176"/>
  <c r="V56" i="176"/>
  <c r="V135" i="176" s="1"/>
  <c r="AL118" i="167"/>
  <c r="AL60" i="167" s="1"/>
  <c r="S74" i="176"/>
  <c r="V75" i="176"/>
  <c r="V136" i="176" s="1"/>
  <c r="G24" i="121"/>
  <c r="G45" i="121" s="1"/>
  <c r="I42" i="176"/>
  <c r="I100" i="176" s="1"/>
  <c r="P16" i="177"/>
  <c r="Z84" i="176"/>
  <c r="Z123" i="176" s="1"/>
  <c r="AH84" i="167"/>
  <c r="AH58" i="167" s="1"/>
  <c r="O36" i="176"/>
  <c r="AA66" i="176"/>
  <c r="T19" i="177"/>
  <c r="AN118" i="167"/>
  <c r="AN60" i="167" s="1"/>
  <c r="U74" i="176"/>
  <c r="T22" i="177"/>
  <c r="AA69" i="176"/>
  <c r="W14" i="123"/>
  <c r="F14" i="177"/>
  <c r="W124" i="166"/>
  <c r="W41" i="166" s="1"/>
  <c r="H83" i="176"/>
  <c r="H116" i="176" s="1"/>
  <c r="H82" i="176"/>
  <c r="W12" i="123"/>
  <c r="F12" i="177"/>
  <c r="W15" i="122"/>
  <c r="E15" i="177"/>
  <c r="W14" i="122"/>
  <c r="J14" i="177" s="1"/>
  <c r="E14" i="177"/>
  <c r="AT85" i="132"/>
  <c r="D110" i="166"/>
  <c r="AV124" i="167"/>
  <c r="AV41" i="167" s="1"/>
  <c r="AT113" i="166"/>
  <c r="D113" i="166"/>
  <c r="D88" i="132"/>
  <c r="AT88" i="132"/>
  <c r="AQ72" i="166"/>
  <c r="AQ33" i="166" s="1"/>
  <c r="AQ72" i="167"/>
  <c r="AQ33" i="167" s="1"/>
  <c r="D17" i="161"/>
  <c r="H17" i="161" s="1"/>
  <c r="H17" i="159"/>
  <c r="E11" i="159"/>
  <c r="H11" i="159" s="1"/>
  <c r="F49" i="160"/>
  <c r="D19" i="159" s="1"/>
  <c r="D19" i="161" s="1"/>
  <c r="D47" i="161" s="1"/>
  <c r="AV83" i="167"/>
  <c r="AJ89" i="166"/>
  <c r="AJ34" i="166" s="1"/>
  <c r="AJ89" i="167"/>
  <c r="AJ34" i="167" s="1"/>
  <c r="AJ55" i="132"/>
  <c r="AJ71" i="132" s="1"/>
  <c r="Y72" i="166"/>
  <c r="Y33" i="166" s="1"/>
  <c r="Y72" i="167"/>
  <c r="AL72" i="166"/>
  <c r="AL33" i="166" s="1"/>
  <c r="AL72" i="167"/>
  <c r="AL33" i="167" s="1"/>
  <c r="AD85" i="166"/>
  <c r="AD63" i="166" s="1"/>
  <c r="AD85" i="167"/>
  <c r="AD63" i="167" s="1"/>
  <c r="AT112" i="167"/>
  <c r="D112" i="167"/>
  <c r="S36" i="168"/>
  <c r="AL136" i="167"/>
  <c r="AL66" i="167" s="1"/>
  <c r="AO106" i="167"/>
  <c r="AO35" i="167" s="1"/>
  <c r="K36" i="168"/>
  <c r="Z136" i="167"/>
  <c r="Z66" i="167" s="1"/>
  <c r="X35" i="168"/>
  <c r="AQ135" i="167"/>
  <c r="AQ61" i="167" s="1"/>
  <c r="V35" i="168"/>
  <c r="T40" i="169"/>
  <c r="AG106" i="166"/>
  <c r="AG35" i="166" s="1"/>
  <c r="AG106" i="167"/>
  <c r="AG35" i="167" s="1"/>
  <c r="AG81" i="132"/>
  <c r="AG97" i="132" s="1"/>
  <c r="D17" i="158"/>
  <c r="H17" i="158" s="1"/>
  <c r="H17" i="156"/>
  <c r="U35" i="168"/>
  <c r="AN135" i="167"/>
  <c r="AN61" i="167" s="1"/>
  <c r="AN135" i="166"/>
  <c r="AN61" i="166" s="1"/>
  <c r="AN119" i="132"/>
  <c r="AN128" i="132" s="1"/>
  <c r="S45" i="123"/>
  <c r="U94" i="176" s="1"/>
  <c r="U137" i="176" s="1"/>
  <c r="AQ106" i="167"/>
  <c r="AQ35" i="167" s="1"/>
  <c r="AQ106" i="166"/>
  <c r="AQ35" i="166" s="1"/>
  <c r="AQ81" i="132"/>
  <c r="AQ97" i="132" s="1"/>
  <c r="Z59" i="167"/>
  <c r="Z38" i="167"/>
  <c r="AV73" i="167"/>
  <c r="AV38" i="167" s="1"/>
  <c r="AG72" i="166"/>
  <c r="AG33" i="166" s="1"/>
  <c r="AG72" i="167"/>
  <c r="AG33" i="167" s="1"/>
  <c r="AG89" i="166"/>
  <c r="AG34" i="166" s="1"/>
  <c r="AG89" i="167"/>
  <c r="AG34" i="167" s="1"/>
  <c r="AG55" i="132"/>
  <c r="AG71" i="132" s="1"/>
  <c r="AO72" i="167"/>
  <c r="AO33" i="167" s="1"/>
  <c r="R36" i="168"/>
  <c r="AK136" i="167"/>
  <c r="AK66" i="167" s="1"/>
  <c r="Z36" i="167"/>
  <c r="T36" i="168"/>
  <c r="AM136" i="167"/>
  <c r="AM66" i="167" s="1"/>
  <c r="C5" i="116"/>
  <c r="C33" i="116" s="1"/>
  <c r="C24" i="60"/>
  <c r="C5" i="165"/>
  <c r="C28" i="165" s="1"/>
  <c r="F36" i="157"/>
  <c r="F16" i="156" s="1"/>
  <c r="AG85" i="166"/>
  <c r="AG63" i="166" s="1"/>
  <c r="AG85" i="167"/>
  <c r="AG63" i="167" s="1"/>
  <c r="AI72" i="166"/>
  <c r="AI33" i="166" s="1"/>
  <c r="AI72" i="167"/>
  <c r="AI33" i="167" s="1"/>
  <c r="AN84" i="166"/>
  <c r="AN58" i="166" s="1"/>
  <c r="AN84" i="167"/>
  <c r="AN58" i="167" s="1"/>
  <c r="H7" i="106"/>
  <c r="H6" i="106" s="1"/>
  <c r="M36" i="168"/>
  <c r="AF136" i="167"/>
  <c r="AF66" i="167" s="1"/>
  <c r="O36" i="168"/>
  <c r="AH136" i="167"/>
  <c r="AH66" i="167" s="1"/>
  <c r="N36" i="168"/>
  <c r="AG136" i="167"/>
  <c r="AG66" i="167" s="1"/>
  <c r="J36" i="168"/>
  <c r="Y136" i="167"/>
  <c r="W36" i="168"/>
  <c r="AP136" i="167"/>
  <c r="AP66" i="167" s="1"/>
  <c r="P35" i="168"/>
  <c r="AI135" i="167"/>
  <c r="AI61" i="167" s="1"/>
  <c r="AM84" i="166"/>
  <c r="AM58" i="166" s="1"/>
  <c r="AM84" i="167"/>
  <c r="AM58" i="167" s="1"/>
  <c r="R45" i="98"/>
  <c r="T37" i="176" s="1"/>
  <c r="T134" i="176" s="1"/>
  <c r="AM41" i="136"/>
  <c r="AM41" i="132"/>
  <c r="AM50" i="132" s="1"/>
  <c r="H17" i="60"/>
  <c r="H17" i="116"/>
  <c r="D15" i="165"/>
  <c r="H437" i="106"/>
  <c r="H436" i="106" s="1"/>
  <c r="H435" i="106" s="1"/>
  <c r="H60" i="106"/>
  <c r="H59" i="106" s="1"/>
  <c r="F9" i="123" s="1"/>
  <c r="H81" i="176" s="1"/>
  <c r="H109" i="176" s="1"/>
  <c r="AV115" i="167"/>
  <c r="AV55" i="167" s="1"/>
  <c r="AV81" i="167"/>
  <c r="AV53" i="167" s="1"/>
  <c r="AO60" i="167"/>
  <c r="Z43" i="167"/>
  <c r="AV74" i="167"/>
  <c r="AV43" i="167" s="1"/>
  <c r="F14" i="98"/>
  <c r="AV108" i="167"/>
  <c r="AV45" i="167" s="1"/>
  <c r="AV109" i="167"/>
  <c r="AV50" i="167" s="1"/>
  <c r="T45" i="133"/>
  <c r="T27" i="133" s="1"/>
  <c r="U27" i="133"/>
  <c r="X98" i="166"/>
  <c r="X54" i="166" s="1"/>
  <c r="AD89" i="167"/>
  <c r="AD89" i="166"/>
  <c r="AD34" i="166" s="1"/>
  <c r="AD55" i="132"/>
  <c r="AD71" i="132" s="1"/>
  <c r="AD118" i="167"/>
  <c r="AD60" i="167" s="1"/>
  <c r="J45" i="122"/>
  <c r="L75" i="176" s="1"/>
  <c r="L136" i="176" s="1"/>
  <c r="AD118" i="166"/>
  <c r="AD60" i="166" s="1"/>
  <c r="AD93" i="132"/>
  <c r="AD102" i="132" s="1"/>
  <c r="AS126" i="166"/>
  <c r="AS51" i="166" s="1"/>
  <c r="Z26" i="168"/>
  <c r="AS110" i="132"/>
  <c r="AS126" i="132" s="1"/>
  <c r="AS126" i="167"/>
  <c r="AS51" i="167" s="1"/>
  <c r="F16" i="159"/>
  <c r="F36" i="160"/>
  <c r="Z72" i="166"/>
  <c r="Z33" i="166" s="1"/>
  <c r="Z72" i="167"/>
  <c r="AV125" i="167"/>
  <c r="AV46" i="167" s="1"/>
  <c r="X84" i="166"/>
  <c r="X58" i="166" s="1"/>
  <c r="X84" i="167"/>
  <c r="X58" i="167" s="1"/>
  <c r="AI84" i="166"/>
  <c r="AI58" i="166" s="1"/>
  <c r="AI84" i="167"/>
  <c r="AI58" i="167" s="1"/>
  <c r="T23" i="168"/>
  <c r="AM123" i="167"/>
  <c r="AM36" i="167" s="1"/>
  <c r="AL85" i="166"/>
  <c r="AL63" i="166" s="1"/>
  <c r="AL85" i="167"/>
  <c r="AL63" i="167" s="1"/>
  <c r="AF84" i="166"/>
  <c r="AF58" i="166" s="1"/>
  <c r="AF84" i="167"/>
  <c r="AF58" i="167" s="1"/>
  <c r="Z84" i="166"/>
  <c r="Z58" i="166" s="1"/>
  <c r="Z84" i="167"/>
  <c r="D77" i="167"/>
  <c r="AT77" i="167"/>
  <c r="L36" i="168"/>
  <c r="AD136" i="167"/>
  <c r="AD66" i="167" s="1"/>
  <c r="L23" i="168"/>
  <c r="AD123" i="167"/>
  <c r="AD36" i="167" s="1"/>
  <c r="D111" i="167"/>
  <c r="AT111" i="167"/>
  <c r="Q36" i="168"/>
  <c r="AJ136" i="167"/>
  <c r="AJ66" i="167" s="1"/>
  <c r="AO102" i="167"/>
  <c r="W108" i="132"/>
  <c r="W124" i="132" s="1"/>
  <c r="D17" i="155"/>
  <c r="H17" i="153"/>
  <c r="D11" i="161"/>
  <c r="D39" i="161" s="1"/>
  <c r="AO119" i="167"/>
  <c r="AO65" i="167" s="1"/>
  <c r="AV98" i="167"/>
  <c r="AV54" i="167" s="1"/>
  <c r="AO84" i="167"/>
  <c r="AO58" i="167" s="1"/>
  <c r="Z39" i="167"/>
  <c r="AV90" i="167"/>
  <c r="AV39" i="167" s="1"/>
  <c r="AV134" i="167"/>
  <c r="AM89" i="167"/>
  <c r="AM34" i="167" s="1"/>
  <c r="AM55" i="132"/>
  <c r="AM71" i="132" s="1"/>
  <c r="AM89" i="166"/>
  <c r="AM34" i="166" s="1"/>
  <c r="H376" i="104"/>
  <c r="H49" i="104"/>
  <c r="AJ72" i="166"/>
  <c r="AJ33" i="166" s="1"/>
  <c r="AJ72" i="167"/>
  <c r="AJ33" i="167" s="1"/>
  <c r="AJ29" i="136"/>
  <c r="AJ29" i="132"/>
  <c r="AJ45" i="132" s="1"/>
  <c r="AV91" i="167"/>
  <c r="AV44" i="167" s="1"/>
  <c r="AV75" i="167"/>
  <c r="AV48" i="167" s="1"/>
  <c r="N101" i="166"/>
  <c r="N59" i="166" s="1"/>
  <c r="N101" i="167"/>
  <c r="N59" i="167" s="1"/>
  <c r="N67" i="132"/>
  <c r="N76" i="132" s="1"/>
  <c r="H25" i="168"/>
  <c r="AT94" i="167"/>
  <c r="D94" i="167"/>
  <c r="W124" i="167"/>
  <c r="W41" i="167" s="1"/>
  <c r="F10" i="123"/>
  <c r="W125" i="166"/>
  <c r="W46" i="166" s="1"/>
  <c r="X11" i="123"/>
  <c r="W125" i="167"/>
  <c r="W46" i="167" s="1"/>
  <c r="H24" i="168"/>
  <c r="H49" i="168" s="1"/>
  <c r="W109" i="132"/>
  <c r="W125" i="132" s="1"/>
  <c r="T41" i="169"/>
  <c r="G10" i="122"/>
  <c r="I40" i="169"/>
  <c r="I60" i="169" s="1"/>
  <c r="K78" i="169"/>
  <c r="K40" i="169"/>
  <c r="N91" i="167"/>
  <c r="N44" i="167" s="1"/>
  <c r="I26" i="168"/>
  <c r="X126" i="167"/>
  <c r="X51" i="167" s="1"/>
  <c r="X72" i="166"/>
  <c r="X33" i="166" s="1"/>
  <c r="X72" i="167"/>
  <c r="X33" i="167" s="1"/>
  <c r="Z25" i="168"/>
  <c r="Z24" i="168"/>
  <c r="Z49" i="168" s="1"/>
  <c r="AS124" i="167"/>
  <c r="AS41" i="167" s="1"/>
  <c r="AS125" i="167"/>
  <c r="AS46" i="167" s="1"/>
  <c r="J38" i="169"/>
  <c r="X91" i="167"/>
  <c r="X44" i="167" s="1"/>
  <c r="X90" i="167"/>
  <c r="X39" i="167" s="1"/>
  <c r="H57" i="106"/>
  <c r="A16" i="109"/>
  <c r="N91" i="166"/>
  <c r="N44" i="166" s="1"/>
  <c r="N57" i="132"/>
  <c r="N73" i="132" s="1"/>
  <c r="F109" i="166"/>
  <c r="F50" i="166" s="1"/>
  <c r="F84" i="132"/>
  <c r="F100" i="132" s="1"/>
  <c r="K10" i="156"/>
  <c r="K38" i="158" s="1"/>
  <c r="O23" i="147"/>
  <c r="E8" i="151"/>
  <c r="A17" i="109"/>
  <c r="AS125" i="166"/>
  <c r="AS46" i="166" s="1"/>
  <c r="AS124" i="166"/>
  <c r="AS41" i="166" s="1"/>
  <c r="AS109" i="132"/>
  <c r="AS125" i="132" s="1"/>
  <c r="AS108" i="132"/>
  <c r="AS124" i="132" s="1"/>
  <c r="X106" i="166"/>
  <c r="X35" i="166" s="1"/>
  <c r="X81" i="132"/>
  <c r="X97" i="132" s="1"/>
  <c r="D8" i="151"/>
  <c r="F8" i="151"/>
  <c r="AO29" i="132"/>
  <c r="AO45" i="132" s="1"/>
  <c r="AH42" i="132"/>
  <c r="AH51" i="132" s="1"/>
  <c r="AH85" i="166"/>
  <c r="AH63" i="166" s="1"/>
  <c r="AH42" i="136"/>
  <c r="H377" i="102"/>
  <c r="H14" i="102"/>
  <c r="H50" i="102"/>
  <c r="AK119" i="166"/>
  <c r="AK65" i="166" s="1"/>
  <c r="AK94" i="132"/>
  <c r="AK103" i="132" s="1"/>
  <c r="C12" i="122"/>
  <c r="H7" i="104"/>
  <c r="C11" i="122" s="1"/>
  <c r="AI119" i="166"/>
  <c r="AI65" i="166" s="1"/>
  <c r="AI94" i="132"/>
  <c r="AI103" i="132" s="1"/>
  <c r="AF136" i="166"/>
  <c r="AF66" i="166" s="1"/>
  <c r="AF120" i="132"/>
  <c r="AF129" i="132" s="1"/>
  <c r="U34" i="133"/>
  <c r="T52" i="133"/>
  <c r="T34" i="133" s="1"/>
  <c r="H10" i="102" s="1"/>
  <c r="C14" i="121" s="1"/>
  <c r="AI89" i="166"/>
  <c r="AI34" i="166" s="1"/>
  <c r="AI55" i="132"/>
  <c r="AI71" i="132" s="1"/>
  <c r="AO89" i="166"/>
  <c r="AO34" i="166" s="1"/>
  <c r="AO55" i="132"/>
  <c r="AO71" i="132" s="1"/>
  <c r="AP106" i="166"/>
  <c r="AP35" i="166" s="1"/>
  <c r="AP81" i="132"/>
  <c r="AP97" i="132" s="1"/>
  <c r="AN119" i="166"/>
  <c r="AN65" i="166" s="1"/>
  <c r="AN94" i="132"/>
  <c r="AN103" i="132" s="1"/>
  <c r="AM102" i="166"/>
  <c r="AM64" i="166" s="1"/>
  <c r="AM68" i="132"/>
  <c r="AM77" i="132" s="1"/>
  <c r="D94" i="166"/>
  <c r="AT94" i="166"/>
  <c r="D60" i="132"/>
  <c r="AT60" i="132"/>
  <c r="AK102" i="166"/>
  <c r="AK64" i="166" s="1"/>
  <c r="AK68" i="132"/>
  <c r="AK77" i="132" s="1"/>
  <c r="AL136" i="166"/>
  <c r="AL66" i="166" s="1"/>
  <c r="AL120" i="132"/>
  <c r="AL129" i="132" s="1"/>
  <c r="AJ101" i="166"/>
  <c r="AJ59" i="166" s="1"/>
  <c r="AJ67" i="132"/>
  <c r="AJ76" i="132" s="1"/>
  <c r="H11" i="99"/>
  <c r="C15" i="98" s="1"/>
  <c r="H9" i="99"/>
  <c r="C13" i="98" s="1"/>
  <c r="C13" i="177" s="1"/>
  <c r="H8" i="99"/>
  <c r="AP102" i="166"/>
  <c r="AP64" i="166" s="1"/>
  <c r="AP68" i="132"/>
  <c r="AP77" i="132" s="1"/>
  <c r="AG102" i="166"/>
  <c r="AG64" i="166" s="1"/>
  <c r="AG68" i="132"/>
  <c r="AG77" i="132" s="1"/>
  <c r="AQ119" i="166"/>
  <c r="AQ65" i="166" s="1"/>
  <c r="AQ94" i="132"/>
  <c r="AQ103" i="132" s="1"/>
  <c r="Z102" i="166"/>
  <c r="Z64" i="166" s="1"/>
  <c r="Z68" i="132"/>
  <c r="Z77" i="132" s="1"/>
  <c r="AG119" i="166"/>
  <c r="AG65" i="166" s="1"/>
  <c r="AG94" i="132"/>
  <c r="AG103" i="132" s="1"/>
  <c r="A75" i="109"/>
  <c r="F7" i="91" s="1"/>
  <c r="F52" i="91"/>
  <c r="G19" i="60" s="1"/>
  <c r="F52" i="160"/>
  <c r="G19" i="159" s="1"/>
  <c r="G19" i="161" s="1"/>
  <c r="G47" i="161" s="1"/>
  <c r="F52" i="157"/>
  <c r="G19" i="156" s="1"/>
  <c r="G19" i="158" s="1"/>
  <c r="G47" i="158" s="1"/>
  <c r="F52" i="154"/>
  <c r="G19" i="153" s="1"/>
  <c r="D111" i="166"/>
  <c r="AT111" i="166"/>
  <c r="AT86" i="132"/>
  <c r="D86" i="132"/>
  <c r="AH102" i="166"/>
  <c r="AH64" i="166" s="1"/>
  <c r="AH68" i="132"/>
  <c r="AH77" i="132" s="1"/>
  <c r="AO72" i="166"/>
  <c r="AO33" i="166" s="1"/>
  <c r="AO102" i="166"/>
  <c r="AO64" i="166" s="1"/>
  <c r="AO68" i="132"/>
  <c r="AO77" i="132" s="1"/>
  <c r="Z136" i="166"/>
  <c r="Z66" i="166" s="1"/>
  <c r="Z120" i="132"/>
  <c r="Z129" i="132" s="1"/>
  <c r="K45" i="121"/>
  <c r="AF101" i="166"/>
  <c r="AF59" i="166" s="1"/>
  <c r="AF67" i="132"/>
  <c r="AF76" i="132" s="1"/>
  <c r="Q45" i="122"/>
  <c r="AL118" i="166"/>
  <c r="AL60" i="166" s="1"/>
  <c r="AL93" i="132"/>
  <c r="AL102" i="132" s="1"/>
  <c r="V45" i="123"/>
  <c r="AO136" i="166" s="1"/>
  <c r="AO66" i="166" s="1"/>
  <c r="AQ135" i="166"/>
  <c r="AQ61" i="166" s="1"/>
  <c r="AQ119" i="132"/>
  <c r="AQ128" i="132" s="1"/>
  <c r="AO94" i="132"/>
  <c r="AO103" i="132" s="1"/>
  <c r="AJ102" i="166"/>
  <c r="AJ64" i="166" s="1"/>
  <c r="AJ68" i="132"/>
  <c r="AJ77" i="132" s="1"/>
  <c r="X126" i="166"/>
  <c r="X51" i="166" s="1"/>
  <c r="X110" i="132"/>
  <c r="X126" i="132" s="1"/>
  <c r="X91" i="166"/>
  <c r="X44" i="166" s="1"/>
  <c r="X90" i="166"/>
  <c r="X39" i="166" s="1"/>
  <c r="X57" i="132"/>
  <c r="X73" i="132" s="1"/>
  <c r="X56" i="132"/>
  <c r="X72" i="132" s="1"/>
  <c r="H38" i="155"/>
  <c r="N23" i="147"/>
  <c r="K10" i="153"/>
  <c r="P23" i="147"/>
  <c r="K10" i="159"/>
  <c r="AQ84" i="166"/>
  <c r="AQ58" i="166" s="1"/>
  <c r="AO84" i="166"/>
  <c r="AO58" i="166" s="1"/>
  <c r="I45" i="122"/>
  <c r="Z118" i="166"/>
  <c r="Z60" i="166" s="1"/>
  <c r="Z93" i="132"/>
  <c r="Z102" i="132" s="1"/>
  <c r="AM123" i="166"/>
  <c r="AM36" i="166" s="1"/>
  <c r="AM107" i="132"/>
  <c r="AM123" i="132" s="1"/>
  <c r="Y85" i="166"/>
  <c r="Y63" i="166" s="1"/>
  <c r="Y42" i="132"/>
  <c r="Y51" i="132" s="1"/>
  <c r="Y42" i="136"/>
  <c r="AK42" i="132"/>
  <c r="AK51" i="132" s="1"/>
  <c r="AK85" i="166"/>
  <c r="AK63" i="166" s="1"/>
  <c r="AK42" i="136"/>
  <c r="H377" i="99"/>
  <c r="X18" i="98" s="1"/>
  <c r="M18" i="177" s="1"/>
  <c r="H14" i="99"/>
  <c r="H50" i="99"/>
  <c r="E18" i="98" s="1"/>
  <c r="X119" i="166"/>
  <c r="X65" i="166" s="1"/>
  <c r="X94" i="132"/>
  <c r="X103" i="132" s="1"/>
  <c r="AP85" i="166"/>
  <c r="AP63" i="166" s="1"/>
  <c r="AP42" i="132"/>
  <c r="AP51" i="132" s="1"/>
  <c r="AP42" i="136"/>
  <c r="C11" i="123"/>
  <c r="F13" i="122"/>
  <c r="H61" i="104"/>
  <c r="H437" i="104" s="1"/>
  <c r="AT112" i="166"/>
  <c r="D112" i="166"/>
  <c r="D87" i="132"/>
  <c r="AT87" i="132"/>
  <c r="H370" i="104"/>
  <c r="X14" i="122"/>
  <c r="AJ119" i="166"/>
  <c r="AJ65" i="166" s="1"/>
  <c r="AJ94" i="132"/>
  <c r="AJ103" i="132" s="1"/>
  <c r="AH136" i="166"/>
  <c r="AH66" i="166" s="1"/>
  <c r="AH120" i="132"/>
  <c r="AH129" i="132" s="1"/>
  <c r="AG136" i="166"/>
  <c r="AG66" i="166" s="1"/>
  <c r="AG120" i="132"/>
  <c r="AG129" i="132" s="1"/>
  <c r="X101" i="166"/>
  <c r="X59" i="166" s="1"/>
  <c r="X67" i="132"/>
  <c r="X76" i="132" s="1"/>
  <c r="S45" i="121"/>
  <c r="AN101" i="166"/>
  <c r="AN59" i="166" s="1"/>
  <c r="AN67" i="132"/>
  <c r="AN76" i="132" s="1"/>
  <c r="Y102" i="166"/>
  <c r="Y64" i="166" s="1"/>
  <c r="Y68" i="132"/>
  <c r="Y77" i="132" s="1"/>
  <c r="D5" i="155"/>
  <c r="D33" i="155" s="1"/>
  <c r="D24" i="153"/>
  <c r="D77" i="166"/>
  <c r="AT77" i="166"/>
  <c r="D34" i="136"/>
  <c r="AT34" i="132"/>
  <c r="AT34" i="136"/>
  <c r="D34" i="132"/>
  <c r="H9" i="102"/>
  <c r="C13" i="121" s="1"/>
  <c r="D13" i="177" s="1"/>
  <c r="H8" i="102"/>
  <c r="H11" i="102"/>
  <c r="C15" i="121" s="1"/>
  <c r="AI102" i="166"/>
  <c r="AI64" i="166" s="1"/>
  <c r="AI68" i="132"/>
  <c r="AI77" i="132" s="1"/>
  <c r="AD136" i="166"/>
  <c r="AD66" i="166" s="1"/>
  <c r="AD120" i="132"/>
  <c r="AD129" i="132" s="1"/>
  <c r="Y89" i="166"/>
  <c r="Y34" i="166" s="1"/>
  <c r="Y55" i="132"/>
  <c r="Y71" i="132" s="1"/>
  <c r="AK89" i="166"/>
  <c r="AK34" i="166" s="1"/>
  <c r="AK55" i="132"/>
  <c r="AK71" i="132" s="1"/>
  <c r="AO106" i="166"/>
  <c r="AO35" i="166" s="1"/>
  <c r="AO81" i="132"/>
  <c r="AO97" i="132" s="1"/>
  <c r="AD123" i="166"/>
  <c r="AD36" i="166" s="1"/>
  <c r="AD107" i="132"/>
  <c r="AD123" i="132" s="1"/>
  <c r="Y136" i="166"/>
  <c r="Y66" i="166" s="1"/>
  <c r="Y120" i="132"/>
  <c r="Y129" i="132" s="1"/>
  <c r="AL102" i="166"/>
  <c r="AL64" i="166" s="1"/>
  <c r="AL68" i="132"/>
  <c r="AL77" i="132" s="1"/>
  <c r="AP136" i="166"/>
  <c r="AP66" i="166" s="1"/>
  <c r="AP120" i="132"/>
  <c r="AP129" i="132" s="1"/>
  <c r="AO120" i="132"/>
  <c r="AO129" i="132" s="1"/>
  <c r="AM136" i="166"/>
  <c r="AM66" i="166" s="1"/>
  <c r="AM120" i="132"/>
  <c r="AM129" i="132" s="1"/>
  <c r="AF119" i="166"/>
  <c r="AF65" i="166" s="1"/>
  <c r="AF94" i="132"/>
  <c r="AF103" i="132" s="1"/>
  <c r="AJ136" i="166"/>
  <c r="AJ66" i="166" s="1"/>
  <c r="AJ120" i="132"/>
  <c r="AJ129" i="132" s="1"/>
  <c r="AQ102" i="166"/>
  <c r="AQ64" i="166" s="1"/>
  <c r="AQ68" i="132"/>
  <c r="AQ77" i="132" s="1"/>
  <c r="AS101" i="166"/>
  <c r="AS59" i="166" s="1"/>
  <c r="AS67" i="132"/>
  <c r="AS76" i="132" s="1"/>
  <c r="N45" i="123"/>
  <c r="P94" i="176" s="1"/>
  <c r="P137" i="176" s="1"/>
  <c r="AI135" i="166"/>
  <c r="AI61" i="166" s="1"/>
  <c r="AI119" i="132"/>
  <c r="AI128" i="132" s="1"/>
  <c r="AH119" i="166"/>
  <c r="AH65" i="166" s="1"/>
  <c r="AH94" i="132"/>
  <c r="AH103" i="132" s="1"/>
  <c r="AO119" i="166"/>
  <c r="AO65" i="166" s="1"/>
  <c r="X29" i="132"/>
  <c r="X45" i="132" s="1"/>
  <c r="X29" i="136"/>
  <c r="F16" i="155"/>
  <c r="F44" i="155" s="1"/>
  <c r="H38" i="158"/>
  <c r="D38" i="116"/>
  <c r="A18" i="109"/>
  <c r="C16" i="158"/>
  <c r="C44" i="158" s="1"/>
  <c r="G13" i="123"/>
  <c r="W13" i="123" s="1"/>
  <c r="G6" i="123"/>
  <c r="I80" i="176" s="1"/>
  <c r="I102" i="176" s="1"/>
  <c r="G8" i="123"/>
  <c r="W8" i="123" s="1"/>
  <c r="Q60" i="114"/>
  <c r="V60" i="114"/>
  <c r="U60" i="114"/>
  <c r="T60" i="114"/>
  <c r="R60" i="114"/>
  <c r="S60" i="114"/>
  <c r="Q65" i="114"/>
  <c r="V65" i="114"/>
  <c r="T65" i="114"/>
  <c r="R65" i="114"/>
  <c r="S65" i="114"/>
  <c r="U65" i="114"/>
  <c r="Q68" i="114"/>
  <c r="R68" i="114"/>
  <c r="T68" i="114"/>
  <c r="S68" i="114"/>
  <c r="U68" i="114"/>
  <c r="V68" i="114"/>
  <c r="Q59" i="114"/>
  <c r="V59" i="114"/>
  <c r="T59" i="114"/>
  <c r="S59" i="114"/>
  <c r="U59" i="114"/>
  <c r="R59" i="114"/>
  <c r="I93" i="114"/>
  <c r="Q66" i="114"/>
  <c r="U66" i="114"/>
  <c r="V66" i="114"/>
  <c r="S66" i="114"/>
  <c r="T66" i="114"/>
  <c r="R66" i="114"/>
  <c r="F5" i="165"/>
  <c r="F28" i="165" s="1"/>
  <c r="F24" i="60"/>
  <c r="F5" i="116"/>
  <c r="F33" i="116" s="1"/>
  <c r="H368" i="106"/>
  <c r="X10" i="123"/>
  <c r="P10" i="177" s="1"/>
  <c r="H24" i="106"/>
  <c r="D11" i="123"/>
  <c r="G9" i="121"/>
  <c r="G10" i="121"/>
  <c r="H6" i="104"/>
  <c r="AQ41" i="132"/>
  <c r="AQ50" i="132" s="1"/>
  <c r="AQ41" i="136"/>
  <c r="AO41" i="136"/>
  <c r="V45" i="98"/>
  <c r="V37" i="176" s="1"/>
  <c r="V134" i="176" s="1"/>
  <c r="AO41" i="132"/>
  <c r="AO50" i="132" s="1"/>
  <c r="F16" i="161"/>
  <c r="F44" i="161" s="1"/>
  <c r="H48" i="106"/>
  <c r="E16" i="123" s="1"/>
  <c r="G84" i="176" s="1"/>
  <c r="G123" i="176" s="1"/>
  <c r="E17" i="123"/>
  <c r="W17" i="123" s="1"/>
  <c r="K17" i="177" s="1"/>
  <c r="AI29" i="136"/>
  <c r="AI29" i="132"/>
  <c r="AI45" i="132" s="1"/>
  <c r="AL42" i="132"/>
  <c r="AL51" i="132" s="1"/>
  <c r="AL42" i="136"/>
  <c r="AQ29" i="136"/>
  <c r="AQ29" i="132"/>
  <c r="AQ45" i="132" s="1"/>
  <c r="Z29" i="132"/>
  <c r="Z45" i="132" s="1"/>
  <c r="Z29" i="136"/>
  <c r="E16" i="155"/>
  <c r="H16" i="153"/>
  <c r="D13" i="122"/>
  <c r="H25" i="104"/>
  <c r="AG42" i="136"/>
  <c r="AG42" i="132"/>
  <c r="AG51" i="132" s="1"/>
  <c r="K10" i="60"/>
  <c r="M24" i="147" s="1"/>
  <c r="H38" i="116"/>
  <c r="H33" i="165"/>
  <c r="A15" i="109"/>
  <c r="D191" i="112"/>
  <c r="X41" i="132"/>
  <c r="X50" i="132" s="1"/>
  <c r="X41" i="136"/>
  <c r="G45" i="98"/>
  <c r="I37" i="176" s="1"/>
  <c r="I134" i="176" s="1"/>
  <c r="T72" i="114"/>
  <c r="S72" i="114"/>
  <c r="V72" i="114"/>
  <c r="U72" i="114"/>
  <c r="V74" i="114"/>
  <c r="T74" i="114"/>
  <c r="U74" i="114"/>
  <c r="V73" i="114"/>
  <c r="T73" i="114"/>
  <c r="U73" i="114"/>
  <c r="U70" i="114"/>
  <c r="V70" i="114"/>
  <c r="R70" i="114"/>
  <c r="T70" i="114"/>
  <c r="S70" i="114"/>
  <c r="Q64" i="114"/>
  <c r="R64" i="114"/>
  <c r="T64" i="114"/>
  <c r="S64" i="114"/>
  <c r="U64" i="114"/>
  <c r="V64" i="114"/>
  <c r="C14" i="165"/>
  <c r="C39" i="165" s="1"/>
  <c r="C16" i="116"/>
  <c r="C44" i="116" s="1"/>
  <c r="H16" i="60"/>
  <c r="F14" i="165"/>
  <c r="F39" i="165" s="1"/>
  <c r="F16" i="116"/>
  <c r="F44" i="116" s="1"/>
  <c r="H39" i="155"/>
  <c r="H39" i="158"/>
  <c r="H39" i="116"/>
  <c r="H34" i="165"/>
  <c r="D38" i="155"/>
  <c r="H38" i="161"/>
  <c r="D38" i="161"/>
  <c r="N45" i="98"/>
  <c r="P37" i="176" s="1"/>
  <c r="P134" i="176" s="1"/>
  <c r="AI41" i="132"/>
  <c r="AI50" i="132" s="1"/>
  <c r="AI41" i="136"/>
  <c r="Y29" i="132"/>
  <c r="Y45" i="132" s="1"/>
  <c r="Y29" i="136"/>
  <c r="C16" i="161"/>
  <c r="C44" i="161" s="1"/>
  <c r="H16" i="159"/>
  <c r="E15" i="123"/>
  <c r="W15" i="123" s="1"/>
  <c r="H43" i="106"/>
  <c r="AN41" i="132"/>
  <c r="AN50" i="132" s="1"/>
  <c r="S45" i="98"/>
  <c r="U37" i="176" s="1"/>
  <c r="U134" i="176" s="1"/>
  <c r="AN41" i="136"/>
  <c r="AF41" i="136"/>
  <c r="AF41" i="132"/>
  <c r="AF50" i="132" s="1"/>
  <c r="K45" i="98"/>
  <c r="M37" i="176" s="1"/>
  <c r="M134" i="176" s="1"/>
  <c r="I45" i="98"/>
  <c r="K37" i="176" s="1"/>
  <c r="K134" i="176" s="1"/>
  <c r="Z41" i="132"/>
  <c r="Z50" i="132" s="1"/>
  <c r="Z41" i="136"/>
  <c r="AL29" i="136"/>
  <c r="AL29" i="132"/>
  <c r="AL45" i="132" s="1"/>
  <c r="AD42" i="132"/>
  <c r="AD51" i="132" s="1"/>
  <c r="AD42" i="136"/>
  <c r="U32" i="133"/>
  <c r="H27" i="102" s="1"/>
  <c r="T50" i="133"/>
  <c r="U54" i="133"/>
  <c r="U36" i="133" s="1"/>
  <c r="N10" i="116" l="1"/>
  <c r="N17" i="116"/>
  <c r="D274" i="112"/>
  <c r="AV101" i="167"/>
  <c r="AV59" i="167" s="1"/>
  <c r="D24" i="112"/>
  <c r="X9" i="123"/>
  <c r="H365" i="106"/>
  <c r="T29" i="133"/>
  <c r="H63" i="99" s="1"/>
  <c r="U70" i="133"/>
  <c r="X98" i="167"/>
  <c r="X54" i="167" s="1"/>
  <c r="X89" i="167"/>
  <c r="X34" i="167" s="1"/>
  <c r="I43" i="176"/>
  <c r="I107" i="176" s="1"/>
  <c r="P9" i="177"/>
  <c r="Z81" i="176"/>
  <c r="Z109" i="176" s="1"/>
  <c r="AL119" i="167"/>
  <c r="AL65" i="167" s="1"/>
  <c r="S75" i="176"/>
  <c r="S136" i="176" s="1"/>
  <c r="P11" i="177"/>
  <c r="Z83" i="176"/>
  <c r="Z116" i="176" s="1"/>
  <c r="Z82" i="176"/>
  <c r="I52" i="176"/>
  <c r="X64" i="132"/>
  <c r="X75" i="132" s="1"/>
  <c r="F83" i="176"/>
  <c r="F116" i="176" s="1"/>
  <c r="F82" i="176"/>
  <c r="AA14" i="122"/>
  <c r="T14" i="177" s="1"/>
  <c r="O14" i="177"/>
  <c r="V36" i="168"/>
  <c r="X94" i="176"/>
  <c r="X137" i="176" s="1"/>
  <c r="AO85" i="167"/>
  <c r="AO63" i="167" s="1"/>
  <c r="X37" i="176"/>
  <c r="X134" i="176" s="1"/>
  <c r="X102" i="167"/>
  <c r="X64" i="167" s="1"/>
  <c r="I56" i="176"/>
  <c r="I135" i="176" s="1"/>
  <c r="Z119" i="167"/>
  <c r="Z65" i="167" s="1"/>
  <c r="K75" i="176"/>
  <c r="K136" i="176" s="1"/>
  <c r="H10" i="99"/>
  <c r="C14" i="98" s="1"/>
  <c r="C14" i="177" s="1"/>
  <c r="D45" i="161"/>
  <c r="V94" i="176"/>
  <c r="V137" i="176" s="1"/>
  <c r="AA8" i="123"/>
  <c r="U8" i="177" s="1"/>
  <c r="K8" i="177"/>
  <c r="AN102" i="167"/>
  <c r="AN64" i="167" s="1"/>
  <c r="U56" i="176"/>
  <c r="U135" i="176" s="1"/>
  <c r="AF102" i="167"/>
  <c r="AF64" i="167" s="1"/>
  <c r="M56" i="176"/>
  <c r="M135" i="176" s="1"/>
  <c r="AA13" i="123"/>
  <c r="K13" i="177"/>
  <c r="AA12" i="123"/>
  <c r="K12" i="177"/>
  <c r="AA15" i="123"/>
  <c r="K15" i="177"/>
  <c r="F11" i="177"/>
  <c r="E83" i="176"/>
  <c r="E116" i="176" s="1"/>
  <c r="E82" i="176"/>
  <c r="AA14" i="123"/>
  <c r="U14" i="177" s="1"/>
  <c r="K14" i="177"/>
  <c r="E11" i="177"/>
  <c r="E64" i="176"/>
  <c r="E115" i="176" s="1"/>
  <c r="E63" i="176"/>
  <c r="W12" i="122"/>
  <c r="E12" i="177"/>
  <c r="AA15" i="122"/>
  <c r="T15" i="177" s="1"/>
  <c r="J15" i="177"/>
  <c r="W15" i="121"/>
  <c r="D15" i="177"/>
  <c r="W14" i="98"/>
  <c r="H14" i="177" s="1"/>
  <c r="W14" i="121"/>
  <c r="I14" i="177" s="1"/>
  <c r="D14" i="177"/>
  <c r="W15" i="98"/>
  <c r="C15" i="177"/>
  <c r="I82" i="169"/>
  <c r="H16" i="156"/>
  <c r="F16" i="158"/>
  <c r="F44" i="158" s="1"/>
  <c r="P31" i="147"/>
  <c r="P30" i="147"/>
  <c r="Z85" i="166"/>
  <c r="Z63" i="166" s="1"/>
  <c r="Z85" i="167"/>
  <c r="X36" i="168"/>
  <c r="AQ136" i="167"/>
  <c r="AQ66" i="167" s="1"/>
  <c r="AO64" i="167"/>
  <c r="Z58" i="167"/>
  <c r="AV84" i="167"/>
  <c r="AV58" i="167" s="1"/>
  <c r="AV106" i="167"/>
  <c r="AV35" i="167" s="1"/>
  <c r="AD119" i="167"/>
  <c r="AD65" i="167" s="1"/>
  <c r="AD94" i="132"/>
  <c r="AD103" i="132" s="1"/>
  <c r="AD119" i="166"/>
  <c r="AD65" i="166" s="1"/>
  <c r="AD34" i="167"/>
  <c r="AV89" i="167"/>
  <c r="AV34" i="167" s="1"/>
  <c r="H376" i="99"/>
  <c r="X17" i="98" s="1"/>
  <c r="M17" i="177" s="1"/>
  <c r="H49" i="99"/>
  <c r="E17" i="98" s="1"/>
  <c r="W17" i="98" s="1"/>
  <c r="H17" i="177" s="1"/>
  <c r="D45" i="116"/>
  <c r="AV135" i="167"/>
  <c r="AV61" i="167" s="1"/>
  <c r="U36" i="168"/>
  <c r="AN136" i="167"/>
  <c r="AN66" i="167" s="1"/>
  <c r="AN120" i="132"/>
  <c r="AN129" i="132" s="1"/>
  <c r="AN136" i="166"/>
  <c r="AN66" i="166" s="1"/>
  <c r="H45" i="161"/>
  <c r="AF85" i="166"/>
  <c r="AF63" i="166" s="1"/>
  <c r="AF85" i="167"/>
  <c r="AF63" i="167" s="1"/>
  <c r="AN85" i="166"/>
  <c r="AN63" i="166" s="1"/>
  <c r="AN85" i="167"/>
  <c r="AN63" i="167" s="1"/>
  <c r="H15" i="99"/>
  <c r="C19" i="98" s="1"/>
  <c r="AV119" i="167"/>
  <c r="AV65" i="167" s="1"/>
  <c r="N31" i="147"/>
  <c r="N30" i="147"/>
  <c r="AM85" i="167"/>
  <c r="AM63" i="167" s="1"/>
  <c r="AM85" i="166"/>
  <c r="AM63" i="166" s="1"/>
  <c r="AM42" i="136"/>
  <c r="AM42" i="132"/>
  <c r="AM51" i="132" s="1"/>
  <c r="C24" i="116"/>
  <c r="B25" i="162" s="1"/>
  <c r="B5" i="162"/>
  <c r="B5" i="163" s="1"/>
  <c r="B13" i="163" s="1"/>
  <c r="C19" i="165"/>
  <c r="C5" i="153"/>
  <c r="AV123" i="167"/>
  <c r="AV36" i="167" s="1"/>
  <c r="D45" i="158"/>
  <c r="E11" i="161"/>
  <c r="H11" i="161" s="1"/>
  <c r="H39" i="161" s="1"/>
  <c r="X17" i="122"/>
  <c r="O17" i="177" s="1"/>
  <c r="H375" i="104"/>
  <c r="X16" i="122" s="1"/>
  <c r="H376" i="102"/>
  <c r="X17" i="121" s="1"/>
  <c r="N17" i="177" s="1"/>
  <c r="H49" i="102"/>
  <c r="E17" i="121" s="1"/>
  <c r="W17" i="121" s="1"/>
  <c r="I17" i="177" s="1"/>
  <c r="D40" i="165"/>
  <c r="H15" i="165"/>
  <c r="H40" i="165" s="1"/>
  <c r="AI85" i="166"/>
  <c r="AI63" i="166" s="1"/>
  <c r="AI85" i="167"/>
  <c r="AI63" i="167" s="1"/>
  <c r="AQ85" i="166"/>
  <c r="AQ63" i="166" s="1"/>
  <c r="AQ85" i="167"/>
  <c r="AQ63" i="167" s="1"/>
  <c r="P36" i="168"/>
  <c r="AI136" i="167"/>
  <c r="AI66" i="167" s="1"/>
  <c r="E17" i="122"/>
  <c r="W17" i="122" s="1"/>
  <c r="J17" i="177" s="1"/>
  <c r="H48" i="104"/>
  <c r="H17" i="155"/>
  <c r="H45" i="155" s="1"/>
  <c r="D45" i="155"/>
  <c r="Z33" i="167"/>
  <c r="AV72" i="167"/>
  <c r="AV33" i="167" s="1"/>
  <c r="AV118" i="167"/>
  <c r="AV60" i="167" s="1"/>
  <c r="M30" i="147"/>
  <c r="H45" i="116"/>
  <c r="M31" i="147"/>
  <c r="AO136" i="167"/>
  <c r="O31" i="147"/>
  <c r="O30" i="147"/>
  <c r="H45" i="158"/>
  <c r="H375" i="99"/>
  <c r="X85" i="166"/>
  <c r="X63" i="166" s="1"/>
  <c r="X85" i="167"/>
  <c r="X63" i="167" s="1"/>
  <c r="G26" i="168"/>
  <c r="N126" i="167"/>
  <c r="N51" i="167" s="1"/>
  <c r="Z23" i="168"/>
  <c r="AS123" i="167"/>
  <c r="AS36" i="167" s="1"/>
  <c r="H23" i="168"/>
  <c r="W123" i="167"/>
  <c r="W36" i="167" s="1"/>
  <c r="W123" i="166"/>
  <c r="W36" i="166" s="1"/>
  <c r="W107" i="132"/>
  <c r="W123" i="132" s="1"/>
  <c r="K82" i="169"/>
  <c r="K60" i="169"/>
  <c r="F25" i="168"/>
  <c r="F24" i="168"/>
  <c r="F49" i="168" s="1"/>
  <c r="M124" i="167"/>
  <c r="M41" i="167" s="1"/>
  <c r="M125" i="167"/>
  <c r="M46" i="167" s="1"/>
  <c r="L18" i="169"/>
  <c r="E25" i="168"/>
  <c r="E24" i="168"/>
  <c r="F125" i="167"/>
  <c r="F46" i="167" s="1"/>
  <c r="F124" i="167"/>
  <c r="F41" i="167" s="1"/>
  <c r="K18" i="169"/>
  <c r="F108" i="167"/>
  <c r="F45" i="167" s="1"/>
  <c r="F107" i="167"/>
  <c r="F40" i="167" s="1"/>
  <c r="H56" i="106"/>
  <c r="F6" i="123" s="1"/>
  <c r="F7" i="123"/>
  <c r="J78" i="169"/>
  <c r="J40" i="169"/>
  <c r="W16" i="123"/>
  <c r="N126" i="166"/>
  <c r="N51" i="166" s="1"/>
  <c r="N110" i="132"/>
  <c r="N126" i="132" s="1"/>
  <c r="M125" i="166"/>
  <c r="M46" i="166" s="1"/>
  <c r="M124" i="166"/>
  <c r="M41" i="166" s="1"/>
  <c r="M109" i="132"/>
  <c r="M125" i="132" s="1"/>
  <c r="M108" i="132"/>
  <c r="M124" i="132" s="1"/>
  <c r="W13" i="122"/>
  <c r="H16" i="155"/>
  <c r="H48" i="99"/>
  <c r="H42" i="99" s="1"/>
  <c r="H41" i="99" s="1"/>
  <c r="H39" i="99" s="1"/>
  <c r="X89" i="166"/>
  <c r="X34" i="166" s="1"/>
  <c r="X55" i="132"/>
  <c r="X71" i="132" s="1"/>
  <c r="AS123" i="166"/>
  <c r="AS36" i="166" s="1"/>
  <c r="AS107" i="132"/>
  <c r="AS123" i="132" s="1"/>
  <c r="H61" i="102"/>
  <c r="H437" i="102" s="1"/>
  <c r="H436" i="102" s="1"/>
  <c r="H435" i="102" s="1"/>
  <c r="F13" i="121"/>
  <c r="AN102" i="166"/>
  <c r="AN64" i="166" s="1"/>
  <c r="AN68" i="132"/>
  <c r="AN77" i="132" s="1"/>
  <c r="H60" i="104"/>
  <c r="F11" i="122"/>
  <c r="H5" i="106"/>
  <c r="C10" i="123"/>
  <c r="F10" i="177" s="1"/>
  <c r="H12" i="99"/>
  <c r="C16" i="98" s="1"/>
  <c r="C18" i="98"/>
  <c r="Z119" i="166"/>
  <c r="Z65" i="166" s="1"/>
  <c r="Z94" i="132"/>
  <c r="Z103" i="132" s="1"/>
  <c r="N24" i="147"/>
  <c r="N28" i="147" s="1"/>
  <c r="F61" i="154"/>
  <c r="AQ136" i="166"/>
  <c r="AQ66" i="166" s="1"/>
  <c r="AQ120" i="132"/>
  <c r="AQ129" i="132" s="1"/>
  <c r="AF102" i="166"/>
  <c r="AF64" i="166" s="1"/>
  <c r="AF68" i="132"/>
  <c r="AF77" i="132" s="1"/>
  <c r="G19" i="155"/>
  <c r="G47" i="155" s="1"/>
  <c r="F57" i="160"/>
  <c r="F57" i="157"/>
  <c r="F57" i="154"/>
  <c r="G5" i="60"/>
  <c r="F7" i="154"/>
  <c r="F7" i="160"/>
  <c r="F7" i="157"/>
  <c r="F57" i="91"/>
  <c r="H7" i="99"/>
  <c r="C12" i="98"/>
  <c r="H373" i="102"/>
  <c r="H373" i="99"/>
  <c r="F108" i="166"/>
  <c r="F45" i="166" s="1"/>
  <c r="F107" i="166"/>
  <c r="F40" i="166" s="1"/>
  <c r="F83" i="132"/>
  <c r="F99" i="132" s="1"/>
  <c r="F82" i="132"/>
  <c r="F98" i="132" s="1"/>
  <c r="E18" i="121"/>
  <c r="H48" i="102"/>
  <c r="X18" i="121"/>
  <c r="N18" i="177" s="1"/>
  <c r="O24" i="147"/>
  <c r="O28" i="147" s="1"/>
  <c r="F61" i="157"/>
  <c r="AI136" i="166"/>
  <c r="AI66" i="166" s="1"/>
  <c r="AI120" i="132"/>
  <c r="AI129" i="132" s="1"/>
  <c r="C12" i="121"/>
  <c r="H7" i="102"/>
  <c r="F54" i="154"/>
  <c r="D5" i="156"/>
  <c r="D24" i="155"/>
  <c r="C26" i="162" s="1"/>
  <c r="C6" i="162"/>
  <c r="C6" i="163" s="1"/>
  <c r="C14" i="163" s="1"/>
  <c r="X102" i="166"/>
  <c r="X64" i="166" s="1"/>
  <c r="X68" i="132"/>
  <c r="X77" i="132" s="1"/>
  <c r="X11" i="122"/>
  <c r="H369" i="104"/>
  <c r="F124" i="166"/>
  <c r="F41" i="166" s="1"/>
  <c r="F125" i="166"/>
  <c r="F46" i="166" s="1"/>
  <c r="F108" i="132"/>
  <c r="F124" i="132" s="1"/>
  <c r="F109" i="132"/>
  <c r="F125" i="132" s="1"/>
  <c r="P24" i="147"/>
  <c r="P28" i="147" s="1"/>
  <c r="F61" i="160"/>
  <c r="AL119" i="166"/>
  <c r="AL65" i="166" s="1"/>
  <c r="AL94" i="132"/>
  <c r="AL103" i="132" s="1"/>
  <c r="G19" i="116"/>
  <c r="G47" i="116" s="1"/>
  <c r="G17" i="165"/>
  <c r="G42" i="165" s="1"/>
  <c r="H61" i="99"/>
  <c r="H437" i="99" s="1"/>
  <c r="H436" i="99" s="1"/>
  <c r="H435" i="99" s="1"/>
  <c r="F13" i="98"/>
  <c r="H12" i="102"/>
  <c r="C16" i="121" s="1"/>
  <c r="C18" i="121"/>
  <c r="K38" i="161"/>
  <c r="K38" i="155"/>
  <c r="AO85" i="166"/>
  <c r="AO63" i="166" s="1"/>
  <c r="H16" i="161"/>
  <c r="H44" i="161" s="1"/>
  <c r="D13" i="121"/>
  <c r="H25" i="102"/>
  <c r="AF42" i="136"/>
  <c r="AF42" i="132"/>
  <c r="AF51" i="132" s="1"/>
  <c r="AN42" i="132"/>
  <c r="AN51" i="132" s="1"/>
  <c r="AN42" i="136"/>
  <c r="E11" i="123"/>
  <c r="H42" i="106"/>
  <c r="K16" i="159"/>
  <c r="J16" i="159"/>
  <c r="AI42" i="132"/>
  <c r="AI51" i="132" s="1"/>
  <c r="AI42" i="136"/>
  <c r="X16" i="98"/>
  <c r="H16" i="116"/>
  <c r="D109" i="112"/>
  <c r="E100" i="112" s="1"/>
  <c r="D111" i="112"/>
  <c r="E102" i="112" s="1"/>
  <c r="F15" i="154" s="1"/>
  <c r="D110" i="112"/>
  <c r="E101" i="112" s="1"/>
  <c r="F14" i="154" s="1"/>
  <c r="D9" i="153" s="1"/>
  <c r="D275" i="112"/>
  <c r="E266" i="112" s="1"/>
  <c r="D277" i="112"/>
  <c r="E268" i="112" s="1"/>
  <c r="F15" i="160" s="1"/>
  <c r="D276" i="112"/>
  <c r="E267" i="112" s="1"/>
  <c r="F14" i="160" s="1"/>
  <c r="D9" i="159" s="1"/>
  <c r="M28" i="147"/>
  <c r="F61" i="91"/>
  <c r="K38" i="116"/>
  <c r="J33" i="165"/>
  <c r="H24" i="104"/>
  <c r="D11" i="122"/>
  <c r="J16" i="153"/>
  <c r="H44" i="155"/>
  <c r="K16" i="153"/>
  <c r="E44" i="155"/>
  <c r="AQ42" i="136"/>
  <c r="AQ42" i="132"/>
  <c r="AQ51" i="132" s="1"/>
  <c r="AO42" i="136"/>
  <c r="AO42" i="132"/>
  <c r="AO51" i="132" s="1"/>
  <c r="H5" i="104"/>
  <c r="C10" i="122"/>
  <c r="E10" i="177" s="1"/>
  <c r="I97" i="114"/>
  <c r="I103" i="114" s="1"/>
  <c r="I111" i="114" s="1"/>
  <c r="I112" i="114" s="1"/>
  <c r="I107" i="114"/>
  <c r="I108" i="114" s="1"/>
  <c r="U93" i="114"/>
  <c r="T93" i="114"/>
  <c r="Q93" i="114"/>
  <c r="G24" i="123"/>
  <c r="I90" i="176" s="1"/>
  <c r="G11" i="123"/>
  <c r="J16" i="156"/>
  <c r="K16" i="156"/>
  <c r="T32" i="133"/>
  <c r="H27" i="99" s="1"/>
  <c r="T54" i="133"/>
  <c r="T36" i="133" s="1"/>
  <c r="Z42" i="136"/>
  <c r="Z42" i="132"/>
  <c r="Z51" i="132" s="1"/>
  <c r="J16" i="60"/>
  <c r="H44" i="116"/>
  <c r="K16" i="60"/>
  <c r="H14" i="165"/>
  <c r="H39" i="165" s="1"/>
  <c r="X42" i="136"/>
  <c r="X42" i="132"/>
  <c r="X51" i="132" s="1"/>
  <c r="D26" i="112"/>
  <c r="E17" i="112" s="1"/>
  <c r="D25" i="112"/>
  <c r="E16" i="112" s="1"/>
  <c r="F13" i="91" s="1"/>
  <c r="D27" i="112"/>
  <c r="E18" i="112" s="1"/>
  <c r="F15" i="91" s="1"/>
  <c r="D193" i="112"/>
  <c r="E184" i="112" s="1"/>
  <c r="D192" i="112"/>
  <c r="E183" i="112" s="1"/>
  <c r="F13" i="157" s="1"/>
  <c r="D194" i="112"/>
  <c r="E185" i="112" s="1"/>
  <c r="F15" i="157" s="1"/>
  <c r="J16" i="155"/>
  <c r="K16" i="155"/>
  <c r="H23" i="106"/>
  <c r="D10" i="123"/>
  <c r="F19" i="165"/>
  <c r="F56" i="91"/>
  <c r="F5" i="153"/>
  <c r="F24" i="116"/>
  <c r="E25" i="162" s="1"/>
  <c r="E5" i="162"/>
  <c r="E5" i="163" s="1"/>
  <c r="R93" i="114"/>
  <c r="S93" i="114"/>
  <c r="V93" i="114"/>
  <c r="O17" i="116" l="1"/>
  <c r="P18" i="116"/>
  <c r="P17" i="116"/>
  <c r="D9" i="123"/>
  <c r="F81" i="176" s="1"/>
  <c r="F109" i="176" s="1"/>
  <c r="H21" i="106"/>
  <c r="E49" i="168"/>
  <c r="H366" i="106"/>
  <c r="X7" i="123" s="1"/>
  <c r="P7" i="177" s="1"/>
  <c r="X6" i="123"/>
  <c r="M16" i="177"/>
  <c r="Z27" i="176"/>
  <c r="Z120" i="176" s="1"/>
  <c r="D18" i="177"/>
  <c r="H375" i="102"/>
  <c r="X16" i="121" s="1"/>
  <c r="O16" i="177"/>
  <c r="Z65" i="176"/>
  <c r="Z122" i="176" s="1"/>
  <c r="O11" i="177"/>
  <c r="Z64" i="176"/>
  <c r="Z115" i="176" s="1"/>
  <c r="Z63" i="176"/>
  <c r="I83" i="176"/>
  <c r="I116" i="176" s="1"/>
  <c r="I82" i="176"/>
  <c r="G83" i="176"/>
  <c r="G116" i="176" s="1"/>
  <c r="G82" i="176"/>
  <c r="F92" i="167"/>
  <c r="F49" i="167" s="1"/>
  <c r="D16" i="177"/>
  <c r="E46" i="176"/>
  <c r="E121" i="176" s="1"/>
  <c r="C18" i="177"/>
  <c r="H38" i="99"/>
  <c r="E6" i="98" s="1"/>
  <c r="E7" i="98"/>
  <c r="AV102" i="167"/>
  <c r="AV64" i="167" s="1"/>
  <c r="AA17" i="98"/>
  <c r="R17" i="177" s="1"/>
  <c r="H16" i="158"/>
  <c r="F64" i="176"/>
  <c r="F115" i="176" s="1"/>
  <c r="F63" i="176"/>
  <c r="F75" i="167"/>
  <c r="F48" i="167" s="1"/>
  <c r="C16" i="177"/>
  <c r="E27" i="176"/>
  <c r="E120" i="176" s="1"/>
  <c r="K16" i="177"/>
  <c r="Y84" i="176"/>
  <c r="E39" i="161"/>
  <c r="C19" i="177"/>
  <c r="F33" i="132"/>
  <c r="W19" i="98"/>
  <c r="E28" i="176"/>
  <c r="F76" i="167"/>
  <c r="F33" i="136"/>
  <c r="F76" i="166"/>
  <c r="C9" i="123"/>
  <c r="F9" i="177" s="1"/>
  <c r="H3" i="106"/>
  <c r="F30" i="157"/>
  <c r="E15" i="156" s="1"/>
  <c r="E15" i="158" s="1"/>
  <c r="E43" i="158" s="1"/>
  <c r="F24" i="123"/>
  <c r="H90" i="176" s="1"/>
  <c r="H80" i="176"/>
  <c r="H102" i="176" s="1"/>
  <c r="F30" i="160"/>
  <c r="E15" i="159" s="1"/>
  <c r="E15" i="161" s="1"/>
  <c r="E43" i="161" s="1"/>
  <c r="U15" i="177"/>
  <c r="U12" i="177"/>
  <c r="F28" i="160"/>
  <c r="C15" i="159" s="1"/>
  <c r="C15" i="161" s="1"/>
  <c r="C43" i="161" s="1"/>
  <c r="F29" i="160"/>
  <c r="D15" i="159" s="1"/>
  <c r="D15" i="161" s="1"/>
  <c r="D43" i="161" s="1"/>
  <c r="U13" i="177"/>
  <c r="AA12" i="122"/>
  <c r="J12" i="177"/>
  <c r="C9" i="122"/>
  <c r="E9" i="177" s="1"/>
  <c r="H3" i="104"/>
  <c r="H63" i="176"/>
  <c r="H64" i="176"/>
  <c r="H115" i="176" s="1"/>
  <c r="AA13" i="122"/>
  <c r="J13" i="177"/>
  <c r="W12" i="121"/>
  <c r="D12" i="177"/>
  <c r="AA15" i="121"/>
  <c r="S15" i="177" s="1"/>
  <c r="I15" i="177"/>
  <c r="W12" i="98"/>
  <c r="C12" i="177"/>
  <c r="AA15" i="98"/>
  <c r="R15" i="177" s="1"/>
  <c r="H15" i="177"/>
  <c r="E81" i="176"/>
  <c r="F14" i="91"/>
  <c r="D9" i="60" s="1"/>
  <c r="AV136" i="167"/>
  <c r="AV66" i="167" s="1"/>
  <c r="AO66" i="167"/>
  <c r="H42" i="104"/>
  <c r="E16" i="122"/>
  <c r="K30" i="169" s="1"/>
  <c r="K48" i="169" s="1"/>
  <c r="AS109" i="167"/>
  <c r="AS50" i="167" s="1"/>
  <c r="AS109" i="166"/>
  <c r="AS50" i="166" s="1"/>
  <c r="AS84" i="132"/>
  <c r="AS100" i="132" s="1"/>
  <c r="F14" i="157"/>
  <c r="D9" i="156" s="1"/>
  <c r="D9" i="158" s="1"/>
  <c r="D37" i="158" s="1"/>
  <c r="Z63" i="167"/>
  <c r="AV85" i="167"/>
  <c r="AV63" i="167" s="1"/>
  <c r="C24" i="153"/>
  <c r="C5" i="155"/>
  <c r="C33" i="155" s="1"/>
  <c r="F40" i="98"/>
  <c r="E16" i="98"/>
  <c r="N75" i="167" s="1"/>
  <c r="N48" i="167" s="1"/>
  <c r="W13" i="121"/>
  <c r="L38" i="169"/>
  <c r="I25" i="168"/>
  <c r="I24" i="168"/>
  <c r="I49" i="168" s="1"/>
  <c r="X125" i="167"/>
  <c r="X46" i="167" s="1"/>
  <c r="X124" i="167"/>
  <c r="X41" i="167" s="1"/>
  <c r="N73" i="167"/>
  <c r="N38" i="167" s="1"/>
  <c r="AS107" i="167"/>
  <c r="AS40" i="167" s="1"/>
  <c r="AS108" i="167"/>
  <c r="AS45" i="167" s="1"/>
  <c r="E23" i="168"/>
  <c r="F123" i="167"/>
  <c r="F36" i="167" s="1"/>
  <c r="W132" i="167"/>
  <c r="W56" i="167" s="1"/>
  <c r="W116" i="132"/>
  <c r="W127" i="132" s="1"/>
  <c r="F23" i="168"/>
  <c r="M123" i="167"/>
  <c r="M36" i="167" s="1"/>
  <c r="I32" i="168"/>
  <c r="I50" i="168" s="1"/>
  <c r="X132" i="167"/>
  <c r="X56" i="167" s="1"/>
  <c r="M107" i="167"/>
  <c r="M40" i="167" s="1"/>
  <c r="M108" i="167"/>
  <c r="M45" i="167" s="1"/>
  <c r="AS75" i="166"/>
  <c r="AS48" i="166" s="1"/>
  <c r="AS75" i="167"/>
  <c r="AS48" i="167" s="1"/>
  <c r="G25" i="168"/>
  <c r="G24" i="168"/>
  <c r="G49" i="168" s="1"/>
  <c r="N125" i="167"/>
  <c r="N46" i="167" s="1"/>
  <c r="N124" i="167"/>
  <c r="N41" i="167" s="1"/>
  <c r="W107" i="167"/>
  <c r="W40" i="167" s="1"/>
  <c r="W108" i="167"/>
  <c r="W45" i="167" s="1"/>
  <c r="Y26" i="168"/>
  <c r="AR126" i="167"/>
  <c r="AR51" i="167" s="1"/>
  <c r="J82" i="169"/>
  <c r="J60" i="169"/>
  <c r="L30" i="169"/>
  <c r="J20" i="155"/>
  <c r="D14" i="152"/>
  <c r="D18" i="152" s="1"/>
  <c r="K20" i="155"/>
  <c r="D14" i="151"/>
  <c r="D18" i="151" s="1"/>
  <c r="X132" i="166"/>
  <c r="X56" i="166" s="1"/>
  <c r="X116" i="132"/>
  <c r="X127" i="132" s="1"/>
  <c r="W11" i="122"/>
  <c r="M107" i="166"/>
  <c r="M40" i="166" s="1"/>
  <c r="M108" i="166"/>
  <c r="M45" i="166" s="1"/>
  <c r="M82" i="132"/>
  <c r="M98" i="132" s="1"/>
  <c r="M83" i="132"/>
  <c r="M99" i="132" s="1"/>
  <c r="N124" i="166"/>
  <c r="N41" i="166" s="1"/>
  <c r="N125" i="166"/>
  <c r="N46" i="166" s="1"/>
  <c r="N108" i="132"/>
  <c r="N124" i="132" s="1"/>
  <c r="N109" i="132"/>
  <c r="N125" i="132" s="1"/>
  <c r="F92" i="166"/>
  <c r="F49" i="166" s="1"/>
  <c r="F58" i="132"/>
  <c r="F74" i="132" s="1"/>
  <c r="P35" i="147"/>
  <c r="P43" i="147" s="1"/>
  <c r="AS107" i="166"/>
  <c r="AS40" i="166" s="1"/>
  <c r="AS108" i="166"/>
  <c r="AS45" i="166" s="1"/>
  <c r="AS82" i="132"/>
  <c r="AS98" i="132" s="1"/>
  <c r="AS83" i="132"/>
  <c r="AS99" i="132" s="1"/>
  <c r="O35" i="147"/>
  <c r="O43" i="147" s="1"/>
  <c r="X14" i="121"/>
  <c r="H370" i="102"/>
  <c r="G24" i="60"/>
  <c r="G5" i="116"/>
  <c r="G33" i="116" s="1"/>
  <c r="G5" i="165"/>
  <c r="G28" i="165" s="1"/>
  <c r="W107" i="166"/>
  <c r="W40" i="166" s="1"/>
  <c r="W108" i="166"/>
  <c r="W45" i="166" s="1"/>
  <c r="W82" i="132"/>
  <c r="W98" i="132" s="1"/>
  <c r="W83" i="132"/>
  <c r="W99" i="132" s="1"/>
  <c r="AA16" i="123"/>
  <c r="AR126" i="166"/>
  <c r="AR51" i="166" s="1"/>
  <c r="AR110" i="132"/>
  <c r="AR126" i="132" s="1"/>
  <c r="M123" i="166"/>
  <c r="M36" i="166" s="1"/>
  <c r="M107" i="132"/>
  <c r="M123" i="132" s="1"/>
  <c r="W11" i="123"/>
  <c r="X124" i="166"/>
  <c r="X41" i="166" s="1"/>
  <c r="X125" i="166"/>
  <c r="X46" i="166" s="1"/>
  <c r="X108" i="132"/>
  <c r="X124" i="132" s="1"/>
  <c r="X109" i="132"/>
  <c r="X125" i="132" s="1"/>
  <c r="N75" i="166"/>
  <c r="N48" i="166" s="1"/>
  <c r="N73" i="166"/>
  <c r="N38" i="166" s="1"/>
  <c r="F106" i="166"/>
  <c r="F35" i="166" s="1"/>
  <c r="F81" i="132"/>
  <c r="F97" i="132" s="1"/>
  <c r="H60" i="99"/>
  <c r="F11" i="98"/>
  <c r="X10" i="122"/>
  <c r="O10" i="177" s="1"/>
  <c r="H368" i="104"/>
  <c r="D5" i="158"/>
  <c r="D33" i="158" s="1"/>
  <c r="D24" i="156"/>
  <c r="H6" i="102"/>
  <c r="C11" i="121"/>
  <c r="AS92" i="166"/>
  <c r="AS49" i="166" s="1"/>
  <c r="AS58" i="132"/>
  <c r="AS74" i="132" s="1"/>
  <c r="E16" i="121"/>
  <c r="H42" i="102"/>
  <c r="X14" i="98"/>
  <c r="H370" i="99"/>
  <c r="H6" i="99"/>
  <c r="C11" i="98"/>
  <c r="N35" i="147"/>
  <c r="N43" i="147" s="1"/>
  <c r="F75" i="166"/>
  <c r="F48" i="166" s="1"/>
  <c r="F32" i="136"/>
  <c r="F32" i="132"/>
  <c r="F48" i="132" s="1"/>
  <c r="F123" i="166"/>
  <c r="F36" i="166" s="1"/>
  <c r="F107" i="132"/>
  <c r="F123" i="132" s="1"/>
  <c r="F10" i="122"/>
  <c r="H59" i="104"/>
  <c r="F11" i="121"/>
  <c r="H60" i="102"/>
  <c r="J16" i="158"/>
  <c r="K16" i="158"/>
  <c r="K44" i="158" s="1"/>
  <c r="S97" i="114"/>
  <c r="S103" i="114" s="1"/>
  <c r="S111" i="114" s="1"/>
  <c r="S112" i="114" s="1"/>
  <c r="S107" i="114"/>
  <c r="S108" i="114" s="1"/>
  <c r="E13" i="163"/>
  <c r="F24" i="153"/>
  <c r="F5" i="155"/>
  <c r="F33" i="155" s="1"/>
  <c r="C9" i="156"/>
  <c r="E186" i="112"/>
  <c r="D190" i="112"/>
  <c r="F16" i="157" s="1"/>
  <c r="F9" i="156" s="1"/>
  <c r="F50" i="91"/>
  <c r="E19" i="60" s="1"/>
  <c r="E9" i="60"/>
  <c r="D20" i="159"/>
  <c r="D13" i="98"/>
  <c r="W13" i="98" s="1"/>
  <c r="H25" i="99"/>
  <c r="K20" i="156"/>
  <c r="Q97" i="114"/>
  <c r="Q103" i="114" s="1"/>
  <c r="Q107" i="114"/>
  <c r="Q108" i="114" s="1"/>
  <c r="U97" i="114"/>
  <c r="U103" i="114" s="1"/>
  <c r="U111" i="114" s="1"/>
  <c r="U112" i="114" s="1"/>
  <c r="F55" i="160" s="1"/>
  <c r="E24" i="159" s="1"/>
  <c r="U107" i="114"/>
  <c r="U108" i="114" s="1"/>
  <c r="E9" i="98"/>
  <c r="G24" i="176" s="1"/>
  <c r="G106" i="176" s="1"/>
  <c r="E10" i="98"/>
  <c r="M35" i="147"/>
  <c r="E9" i="159"/>
  <c r="F50" i="160"/>
  <c r="E19" i="159" s="1"/>
  <c r="E19" i="161" s="1"/>
  <c r="D9" i="155"/>
  <c r="D37" i="155" s="1"/>
  <c r="E103" i="112"/>
  <c r="D107" i="112"/>
  <c r="F16" i="154" s="1"/>
  <c r="F9" i="153" s="1"/>
  <c r="F13" i="154"/>
  <c r="C9" i="153" s="1"/>
  <c r="AS32" i="132"/>
  <c r="AS48" i="132" s="1"/>
  <c r="AS32" i="136"/>
  <c r="F59" i="160"/>
  <c r="J20" i="159"/>
  <c r="V97" i="114"/>
  <c r="V103" i="114" s="1"/>
  <c r="V111" i="114" s="1"/>
  <c r="V112" i="114" s="1"/>
  <c r="V107" i="114"/>
  <c r="V108" i="114" s="1"/>
  <c r="R97" i="114"/>
  <c r="R103" i="114" s="1"/>
  <c r="R107" i="114"/>
  <c r="R108" i="114" s="1"/>
  <c r="E9" i="156"/>
  <c r="F50" i="157"/>
  <c r="E19" i="156" s="1"/>
  <c r="E19" i="158" s="1"/>
  <c r="D23" i="112"/>
  <c r="C9" i="60"/>
  <c r="E19" i="112"/>
  <c r="J14" i="165"/>
  <c r="J18" i="165" s="1"/>
  <c r="I14" i="165"/>
  <c r="I18" i="165" s="1"/>
  <c r="K20" i="60"/>
  <c r="J20" i="60"/>
  <c r="F59" i="91"/>
  <c r="H44" i="158"/>
  <c r="F59" i="157"/>
  <c r="J20" i="156"/>
  <c r="J44" i="158"/>
  <c r="G9" i="123"/>
  <c r="I81" i="176" s="1"/>
  <c r="I109" i="176" s="1"/>
  <c r="G10" i="123"/>
  <c r="G45" i="123"/>
  <c r="I94" i="176" s="1"/>
  <c r="I137" i="176" s="1"/>
  <c r="T97" i="114"/>
  <c r="T103" i="114" s="1"/>
  <c r="T111" i="114" s="1"/>
  <c r="T112" i="114" s="1"/>
  <c r="T107" i="114"/>
  <c r="T108" i="114" s="1"/>
  <c r="N32" i="132"/>
  <c r="N48" i="132" s="1"/>
  <c r="N32" i="136"/>
  <c r="N30" i="132"/>
  <c r="N46" i="132" s="1"/>
  <c r="N30" i="136"/>
  <c r="K20" i="153"/>
  <c r="K44" i="155"/>
  <c r="F59" i="154"/>
  <c r="J20" i="153"/>
  <c r="J44" i="155"/>
  <c r="H23" i="104"/>
  <c r="D10" i="122"/>
  <c r="D9" i="161"/>
  <c r="D37" i="161" s="1"/>
  <c r="F13" i="160"/>
  <c r="C9" i="159" s="1"/>
  <c r="E269" i="112"/>
  <c r="D273" i="112"/>
  <c r="F16" i="160" s="1"/>
  <c r="F9" i="159" s="1"/>
  <c r="E9" i="153"/>
  <c r="F50" i="154"/>
  <c r="E19" i="153" s="1"/>
  <c r="E19" i="155" s="1"/>
  <c r="J16" i="116"/>
  <c r="K16" i="116"/>
  <c r="K20" i="159"/>
  <c r="H41" i="106"/>
  <c r="E10" i="123"/>
  <c r="D11" i="121"/>
  <c r="K16" i="161"/>
  <c r="J16" i="161"/>
  <c r="D9" i="122" l="1"/>
  <c r="H21" i="104"/>
  <c r="E9" i="123"/>
  <c r="G81" i="176" s="1"/>
  <c r="G109" i="176" s="1"/>
  <c r="H39" i="106"/>
  <c r="H32" i="168"/>
  <c r="H50" i="168" s="1"/>
  <c r="F106" i="167"/>
  <c r="F35" i="167" s="1"/>
  <c r="C49" i="168"/>
  <c r="V147" i="168" s="1"/>
  <c r="W132" i="166"/>
  <c r="W56" i="166" s="1"/>
  <c r="Z80" i="176"/>
  <c r="Z102" i="176" s="1"/>
  <c r="P6" i="177"/>
  <c r="X24" i="123"/>
  <c r="H20" i="106"/>
  <c r="D7" i="123"/>
  <c r="X9" i="122"/>
  <c r="H365" i="104"/>
  <c r="AA14" i="98"/>
  <c r="R14" i="177" s="1"/>
  <c r="M14" i="177"/>
  <c r="E24" i="98"/>
  <c r="G23" i="176"/>
  <c r="G99" i="176" s="1"/>
  <c r="AS106" i="167"/>
  <c r="AS35" i="167" s="1"/>
  <c r="O9" i="177"/>
  <c r="Z62" i="176"/>
  <c r="Z108" i="176" s="1"/>
  <c r="G65" i="176"/>
  <c r="G122" i="176" s="1"/>
  <c r="G63" i="176"/>
  <c r="Y28" i="176"/>
  <c r="D28" i="176" s="1"/>
  <c r="H19" i="177"/>
  <c r="AA19" i="98"/>
  <c r="AR76" i="166"/>
  <c r="AR76" i="167"/>
  <c r="AR33" i="136"/>
  <c r="AR33" i="132"/>
  <c r="G46" i="176"/>
  <c r="G121" i="176" s="1"/>
  <c r="G44" i="176"/>
  <c r="F32" i="160"/>
  <c r="G15" i="159" s="1"/>
  <c r="U16" i="177"/>
  <c r="AA84" i="176"/>
  <c r="AA123" i="176" s="1"/>
  <c r="F45" i="176"/>
  <c r="F114" i="176" s="1"/>
  <c r="M106" i="167"/>
  <c r="M35" i="167" s="1"/>
  <c r="F62" i="176"/>
  <c r="F108" i="176" s="1"/>
  <c r="AA14" i="121"/>
  <c r="S14" i="177" s="1"/>
  <c r="N14" i="177"/>
  <c r="G27" i="176"/>
  <c r="G120" i="176" s="1"/>
  <c r="G25" i="176"/>
  <c r="AS92" i="167"/>
  <c r="AS49" i="167" s="1"/>
  <c r="N16" i="177"/>
  <c r="Z46" i="176"/>
  <c r="Z121" i="176" s="1"/>
  <c r="K11" i="177"/>
  <c r="Y83" i="176"/>
  <c r="Y82" i="176"/>
  <c r="D82" i="176" s="1"/>
  <c r="E62" i="176"/>
  <c r="E108" i="176" s="1"/>
  <c r="H412" i="106"/>
  <c r="C42" i="123" s="1"/>
  <c r="C7" i="123"/>
  <c r="H410" i="106"/>
  <c r="H2" i="106"/>
  <c r="C6" i="123" s="1"/>
  <c r="J11" i="177"/>
  <c r="Y64" i="176"/>
  <c r="H412" i="104"/>
  <c r="C42" i="122" s="1"/>
  <c r="H410" i="104"/>
  <c r="H2" i="104"/>
  <c r="C6" i="122" s="1"/>
  <c r="C7" i="122"/>
  <c r="E7" i="177" s="1"/>
  <c r="F29" i="157"/>
  <c r="D15" i="156" s="1"/>
  <c r="D15" i="158" s="1"/>
  <c r="D43" i="158" s="1"/>
  <c r="T13" i="177"/>
  <c r="T12" i="177"/>
  <c r="F28" i="157"/>
  <c r="C15" i="156" s="1"/>
  <c r="C15" i="158" s="1"/>
  <c r="C43" i="158" s="1"/>
  <c r="H45" i="176"/>
  <c r="H114" i="176" s="1"/>
  <c r="H44" i="176"/>
  <c r="AA13" i="121"/>
  <c r="S13" i="177" s="1"/>
  <c r="I13" i="177"/>
  <c r="AA12" i="121"/>
  <c r="I12" i="177"/>
  <c r="AA13" i="98"/>
  <c r="H13" i="177"/>
  <c r="C11" i="177"/>
  <c r="E26" i="176"/>
  <c r="E113" i="176" s="1"/>
  <c r="E25" i="176"/>
  <c r="D11" i="177"/>
  <c r="E45" i="176"/>
  <c r="E114" i="176" s="1"/>
  <c r="E44" i="176"/>
  <c r="H26" i="176"/>
  <c r="H113" i="176" s="1"/>
  <c r="H25" i="176"/>
  <c r="AA12" i="98"/>
  <c r="H12" i="177"/>
  <c r="E109" i="176"/>
  <c r="D8" i="165"/>
  <c r="D32" i="165" s="1"/>
  <c r="D9" i="116"/>
  <c r="D37" i="116" s="1"/>
  <c r="C5" i="156"/>
  <c r="B6" i="162"/>
  <c r="B6" i="163" s="1"/>
  <c r="B14" i="163" s="1"/>
  <c r="C24" i="155"/>
  <c r="B26" i="162" s="1"/>
  <c r="W16" i="122"/>
  <c r="N109" i="167"/>
  <c r="N50" i="167" s="1"/>
  <c r="N107" i="166"/>
  <c r="N40" i="166" s="1"/>
  <c r="N107" i="167"/>
  <c r="N40" i="167" s="1"/>
  <c r="N82" i="132"/>
  <c r="N98" i="132" s="1"/>
  <c r="N109" i="166"/>
  <c r="N50" i="166" s="1"/>
  <c r="N84" i="132"/>
  <c r="N100" i="132" s="1"/>
  <c r="F30" i="91"/>
  <c r="E15" i="60" s="1"/>
  <c r="H41" i="104"/>
  <c r="E10" i="122"/>
  <c r="W10" i="122" s="1"/>
  <c r="F16" i="91"/>
  <c r="F9" i="60" s="1"/>
  <c r="F30" i="154"/>
  <c r="E15" i="153" s="1"/>
  <c r="J39" i="165"/>
  <c r="F38" i="98"/>
  <c r="H35" i="176" s="1"/>
  <c r="F39" i="98"/>
  <c r="F40" i="121"/>
  <c r="D20" i="156"/>
  <c r="K44" i="169"/>
  <c r="K68" i="169"/>
  <c r="L44" i="169"/>
  <c r="L46" i="169"/>
  <c r="L48" i="169"/>
  <c r="M91" i="167"/>
  <c r="M44" i="167" s="1"/>
  <c r="W90" i="167"/>
  <c r="W39" i="167" s="1"/>
  <c r="W91" i="167"/>
  <c r="W44" i="167" s="1"/>
  <c r="W10" i="123"/>
  <c r="I36" i="168"/>
  <c r="X136" i="167"/>
  <c r="X66" i="167" s="1"/>
  <c r="I23" i="168"/>
  <c r="X123" i="167"/>
  <c r="X36" i="167" s="1"/>
  <c r="N72" i="166"/>
  <c r="N33" i="166" s="1"/>
  <c r="N72" i="167"/>
  <c r="N33" i="167" s="1"/>
  <c r="I18" i="169"/>
  <c r="R18" i="169"/>
  <c r="F74" i="167"/>
  <c r="F43" i="167" s="1"/>
  <c r="F73" i="167"/>
  <c r="F38" i="167" s="1"/>
  <c r="J18" i="169"/>
  <c r="F91" i="167"/>
  <c r="F44" i="167" s="1"/>
  <c r="F90" i="167"/>
  <c r="F39" i="167" s="1"/>
  <c r="W73" i="167"/>
  <c r="W38" i="167" s="1"/>
  <c r="W74" i="167"/>
  <c r="W43" i="167" s="1"/>
  <c r="AA26" i="168"/>
  <c r="D126" i="167"/>
  <c r="D51" i="167" s="1"/>
  <c r="AT126" i="167"/>
  <c r="L32" i="169"/>
  <c r="K46" i="169"/>
  <c r="L68" i="169"/>
  <c r="G23" i="168"/>
  <c r="N123" i="167"/>
  <c r="N36" i="167" s="1"/>
  <c r="N92" i="167"/>
  <c r="N49" i="167" s="1"/>
  <c r="N90" i="167"/>
  <c r="N39" i="167" s="1"/>
  <c r="Y25" i="168"/>
  <c r="Y24" i="168"/>
  <c r="AR125" i="167"/>
  <c r="AR46" i="167" s="1"/>
  <c r="AR124" i="167"/>
  <c r="AR41" i="167" s="1"/>
  <c r="AR108" i="167"/>
  <c r="AR45" i="167" s="1"/>
  <c r="AR107" i="167"/>
  <c r="AR40" i="167" s="1"/>
  <c r="K32" i="169"/>
  <c r="L78" i="169"/>
  <c r="O78" i="169" s="1"/>
  <c r="L40" i="169"/>
  <c r="K20" i="161"/>
  <c r="F14" i="151"/>
  <c r="F18" i="151" s="1"/>
  <c r="W9" i="123"/>
  <c r="K9" i="177" s="1"/>
  <c r="N123" i="166"/>
  <c r="N36" i="166" s="1"/>
  <c r="N107" i="132"/>
  <c r="N123" i="132" s="1"/>
  <c r="M106" i="166"/>
  <c r="M35" i="166" s="1"/>
  <c r="M81" i="132"/>
  <c r="M97" i="132" s="1"/>
  <c r="X123" i="166"/>
  <c r="X36" i="166" s="1"/>
  <c r="X107" i="132"/>
  <c r="X123" i="132" s="1"/>
  <c r="J20" i="161"/>
  <c r="J48" i="161" s="1"/>
  <c r="F14" i="152"/>
  <c r="F18" i="152" s="1"/>
  <c r="I39" i="165"/>
  <c r="K20" i="158"/>
  <c r="E14" i="151"/>
  <c r="E18" i="151" s="1"/>
  <c r="W90" i="166"/>
  <c r="W39" i="166" s="1"/>
  <c r="W91" i="166"/>
  <c r="W44" i="166" s="1"/>
  <c r="W56" i="132"/>
  <c r="W72" i="132" s="1"/>
  <c r="W57" i="132"/>
  <c r="W73" i="132" s="1"/>
  <c r="F74" i="166"/>
  <c r="F43" i="166" s="1"/>
  <c r="F73" i="166"/>
  <c r="F38" i="166" s="1"/>
  <c r="F31" i="132"/>
  <c r="F47" i="132" s="1"/>
  <c r="K18" i="146"/>
  <c r="K24" i="146" s="1"/>
  <c r="F30" i="136"/>
  <c r="F30" i="132"/>
  <c r="F46" i="132" s="1"/>
  <c r="F31" i="136"/>
  <c r="X11" i="98"/>
  <c r="H369" i="99"/>
  <c r="H368" i="99" s="1"/>
  <c r="H365" i="99" s="1"/>
  <c r="H366" i="99" s="1"/>
  <c r="H41" i="102"/>
  <c r="E10" i="121"/>
  <c r="F91" i="166"/>
  <c r="F44" i="166" s="1"/>
  <c r="F90" i="166"/>
  <c r="F39" i="166" s="1"/>
  <c r="F57" i="132"/>
  <c r="F73" i="132" s="1"/>
  <c r="F56" i="132"/>
  <c r="F72" i="132" s="1"/>
  <c r="F54" i="157"/>
  <c r="C7" i="162"/>
  <c r="C7" i="163" s="1"/>
  <c r="C15" i="163" s="1"/>
  <c r="D5" i="159"/>
  <c r="D24" i="158"/>
  <c r="C27" i="162" s="1"/>
  <c r="AS106" i="166"/>
  <c r="AS35" i="166" s="1"/>
  <c r="AS81" i="132"/>
  <c r="AS97" i="132" s="1"/>
  <c r="W73" i="166"/>
  <c r="W38" i="166" s="1"/>
  <c r="W74" i="166"/>
  <c r="W43" i="166" s="1"/>
  <c r="W30" i="136"/>
  <c r="W30" i="132"/>
  <c r="W46" i="132" s="1"/>
  <c r="W31" i="132"/>
  <c r="W47" i="132" s="1"/>
  <c r="W31" i="136"/>
  <c r="AT126" i="166"/>
  <c r="D126" i="166"/>
  <c r="D51" i="166" s="1"/>
  <c r="AT110" i="132"/>
  <c r="D110" i="132"/>
  <c r="D126" i="132" s="1"/>
  <c r="F8" i="160"/>
  <c r="C8" i="159" s="1"/>
  <c r="C12" i="159" s="1"/>
  <c r="F9" i="160"/>
  <c r="D8" i="159" s="1"/>
  <c r="F11" i="160"/>
  <c r="F8" i="159" s="1"/>
  <c r="F8" i="161" s="1"/>
  <c r="F36" i="161" s="1"/>
  <c r="F12" i="160"/>
  <c r="G8" i="159" s="1"/>
  <c r="F10" i="160"/>
  <c r="E8" i="159" s="1"/>
  <c r="E8" i="161" s="1"/>
  <c r="G5" i="153"/>
  <c r="G19" i="165"/>
  <c r="G24" i="116"/>
  <c r="F25" i="162" s="1"/>
  <c r="F5" i="162"/>
  <c r="F5" i="163" s="1"/>
  <c r="F13" i="163" s="1"/>
  <c r="W11" i="121"/>
  <c r="M91" i="166"/>
  <c r="M44" i="166" s="1"/>
  <c r="M57" i="132"/>
  <c r="M73" i="132" s="1"/>
  <c r="X136" i="166"/>
  <c r="X66" i="166" s="1"/>
  <c r="X120" i="132"/>
  <c r="X129" i="132" s="1"/>
  <c r="J20" i="158"/>
  <c r="E14" i="152"/>
  <c r="E18" i="152" s="1"/>
  <c r="F10" i="121"/>
  <c r="H59" i="102"/>
  <c r="F9" i="122"/>
  <c r="H62" i="176" s="1"/>
  <c r="H108" i="176" s="1"/>
  <c r="H57" i="104"/>
  <c r="C10" i="98"/>
  <c r="C10" i="177" s="1"/>
  <c r="H5" i="99"/>
  <c r="N92" i="166"/>
  <c r="N49" i="166" s="1"/>
  <c r="N58" i="132"/>
  <c r="N74" i="132" s="1"/>
  <c r="N90" i="166"/>
  <c r="N39" i="166" s="1"/>
  <c r="N56" i="132"/>
  <c r="N72" i="132" s="1"/>
  <c r="H5" i="102"/>
  <c r="C10" i="121"/>
  <c r="D10" i="177" s="1"/>
  <c r="H59" i="99"/>
  <c r="F10" i="98"/>
  <c r="AA11" i="123"/>
  <c r="AR124" i="166"/>
  <c r="AR41" i="166" s="1"/>
  <c r="AR125" i="166"/>
  <c r="AR46" i="166" s="1"/>
  <c r="AR108" i="132"/>
  <c r="AR124" i="132" s="1"/>
  <c r="AR109" i="132"/>
  <c r="AR125" i="132" s="1"/>
  <c r="X11" i="121"/>
  <c r="H369" i="102"/>
  <c r="AA11" i="122"/>
  <c r="AR108" i="166"/>
  <c r="AR45" i="166" s="1"/>
  <c r="AR107" i="166"/>
  <c r="AR40" i="166" s="1"/>
  <c r="AR83" i="132"/>
  <c r="AR99" i="132" s="1"/>
  <c r="AR82" i="132"/>
  <c r="AR98" i="132" s="1"/>
  <c r="K48" i="161"/>
  <c r="J20" i="116"/>
  <c r="C14" i="152"/>
  <c r="C18" i="152" s="1"/>
  <c r="E9" i="155"/>
  <c r="E37" i="155" s="1"/>
  <c r="J48" i="155"/>
  <c r="J44" i="116"/>
  <c r="J43" i="165"/>
  <c r="C8" i="165"/>
  <c r="C32" i="165" s="1"/>
  <c r="D22" i="112"/>
  <c r="C9" i="116"/>
  <c r="C37" i="116" s="1"/>
  <c r="E20" i="158"/>
  <c r="E20" i="156"/>
  <c r="D20" i="158"/>
  <c r="F9" i="155"/>
  <c r="F37" i="155" s="1"/>
  <c r="F51" i="154"/>
  <c r="F19" i="153" s="1"/>
  <c r="E20" i="161"/>
  <c r="E20" i="159"/>
  <c r="M43" i="147"/>
  <c r="D11" i="98"/>
  <c r="E8" i="165"/>
  <c r="E32" i="165" s="1"/>
  <c r="E9" i="116"/>
  <c r="E37" i="116" s="1"/>
  <c r="F51" i="157"/>
  <c r="F19" i="156" s="1"/>
  <c r="F9" i="158"/>
  <c r="F37" i="158" s="1"/>
  <c r="D189" i="112"/>
  <c r="C9" i="158"/>
  <c r="C37" i="158" s="1"/>
  <c r="H9" i="156"/>
  <c r="O8" i="147" s="1"/>
  <c r="O10" i="147" s="1"/>
  <c r="K44" i="161"/>
  <c r="C14" i="151"/>
  <c r="C18" i="151" s="1"/>
  <c r="K20" i="116"/>
  <c r="E47" i="155"/>
  <c r="F9" i="161"/>
  <c r="F37" i="161" s="1"/>
  <c r="F51" i="160"/>
  <c r="F19" i="159" s="1"/>
  <c r="F19" i="161" s="1"/>
  <c r="C9" i="161"/>
  <c r="D272" i="112"/>
  <c r="H9" i="159"/>
  <c r="P8" i="147" s="1"/>
  <c r="P10" i="147" s="1"/>
  <c r="K48" i="155"/>
  <c r="F5" i="160"/>
  <c r="F55" i="157"/>
  <c r="E24" i="156" s="1"/>
  <c r="J48" i="158"/>
  <c r="J48" i="116"/>
  <c r="I43" i="165"/>
  <c r="K44" i="116"/>
  <c r="E9" i="158"/>
  <c r="R104" i="114"/>
  <c r="R111" i="114"/>
  <c r="R112" i="114" s="1"/>
  <c r="J44" i="161"/>
  <c r="H9" i="153"/>
  <c r="N8" i="147" s="1"/>
  <c r="N10" i="147" s="1"/>
  <c r="D106" i="112"/>
  <c r="C9" i="155"/>
  <c r="H9" i="155" s="1"/>
  <c r="E9" i="161"/>
  <c r="N29" i="132"/>
  <c r="N45" i="132" s="1"/>
  <c r="N29" i="136"/>
  <c r="D8" i="162"/>
  <c r="E24" i="161"/>
  <c r="D28" i="162" s="1"/>
  <c r="Q104" i="114"/>
  <c r="Q111" i="114"/>
  <c r="Q112" i="114" s="1"/>
  <c r="K48" i="158"/>
  <c r="D20" i="161"/>
  <c r="E17" i="165"/>
  <c r="E6" i="162"/>
  <c r="E6" i="163" s="1"/>
  <c r="E14" i="163" s="1"/>
  <c r="F24" i="155"/>
  <c r="E26" i="162" s="1"/>
  <c r="F56" i="154"/>
  <c r="F5" i="156"/>
  <c r="F5" i="157"/>
  <c r="F55" i="154"/>
  <c r="E24" i="153" s="1"/>
  <c r="E9" i="121" l="1"/>
  <c r="N89" i="167" s="1"/>
  <c r="N34" i="167" s="1"/>
  <c r="H39" i="102"/>
  <c r="H415" i="106"/>
  <c r="D6" i="123"/>
  <c r="E7" i="123"/>
  <c r="H38" i="106"/>
  <c r="E6" i="123" s="1"/>
  <c r="H366" i="104"/>
  <c r="X7" i="122" s="1"/>
  <c r="O7" i="177" s="1"/>
  <c r="X6" i="122"/>
  <c r="P24" i="177"/>
  <c r="Z32" i="168"/>
  <c r="Z50" i="168" s="1"/>
  <c r="X45" i="123"/>
  <c r="Z90" i="176"/>
  <c r="AS132" i="167"/>
  <c r="AS56" i="167" s="1"/>
  <c r="AS132" i="166"/>
  <c r="AS56" i="166" s="1"/>
  <c r="AS116" i="132"/>
  <c r="AS127" i="132" s="1"/>
  <c r="H20" i="104"/>
  <c r="D7" i="122"/>
  <c r="E9" i="122"/>
  <c r="G62" i="176" s="1"/>
  <c r="G108" i="176" s="1"/>
  <c r="H39" i="104"/>
  <c r="D24" i="168"/>
  <c r="D49" i="168" s="1"/>
  <c r="Y49" i="168"/>
  <c r="M11" i="177"/>
  <c r="Z26" i="176"/>
  <c r="Z113" i="176" s="1"/>
  <c r="Z25" i="176"/>
  <c r="AA28" i="176"/>
  <c r="R19" i="177"/>
  <c r="AT76" i="166"/>
  <c r="AT33" i="136"/>
  <c r="D76" i="166"/>
  <c r="AT33" i="132"/>
  <c r="D76" i="167"/>
  <c r="D33" i="136"/>
  <c r="AT76" i="167"/>
  <c r="D33" i="132"/>
  <c r="N11" i="177"/>
  <c r="Z45" i="176"/>
  <c r="Z114" i="176" s="1"/>
  <c r="Z44" i="176"/>
  <c r="G33" i="176"/>
  <c r="N38" i="132"/>
  <c r="N49" i="132" s="1"/>
  <c r="N81" i="166"/>
  <c r="N53" i="166" s="1"/>
  <c r="N81" i="167"/>
  <c r="N53" i="167" s="1"/>
  <c r="N38" i="136"/>
  <c r="E45" i="98"/>
  <c r="G43" i="176"/>
  <c r="G107" i="176" s="1"/>
  <c r="F29" i="154"/>
  <c r="D15" i="153" s="1"/>
  <c r="J16" i="177"/>
  <c r="Y65" i="176"/>
  <c r="F26" i="176"/>
  <c r="F113" i="176" s="1"/>
  <c r="Y63" i="176"/>
  <c r="D63" i="176" s="1"/>
  <c r="U11" i="177"/>
  <c r="AA83" i="176"/>
  <c r="AA116" i="176" s="1"/>
  <c r="AA82" i="176"/>
  <c r="E80" i="176"/>
  <c r="E102" i="176" s="1"/>
  <c r="F6" i="177"/>
  <c r="C24" i="123"/>
  <c r="W6" i="123"/>
  <c r="F7" i="177"/>
  <c r="W7" i="123"/>
  <c r="AA10" i="123"/>
  <c r="U10" i="177" s="1"/>
  <c r="K10" i="177"/>
  <c r="C40" i="123"/>
  <c r="F40" i="177" s="1"/>
  <c r="H409" i="106"/>
  <c r="F42" i="177"/>
  <c r="W42" i="123"/>
  <c r="AA10" i="122"/>
  <c r="T10" i="177" s="1"/>
  <c r="J10" i="177"/>
  <c r="E61" i="176"/>
  <c r="E101" i="176" s="1"/>
  <c r="E6" i="177"/>
  <c r="C24" i="122"/>
  <c r="E42" i="177"/>
  <c r="W42" i="122"/>
  <c r="T11" i="177"/>
  <c r="AA64" i="176"/>
  <c r="AA115" i="176" s="1"/>
  <c r="H409" i="104"/>
  <c r="C40" i="122"/>
  <c r="E40" i="177" s="1"/>
  <c r="S12" i="177"/>
  <c r="F28" i="154"/>
  <c r="C15" i="153" s="1"/>
  <c r="C15" i="155" s="1"/>
  <c r="C43" i="155" s="1"/>
  <c r="C9" i="121"/>
  <c r="D9" i="177" s="1"/>
  <c r="H3" i="102"/>
  <c r="C9" i="98"/>
  <c r="C9" i="177" s="1"/>
  <c r="H3" i="99"/>
  <c r="I11" i="177"/>
  <c r="Y45" i="176"/>
  <c r="R12" i="177"/>
  <c r="F28" i="91"/>
  <c r="C15" i="60" s="1"/>
  <c r="F29" i="91"/>
  <c r="D15" i="60" s="1"/>
  <c r="D15" i="116" s="1"/>
  <c r="D43" i="116" s="1"/>
  <c r="R13" i="177"/>
  <c r="Y81" i="176"/>
  <c r="D20" i="153"/>
  <c r="D15" i="155"/>
  <c r="F9" i="116"/>
  <c r="F37" i="116" s="1"/>
  <c r="H9" i="60"/>
  <c r="M8" i="147" s="1"/>
  <c r="F8" i="165"/>
  <c r="F32" i="165" s="1"/>
  <c r="F51" i="91"/>
  <c r="F19" i="60" s="1"/>
  <c r="E15" i="116"/>
  <c r="E43" i="116" s="1"/>
  <c r="E20" i="60"/>
  <c r="E13" i="165"/>
  <c r="E38" i="165" s="1"/>
  <c r="F5" i="91"/>
  <c r="E5" i="60" s="1"/>
  <c r="AR109" i="167"/>
  <c r="AR50" i="167" s="1"/>
  <c r="AR109" i="166"/>
  <c r="AR50" i="166" s="1"/>
  <c r="AR84" i="132"/>
  <c r="AR100" i="132" s="1"/>
  <c r="AA16" i="122"/>
  <c r="D107" i="167" s="1"/>
  <c r="D40" i="167" s="1"/>
  <c r="C24" i="156"/>
  <c r="C5" i="158"/>
  <c r="C33" i="158" s="1"/>
  <c r="N106" i="167"/>
  <c r="N35" i="167" s="1"/>
  <c r="N106" i="166"/>
  <c r="N35" i="166" s="1"/>
  <c r="N81" i="132"/>
  <c r="N97" i="132" s="1"/>
  <c r="E15" i="155"/>
  <c r="E43" i="155" s="1"/>
  <c r="E20" i="153"/>
  <c r="W83" i="167"/>
  <c r="W40" i="136"/>
  <c r="W83" i="166"/>
  <c r="F44" i="98"/>
  <c r="H36" i="176" s="1"/>
  <c r="W40" i="132"/>
  <c r="F40" i="122"/>
  <c r="H436" i="104"/>
  <c r="F38" i="121"/>
  <c r="H54" i="176" s="1"/>
  <c r="F39" i="121"/>
  <c r="E20" i="116"/>
  <c r="E48" i="116" s="1"/>
  <c r="AT108" i="167"/>
  <c r="D108" i="167"/>
  <c r="D45" i="167" s="1"/>
  <c r="AS90" i="167"/>
  <c r="AS39" i="167" s="1"/>
  <c r="AS91" i="167"/>
  <c r="AS44" i="167" s="1"/>
  <c r="W9" i="122"/>
  <c r="J9" i="177" s="1"/>
  <c r="W106" i="167"/>
  <c r="W35" i="167" s="1"/>
  <c r="AR91" i="167"/>
  <c r="AR44" i="167" s="1"/>
  <c r="R24" i="169"/>
  <c r="M74" i="167"/>
  <c r="M43" i="167" s="1"/>
  <c r="AA25" i="168"/>
  <c r="AA24" i="168"/>
  <c r="AT125" i="167"/>
  <c r="D124" i="167"/>
  <c r="D41" i="167" s="1"/>
  <c r="D125" i="167"/>
  <c r="D46" i="167" s="1"/>
  <c r="AT124" i="167"/>
  <c r="AS73" i="167"/>
  <c r="AS38" i="167" s="1"/>
  <c r="AS74" i="167"/>
  <c r="AS43" i="167" s="1"/>
  <c r="Y23" i="168"/>
  <c r="D23" i="168" s="1"/>
  <c r="AR123" i="167"/>
  <c r="AR36" i="167" s="1"/>
  <c r="L82" i="169"/>
  <c r="O82" i="169" s="1"/>
  <c r="L60" i="169"/>
  <c r="O60" i="169" s="1"/>
  <c r="S59" i="168"/>
  <c r="K59" i="168"/>
  <c r="X59" i="168"/>
  <c r="X48" i="168" s="1"/>
  <c r="P59" i="168"/>
  <c r="H59" i="168"/>
  <c r="J76" i="169"/>
  <c r="I76" i="169"/>
  <c r="Y44" i="169"/>
  <c r="V44" i="169"/>
  <c r="Y40" i="169"/>
  <c r="U21" i="169"/>
  <c r="L76" i="169"/>
  <c r="O76" i="169" s="1"/>
  <c r="K76" i="169"/>
  <c r="F12" i="161"/>
  <c r="F12" i="159"/>
  <c r="E47" i="158"/>
  <c r="H368" i="102"/>
  <c r="X10" i="121"/>
  <c r="K11" i="148"/>
  <c r="K10" i="148" s="1"/>
  <c r="F9" i="150"/>
  <c r="D125" i="166"/>
  <c r="D46" i="166" s="1"/>
  <c r="AT124" i="166"/>
  <c r="AT125" i="166"/>
  <c r="D124" i="166"/>
  <c r="D41" i="166" s="1"/>
  <c r="D109" i="132"/>
  <c r="D125" i="132" s="1"/>
  <c r="AT108" i="132"/>
  <c r="AT109" i="132"/>
  <c r="D108" i="132"/>
  <c r="D124" i="132" s="1"/>
  <c r="F9" i="98"/>
  <c r="H57" i="99"/>
  <c r="F55" i="132"/>
  <c r="F71" i="132" s="1"/>
  <c r="F29" i="132"/>
  <c r="F45" i="132" s="1"/>
  <c r="F7" i="122"/>
  <c r="H56" i="104"/>
  <c r="F6" i="122" s="1"/>
  <c r="H61" i="176" s="1"/>
  <c r="H101" i="176" s="1"/>
  <c r="H57" i="102"/>
  <c r="F9" i="121"/>
  <c r="G5" i="155"/>
  <c r="G33" i="155" s="1"/>
  <c r="G24" i="153"/>
  <c r="H24" i="153" s="1"/>
  <c r="G6" i="162" s="1"/>
  <c r="G6" i="163" s="1"/>
  <c r="G12" i="159"/>
  <c r="G8" i="161"/>
  <c r="D8" i="161"/>
  <c r="D12" i="159"/>
  <c r="D26" i="159" s="1"/>
  <c r="C18" i="162" s="1"/>
  <c r="C8" i="127" s="1"/>
  <c r="G15" i="161"/>
  <c r="G43" i="161" s="1"/>
  <c r="G20" i="159"/>
  <c r="H15" i="159"/>
  <c r="O15" i="159" s="1"/>
  <c r="P15" i="159" s="1"/>
  <c r="D5" i="161"/>
  <c r="D33" i="161" s="1"/>
  <c r="D24" i="159"/>
  <c r="N89" i="166"/>
  <c r="N34" i="166" s="1"/>
  <c r="N55" i="132"/>
  <c r="N71" i="132" s="1"/>
  <c r="AS73" i="166"/>
  <c r="AS38" i="166" s="1"/>
  <c r="AS74" i="166"/>
  <c r="AS43" i="166" s="1"/>
  <c r="AS31" i="132"/>
  <c r="AS47" i="132" s="1"/>
  <c r="AS31" i="136"/>
  <c r="AS30" i="132"/>
  <c r="AS46" i="132" s="1"/>
  <c r="AS30" i="136"/>
  <c r="M74" i="166"/>
  <c r="M43" i="166" s="1"/>
  <c r="J11" i="148"/>
  <c r="J10" i="148" s="1"/>
  <c r="J21" i="148" s="1"/>
  <c r="AT108" i="166"/>
  <c r="D108" i="166"/>
  <c r="D45" i="166" s="1"/>
  <c r="AT83" i="132"/>
  <c r="D83" i="132"/>
  <c r="D99" i="132" s="1"/>
  <c r="AS90" i="166"/>
  <c r="AS39" i="166" s="1"/>
  <c r="AS91" i="166"/>
  <c r="AS44" i="166" s="1"/>
  <c r="AS56" i="132"/>
  <c r="AS72" i="132" s="1"/>
  <c r="AS57" i="132"/>
  <c r="AS73" i="132" s="1"/>
  <c r="W106" i="166"/>
  <c r="W35" i="166" s="1"/>
  <c r="W81" i="132"/>
  <c r="W97" i="132" s="1"/>
  <c r="AA11" i="121"/>
  <c r="AR91" i="166"/>
  <c r="AR44" i="166" s="1"/>
  <c r="AR57" i="132"/>
  <c r="AR73" i="132" s="1"/>
  <c r="E12" i="159"/>
  <c r="E36" i="161"/>
  <c r="H8" i="159"/>
  <c r="C8" i="161"/>
  <c r="C36" i="161" s="1"/>
  <c r="X9" i="98"/>
  <c r="X10" i="98"/>
  <c r="M10" i="177" s="1"/>
  <c r="AA9" i="123"/>
  <c r="U9" i="177" s="1"/>
  <c r="AR123" i="166"/>
  <c r="AR36" i="166" s="1"/>
  <c r="AR107" i="132"/>
  <c r="AR123" i="132" s="1"/>
  <c r="E37" i="161"/>
  <c r="K9" i="155"/>
  <c r="J9" i="155"/>
  <c r="D20" i="155"/>
  <c r="D48" i="155" s="1"/>
  <c r="D7" i="162"/>
  <c r="D7" i="163" s="1"/>
  <c r="E24" i="158"/>
  <c r="E5" i="159"/>
  <c r="H9" i="161"/>
  <c r="H37" i="161" s="1"/>
  <c r="K9" i="156"/>
  <c r="J9" i="156"/>
  <c r="O18" i="147" s="1"/>
  <c r="F19" i="158"/>
  <c r="F20" i="158" s="1"/>
  <c r="F20" i="156"/>
  <c r="F19" i="155"/>
  <c r="F20" i="155" s="1"/>
  <c r="F20" i="153"/>
  <c r="H9" i="116"/>
  <c r="H37" i="116" s="1"/>
  <c r="E24" i="155"/>
  <c r="E5" i="156"/>
  <c r="D6" i="162"/>
  <c r="D6" i="163" s="1"/>
  <c r="F5" i="158"/>
  <c r="F33" i="158" s="1"/>
  <c r="F24" i="156"/>
  <c r="E47" i="116"/>
  <c r="E42" i="165"/>
  <c r="D20" i="60"/>
  <c r="D8" i="163"/>
  <c r="C37" i="155"/>
  <c r="J9" i="153"/>
  <c r="N18" i="147" s="1"/>
  <c r="K9" i="153"/>
  <c r="H37" i="155"/>
  <c r="D43" i="155"/>
  <c r="F55" i="91"/>
  <c r="E24" i="60" s="1"/>
  <c r="F5" i="154"/>
  <c r="E37" i="158"/>
  <c r="F17" i="165"/>
  <c r="F18" i="165" s="1"/>
  <c r="F20" i="116"/>
  <c r="F20" i="60"/>
  <c r="J9" i="159"/>
  <c r="P18" i="147" s="1"/>
  <c r="K9" i="159"/>
  <c r="C37" i="161"/>
  <c r="F20" i="161"/>
  <c r="F20" i="159"/>
  <c r="H9" i="158"/>
  <c r="D48" i="161"/>
  <c r="M31" i="132"/>
  <c r="M47" i="132" s="1"/>
  <c r="M31" i="136"/>
  <c r="W11" i="98"/>
  <c r="E48" i="161"/>
  <c r="E47" i="161"/>
  <c r="D48" i="158"/>
  <c r="E48" i="158"/>
  <c r="M7" i="147"/>
  <c r="M10" i="147"/>
  <c r="J9" i="60"/>
  <c r="M18" i="147" s="1"/>
  <c r="K9" i="60"/>
  <c r="K48" i="116"/>
  <c r="K69" i="168" l="1"/>
  <c r="K48" i="168"/>
  <c r="H415" i="104"/>
  <c r="D6" i="122"/>
  <c r="X24" i="122"/>
  <c r="O6" i="177"/>
  <c r="Z61" i="176"/>
  <c r="Z101" i="176" s="1"/>
  <c r="F80" i="176"/>
  <c r="F102" i="176" s="1"/>
  <c r="D24" i="123"/>
  <c r="X9" i="121"/>
  <c r="H365" i="102"/>
  <c r="H69" i="168"/>
  <c r="H76" i="168" s="1"/>
  <c r="H48" i="168"/>
  <c r="S69" i="168"/>
  <c r="S48" i="168"/>
  <c r="H38" i="104"/>
  <c r="E6" i="122" s="1"/>
  <c r="E7" i="122"/>
  <c r="W7" i="122" s="1"/>
  <c r="AS136" i="167"/>
  <c r="AS66" i="167" s="1"/>
  <c r="AS120" i="132"/>
  <c r="AS129" i="132" s="1"/>
  <c r="Z36" i="168"/>
  <c r="P45" i="177"/>
  <c r="Z94" i="176"/>
  <c r="Z137" i="176" s="1"/>
  <c r="AS136" i="166"/>
  <c r="AS66" i="166" s="1"/>
  <c r="H414" i="106"/>
  <c r="D35" i="123" s="1"/>
  <c r="D36" i="123"/>
  <c r="W36" i="123" s="1"/>
  <c r="P69" i="168"/>
  <c r="P48" i="168"/>
  <c r="F89" i="167"/>
  <c r="F34" i="167" s="1"/>
  <c r="G80" i="176"/>
  <c r="G102" i="176" s="1"/>
  <c r="E24" i="123"/>
  <c r="H38" i="102"/>
  <c r="E6" i="121" s="1"/>
  <c r="E7" i="121"/>
  <c r="M47" i="147"/>
  <c r="M53" i="147" s="1"/>
  <c r="M19" i="147"/>
  <c r="S18" i="147"/>
  <c r="N19" i="147" s="1"/>
  <c r="P19" i="147"/>
  <c r="K21" i="148"/>
  <c r="K26" i="148"/>
  <c r="K25" i="148"/>
  <c r="D59" i="168"/>
  <c r="L59" i="168"/>
  <c r="T59" i="168"/>
  <c r="G59" i="168"/>
  <c r="O59" i="168"/>
  <c r="W59" i="168"/>
  <c r="F59" i="168"/>
  <c r="J59" i="168"/>
  <c r="N59" i="168"/>
  <c r="R59" i="168"/>
  <c r="V59" i="168"/>
  <c r="V48" i="168" s="1"/>
  <c r="E59" i="168"/>
  <c r="I59" i="168"/>
  <c r="M59" i="168"/>
  <c r="Q59" i="168"/>
  <c r="U59" i="168"/>
  <c r="Y59" i="168"/>
  <c r="Y48" i="168" s="1"/>
  <c r="N10" i="177"/>
  <c r="T16" i="177"/>
  <c r="AA65" i="176"/>
  <c r="AA122" i="176" s="1"/>
  <c r="H8" i="165"/>
  <c r="H32" i="165" s="1"/>
  <c r="D13" i="165"/>
  <c r="D38" i="165" s="1"/>
  <c r="D82" i="132"/>
  <c r="D98" i="132" s="1"/>
  <c r="D107" i="166"/>
  <c r="D40" i="166" s="1"/>
  <c r="AS89" i="167"/>
  <c r="AS34" i="167" s="1"/>
  <c r="N9" i="177"/>
  <c r="Z43" i="176"/>
  <c r="Z107" i="176" s="1"/>
  <c r="AT107" i="167"/>
  <c r="W40" i="122"/>
  <c r="AA40" i="122" s="1"/>
  <c r="T40" i="177" s="1"/>
  <c r="AA63" i="176"/>
  <c r="G37" i="176"/>
  <c r="G134" i="176" s="1"/>
  <c r="N85" i="166"/>
  <c r="N63" i="166" s="1"/>
  <c r="N42" i="132"/>
  <c r="N51" i="132" s="1"/>
  <c r="N85" i="167"/>
  <c r="N63" i="167" s="1"/>
  <c r="N42" i="136"/>
  <c r="AT82" i="132"/>
  <c r="AT107" i="166"/>
  <c r="F8" i="150"/>
  <c r="AS72" i="167"/>
  <c r="AS33" i="167" s="1"/>
  <c r="M9" i="177"/>
  <c r="Z24" i="176"/>
  <c r="Z106" i="176" s="1"/>
  <c r="F29" i="136"/>
  <c r="F72" i="166"/>
  <c r="F33" i="166" s="1"/>
  <c r="F89" i="166"/>
  <c r="F34" i="166" s="1"/>
  <c r="F72" i="167"/>
  <c r="F33" i="167" s="1"/>
  <c r="F24" i="177"/>
  <c r="E90" i="176"/>
  <c r="E32" i="168"/>
  <c r="F132" i="166"/>
  <c r="F56" i="166" s="1"/>
  <c r="F132" i="167"/>
  <c r="F56" i="167" s="1"/>
  <c r="F116" i="132"/>
  <c r="F127" i="132" s="1"/>
  <c r="W24" i="123"/>
  <c r="AA42" i="123"/>
  <c r="U42" i="177" s="1"/>
  <c r="K42" i="177"/>
  <c r="H408" i="106"/>
  <c r="C38" i="123" s="1"/>
  <c r="C39" i="123"/>
  <c r="F39" i="177" s="1"/>
  <c r="AA7" i="123"/>
  <c r="U7" i="177" s="1"/>
  <c r="K7" i="177"/>
  <c r="K6" i="177"/>
  <c r="Y80" i="176"/>
  <c r="D80" i="176" s="1"/>
  <c r="D102" i="176" s="1"/>
  <c r="AA6" i="123"/>
  <c r="E24" i="176"/>
  <c r="E106" i="176" s="1"/>
  <c r="E43" i="176"/>
  <c r="E107" i="176" s="1"/>
  <c r="C39" i="122"/>
  <c r="E39" i="177" s="1"/>
  <c r="H408" i="104"/>
  <c r="C38" i="122" s="1"/>
  <c r="AA42" i="122"/>
  <c r="T42" i="177" s="1"/>
  <c r="J42" i="177"/>
  <c r="E24" i="177"/>
  <c r="E71" i="176"/>
  <c r="F90" i="132"/>
  <c r="F101" i="132" s="1"/>
  <c r="F115" i="167"/>
  <c r="F55" i="167" s="1"/>
  <c r="F115" i="166"/>
  <c r="F55" i="166" s="1"/>
  <c r="W89" i="167"/>
  <c r="W34" i="167" s="1"/>
  <c r="H43" i="176"/>
  <c r="H107" i="176" s="1"/>
  <c r="W72" i="167"/>
  <c r="W33" i="167" s="1"/>
  <c r="H24" i="176"/>
  <c r="H106" i="176" s="1"/>
  <c r="E20" i="155"/>
  <c r="E48" i="155" s="1"/>
  <c r="C15" i="116"/>
  <c r="C43" i="116" s="1"/>
  <c r="C13" i="165"/>
  <c r="C38" i="165" s="1"/>
  <c r="H2" i="99"/>
  <c r="C6" i="98" s="1"/>
  <c r="C24" i="98" s="1"/>
  <c r="C7" i="98"/>
  <c r="C7" i="177" s="1"/>
  <c r="H412" i="99"/>
  <c r="C42" i="98" s="1"/>
  <c r="H410" i="99"/>
  <c r="H412" i="102"/>
  <c r="C42" i="121" s="1"/>
  <c r="C7" i="121"/>
  <c r="D7" i="177" s="1"/>
  <c r="H410" i="102"/>
  <c r="H2" i="102"/>
  <c r="C6" i="121" s="1"/>
  <c r="H11" i="177"/>
  <c r="Y26" i="176"/>
  <c r="S11" i="177"/>
  <c r="AA45" i="176"/>
  <c r="AA114" i="176" s="1"/>
  <c r="D81" i="176"/>
  <c r="AA81" i="176"/>
  <c r="AA109" i="176" s="1"/>
  <c r="AR106" i="167"/>
  <c r="AR35" i="167" s="1"/>
  <c r="Y62" i="176"/>
  <c r="D62" i="176" s="1"/>
  <c r="D108" i="176" s="1"/>
  <c r="E5" i="116"/>
  <c r="H5" i="116" s="1"/>
  <c r="H5" i="60"/>
  <c r="E5" i="165"/>
  <c r="H5" i="165" s="1"/>
  <c r="E18" i="165"/>
  <c r="E43" i="165" s="1"/>
  <c r="F32" i="157"/>
  <c r="G15" i="156" s="1"/>
  <c r="F10" i="157"/>
  <c r="E8" i="156" s="1"/>
  <c r="AT109" i="167"/>
  <c r="AT84" i="132"/>
  <c r="F11" i="157"/>
  <c r="F8" i="156" s="1"/>
  <c r="D109" i="166"/>
  <c r="D50" i="166" s="1"/>
  <c r="F9" i="157"/>
  <c r="D8" i="156" s="1"/>
  <c r="AT109" i="166"/>
  <c r="F12" i="157"/>
  <c r="G8" i="156" s="1"/>
  <c r="F8" i="157"/>
  <c r="C8" i="156" s="1"/>
  <c r="D109" i="167"/>
  <c r="D50" i="167" s="1"/>
  <c r="D84" i="132"/>
  <c r="D100" i="132" s="1"/>
  <c r="E22" i="159"/>
  <c r="C5" i="159"/>
  <c r="C24" i="158"/>
  <c r="B27" i="162" s="1"/>
  <c r="B7" i="162"/>
  <c r="B7" i="163" s="1"/>
  <c r="B15" i="163" s="1"/>
  <c r="F47" i="158"/>
  <c r="F42" i="165"/>
  <c r="W41" i="136"/>
  <c r="W84" i="166"/>
  <c r="W58" i="166" s="1"/>
  <c r="W41" i="132"/>
  <c r="W50" i="132" s="1"/>
  <c r="W84" i="167"/>
  <c r="W58" i="167" s="1"/>
  <c r="AR106" i="166"/>
  <c r="AR35" i="166" s="1"/>
  <c r="H435" i="104"/>
  <c r="F38" i="122" s="1"/>
  <c r="H73" i="176" s="1"/>
  <c r="F39" i="122"/>
  <c r="W39" i="122" s="1"/>
  <c r="W100" i="167"/>
  <c r="W66" i="132"/>
  <c r="W100" i="166"/>
  <c r="F44" i="121"/>
  <c r="H55" i="176" s="1"/>
  <c r="F40" i="123"/>
  <c r="W40" i="123" s="1"/>
  <c r="AR81" i="132"/>
  <c r="AR97" i="132" s="1"/>
  <c r="AA9" i="122"/>
  <c r="T9" i="177" s="1"/>
  <c r="AT91" i="167"/>
  <c r="D91" i="167"/>
  <c r="D44" i="167" s="1"/>
  <c r="AR74" i="167"/>
  <c r="AR43" i="167" s="1"/>
  <c r="AA23" i="168"/>
  <c r="D123" i="167"/>
  <c r="D36" i="167" s="1"/>
  <c r="AT123" i="167"/>
  <c r="D60" i="168"/>
  <c r="D70" i="168" s="1"/>
  <c r="F60" i="168"/>
  <c r="F70" i="168" s="1"/>
  <c r="N60" i="168"/>
  <c r="N70" i="168" s="1"/>
  <c r="V60" i="168"/>
  <c r="I60" i="168"/>
  <c r="I70" i="168" s="1"/>
  <c r="Q60" i="168"/>
  <c r="Q70" i="168" s="1"/>
  <c r="Y60" i="168"/>
  <c r="J60" i="168"/>
  <c r="J70" i="168" s="1"/>
  <c r="R60" i="168"/>
  <c r="R70" i="168" s="1"/>
  <c r="E60" i="168"/>
  <c r="E70" i="168" s="1"/>
  <c r="M60" i="168"/>
  <c r="M70" i="168" s="1"/>
  <c r="U60" i="168"/>
  <c r="U70" i="168" s="1"/>
  <c r="S60" i="168"/>
  <c r="S70" i="168" s="1"/>
  <c r="K60" i="168"/>
  <c r="K70" i="168" s="1"/>
  <c r="X60" i="168"/>
  <c r="P60" i="168"/>
  <c r="P70" i="168" s="1"/>
  <c r="H60" i="168"/>
  <c r="H70" i="168" s="1"/>
  <c r="W60" i="168"/>
  <c r="O60" i="168"/>
  <c r="O70" i="168" s="1"/>
  <c r="G60" i="168"/>
  <c r="G70" i="168" s="1"/>
  <c r="T60" i="168"/>
  <c r="T70" i="168" s="1"/>
  <c r="L60" i="168"/>
  <c r="L70" i="168" s="1"/>
  <c r="F40" i="161"/>
  <c r="C12" i="161"/>
  <c r="C40" i="161" s="1"/>
  <c r="H12" i="159"/>
  <c r="H8" i="161"/>
  <c r="H36" i="161" s="1"/>
  <c r="AR74" i="166"/>
  <c r="AR43" i="166" s="1"/>
  <c r="P47" i="147"/>
  <c r="P53" i="147" s="1"/>
  <c r="P55" i="147"/>
  <c r="N47" i="147"/>
  <c r="N53" i="147" s="1"/>
  <c r="N55" i="147"/>
  <c r="F47" i="155"/>
  <c r="K12" i="155"/>
  <c r="K28" i="155" s="1"/>
  <c r="D7" i="151"/>
  <c r="D10" i="151" s="1"/>
  <c r="D20" i="151" s="1"/>
  <c r="C7" i="150" s="1"/>
  <c r="E7" i="150" s="1"/>
  <c r="D24" i="161"/>
  <c r="F54" i="160"/>
  <c r="C8" i="162"/>
  <c r="D22" i="159"/>
  <c r="G12" i="161"/>
  <c r="G40" i="161" s="1"/>
  <c r="G36" i="161"/>
  <c r="G5" i="156"/>
  <c r="H5" i="156" s="1"/>
  <c r="F6" i="162"/>
  <c r="F6" i="163" s="1"/>
  <c r="F14" i="163" s="1"/>
  <c r="G24" i="155"/>
  <c r="F26" i="162" s="1"/>
  <c r="W89" i="166"/>
  <c r="W34" i="166" s="1"/>
  <c r="W55" i="132"/>
  <c r="W71" i="132" s="1"/>
  <c r="W6" i="122"/>
  <c r="J6" i="177" s="1"/>
  <c r="F24" i="122"/>
  <c r="W72" i="166"/>
  <c r="W33" i="166" s="1"/>
  <c r="W29" i="132"/>
  <c r="W45" i="132" s="1"/>
  <c r="W29" i="136"/>
  <c r="AS89" i="166"/>
  <c r="AS34" i="166" s="1"/>
  <c r="AS55" i="132"/>
  <c r="AS71" i="132" s="1"/>
  <c r="E12" i="161"/>
  <c r="E40" i="161" s="1"/>
  <c r="O47" i="147"/>
  <c r="O53" i="147" s="1"/>
  <c r="O55" i="147"/>
  <c r="J12" i="155"/>
  <c r="J27" i="155" s="1"/>
  <c r="D7" i="152"/>
  <c r="D10" i="152" s="1"/>
  <c r="D20" i="152" s="1"/>
  <c r="E33" i="116"/>
  <c r="E28" i="165"/>
  <c r="AT123" i="166"/>
  <c r="D123" i="166"/>
  <c r="D36" i="166" s="1"/>
  <c r="AT107" i="132"/>
  <c r="D107" i="132"/>
  <c r="D123" i="132" s="1"/>
  <c r="AS72" i="166"/>
  <c r="AS33" i="166" s="1"/>
  <c r="AS29" i="132"/>
  <c r="AS45" i="132" s="1"/>
  <c r="AS29" i="136"/>
  <c r="AT91" i="166"/>
  <c r="D91" i="166"/>
  <c r="D44" i="166" s="1"/>
  <c r="AT57" i="132"/>
  <c r="D57" i="132"/>
  <c r="D73" i="132" s="1"/>
  <c r="G20" i="161"/>
  <c r="G48" i="161" s="1"/>
  <c r="H15" i="161"/>
  <c r="H43" i="161" s="1"/>
  <c r="D36" i="161"/>
  <c r="D12" i="161"/>
  <c r="H56" i="102"/>
  <c r="F6" i="121" s="1"/>
  <c r="H42" i="176" s="1"/>
  <c r="H100" i="176" s="1"/>
  <c r="F7" i="121"/>
  <c r="H56" i="99"/>
  <c r="F6" i="98" s="1"/>
  <c r="H23" i="176" s="1"/>
  <c r="H99" i="176" s="1"/>
  <c r="F7" i="98"/>
  <c r="F47" i="161"/>
  <c r="I8" i="165"/>
  <c r="I11" i="165" s="1"/>
  <c r="I22" i="165" s="1"/>
  <c r="J8" i="165"/>
  <c r="J11" i="165" s="1"/>
  <c r="J23" i="165" s="1"/>
  <c r="K12" i="60"/>
  <c r="M10" i="60"/>
  <c r="AR31" i="132"/>
  <c r="AR47" i="132" s="1"/>
  <c r="AA11" i="98"/>
  <c r="AR31" i="136"/>
  <c r="F48" i="161"/>
  <c r="M10" i="159"/>
  <c r="K12" i="159"/>
  <c r="F58" i="160"/>
  <c r="J12" i="159"/>
  <c r="F48" i="116"/>
  <c r="F43" i="165"/>
  <c r="F47" i="116"/>
  <c r="E19" i="165"/>
  <c r="H19" i="165" s="1"/>
  <c r="E5" i="153"/>
  <c r="E24" i="116"/>
  <c r="D5" i="162"/>
  <c r="H24" i="60"/>
  <c r="G5" i="162" s="1"/>
  <c r="G5" i="163" s="1"/>
  <c r="G14" i="163" s="1"/>
  <c r="J12" i="153"/>
  <c r="F58" i="154"/>
  <c r="J37" i="155"/>
  <c r="D20" i="116"/>
  <c r="D18" i="165"/>
  <c r="D43" i="165" s="1"/>
  <c r="E5" i="158"/>
  <c r="E33" i="158" s="1"/>
  <c r="F48" i="155"/>
  <c r="J12" i="156"/>
  <c r="F58" i="157"/>
  <c r="M10" i="156"/>
  <c r="K12" i="156"/>
  <c r="J9" i="161"/>
  <c r="K9" i="161"/>
  <c r="D27" i="162"/>
  <c r="H33" i="116"/>
  <c r="J12" i="60"/>
  <c r="M55" i="147"/>
  <c r="F58" i="91"/>
  <c r="I32" i="165"/>
  <c r="J9" i="158"/>
  <c r="K9" i="158"/>
  <c r="K12" i="153"/>
  <c r="M10" i="153"/>
  <c r="K37" i="155"/>
  <c r="F24" i="158"/>
  <c r="E27" i="162" s="1"/>
  <c r="F5" i="159"/>
  <c r="E7" i="162"/>
  <c r="E7" i="163" s="1"/>
  <c r="E15" i="163" s="1"/>
  <c r="F56" i="157"/>
  <c r="D26" i="162"/>
  <c r="K9" i="116"/>
  <c r="J9" i="116"/>
  <c r="F48" i="158"/>
  <c r="H37" i="158"/>
  <c r="E5" i="161"/>
  <c r="E33" i="161" s="1"/>
  <c r="E26" i="159"/>
  <c r="D18" i="162" s="1"/>
  <c r="D8" i="127" s="1"/>
  <c r="AA7" i="122" l="1"/>
  <c r="T7" i="177" s="1"/>
  <c r="J7" i="177"/>
  <c r="J40" i="177"/>
  <c r="M69" i="168"/>
  <c r="M48" i="168"/>
  <c r="R69" i="168"/>
  <c r="R48" i="168"/>
  <c r="V69" i="168"/>
  <c r="W48" i="168"/>
  <c r="L69" i="168"/>
  <c r="L48" i="168"/>
  <c r="F61" i="176"/>
  <c r="F101" i="176" s="1"/>
  <c r="D24" i="122"/>
  <c r="I69" i="168"/>
  <c r="I76" i="168" s="1"/>
  <c r="I48" i="168"/>
  <c r="N69" i="168"/>
  <c r="N48" i="168"/>
  <c r="O69" i="168"/>
  <c r="O48" i="168"/>
  <c r="D69" i="168"/>
  <c r="D48" i="168"/>
  <c r="K36" i="177"/>
  <c r="AA36" i="123"/>
  <c r="U36" i="177" s="1"/>
  <c r="H414" i="104"/>
  <c r="D35" i="122" s="1"/>
  <c r="D36" i="122"/>
  <c r="W36" i="122" s="1"/>
  <c r="U69" i="168"/>
  <c r="U48" i="168"/>
  <c r="E69" i="168"/>
  <c r="E76" i="168" s="1"/>
  <c r="E48" i="168"/>
  <c r="J69" i="168"/>
  <c r="J48" i="168"/>
  <c r="G69" i="168"/>
  <c r="G76" i="168" s="1"/>
  <c r="G48" i="168"/>
  <c r="S19" i="147"/>
  <c r="Q19" i="147"/>
  <c r="G42" i="176"/>
  <c r="G100" i="176" s="1"/>
  <c r="E24" i="121"/>
  <c r="F91" i="176"/>
  <c r="F33" i="168"/>
  <c r="M133" i="166"/>
  <c r="D44" i="123"/>
  <c r="M133" i="167"/>
  <c r="M117" i="132"/>
  <c r="W35" i="123"/>
  <c r="G61" i="176"/>
  <c r="G101" i="176" s="1"/>
  <c r="E24" i="122"/>
  <c r="O19" i="147"/>
  <c r="Q69" i="168"/>
  <c r="Q48" i="168"/>
  <c r="F69" i="168"/>
  <c r="F76" i="168" s="1"/>
  <c r="F48" i="168"/>
  <c r="T69" i="168"/>
  <c r="T48" i="168"/>
  <c r="G90" i="176"/>
  <c r="N132" i="166"/>
  <c r="N56" i="166" s="1"/>
  <c r="N116" i="132"/>
  <c r="N127" i="132" s="1"/>
  <c r="G32" i="168"/>
  <c r="G50" i="168" s="1"/>
  <c r="N132" i="167"/>
  <c r="N56" i="167" s="1"/>
  <c r="E45" i="123"/>
  <c r="H366" i="102"/>
  <c r="X7" i="121" s="1"/>
  <c r="N7" i="177" s="1"/>
  <c r="X6" i="121"/>
  <c r="F90" i="176"/>
  <c r="F32" i="168"/>
  <c r="F50" i="168" s="1"/>
  <c r="M132" i="167"/>
  <c r="M56" i="167" s="1"/>
  <c r="D45" i="123"/>
  <c r="M116" i="132"/>
  <c r="M127" i="132" s="1"/>
  <c r="M132" i="166"/>
  <c r="M56" i="166" s="1"/>
  <c r="Z71" i="176"/>
  <c r="AS90" i="132"/>
  <c r="AS101" i="132" s="1"/>
  <c r="X45" i="122"/>
  <c r="AS115" i="167"/>
  <c r="AS55" i="167" s="1"/>
  <c r="O24" i="177"/>
  <c r="AS115" i="166"/>
  <c r="AS55" i="166" s="1"/>
  <c r="Y69" i="168"/>
  <c r="E50" i="168"/>
  <c r="J76" i="168"/>
  <c r="H28" i="165"/>
  <c r="AA40" i="123"/>
  <c r="U40" i="177" s="1"/>
  <c r="K40" i="177"/>
  <c r="AA80" i="176"/>
  <c r="AA102" i="176" s="1"/>
  <c r="U6" i="177"/>
  <c r="F38" i="177"/>
  <c r="F134" i="167"/>
  <c r="F134" i="166"/>
  <c r="C44" i="123"/>
  <c r="E92" i="176"/>
  <c r="E34" i="168"/>
  <c r="F118" i="132"/>
  <c r="K24" i="177"/>
  <c r="Y32" i="168"/>
  <c r="AA24" i="123"/>
  <c r="AR116" i="132"/>
  <c r="AR127" i="132" s="1"/>
  <c r="Y90" i="176"/>
  <c r="D90" i="176" s="1"/>
  <c r="AR132" i="167"/>
  <c r="AR56" i="167" s="1"/>
  <c r="AR132" i="166"/>
  <c r="AR56" i="166" s="1"/>
  <c r="W115" i="167"/>
  <c r="W55" i="167" s="1"/>
  <c r="H71" i="176"/>
  <c r="AA39" i="122"/>
  <c r="T39" i="177" s="1"/>
  <c r="J39" i="177"/>
  <c r="E38" i="177"/>
  <c r="E73" i="176"/>
  <c r="F92" i="132"/>
  <c r="F117" i="167"/>
  <c r="F117" i="166"/>
  <c r="C44" i="122"/>
  <c r="E42" i="176"/>
  <c r="E100" i="176" s="1"/>
  <c r="D6" i="177"/>
  <c r="C24" i="121"/>
  <c r="H409" i="99"/>
  <c r="C40" i="98"/>
  <c r="R11" i="177"/>
  <c r="AA26" i="176"/>
  <c r="AA113" i="176" s="1"/>
  <c r="C40" i="121"/>
  <c r="H409" i="102"/>
  <c r="D42" i="177"/>
  <c r="W42" i="121"/>
  <c r="C42" i="177"/>
  <c r="W42" i="98"/>
  <c r="C6" i="177"/>
  <c r="E23" i="176"/>
  <c r="E99" i="176" s="1"/>
  <c r="AA6" i="122"/>
  <c r="Y61" i="176"/>
  <c r="D61" i="176" s="1"/>
  <c r="D101" i="176" s="1"/>
  <c r="D109" i="176"/>
  <c r="D106" i="167"/>
  <c r="D35" i="167" s="1"/>
  <c r="AA62" i="176"/>
  <c r="AA108" i="176" s="1"/>
  <c r="J32" i="165"/>
  <c r="D8" i="158"/>
  <c r="D12" i="156"/>
  <c r="C24" i="159"/>
  <c r="C5" i="161"/>
  <c r="C33" i="161" s="1"/>
  <c r="F48" i="160"/>
  <c r="C19" i="159" s="1"/>
  <c r="C12" i="156"/>
  <c r="C8" i="158"/>
  <c r="H8" i="156"/>
  <c r="E8" i="158"/>
  <c r="E12" i="156"/>
  <c r="G8" i="158"/>
  <c r="G12" i="158" s="1"/>
  <c r="G12" i="156"/>
  <c r="F8" i="158"/>
  <c r="F12" i="156"/>
  <c r="H15" i="156"/>
  <c r="G15" i="158"/>
  <c r="G43" i="158" s="1"/>
  <c r="G20" i="156"/>
  <c r="D40" i="161"/>
  <c r="D22" i="161"/>
  <c r="D50" i="161" s="1"/>
  <c r="H24" i="155"/>
  <c r="G26" i="162" s="1"/>
  <c r="W101" i="167"/>
  <c r="W59" i="167" s="1"/>
  <c r="W101" i="166"/>
  <c r="W59" i="166" s="1"/>
  <c r="W67" i="132"/>
  <c r="W76" i="132" s="1"/>
  <c r="F39" i="123"/>
  <c r="W39" i="123" s="1"/>
  <c r="F38" i="123"/>
  <c r="H92" i="176" s="1"/>
  <c r="W117" i="167"/>
  <c r="W117" i="166"/>
  <c r="W92" i="132"/>
  <c r="F44" i="122"/>
  <c r="W38" i="122"/>
  <c r="AT106" i="167"/>
  <c r="D81" i="132"/>
  <c r="D97" i="132" s="1"/>
  <c r="AT106" i="166"/>
  <c r="V70" i="168"/>
  <c r="Y70" i="168" s="1"/>
  <c r="D48" i="116"/>
  <c r="AT81" i="132"/>
  <c r="D106" i="166"/>
  <c r="D35" i="166" s="1"/>
  <c r="AT74" i="167"/>
  <c r="D74" i="167"/>
  <c r="D43" i="167" s="1"/>
  <c r="K12" i="158"/>
  <c r="K28" i="158" s="1"/>
  <c r="E7" i="151"/>
  <c r="E10" i="151" s="1"/>
  <c r="E20" i="151" s="1"/>
  <c r="C8" i="150" s="1"/>
  <c r="J12" i="161"/>
  <c r="J27" i="161" s="1"/>
  <c r="F7" i="152"/>
  <c r="F10" i="152" s="1"/>
  <c r="F20" i="152" s="1"/>
  <c r="AT74" i="166"/>
  <c r="D74" i="166"/>
  <c r="D43" i="166" s="1"/>
  <c r="F24" i="98"/>
  <c r="H33" i="176" s="1"/>
  <c r="F24" i="121"/>
  <c r="W115" i="166"/>
  <c r="W55" i="166" s="1"/>
  <c r="W90" i="132"/>
  <c r="W101" i="132" s="1"/>
  <c r="W24" i="122"/>
  <c r="J24" i="177" s="1"/>
  <c r="G24" i="156"/>
  <c r="G5" i="158"/>
  <c r="G33" i="158" s="1"/>
  <c r="C9" i="162"/>
  <c r="C8" i="163"/>
  <c r="C28" i="162"/>
  <c r="J12" i="158"/>
  <c r="J27" i="158" s="1"/>
  <c r="E7" i="152"/>
  <c r="E10" i="152" s="1"/>
  <c r="E20" i="152" s="1"/>
  <c r="K12" i="161"/>
  <c r="K28" i="161" s="1"/>
  <c r="F7" i="151"/>
  <c r="F10" i="151" s="1"/>
  <c r="F20" i="151" s="1"/>
  <c r="C9" i="150" s="1"/>
  <c r="H12" i="161"/>
  <c r="H40" i="161" s="1"/>
  <c r="C7" i="152"/>
  <c r="C10" i="152" s="1"/>
  <c r="C20" i="152" s="1"/>
  <c r="J12" i="116"/>
  <c r="J27" i="116" s="1"/>
  <c r="J37" i="116"/>
  <c r="I35" i="165"/>
  <c r="J27" i="60"/>
  <c r="K28" i="156"/>
  <c r="K37" i="158"/>
  <c r="J40" i="155"/>
  <c r="J27" i="153"/>
  <c r="D5" i="163"/>
  <c r="H5" i="163" s="1"/>
  <c r="D9" i="162"/>
  <c r="E5" i="155"/>
  <c r="E33" i="155" s="1"/>
  <c r="H5" i="153"/>
  <c r="J40" i="161"/>
  <c r="J27" i="159"/>
  <c r="J37" i="161"/>
  <c r="K28" i="159"/>
  <c r="AT31" i="136"/>
  <c r="AT31" i="132"/>
  <c r="D31" i="136"/>
  <c r="D31" i="132"/>
  <c r="D47" i="132" s="1"/>
  <c r="J35" i="165"/>
  <c r="K28" i="60"/>
  <c r="E22" i="161"/>
  <c r="E50" i="161" s="1"/>
  <c r="C7" i="151"/>
  <c r="C10" i="151" s="1"/>
  <c r="C20" i="151" s="1"/>
  <c r="C6" i="150" s="1"/>
  <c r="K12" i="116"/>
  <c r="K28" i="116" s="1"/>
  <c r="F24" i="159"/>
  <c r="F5" i="161"/>
  <c r="F33" i="161" s="1"/>
  <c r="F26" i="159"/>
  <c r="E18" i="162" s="1"/>
  <c r="E8" i="127" s="1"/>
  <c r="K40" i="155"/>
  <c r="K28" i="153"/>
  <c r="J37" i="158"/>
  <c r="J27" i="156"/>
  <c r="H5" i="158"/>
  <c r="H33" i="158" s="1"/>
  <c r="G13" i="163"/>
  <c r="H21" i="163"/>
  <c r="F21" i="163"/>
  <c r="G20" i="163"/>
  <c r="B22" i="163"/>
  <c r="F22" i="163"/>
  <c r="E22" i="163"/>
  <c r="D25" i="162"/>
  <c r="H24" i="116"/>
  <c r="G25" i="162" s="1"/>
  <c r="K37" i="161"/>
  <c r="K37" i="116"/>
  <c r="C50" i="168" l="1"/>
  <c r="V135" i="168" s="1"/>
  <c r="Y33" i="168"/>
  <c r="AR133" i="166"/>
  <c r="AR133" i="167"/>
  <c r="K35" i="177"/>
  <c r="Y91" i="176"/>
  <c r="AA35" i="123"/>
  <c r="AR117" i="132"/>
  <c r="M91" i="132"/>
  <c r="M116" i="167"/>
  <c r="W35" i="122"/>
  <c r="F72" i="176"/>
  <c r="M116" i="166"/>
  <c r="D44" i="122"/>
  <c r="N136" i="166"/>
  <c r="N66" i="166" s="1"/>
  <c r="G94" i="176"/>
  <c r="G137" i="176" s="1"/>
  <c r="N136" i="167"/>
  <c r="N66" i="167" s="1"/>
  <c r="N120" i="132"/>
  <c r="N129" i="132" s="1"/>
  <c r="G36" i="168"/>
  <c r="AS119" i="166"/>
  <c r="AS65" i="166" s="1"/>
  <c r="AS119" i="167"/>
  <c r="AS65" i="167" s="1"/>
  <c r="AS94" i="132"/>
  <c r="AS103" i="132" s="1"/>
  <c r="O45" i="177"/>
  <c r="Z75" i="176"/>
  <c r="Z136" i="176" s="1"/>
  <c r="N115" i="166"/>
  <c r="N55" i="166" s="1"/>
  <c r="N115" i="167"/>
  <c r="N55" i="167" s="1"/>
  <c r="N90" i="132"/>
  <c r="N101" i="132" s="1"/>
  <c r="G71" i="176"/>
  <c r="E45" i="122"/>
  <c r="F94" i="176"/>
  <c r="F137" i="176" s="1"/>
  <c r="M136" i="166"/>
  <c r="M66" i="166" s="1"/>
  <c r="M120" i="132"/>
  <c r="M129" i="132" s="1"/>
  <c r="F36" i="168"/>
  <c r="M136" i="167"/>
  <c r="M66" i="167" s="1"/>
  <c r="N6" i="177"/>
  <c r="Z42" i="176"/>
  <c r="Z100" i="176" s="1"/>
  <c r="X24" i="121"/>
  <c r="F35" i="168"/>
  <c r="M119" i="132"/>
  <c r="M128" i="132" s="1"/>
  <c r="M135" i="167"/>
  <c r="M61" i="167" s="1"/>
  <c r="M135" i="166"/>
  <c r="M61" i="166" s="1"/>
  <c r="F93" i="176"/>
  <c r="G52" i="176"/>
  <c r="N98" i="166"/>
  <c r="N54" i="166" s="1"/>
  <c r="N64" i="132"/>
  <c r="N75" i="132" s="1"/>
  <c r="N98" i="167"/>
  <c r="N54" i="167" s="1"/>
  <c r="E45" i="121"/>
  <c r="AA36" i="122"/>
  <c r="T36" i="177" s="1"/>
  <c r="J36" i="177"/>
  <c r="M115" i="167"/>
  <c r="M55" i="167" s="1"/>
  <c r="M115" i="166"/>
  <c r="M55" i="166" s="1"/>
  <c r="M90" i="132"/>
  <c r="M101" i="132" s="1"/>
  <c r="F71" i="176"/>
  <c r="D45" i="122"/>
  <c r="D32" i="168"/>
  <c r="D50" i="168" s="1"/>
  <c r="Y50" i="168"/>
  <c r="AA39" i="123"/>
  <c r="U39" i="177" s="1"/>
  <c r="K39" i="177"/>
  <c r="U24" i="177"/>
  <c r="AA32" i="168"/>
  <c r="AT132" i="167"/>
  <c r="AT132" i="166"/>
  <c r="AA90" i="176"/>
  <c r="D132" i="167"/>
  <c r="D56" i="167" s="1"/>
  <c r="D132" i="166"/>
  <c r="D56" i="166" s="1"/>
  <c r="D116" i="132"/>
  <c r="D127" i="132" s="1"/>
  <c r="AT116" i="132"/>
  <c r="F44" i="177"/>
  <c r="E93" i="176"/>
  <c r="E35" i="168"/>
  <c r="F135" i="166"/>
  <c r="F61" i="166" s="1"/>
  <c r="F135" i="167"/>
  <c r="F61" i="167" s="1"/>
  <c r="F119" i="132"/>
  <c r="F128" i="132" s="1"/>
  <c r="C45" i="123"/>
  <c r="Y58" i="168"/>
  <c r="Y51" i="168" s="1"/>
  <c r="K58" i="168"/>
  <c r="W58" i="168"/>
  <c r="W51" i="168" s="1"/>
  <c r="X58" i="168"/>
  <c r="X51" i="168" s="1"/>
  <c r="I58" i="168"/>
  <c r="Y73" i="176"/>
  <c r="J38" i="177"/>
  <c r="E44" i="177"/>
  <c r="E74" i="176"/>
  <c r="F118" i="166"/>
  <c r="F60" i="166" s="1"/>
  <c r="F118" i="167"/>
  <c r="F60" i="167" s="1"/>
  <c r="F93" i="132"/>
  <c r="F102" i="132" s="1"/>
  <c r="C45" i="122"/>
  <c r="F45" i="122"/>
  <c r="H74" i="176"/>
  <c r="AA61" i="176"/>
  <c r="AA101" i="176" s="1"/>
  <c r="T6" i="177"/>
  <c r="W98" i="167"/>
  <c r="W54" i="167" s="1"/>
  <c r="H52" i="176"/>
  <c r="E33" i="176"/>
  <c r="C24" i="177"/>
  <c r="F38" i="136"/>
  <c r="F81" i="166"/>
  <c r="F53" i="166" s="1"/>
  <c r="F38" i="132"/>
  <c r="F49" i="132" s="1"/>
  <c r="F81" i="167"/>
  <c r="F53" i="167" s="1"/>
  <c r="D40" i="177"/>
  <c r="W40" i="121"/>
  <c r="C40" i="177"/>
  <c r="D24" i="177"/>
  <c r="E52" i="176"/>
  <c r="F64" i="132"/>
  <c r="F75" i="132" s="1"/>
  <c r="F98" i="167"/>
  <c r="F54" i="167" s="1"/>
  <c r="F98" i="166"/>
  <c r="F54" i="166" s="1"/>
  <c r="AA42" i="98"/>
  <c r="R42" i="177" s="1"/>
  <c r="H42" i="177"/>
  <c r="AA42" i="121"/>
  <c r="S42" i="177" s="1"/>
  <c r="I42" i="177"/>
  <c r="C39" i="121"/>
  <c r="H408" i="102"/>
  <c r="C38" i="121" s="1"/>
  <c r="C39" i="98"/>
  <c r="H408" i="99"/>
  <c r="C38" i="98" s="1"/>
  <c r="G36" i="158"/>
  <c r="G40" i="158"/>
  <c r="AR115" i="167"/>
  <c r="AR55" i="167" s="1"/>
  <c r="Y71" i="176"/>
  <c r="D71" i="176" s="1"/>
  <c r="G26" i="156"/>
  <c r="F17" i="162" s="1"/>
  <c r="F7" i="127" s="1"/>
  <c r="F26" i="156"/>
  <c r="E17" i="162" s="1"/>
  <c r="E7" i="127" s="1"/>
  <c r="F22" i="156"/>
  <c r="C36" i="158"/>
  <c r="H8" i="158"/>
  <c r="H36" i="158" s="1"/>
  <c r="C12" i="158"/>
  <c r="F36" i="158"/>
  <c r="F12" i="158"/>
  <c r="F22" i="158" s="1"/>
  <c r="E22" i="156"/>
  <c r="E26" i="156"/>
  <c r="D17" i="162" s="1"/>
  <c r="D7" i="127" s="1"/>
  <c r="F48" i="157"/>
  <c r="C19" i="156" s="1"/>
  <c r="H12" i="156"/>
  <c r="C24" i="161"/>
  <c r="B28" i="162" s="1"/>
  <c r="B8" i="162"/>
  <c r="K40" i="161"/>
  <c r="H15" i="158"/>
  <c r="H43" i="158" s="1"/>
  <c r="G20" i="158"/>
  <c r="G48" i="158" s="1"/>
  <c r="E36" i="158"/>
  <c r="E12" i="158"/>
  <c r="E22" i="158" s="1"/>
  <c r="D22" i="156"/>
  <c r="D26" i="156"/>
  <c r="C17" i="162" s="1"/>
  <c r="C7" i="127" s="1"/>
  <c r="O15" i="156"/>
  <c r="P15" i="156" s="1"/>
  <c r="C20" i="159"/>
  <c r="C19" i="161"/>
  <c r="C47" i="161" s="1"/>
  <c r="H19" i="159"/>
  <c r="D36" i="158"/>
  <c r="D12" i="158"/>
  <c r="J40" i="158"/>
  <c r="K40" i="158"/>
  <c r="J40" i="116"/>
  <c r="W118" i="167"/>
  <c r="W60" i="167" s="1"/>
  <c r="W93" i="132"/>
  <c r="W102" i="132" s="1"/>
  <c r="W118" i="166"/>
  <c r="W60" i="166" s="1"/>
  <c r="W44" i="122"/>
  <c r="F44" i="123"/>
  <c r="H93" i="176" s="1"/>
  <c r="W134" i="167"/>
  <c r="W118" i="132"/>
  <c r="H34" i="168"/>
  <c r="W134" i="166"/>
  <c r="W38" i="123"/>
  <c r="K38" i="177" s="1"/>
  <c r="AR117" i="167"/>
  <c r="AR117" i="166"/>
  <c r="AA38" i="122"/>
  <c r="AR92" i="132"/>
  <c r="F45" i="98"/>
  <c r="W81" i="167"/>
  <c r="W53" i="167" s="1"/>
  <c r="C10" i="163"/>
  <c r="C16" i="163"/>
  <c r="F7" i="162"/>
  <c r="F7" i="163" s="1"/>
  <c r="F15" i="163" s="1"/>
  <c r="G24" i="158"/>
  <c r="G5" i="159"/>
  <c r="G22" i="156"/>
  <c r="H24" i="156"/>
  <c r="G7" i="162" s="1"/>
  <c r="G7" i="163" s="1"/>
  <c r="G15" i="163" s="1"/>
  <c r="W45" i="122"/>
  <c r="J45" i="177" s="1"/>
  <c r="W119" i="166"/>
  <c r="W65" i="166" s="1"/>
  <c r="W94" i="132"/>
  <c r="W103" i="132" s="1"/>
  <c r="W98" i="166"/>
  <c r="W54" i="166" s="1"/>
  <c r="W64" i="132"/>
  <c r="W75" i="132" s="1"/>
  <c r="F45" i="121"/>
  <c r="E8" i="150"/>
  <c r="E9" i="150"/>
  <c r="AA24" i="122"/>
  <c r="AR115" i="166"/>
  <c r="AR55" i="166" s="1"/>
  <c r="AR90" i="132"/>
  <c r="AR101" i="132" s="1"/>
  <c r="W81" i="166"/>
  <c r="W53" i="166" s="1"/>
  <c r="W38" i="136"/>
  <c r="W38" i="132"/>
  <c r="W49" i="132" s="1"/>
  <c r="J31" i="156"/>
  <c r="F60" i="157"/>
  <c r="E6" i="150"/>
  <c r="K32" i="159"/>
  <c r="F62" i="160"/>
  <c r="K34" i="159"/>
  <c r="J31" i="153"/>
  <c r="F60" i="154"/>
  <c r="F60" i="91"/>
  <c r="J31" i="60"/>
  <c r="K32" i="153"/>
  <c r="F62" i="154"/>
  <c r="K34" i="153"/>
  <c r="E8" i="162"/>
  <c r="F24" i="161"/>
  <c r="F56" i="160"/>
  <c r="F22" i="159"/>
  <c r="F62" i="91"/>
  <c r="K34" i="60"/>
  <c r="K32" i="60"/>
  <c r="K40" i="116"/>
  <c r="J31" i="159"/>
  <c r="F60" i="160"/>
  <c r="H5" i="155"/>
  <c r="H33" i="155" s="1"/>
  <c r="D22" i="163"/>
  <c r="D13" i="163"/>
  <c r="D16" i="163"/>
  <c r="D15" i="163"/>
  <c r="D10" i="163"/>
  <c r="D14" i="163"/>
  <c r="K34" i="156"/>
  <c r="F62" i="157"/>
  <c r="K32" i="156"/>
  <c r="J58" i="168" l="1"/>
  <c r="R58" i="168"/>
  <c r="G56" i="176"/>
  <c r="G135" i="176" s="1"/>
  <c r="N102" i="167"/>
  <c r="N64" i="167" s="1"/>
  <c r="N68" i="132"/>
  <c r="N77" i="132" s="1"/>
  <c r="N102" i="166"/>
  <c r="N64" i="166" s="1"/>
  <c r="Y72" i="176"/>
  <c r="AA35" i="122"/>
  <c r="AR116" i="166"/>
  <c r="AR116" i="167"/>
  <c r="AR91" i="132"/>
  <c r="J35" i="177"/>
  <c r="AA33" i="168"/>
  <c r="AT117" i="132"/>
  <c r="AA91" i="176"/>
  <c r="AT133" i="167"/>
  <c r="AT133" i="166"/>
  <c r="U35" i="177"/>
  <c r="D133" i="167"/>
  <c r="D133" i="166"/>
  <c r="D117" i="132"/>
  <c r="V58" i="168"/>
  <c r="V51" i="168" s="1"/>
  <c r="D58" i="168"/>
  <c r="M119" i="167"/>
  <c r="M65" i="167" s="1"/>
  <c r="M94" i="132"/>
  <c r="M103" i="132" s="1"/>
  <c r="F75" i="176"/>
  <c r="F136" i="176" s="1"/>
  <c r="M119" i="166"/>
  <c r="M65" i="166" s="1"/>
  <c r="M118" i="167"/>
  <c r="M60" i="167" s="1"/>
  <c r="M93" i="132"/>
  <c r="M102" i="132" s="1"/>
  <c r="F74" i="176"/>
  <c r="M118" i="166"/>
  <c r="M60" i="166" s="1"/>
  <c r="AS98" i="167"/>
  <c r="AS54" i="167" s="1"/>
  <c r="AS98" i="166"/>
  <c r="AS54" i="166" s="1"/>
  <c r="AS64" i="132"/>
  <c r="AS75" i="132" s="1"/>
  <c r="N24" i="177"/>
  <c r="Z52" i="176"/>
  <c r="X45" i="121"/>
  <c r="N119" i="167"/>
  <c r="N65" i="167" s="1"/>
  <c r="G75" i="176"/>
  <c r="G136" i="176" s="1"/>
  <c r="N119" i="166"/>
  <c r="N65" i="166" s="1"/>
  <c r="N94" i="132"/>
  <c r="N103" i="132" s="1"/>
  <c r="F58" i="168"/>
  <c r="S58" i="168"/>
  <c r="S68" i="168" s="1"/>
  <c r="U58" i="168"/>
  <c r="G58" i="168"/>
  <c r="G68" i="168" s="1"/>
  <c r="T58" i="168"/>
  <c r="H58" i="168"/>
  <c r="H68" i="168" s="1"/>
  <c r="M58" i="168"/>
  <c r="L58" i="168"/>
  <c r="L68" i="168" s="1"/>
  <c r="N58" i="168"/>
  <c r="N68" i="168" s="1"/>
  <c r="P58" i="168"/>
  <c r="P68" i="168" s="1"/>
  <c r="E58" i="168"/>
  <c r="E68" i="168" s="1"/>
  <c r="O58" i="168"/>
  <c r="O51" i="168" s="1"/>
  <c r="Q58" i="168"/>
  <c r="Q68" i="168" s="1"/>
  <c r="I68" i="168"/>
  <c r="I51" i="168"/>
  <c r="J68" i="168"/>
  <c r="J51" i="168"/>
  <c r="D68" i="168"/>
  <c r="D51" i="168"/>
  <c r="N51" i="168"/>
  <c r="E51" i="168"/>
  <c r="Q51" i="168"/>
  <c r="F68" i="168"/>
  <c r="F51" i="168"/>
  <c r="U68" i="168"/>
  <c r="U51" i="168"/>
  <c r="G51" i="168"/>
  <c r="T68" i="168"/>
  <c r="T51" i="168"/>
  <c r="K68" i="168"/>
  <c r="K51" i="168"/>
  <c r="M68" i="168"/>
  <c r="M51" i="168"/>
  <c r="R68" i="168"/>
  <c r="R51" i="168"/>
  <c r="L51" i="168"/>
  <c r="V68" i="168"/>
  <c r="F45" i="177"/>
  <c r="E94" i="176"/>
  <c r="F136" i="167"/>
  <c r="F66" i="167" s="1"/>
  <c r="E36" i="168"/>
  <c r="F136" i="166"/>
  <c r="F66" i="166" s="1"/>
  <c r="F120" i="132"/>
  <c r="F129" i="132" s="1"/>
  <c r="AA71" i="176"/>
  <c r="T24" i="177"/>
  <c r="AA73" i="176"/>
  <c r="T38" i="177"/>
  <c r="E45" i="177"/>
  <c r="E75" i="176"/>
  <c r="F94" i="132"/>
  <c r="F103" i="132" s="1"/>
  <c r="F119" i="167"/>
  <c r="F65" i="167" s="1"/>
  <c r="F119" i="166"/>
  <c r="F65" i="166" s="1"/>
  <c r="Y74" i="176"/>
  <c r="J44" i="177"/>
  <c r="W119" i="167"/>
  <c r="W65" i="167" s="1"/>
  <c r="H75" i="176"/>
  <c r="W102" i="167"/>
  <c r="W64" i="167" s="1"/>
  <c r="H56" i="176"/>
  <c r="E35" i="176"/>
  <c r="C38" i="177"/>
  <c r="C44" i="98"/>
  <c r="F83" i="166"/>
  <c r="F40" i="132"/>
  <c r="F40" i="136"/>
  <c r="F83" i="167"/>
  <c r="D38" i="177"/>
  <c r="E54" i="176"/>
  <c r="F100" i="166"/>
  <c r="F100" i="167"/>
  <c r="F66" i="132"/>
  <c r="C44" i="121"/>
  <c r="W38" i="121"/>
  <c r="AA40" i="121"/>
  <c r="S40" i="177" s="1"/>
  <c r="I40" i="177"/>
  <c r="W85" i="167"/>
  <c r="W63" i="167" s="1"/>
  <c r="H37" i="176"/>
  <c r="C39" i="177"/>
  <c r="D39" i="177"/>
  <c r="W39" i="121"/>
  <c r="Y92" i="176"/>
  <c r="AR119" i="167"/>
  <c r="AR65" i="167" s="1"/>
  <c r="Y75" i="176"/>
  <c r="D75" i="176" s="1"/>
  <c r="D136" i="176" s="1"/>
  <c r="F50" i="158"/>
  <c r="E50" i="158"/>
  <c r="E40" i="158"/>
  <c r="D40" i="158"/>
  <c r="D22" i="158"/>
  <c r="D50" i="158" s="1"/>
  <c r="H20" i="159"/>
  <c r="C26" i="159"/>
  <c r="B18" i="162" s="1"/>
  <c r="B8" i="127" s="1"/>
  <c r="C22" i="159"/>
  <c r="B9" i="162"/>
  <c r="B8" i="163"/>
  <c r="C19" i="158"/>
  <c r="H19" i="156"/>
  <c r="C20" i="156"/>
  <c r="C40" i="158"/>
  <c r="H12" i="158"/>
  <c r="H40" i="158" s="1"/>
  <c r="F40" i="158"/>
  <c r="H19" i="161"/>
  <c r="H47" i="161" s="1"/>
  <c r="C20" i="161"/>
  <c r="AT117" i="167"/>
  <c r="AT117" i="166"/>
  <c r="AT92" i="132"/>
  <c r="D117" i="167"/>
  <c r="D117" i="166"/>
  <c r="D92" i="132"/>
  <c r="Y34" i="168"/>
  <c r="AA38" i="123"/>
  <c r="U38" i="177" s="1"/>
  <c r="AR118" i="132"/>
  <c r="AR134" i="167"/>
  <c r="AR134" i="166"/>
  <c r="AR118" i="167"/>
  <c r="AR60" i="167" s="1"/>
  <c r="AA44" i="122"/>
  <c r="AR93" i="132"/>
  <c r="AR102" i="132" s="1"/>
  <c r="AR118" i="166"/>
  <c r="AR60" i="166" s="1"/>
  <c r="W135" i="167"/>
  <c r="W61" i="167" s="1"/>
  <c r="W119" i="132"/>
  <c r="W128" i="132" s="1"/>
  <c r="H35" i="168"/>
  <c r="W135" i="166"/>
  <c r="W61" i="166" s="1"/>
  <c r="W44" i="123"/>
  <c r="K44" i="177" s="1"/>
  <c r="F45" i="123"/>
  <c r="H94" i="176" s="1"/>
  <c r="D115" i="167"/>
  <c r="D55" i="167" s="1"/>
  <c r="AT115" i="167"/>
  <c r="G5" i="161"/>
  <c r="H5" i="161" s="1"/>
  <c r="G24" i="159"/>
  <c r="G26" i="159"/>
  <c r="F18" i="162" s="1"/>
  <c r="F8" i="127" s="1"/>
  <c r="H5" i="159"/>
  <c r="W85" i="166"/>
  <c r="W63" i="166" s="1"/>
  <c r="W42" i="136"/>
  <c r="W42" i="132"/>
  <c r="W51" i="132" s="1"/>
  <c r="AT115" i="166"/>
  <c r="D115" i="166"/>
  <c r="D55" i="166" s="1"/>
  <c r="AT90" i="132"/>
  <c r="D90" i="132"/>
  <c r="D101" i="132" s="1"/>
  <c r="W102" i="166"/>
  <c r="W64" i="166" s="1"/>
  <c r="W68" i="132"/>
  <c r="W77" i="132" s="1"/>
  <c r="AA45" i="122"/>
  <c r="AR119" i="166"/>
  <c r="AR65" i="166" s="1"/>
  <c r="AR94" i="132"/>
  <c r="AR103" i="132" s="1"/>
  <c r="F27" i="162"/>
  <c r="G22" i="158"/>
  <c r="H24" i="158"/>
  <c r="G27" i="162" s="1"/>
  <c r="E28" i="162"/>
  <c r="F22" i="161"/>
  <c r="F50" i="161" s="1"/>
  <c r="E8" i="163"/>
  <c r="E9" i="162"/>
  <c r="H51" i="168" l="1"/>
  <c r="T35" i="177"/>
  <c r="AT91" i="132"/>
  <c r="AT116" i="167"/>
  <c r="AA72" i="176"/>
  <c r="D116" i="166"/>
  <c r="D116" i="167"/>
  <c r="AT116" i="166"/>
  <c r="D91" i="132"/>
  <c r="S51" i="168"/>
  <c r="AS102" i="167"/>
  <c r="AS64" i="167" s="1"/>
  <c r="N45" i="177"/>
  <c r="Z56" i="176"/>
  <c r="Z135" i="176" s="1"/>
  <c r="AS102" i="166"/>
  <c r="AS64" i="166" s="1"/>
  <c r="AS68" i="132"/>
  <c r="AS77" i="132" s="1"/>
  <c r="O68" i="168"/>
  <c r="P51" i="168"/>
  <c r="Y68" i="168"/>
  <c r="E137" i="176"/>
  <c r="H95" i="176"/>
  <c r="D95" i="176" s="1"/>
  <c r="H137" i="176"/>
  <c r="AA75" i="176"/>
  <c r="AA136" i="176" s="1"/>
  <c r="T45" i="177"/>
  <c r="E136" i="176"/>
  <c r="AA74" i="176"/>
  <c r="T44" i="177"/>
  <c r="H76" i="176"/>
  <c r="D76" i="176" s="1"/>
  <c r="H136" i="176"/>
  <c r="H57" i="176"/>
  <c r="H135" i="176"/>
  <c r="AA39" i="121"/>
  <c r="S39" i="177" s="1"/>
  <c r="I39" i="177"/>
  <c r="H38" i="176"/>
  <c r="H134" i="176"/>
  <c r="Y54" i="176"/>
  <c r="I38" i="177"/>
  <c r="AR100" i="166"/>
  <c r="AR66" i="132"/>
  <c r="AR100" i="167"/>
  <c r="AA38" i="121"/>
  <c r="D44" i="177"/>
  <c r="E55" i="176"/>
  <c r="F101" i="166"/>
  <c r="F59" i="166" s="1"/>
  <c r="F101" i="167"/>
  <c r="F59" i="167" s="1"/>
  <c r="F67" i="132"/>
  <c r="F76" i="132" s="1"/>
  <c r="C45" i="121"/>
  <c r="E36" i="176"/>
  <c r="C44" i="177"/>
  <c r="F84" i="167"/>
  <c r="F58" i="167" s="1"/>
  <c r="F41" i="132"/>
  <c r="F50" i="132" s="1"/>
  <c r="F41" i="136"/>
  <c r="F84" i="166"/>
  <c r="F58" i="166" s="1"/>
  <c r="C45" i="98"/>
  <c r="AA92" i="176"/>
  <c r="Y93" i="176"/>
  <c r="G33" i="161"/>
  <c r="C48" i="161"/>
  <c r="C50" i="161" s="1"/>
  <c r="H20" i="161"/>
  <c r="H48" i="161" s="1"/>
  <c r="C22" i="161"/>
  <c r="B10" i="163"/>
  <c r="B16" i="163"/>
  <c r="C22" i="156"/>
  <c r="H22" i="156" s="1"/>
  <c r="H20" i="156"/>
  <c r="H26" i="156" s="1"/>
  <c r="G17" i="162" s="1"/>
  <c r="G7" i="127" s="1"/>
  <c r="C26" i="156"/>
  <c r="B17" i="162" s="1"/>
  <c r="B7" i="127" s="1"/>
  <c r="H26" i="159"/>
  <c r="G18" i="162" s="1"/>
  <c r="G8" i="127" s="1"/>
  <c r="C47" i="158"/>
  <c r="H19" i="158"/>
  <c r="H47" i="158" s="1"/>
  <c r="C20" i="158"/>
  <c r="AR135" i="167"/>
  <c r="AR61" i="167" s="1"/>
  <c r="AR135" i="166"/>
  <c r="AR61" i="166" s="1"/>
  <c r="Y35" i="168"/>
  <c r="AA44" i="123"/>
  <c r="U44" i="177" s="1"/>
  <c r="AR119" i="132"/>
  <c r="AR128" i="132" s="1"/>
  <c r="D134" i="167"/>
  <c r="AT134" i="166"/>
  <c r="D118" i="132"/>
  <c r="AA34" i="168"/>
  <c r="AT134" i="167"/>
  <c r="D134" i="166"/>
  <c r="AT118" i="132"/>
  <c r="W136" i="167"/>
  <c r="W66" i="167" s="1"/>
  <c r="W120" i="132"/>
  <c r="W129" i="132" s="1"/>
  <c r="W45" i="123"/>
  <c r="K45" i="177" s="1"/>
  <c r="H36" i="168"/>
  <c r="W136" i="166"/>
  <c r="W66" i="166" s="1"/>
  <c r="D118" i="167"/>
  <c r="D60" i="167" s="1"/>
  <c r="AT118" i="166"/>
  <c r="AT93" i="132"/>
  <c r="AT118" i="167"/>
  <c r="D118" i="166"/>
  <c r="D60" i="166" s="1"/>
  <c r="D93" i="132"/>
  <c r="D102" i="132" s="1"/>
  <c r="D119" i="167"/>
  <c r="D65" i="167" s="1"/>
  <c r="AT119" i="167"/>
  <c r="G50" i="158"/>
  <c r="AT119" i="166"/>
  <c r="D119" i="166"/>
  <c r="D65" i="166" s="1"/>
  <c r="AT94" i="132"/>
  <c r="D94" i="132"/>
  <c r="D103" i="132" s="1"/>
  <c r="F8" i="162"/>
  <c r="G24" i="161"/>
  <c r="G22" i="159"/>
  <c r="H24" i="159"/>
  <c r="G8" i="162" s="1"/>
  <c r="H33" i="161"/>
  <c r="E16" i="163"/>
  <c r="E10" i="163"/>
  <c r="E37" i="176" l="1"/>
  <c r="C45" i="177"/>
  <c r="F85" i="166"/>
  <c r="F63" i="166" s="1"/>
  <c r="F42" i="136"/>
  <c r="F85" i="167"/>
  <c r="F63" i="167" s="1"/>
  <c r="F42" i="132"/>
  <c r="F51" i="132" s="1"/>
  <c r="AA54" i="176"/>
  <c r="S38" i="177"/>
  <c r="D100" i="166"/>
  <c r="D100" i="167"/>
  <c r="D66" i="132"/>
  <c r="AT100" i="167"/>
  <c r="AT66" i="132"/>
  <c r="AT100" i="166"/>
  <c r="D45" i="177"/>
  <c r="F102" i="167"/>
  <c r="F64" i="167" s="1"/>
  <c r="F68" i="132"/>
  <c r="F77" i="132" s="1"/>
  <c r="E56" i="176"/>
  <c r="F102" i="166"/>
  <c r="F64" i="166" s="1"/>
  <c r="Y94" i="176"/>
  <c r="AA93" i="176"/>
  <c r="C48" i="158"/>
  <c r="C50" i="158" s="1"/>
  <c r="C22" i="158"/>
  <c r="H22" i="158" s="1"/>
  <c r="H50" i="158" s="1"/>
  <c r="H20" i="158"/>
  <c r="H48" i="158" s="1"/>
  <c r="H37" i="168"/>
  <c r="D37" i="168" s="1"/>
  <c r="AA35" i="168"/>
  <c r="D135" i="167"/>
  <c r="D61" i="167" s="1"/>
  <c r="AT135" i="166"/>
  <c r="AT119" i="132"/>
  <c r="AT135" i="167"/>
  <c r="D135" i="166"/>
  <c r="D61" i="166" s="1"/>
  <c r="D119" i="132"/>
  <c r="D128" i="132" s="1"/>
  <c r="Y36" i="168"/>
  <c r="AA45" i="123"/>
  <c r="U45" i="177" s="1"/>
  <c r="AR120" i="132"/>
  <c r="AR129" i="132" s="1"/>
  <c r="AR136" i="167"/>
  <c r="AR66" i="167" s="1"/>
  <c r="AR136" i="166"/>
  <c r="AR66" i="166" s="1"/>
  <c r="G8" i="163"/>
  <c r="G9" i="162"/>
  <c r="F28" i="162"/>
  <c r="G22" i="161"/>
  <c r="H22" i="161" s="1"/>
  <c r="H24" i="161"/>
  <c r="G28" i="162" s="1"/>
  <c r="H22" i="159"/>
  <c r="F8" i="163"/>
  <c r="F9" i="162"/>
  <c r="E134" i="176" l="1"/>
  <c r="E135" i="176"/>
  <c r="AA94" i="176"/>
  <c r="AA137" i="176" s="1"/>
  <c r="D94" i="176"/>
  <c r="D36" i="168"/>
  <c r="Y63" i="168"/>
  <c r="AA36" i="168"/>
  <c r="AT136" i="167"/>
  <c r="D136" i="166"/>
  <c r="D66" i="166" s="1"/>
  <c r="D120" i="132"/>
  <c r="D129" i="132" s="1"/>
  <c r="D136" i="167"/>
  <c r="D66" i="167" s="1"/>
  <c r="AT136" i="166"/>
  <c r="AT120" i="132"/>
  <c r="H63" i="168"/>
  <c r="H67" i="168" s="1"/>
  <c r="V63" i="168"/>
  <c r="R63" i="168"/>
  <c r="R67" i="168" s="1"/>
  <c r="J63" i="168"/>
  <c r="J67" i="168" s="1"/>
  <c r="W63" i="168"/>
  <c r="O63" i="168"/>
  <c r="O67" i="168" s="1"/>
  <c r="F63" i="168"/>
  <c r="F67" i="168" s="1"/>
  <c r="P63" i="168"/>
  <c r="P67" i="168" s="1"/>
  <c r="G63" i="168"/>
  <c r="G67" i="168" s="1"/>
  <c r="Q63" i="168"/>
  <c r="Q67" i="168" s="1"/>
  <c r="D63" i="168"/>
  <c r="X63" i="168"/>
  <c r="N63" i="168"/>
  <c r="N67" i="168" s="1"/>
  <c r="E63" i="168"/>
  <c r="E67" i="168" s="1"/>
  <c r="S63" i="168"/>
  <c r="S67" i="168" s="1"/>
  <c r="K63" i="168"/>
  <c r="K67" i="168" s="1"/>
  <c r="T63" i="168"/>
  <c r="T67" i="168" s="1"/>
  <c r="L63" i="168"/>
  <c r="L67" i="168" s="1"/>
  <c r="U63" i="168"/>
  <c r="U67" i="168" s="1"/>
  <c r="M63" i="168"/>
  <c r="M67" i="168" s="1"/>
  <c r="I63" i="168"/>
  <c r="I67" i="168" s="1"/>
  <c r="G50" i="161"/>
  <c r="F10" i="163"/>
  <c r="F16" i="163"/>
  <c r="H50" i="161"/>
  <c r="G16" i="163"/>
  <c r="G10" i="163"/>
  <c r="D67" i="168" l="1"/>
  <c r="D74" i="168"/>
  <c r="D137" i="176"/>
  <c r="V67" i="168"/>
  <c r="Y67" i="168" s="1"/>
  <c r="Y57" i="168"/>
  <c r="D57" i="168"/>
  <c r="J57" i="168"/>
  <c r="S57" i="168"/>
  <c r="X57" i="168"/>
  <c r="F57" i="168"/>
  <c r="R57" i="168"/>
  <c r="V57" i="168"/>
  <c r="O57" i="168"/>
  <c r="T57" i="168"/>
  <c r="E57" i="168"/>
  <c r="M57" i="168"/>
  <c r="N57" i="168"/>
  <c r="K57" i="168"/>
  <c r="P57" i="168"/>
  <c r="U57" i="168"/>
  <c r="Q57" i="168"/>
  <c r="W57" i="168"/>
  <c r="G57" i="168"/>
  <c r="L57" i="168"/>
  <c r="I57" i="168"/>
  <c r="H57" i="168"/>
  <c r="Q13" i="169"/>
  <c r="T12" i="169"/>
  <c r="I12" i="169"/>
  <c r="T16" i="169" s="1"/>
  <c r="I16" i="169" l="1"/>
  <c r="U22" i="169" s="1"/>
  <c r="U16" i="169"/>
  <c r="I24" i="169" l="1"/>
  <c r="I80" i="169" s="1"/>
  <c r="T17" i="169"/>
  <c r="U23" i="169"/>
  <c r="I64" i="169"/>
  <c r="I65" i="169" s="1"/>
  <c r="I75" i="169" s="1"/>
  <c r="U24" i="169"/>
  <c r="Q17" i="169"/>
  <c r="I58" i="169" l="1"/>
  <c r="I72" i="169"/>
  <c r="J12" i="169"/>
  <c r="J16" i="169" s="1"/>
  <c r="J64" i="169" s="1"/>
  <c r="J72" i="169" l="1"/>
  <c r="J65" i="169"/>
  <c r="J75" i="169" s="1"/>
  <c r="J24" i="169"/>
  <c r="J80" i="169" l="1"/>
  <c r="J58" i="169"/>
  <c r="K12" i="169" l="1"/>
  <c r="K16" i="169" s="1"/>
  <c r="K64" i="169" l="1"/>
  <c r="K24" i="169"/>
  <c r="K80" i="169" l="1"/>
  <c r="K50" i="169"/>
  <c r="K58" i="169"/>
  <c r="K72" i="169"/>
  <c r="K65" i="169"/>
  <c r="K75" i="169" s="1"/>
  <c r="L12" i="169" l="1"/>
  <c r="L16" i="169" s="1"/>
  <c r="L64" i="169" l="1"/>
  <c r="L24" i="169"/>
  <c r="L50" i="169" l="1"/>
  <c r="L80" i="169"/>
  <c r="O80" i="169" s="1"/>
  <c r="L58" i="169"/>
  <c r="O58" i="169" s="1"/>
  <c r="L65" i="169"/>
  <c r="L75" i="169" s="1"/>
  <c r="O75" i="169" s="1"/>
  <c r="L72" i="169"/>
  <c r="O72" i="169" s="1"/>
  <c r="O69" i="169" s="1"/>
  <c r="D18" i="98"/>
  <c r="W18" i="98"/>
  <c r="H18" i="177" s="1"/>
  <c r="H419" i="99"/>
  <c r="H420" i="99"/>
  <c r="D41" i="98" s="1"/>
  <c r="W41" i="98" s="1"/>
  <c r="H41" i="177" s="1"/>
  <c r="AA18" i="98" l="1"/>
  <c r="R18" i="177" s="1"/>
  <c r="H418" i="99"/>
  <c r="D40" i="98"/>
  <c r="W40" i="98" s="1"/>
  <c r="AA41" i="98"/>
  <c r="R41" i="177" s="1"/>
  <c r="H24" i="99"/>
  <c r="D16" i="98"/>
  <c r="M75" i="167" l="1"/>
  <c r="M48" i="167" s="1"/>
  <c r="R30" i="169"/>
  <c r="M32" i="136"/>
  <c r="F27" i="176"/>
  <c r="F120" i="176" s="1"/>
  <c r="M32" i="132"/>
  <c r="M48" i="132" s="1"/>
  <c r="M30" i="132"/>
  <c r="M46" i="132" s="1"/>
  <c r="M30" i="136"/>
  <c r="M73" i="167"/>
  <c r="M38" i="167" s="1"/>
  <c r="M73" i="166"/>
  <c r="M38" i="166" s="1"/>
  <c r="F25" i="176"/>
  <c r="K30" i="146"/>
  <c r="W16" i="98"/>
  <c r="M75" i="166"/>
  <c r="M48" i="166" s="1"/>
  <c r="I30" i="169"/>
  <c r="D10" i="98"/>
  <c r="W10" i="98" s="1"/>
  <c r="H23" i="99"/>
  <c r="H40" i="177"/>
  <c r="AA40" i="98"/>
  <c r="R40" i="177" s="1"/>
  <c r="D39" i="98"/>
  <c r="W39" i="98" s="1"/>
  <c r="H417" i="99"/>
  <c r="D38" i="98" s="1"/>
  <c r="D9" i="98" l="1"/>
  <c r="H21" i="99"/>
  <c r="AR30" i="136"/>
  <c r="AR75" i="166"/>
  <c r="AR48" i="166" s="1"/>
  <c r="AR32" i="136"/>
  <c r="AR30" i="132"/>
  <c r="AR46" i="132" s="1"/>
  <c r="H16" i="177"/>
  <c r="Y25" i="176"/>
  <c r="D25" i="176" s="1"/>
  <c r="Y27" i="176"/>
  <c r="AR73" i="167"/>
  <c r="AR38" i="167" s="1"/>
  <c r="AR75" i="167"/>
  <c r="AR48" i="167" s="1"/>
  <c r="AR73" i="166"/>
  <c r="AR38" i="166" s="1"/>
  <c r="AR32" i="132"/>
  <c r="AR48" i="132" s="1"/>
  <c r="AA16" i="98"/>
  <c r="M83" i="166"/>
  <c r="M40" i="132"/>
  <c r="M40" i="136"/>
  <c r="M83" i="167"/>
  <c r="F35" i="176"/>
  <c r="W38" i="98"/>
  <c r="AA39" i="98"/>
  <c r="R39" i="177" s="1"/>
  <c r="H39" i="177"/>
  <c r="H10" i="177"/>
  <c r="AA10" i="98"/>
  <c r="R10" i="177" s="1"/>
  <c r="K32" i="146"/>
  <c r="K41" i="146"/>
  <c r="K77" i="169"/>
  <c r="I77" i="169"/>
  <c r="T32" i="169"/>
  <c r="T44" i="169"/>
  <c r="T46" i="169"/>
  <c r="I48" i="169"/>
  <c r="T33" i="169"/>
  <c r="U44" i="169"/>
  <c r="T48" i="169"/>
  <c r="Y30" i="169"/>
  <c r="I46" i="169"/>
  <c r="L77" i="169"/>
  <c r="O77" i="169" s="1"/>
  <c r="I44" i="169"/>
  <c r="I32" i="169"/>
  <c r="I68" i="169"/>
  <c r="R32" i="169"/>
  <c r="R41" i="169"/>
  <c r="T53" i="169" l="1"/>
  <c r="T52" i="169"/>
  <c r="T51" i="169"/>
  <c r="T50" i="169"/>
  <c r="I50" i="169"/>
  <c r="AR83" i="167"/>
  <c r="H38" i="177"/>
  <c r="AR83" i="166"/>
  <c r="Y35" i="176"/>
  <c r="AR40" i="136"/>
  <c r="AR40" i="132"/>
  <c r="AA38" i="98"/>
  <c r="K79" i="169"/>
  <c r="I79" i="169"/>
  <c r="L79" i="169"/>
  <c r="O79" i="169" s="1"/>
  <c r="AT30" i="132"/>
  <c r="AT30" i="136"/>
  <c r="AT75" i="167"/>
  <c r="D32" i="132"/>
  <c r="D48" i="132" s="1"/>
  <c r="D30" i="132"/>
  <c r="D46" i="132" s="1"/>
  <c r="AT75" i="166"/>
  <c r="AT73" i="166"/>
  <c r="R16" i="177"/>
  <c r="D75" i="167"/>
  <c r="D48" i="167" s="1"/>
  <c r="AT32" i="136"/>
  <c r="D32" i="136"/>
  <c r="AT73" i="167"/>
  <c r="D73" i="167"/>
  <c r="D38" i="167" s="1"/>
  <c r="D75" i="166"/>
  <c r="D48" i="166" s="1"/>
  <c r="AT32" i="132"/>
  <c r="AA25" i="176"/>
  <c r="D30" i="136"/>
  <c r="F32" i="91"/>
  <c r="G15" i="60" s="1"/>
  <c r="F12" i="91"/>
  <c r="G8" i="60" s="1"/>
  <c r="F11" i="91"/>
  <c r="F8" i="60" s="1"/>
  <c r="F10" i="91"/>
  <c r="E8" i="60" s="1"/>
  <c r="D73" i="166"/>
  <c r="D38" i="166" s="1"/>
  <c r="F9" i="91"/>
  <c r="D8" i="60" s="1"/>
  <c r="F6" i="150"/>
  <c r="AA27" i="176"/>
  <c r="AA120" i="176" s="1"/>
  <c r="F8" i="91"/>
  <c r="C8" i="60" s="1"/>
  <c r="H11" i="148"/>
  <c r="H10" i="148" s="1"/>
  <c r="H21" i="148" s="1"/>
  <c r="H20" i="99"/>
  <c r="D7" i="98"/>
  <c r="W7" i="98" s="1"/>
  <c r="I59" i="169"/>
  <c r="K59" i="169"/>
  <c r="I81" i="169"/>
  <c r="K81" i="169"/>
  <c r="L81" i="169"/>
  <c r="O81" i="169" s="1"/>
  <c r="L59" i="169"/>
  <c r="O59" i="169" s="1"/>
  <c r="F24" i="176"/>
  <c r="F106" i="176" s="1"/>
  <c r="M29" i="136"/>
  <c r="M29" i="132"/>
  <c r="M45" i="132" s="1"/>
  <c r="M72" i="167"/>
  <c r="M33" i="167" s="1"/>
  <c r="W9" i="98"/>
  <c r="M72" i="166"/>
  <c r="M33" i="166" s="1"/>
  <c r="D7" i="165" l="1"/>
  <c r="D11" i="165" s="1"/>
  <c r="D12" i="60"/>
  <c r="D8" i="116"/>
  <c r="D12" i="116" s="1"/>
  <c r="D22" i="116" s="1"/>
  <c r="G8" i="116"/>
  <c r="G12" i="116" s="1"/>
  <c r="G12" i="60"/>
  <c r="G7" i="165"/>
  <c r="G11" i="165" s="1"/>
  <c r="F7" i="165"/>
  <c r="F11" i="165" s="1"/>
  <c r="F8" i="116"/>
  <c r="F12" i="116" s="1"/>
  <c r="F22" i="116" s="1"/>
  <c r="F12" i="60"/>
  <c r="AT40" i="132"/>
  <c r="AT83" i="167"/>
  <c r="R38" i="177"/>
  <c r="AT83" i="166"/>
  <c r="D40" i="136"/>
  <c r="AA35" i="176"/>
  <c r="D40" i="132"/>
  <c r="D83" i="166"/>
  <c r="D83" i="167"/>
  <c r="AT40" i="136"/>
  <c r="H9" i="177"/>
  <c r="AR29" i="132"/>
  <c r="AR45" i="132" s="1"/>
  <c r="AA9" i="98"/>
  <c r="AR29" i="136"/>
  <c r="AR72" i="167"/>
  <c r="AR33" i="167" s="1"/>
  <c r="AR72" i="166"/>
  <c r="AR33" i="166" s="1"/>
  <c r="Y24" i="176"/>
  <c r="D24" i="176" s="1"/>
  <c r="D106" i="176" s="1"/>
  <c r="C8" i="116"/>
  <c r="C36" i="116" s="1"/>
  <c r="H8" i="60"/>
  <c r="C12" i="60"/>
  <c r="C7" i="165"/>
  <c r="C31" i="165" s="1"/>
  <c r="H15" i="60"/>
  <c r="G13" i="165"/>
  <c r="G38" i="165" s="1"/>
  <c r="G20" i="60"/>
  <c r="G15" i="116"/>
  <c r="H415" i="99"/>
  <c r="H414" i="99" s="1"/>
  <c r="D6" i="98"/>
  <c r="H7" i="177"/>
  <c r="E7" i="165"/>
  <c r="E11" i="165" s="1"/>
  <c r="E8" i="116"/>
  <c r="E12" i="116" s="1"/>
  <c r="E22" i="116" s="1"/>
  <c r="E12" i="60"/>
  <c r="I61" i="169"/>
  <c r="I83" i="169"/>
  <c r="L61" i="169"/>
  <c r="L83" i="169"/>
  <c r="O83" i="169" s="1"/>
  <c r="K61" i="169"/>
  <c r="K83" i="169"/>
  <c r="F31" i="165" l="1"/>
  <c r="H15" i="116"/>
  <c r="H43" i="116" s="1"/>
  <c r="G20" i="116"/>
  <c r="G22" i="116" s="1"/>
  <c r="AT29" i="132"/>
  <c r="R9" i="177"/>
  <c r="AT72" i="166"/>
  <c r="D29" i="136"/>
  <c r="AT29" i="136"/>
  <c r="AA24" i="176"/>
  <c r="AA106" i="176" s="1"/>
  <c r="D72" i="166"/>
  <c r="D33" i="166" s="1"/>
  <c r="AT72" i="167"/>
  <c r="D72" i="167"/>
  <c r="D33" i="167" s="1"/>
  <c r="D29" i="132"/>
  <c r="D45" i="132" s="1"/>
  <c r="D40" i="116"/>
  <c r="D22" i="60"/>
  <c r="D35" i="165"/>
  <c r="D26" i="60"/>
  <c r="C15" i="162" s="1"/>
  <c r="C5" i="127" s="1"/>
  <c r="E31" i="165"/>
  <c r="G48" i="116"/>
  <c r="G22" i="60"/>
  <c r="G43" i="116"/>
  <c r="F35" i="165"/>
  <c r="F22" i="60"/>
  <c r="F40" i="116"/>
  <c r="F26" i="60"/>
  <c r="E15" i="162" s="1"/>
  <c r="E5" i="127" s="1"/>
  <c r="F36" i="116"/>
  <c r="G36" i="116"/>
  <c r="D31" i="165"/>
  <c r="E40" i="116"/>
  <c r="E35" i="165"/>
  <c r="E26" i="60"/>
  <c r="D15" i="162" s="1"/>
  <c r="D5" i="127" s="1"/>
  <c r="E22" i="60"/>
  <c r="D36" i="98"/>
  <c r="W36" i="98" s="1"/>
  <c r="D35" i="98"/>
  <c r="H12" i="60"/>
  <c r="F48" i="91"/>
  <c r="C19" i="60" s="1"/>
  <c r="G35" i="165"/>
  <c r="G40" i="116"/>
  <c r="G26" i="60"/>
  <c r="F15" i="162" s="1"/>
  <c r="F5" i="127" s="1"/>
  <c r="D36" i="116"/>
  <c r="O15" i="60"/>
  <c r="P15" i="60" s="1"/>
  <c r="P61" i="169"/>
  <c r="Q61" i="169" s="1"/>
  <c r="O61" i="169"/>
  <c r="E36" i="116"/>
  <c r="D24" i="98"/>
  <c r="W6" i="98"/>
  <c r="F23" i="176"/>
  <c r="F99" i="176" s="1"/>
  <c r="H13" i="165"/>
  <c r="H38" i="165" s="1"/>
  <c r="G18" i="165"/>
  <c r="G43" i="165" s="1"/>
  <c r="C11" i="165"/>
  <c r="H11" i="165" s="1"/>
  <c r="H7" i="165"/>
  <c r="H31" i="165" s="1"/>
  <c r="C12" i="116"/>
  <c r="H12" i="116" s="1"/>
  <c r="H8" i="116"/>
  <c r="H36" i="116" s="1"/>
  <c r="G31" i="165"/>
  <c r="C40" i="116" l="1"/>
  <c r="H6" i="177"/>
  <c r="Y23" i="176"/>
  <c r="D23" i="176" s="1"/>
  <c r="D99" i="176" s="1"/>
  <c r="H19" i="60"/>
  <c r="C17" i="165"/>
  <c r="C42" i="165" s="1"/>
  <c r="C19" i="116"/>
  <c r="C47" i="116" s="1"/>
  <c r="C20" i="60"/>
  <c r="F33" i="176"/>
  <c r="M38" i="136"/>
  <c r="M81" i="166"/>
  <c r="M53" i="166" s="1"/>
  <c r="W24" i="98"/>
  <c r="M38" i="132"/>
  <c r="M49" i="132" s="1"/>
  <c r="M81" i="167"/>
  <c r="M53" i="167" s="1"/>
  <c r="F15" i="127"/>
  <c r="F10" i="127"/>
  <c r="F16" i="127"/>
  <c r="F13" i="127"/>
  <c r="H40" i="116"/>
  <c r="H35" i="165"/>
  <c r="G50" i="116"/>
  <c r="G45" i="165"/>
  <c r="C13" i="127"/>
  <c r="C10" i="127"/>
  <c r="C16" i="127"/>
  <c r="C15" i="127"/>
  <c r="AA36" i="98"/>
  <c r="R36" i="177" s="1"/>
  <c r="H36" i="177"/>
  <c r="E15" i="127"/>
  <c r="E13" i="127"/>
  <c r="E10" i="127"/>
  <c r="E16" i="127"/>
  <c r="D16" i="127"/>
  <c r="D13" i="127"/>
  <c r="D10" i="127"/>
  <c r="D15" i="127"/>
  <c r="F50" i="116"/>
  <c r="F45" i="165"/>
  <c r="M39" i="132"/>
  <c r="F34" i="176"/>
  <c r="M82" i="166"/>
  <c r="M82" i="167"/>
  <c r="W35" i="98"/>
  <c r="M39" i="136"/>
  <c r="D44" i="98"/>
  <c r="D45" i="98" s="1"/>
  <c r="C35" i="165"/>
  <c r="E45" i="165"/>
  <c r="E50" i="116"/>
  <c r="D50" i="116"/>
  <c r="D45" i="165"/>
  <c r="M42" i="136" l="1"/>
  <c r="M85" i="167"/>
  <c r="M63" i="167" s="1"/>
  <c r="M42" i="132"/>
  <c r="M51" i="132" s="1"/>
  <c r="W45" i="98"/>
  <c r="F37" i="176"/>
  <c r="M85" i="166"/>
  <c r="M63" i="166" s="1"/>
  <c r="H17" i="165"/>
  <c r="H42" i="165" s="1"/>
  <c r="C18" i="165"/>
  <c r="H18" i="165" s="1"/>
  <c r="C20" i="116"/>
  <c r="C48" i="116" s="1"/>
  <c r="C50" i="116" s="1"/>
  <c r="H19" i="116"/>
  <c r="H47" i="116" s="1"/>
  <c r="M41" i="136"/>
  <c r="M84" i="167"/>
  <c r="M58" i="167" s="1"/>
  <c r="M41" i="132"/>
  <c r="M50" i="132" s="1"/>
  <c r="F36" i="176"/>
  <c r="M84" i="166"/>
  <c r="M58" i="166" s="1"/>
  <c r="W44" i="98"/>
  <c r="AR82" i="167"/>
  <c r="AR82" i="166"/>
  <c r="H35" i="177"/>
  <c r="Y34" i="176"/>
  <c r="AR39" i="136"/>
  <c r="AR39" i="132"/>
  <c r="AA35" i="98"/>
  <c r="AR38" i="136"/>
  <c r="H24" i="177"/>
  <c r="AR81" i="167"/>
  <c r="AR53" i="167" s="1"/>
  <c r="Y33" i="176"/>
  <c r="D33" i="176" s="1"/>
  <c r="AR38" i="132"/>
  <c r="AR49" i="132" s="1"/>
  <c r="AR81" i="166"/>
  <c r="AR53" i="166" s="1"/>
  <c r="H20" i="60"/>
  <c r="C22" i="60"/>
  <c r="H22" i="60" s="1"/>
  <c r="C26" i="60"/>
  <c r="B15" i="162" s="1"/>
  <c r="B5" i="127" s="1"/>
  <c r="H45" i="165" l="1"/>
  <c r="H20" i="116"/>
  <c r="H48" i="116" s="1"/>
  <c r="C22" i="116"/>
  <c r="H22" i="116" s="1"/>
  <c r="H50" i="116" s="1"/>
  <c r="H43" i="165"/>
  <c r="H26" i="60"/>
  <c r="G15" i="162" s="1"/>
  <c r="G5" i="127" s="1"/>
  <c r="H5" i="127" s="1"/>
  <c r="AR41" i="136"/>
  <c r="Y36" i="176"/>
  <c r="H44" i="177"/>
  <c r="AR84" i="167"/>
  <c r="AR58" i="167" s="1"/>
  <c r="AR41" i="132"/>
  <c r="AR50" i="132" s="1"/>
  <c r="AR84" i="166"/>
  <c r="AR58" i="166" s="1"/>
  <c r="AA44" i="98"/>
  <c r="H45" i="177"/>
  <c r="AR42" i="136"/>
  <c r="AR85" i="167"/>
  <c r="AR63" i="167" s="1"/>
  <c r="AR42" i="132"/>
  <c r="AR51" i="132" s="1"/>
  <c r="AR85" i="166"/>
  <c r="AR63" i="166" s="1"/>
  <c r="Y37" i="176"/>
  <c r="D37" i="176" s="1"/>
  <c r="D134" i="176" s="1"/>
  <c r="B16" i="127"/>
  <c r="B13" i="127"/>
  <c r="B15" i="127"/>
  <c r="B10" i="127"/>
  <c r="C43" i="165"/>
  <c r="C45" i="165" s="1"/>
  <c r="D39" i="136"/>
  <c r="AA34" i="176"/>
  <c r="AT82" i="167"/>
  <c r="D39" i="132"/>
  <c r="R35" i="177"/>
  <c r="D82" i="167"/>
  <c r="D82" i="166"/>
  <c r="AT39" i="136"/>
  <c r="AT82" i="166"/>
  <c r="AT39" i="132"/>
  <c r="F134" i="176"/>
  <c r="D38" i="176"/>
  <c r="B22" i="127" l="1"/>
  <c r="G16" i="127"/>
  <c r="G13" i="127"/>
  <c r="G10" i="127"/>
  <c r="H21" i="127"/>
  <c r="G15" i="127"/>
  <c r="G20" i="127"/>
  <c r="F21" i="127"/>
  <c r="F22" i="127"/>
  <c r="D22" i="127"/>
  <c r="E22" i="127"/>
  <c r="AT84" i="167"/>
  <c r="AT84" i="166"/>
  <c r="AT41" i="136"/>
  <c r="D41" i="136"/>
  <c r="AA36" i="176"/>
  <c r="R44" i="177"/>
  <c r="D84" i="167"/>
  <c r="D58" i="167" s="1"/>
  <c r="D84" i="166"/>
  <c r="D58" i="166" s="1"/>
  <c r="AT41" i="132"/>
  <c r="D41" i="132"/>
  <c r="D50" i="132" s="1"/>
  <c r="D18" i="121"/>
  <c r="W18" i="121" s="1"/>
  <c r="I18" i="177" s="1"/>
  <c r="H24" i="102"/>
  <c r="H23" i="102" s="1"/>
  <c r="D16" i="121"/>
  <c r="F44" i="176" s="1"/>
  <c r="M58" i="132" l="1"/>
  <c r="M74" i="132" s="1"/>
  <c r="M90" i="166"/>
  <c r="M39" i="166" s="1"/>
  <c r="W16" i="121"/>
  <c r="AR56" i="132" s="1"/>
  <c r="AR72" i="132" s="1"/>
  <c r="J30" i="169"/>
  <c r="M90" i="167"/>
  <c r="M39" i="167" s="1"/>
  <c r="H21" i="102"/>
  <c r="D9" i="121"/>
  <c r="Y44" i="176"/>
  <c r="D44" i="176" s="1"/>
  <c r="AR90" i="166"/>
  <c r="AR39" i="166" s="1"/>
  <c r="J77" i="169"/>
  <c r="J68" i="169"/>
  <c r="J79" i="169" s="1"/>
  <c r="J48" i="169"/>
  <c r="J32" i="169"/>
  <c r="J44" i="169"/>
  <c r="J46" i="169"/>
  <c r="D10" i="121"/>
  <c r="W10" i="121" s="1"/>
  <c r="M92" i="166"/>
  <c r="M49" i="166" s="1"/>
  <c r="M92" i="167"/>
  <c r="M49" i="167" s="1"/>
  <c r="F46" i="176"/>
  <c r="F121" i="176" s="1"/>
  <c r="M56" i="132"/>
  <c r="M72" i="132" s="1"/>
  <c r="AA16" i="121" l="1"/>
  <c r="D90" i="166" s="1"/>
  <c r="D39" i="166" s="1"/>
  <c r="AR92" i="166"/>
  <c r="AR49" i="166" s="1"/>
  <c r="I16" i="177"/>
  <c r="AR92" i="167"/>
  <c r="AR49" i="167" s="1"/>
  <c r="AR90" i="167"/>
  <c r="AR39" i="167" s="1"/>
  <c r="AR58" i="132"/>
  <c r="AR74" i="132" s="1"/>
  <c r="Y46" i="176"/>
  <c r="J50" i="169"/>
  <c r="J83" i="169" s="1"/>
  <c r="AT56" i="132"/>
  <c r="AT92" i="166"/>
  <c r="F8" i="154"/>
  <c r="C8" i="153" s="1"/>
  <c r="S16" i="177"/>
  <c r="D92" i="167"/>
  <c r="D49" i="167" s="1"/>
  <c r="D56" i="132"/>
  <c r="D72" i="132" s="1"/>
  <c r="F12" i="154"/>
  <c r="G8" i="153" s="1"/>
  <c r="AT92" i="167"/>
  <c r="AT90" i="166"/>
  <c r="I11" i="148"/>
  <c r="I10" i="148" s="1"/>
  <c r="I21" i="148" s="1"/>
  <c r="D92" i="166"/>
  <c r="D49" i="166" s="1"/>
  <c r="AA46" i="176"/>
  <c r="AA121" i="176" s="1"/>
  <c r="J81" i="169"/>
  <c r="J59" i="169"/>
  <c r="I10" i="177"/>
  <c r="AA10" i="121"/>
  <c r="S10" i="177" s="1"/>
  <c r="F43" i="176"/>
  <c r="F107" i="176" s="1"/>
  <c r="M89" i="166"/>
  <c r="M34" i="166" s="1"/>
  <c r="M55" i="132"/>
  <c r="M71" i="132" s="1"/>
  <c r="W9" i="121"/>
  <c r="M89" i="167"/>
  <c r="M34" i="167" s="1"/>
  <c r="H20" i="102"/>
  <c r="D7" i="121"/>
  <c r="W7" i="121" s="1"/>
  <c r="F10" i="154" l="1"/>
  <c r="E8" i="153" s="1"/>
  <c r="E12" i="153" s="1"/>
  <c r="AA44" i="176"/>
  <c r="F32" i="154"/>
  <c r="G15" i="153" s="1"/>
  <c r="G15" i="155" s="1"/>
  <c r="AT90" i="167"/>
  <c r="D90" i="167"/>
  <c r="D39" i="167" s="1"/>
  <c r="F9" i="154"/>
  <c r="D8" i="153" s="1"/>
  <c r="D8" i="155" s="1"/>
  <c r="D12" i="155" s="1"/>
  <c r="D22" i="155" s="1"/>
  <c r="F11" i="154"/>
  <c r="F8" i="153" s="1"/>
  <c r="F8" i="155" s="1"/>
  <c r="F12" i="155" s="1"/>
  <c r="F22" i="155" s="1"/>
  <c r="D58" i="132"/>
  <c r="D74" i="132" s="1"/>
  <c r="F7" i="150"/>
  <c r="AT58" i="132"/>
  <c r="D6" i="121"/>
  <c r="W6" i="121" s="1"/>
  <c r="H415" i="102"/>
  <c r="J61" i="169"/>
  <c r="I9" i="177"/>
  <c r="AA9" i="121"/>
  <c r="AR89" i="166"/>
  <c r="AR34" i="166" s="1"/>
  <c r="Y43" i="176"/>
  <c r="D43" i="176" s="1"/>
  <c r="D107" i="176" s="1"/>
  <c r="AR89" i="167"/>
  <c r="AR34" i="167" s="1"/>
  <c r="AR55" i="132"/>
  <c r="AR71" i="132" s="1"/>
  <c r="D24" i="121"/>
  <c r="G8" i="155"/>
  <c r="G12" i="155" s="1"/>
  <c r="G12" i="153"/>
  <c r="C8" i="155"/>
  <c r="C12" i="153"/>
  <c r="AA7" i="121"/>
  <c r="S7" i="177" s="1"/>
  <c r="I7" i="177"/>
  <c r="H15" i="153"/>
  <c r="G20" i="153"/>
  <c r="E8" i="155" l="1"/>
  <c r="E12" i="155" s="1"/>
  <c r="E22" i="155" s="1"/>
  <c r="D12" i="153"/>
  <c r="F12" i="153"/>
  <c r="F40" i="155" s="1"/>
  <c r="G43" i="155"/>
  <c r="H8" i="153"/>
  <c r="F42" i="176"/>
  <c r="F100" i="176" s="1"/>
  <c r="H414" i="102"/>
  <c r="D35" i="121" s="1"/>
  <c r="D36" i="121"/>
  <c r="W36" i="121" s="1"/>
  <c r="G22" i="153"/>
  <c r="F48" i="154"/>
  <c r="C19" i="153" s="1"/>
  <c r="F52" i="176"/>
  <c r="M98" i="167"/>
  <c r="M54" i="167" s="1"/>
  <c r="W24" i="121"/>
  <c r="M64" i="132"/>
  <c r="M75" i="132" s="1"/>
  <c r="M98" i="166"/>
  <c r="M54" i="166" s="1"/>
  <c r="C12" i="155"/>
  <c r="H12" i="155" s="1"/>
  <c r="D26" i="153"/>
  <c r="C16" i="162" s="1"/>
  <c r="C6" i="127" s="1"/>
  <c r="C14" i="127" s="1"/>
  <c r="D22" i="153"/>
  <c r="D50" i="155" s="1"/>
  <c r="D40" i="155"/>
  <c r="G40" i="155"/>
  <c r="G26" i="153"/>
  <c r="F16" i="162" s="1"/>
  <c r="F6" i="127" s="1"/>
  <c r="F14" i="127" s="1"/>
  <c r="H15" i="155"/>
  <c r="H43" i="155" s="1"/>
  <c r="G20" i="155"/>
  <c r="G22" i="155" s="1"/>
  <c r="E26" i="153"/>
  <c r="D16" i="162" s="1"/>
  <c r="D6" i="127" s="1"/>
  <c r="D14" i="127" s="1"/>
  <c r="E22" i="153"/>
  <c r="E50" i="155" s="1"/>
  <c r="E40" i="155"/>
  <c r="D36" i="155"/>
  <c r="G36" i="155"/>
  <c r="AA6" i="121"/>
  <c r="Y42" i="176"/>
  <c r="D42" i="176" s="1"/>
  <c r="D100" i="176" s="1"/>
  <c r="I6" i="177"/>
  <c r="AT89" i="166"/>
  <c r="D89" i="166"/>
  <c r="D34" i="166" s="1"/>
  <c r="AT55" i="132"/>
  <c r="S9" i="177"/>
  <c r="D89" i="167"/>
  <c r="D34" i="167" s="1"/>
  <c r="AA43" i="176"/>
  <c r="AA107" i="176" s="1"/>
  <c r="D55" i="132"/>
  <c r="D71" i="132" s="1"/>
  <c r="AT89" i="167"/>
  <c r="O15" i="153"/>
  <c r="P15" i="153" s="1"/>
  <c r="E36" i="155"/>
  <c r="C36" i="155"/>
  <c r="F36" i="155"/>
  <c r="H8" i="155" l="1"/>
  <c r="F22" i="153"/>
  <c r="F50" i="155" s="1"/>
  <c r="H12" i="153"/>
  <c r="F26" i="153"/>
  <c r="E16" i="162" s="1"/>
  <c r="E6" i="127" s="1"/>
  <c r="E14" i="127" s="1"/>
  <c r="H36" i="155"/>
  <c r="I36" i="177"/>
  <c r="AA36" i="121"/>
  <c r="S36" i="177" s="1"/>
  <c r="D44" i="121"/>
  <c r="M65" i="132"/>
  <c r="F53" i="176"/>
  <c r="W35" i="121"/>
  <c r="M99" i="167"/>
  <c r="M99" i="166"/>
  <c r="C40" i="155"/>
  <c r="I24" i="177"/>
  <c r="Y52" i="176"/>
  <c r="D52" i="176" s="1"/>
  <c r="AA24" i="121"/>
  <c r="AR98" i="167"/>
  <c r="AR54" i="167" s="1"/>
  <c r="AR64" i="132"/>
  <c r="AR75" i="132" s="1"/>
  <c r="AR98" i="166"/>
  <c r="AR54" i="166" s="1"/>
  <c r="S6" i="177"/>
  <c r="AA42" i="176"/>
  <c r="AA100" i="176" s="1"/>
  <c r="G50" i="155"/>
  <c r="H19" i="153"/>
  <c r="C20" i="153"/>
  <c r="C19" i="155"/>
  <c r="C47" i="155" s="1"/>
  <c r="H40" i="155"/>
  <c r="G48" i="155"/>
  <c r="AR99" i="167" l="1"/>
  <c r="AR65" i="132"/>
  <c r="I35" i="177"/>
  <c r="Y53" i="176"/>
  <c r="AA35" i="121"/>
  <c r="AR99" i="166"/>
  <c r="F55" i="176"/>
  <c r="M101" i="167"/>
  <c r="M59" i="167" s="1"/>
  <c r="M101" i="166"/>
  <c r="M59" i="166" s="1"/>
  <c r="M67" i="132"/>
  <c r="M76" i="132" s="1"/>
  <c r="W44" i="121"/>
  <c r="D45" i="121"/>
  <c r="S24" i="177"/>
  <c r="D98" i="167"/>
  <c r="D54" i="167" s="1"/>
  <c r="AT98" i="166"/>
  <c r="AT98" i="167"/>
  <c r="AT64" i="132"/>
  <c r="D64" i="132"/>
  <c r="D75" i="132" s="1"/>
  <c r="AA52" i="176"/>
  <c r="D98" i="166"/>
  <c r="D54" i="166" s="1"/>
  <c r="C20" i="155"/>
  <c r="C48" i="155" s="1"/>
  <c r="C50" i="155" s="1"/>
  <c r="H19" i="155"/>
  <c r="H47" i="155" s="1"/>
  <c r="H20" i="153"/>
  <c r="C22" i="153"/>
  <c r="H22" i="153" s="1"/>
  <c r="C26" i="153"/>
  <c r="B16" i="162" s="1"/>
  <c r="B6" i="127" s="1"/>
  <c r="B14" i="127" s="1"/>
  <c r="M102" i="166" l="1"/>
  <c r="M64" i="166" s="1"/>
  <c r="M68" i="132"/>
  <c r="M77" i="132" s="1"/>
  <c r="F56" i="176"/>
  <c r="M102" i="167"/>
  <c r="M64" i="167" s="1"/>
  <c r="W45" i="121"/>
  <c r="AR67" i="132"/>
  <c r="AR76" i="132" s="1"/>
  <c r="AA44" i="121"/>
  <c r="I44" i="177"/>
  <c r="Y55" i="176"/>
  <c r="AR101" i="167"/>
  <c r="AR59" i="167" s="1"/>
  <c r="AR101" i="166"/>
  <c r="AR59" i="166" s="1"/>
  <c r="S35" i="177"/>
  <c r="AT99" i="167"/>
  <c r="AT65" i="132"/>
  <c r="D99" i="166"/>
  <c r="AA53" i="176"/>
  <c r="D99" i="167"/>
  <c r="D65" i="132"/>
  <c r="AT99" i="166"/>
  <c r="C22" i="155"/>
  <c r="H22" i="155" s="1"/>
  <c r="H50" i="155" s="1"/>
  <c r="H20" i="155"/>
  <c r="H48" i="155" s="1"/>
  <c r="H26" i="153"/>
  <c r="G16" i="162" s="1"/>
  <c r="G6" i="127" s="1"/>
  <c r="G14" i="127" s="1"/>
  <c r="X7" i="98"/>
  <c r="AA7" i="98" s="1"/>
  <c r="R7" i="177" s="1"/>
  <c r="X6" i="98"/>
  <c r="S44" i="177" l="1"/>
  <c r="AT67" i="132"/>
  <c r="D101" i="167"/>
  <c r="D59" i="167" s="1"/>
  <c r="AT101" i="166"/>
  <c r="AT101" i="167"/>
  <c r="AA55" i="176"/>
  <c r="D67" i="132"/>
  <c r="D76" i="132" s="1"/>
  <c r="D101" i="166"/>
  <c r="D59" i="166" s="1"/>
  <c r="F135" i="176"/>
  <c r="D57" i="176"/>
  <c r="Y56" i="176"/>
  <c r="D56" i="176" s="1"/>
  <c r="D135" i="176" s="1"/>
  <c r="AR102" i="167"/>
  <c r="AR64" i="167" s="1"/>
  <c r="AR68" i="132"/>
  <c r="AR77" i="132" s="1"/>
  <c r="AR102" i="166"/>
  <c r="AR64" i="166" s="1"/>
  <c r="AA45" i="121"/>
  <c r="I45" i="177"/>
  <c r="M6" i="177"/>
  <c r="AA6" i="98"/>
  <c r="X24" i="98"/>
  <c r="Z23" i="176"/>
  <c r="Z99" i="176" s="1"/>
  <c r="M7" i="177"/>
  <c r="AT68" i="132" l="1"/>
  <c r="AA56" i="176"/>
  <c r="AA135" i="176" s="1"/>
  <c r="D68" i="132"/>
  <c r="D77" i="132" s="1"/>
  <c r="S45" i="177"/>
  <c r="AT102" i="166"/>
  <c r="D102" i="167"/>
  <c r="D64" i="167" s="1"/>
  <c r="AT102" i="167"/>
  <c r="D102" i="166"/>
  <c r="D64" i="166" s="1"/>
  <c r="AS38" i="136"/>
  <c r="AS81" i="166"/>
  <c r="AS53" i="166" s="1"/>
  <c r="X45" i="98"/>
  <c r="M24" i="177"/>
  <c r="AS81" i="167"/>
  <c r="AS53" i="167" s="1"/>
  <c r="AA24" i="98"/>
  <c r="Z33" i="176"/>
  <c r="AS38" i="132"/>
  <c r="AS49" i="132" s="1"/>
  <c r="R6" i="177"/>
  <c r="AA23" i="176"/>
  <c r="AA99" i="176" s="1"/>
  <c r="AS85" i="167" l="1"/>
  <c r="AS63" i="167" s="1"/>
  <c r="AA45" i="98"/>
  <c r="AS42" i="132"/>
  <c r="AS51" i="132" s="1"/>
  <c r="M45" i="177"/>
  <c r="AS42" i="136"/>
  <c r="Z37" i="176"/>
  <c r="Z134" i="176" s="1"/>
  <c r="AS85" i="166"/>
  <c r="AS63" i="166" s="1"/>
  <c r="AA26" i="98"/>
  <c r="AT81" i="166"/>
  <c r="AT38" i="136"/>
  <c r="D81" i="166"/>
  <c r="D53" i="166" s="1"/>
  <c r="R24" i="177"/>
  <c r="AT38" i="132"/>
  <c r="D38" i="132"/>
  <c r="D49" i="132" s="1"/>
  <c r="AT81" i="167"/>
  <c r="D38" i="136"/>
  <c r="AA33" i="176"/>
  <c r="D81" i="167"/>
  <c r="D53" i="167" s="1"/>
  <c r="D42" i="136" l="1"/>
  <c r="AT42" i="132"/>
  <c r="D42" i="132"/>
  <c r="D51" i="132" s="1"/>
  <c r="D85" i="166"/>
  <c r="D63" i="166" s="1"/>
  <c r="R45" i="177"/>
  <c r="AT85" i="167"/>
  <c r="D85" i="167"/>
  <c r="D63" i="167" s="1"/>
  <c r="AT42" i="136"/>
  <c r="AA37" i="176"/>
  <c r="AA134" i="176" s="1"/>
  <c r="AT85" i="166"/>
</calcChain>
</file>

<file path=xl/comments1.xml><?xml version="1.0" encoding="utf-8"?>
<comments xmlns="http://schemas.openxmlformats.org/spreadsheetml/2006/main">
  <authors>
    <author>Cor. Graveland</author>
  </authors>
  <commentList>
    <comment ref="E57" authorId="0" shapeId="0">
      <text>
        <r>
          <rPr>
            <b/>
            <sz val="9"/>
            <color indexed="81"/>
            <rFont val="Tahoma"/>
            <family val="2"/>
          </rPr>
          <t>NCA - Rwanda:</t>
        </r>
        <r>
          <rPr>
            <sz val="9"/>
            <color indexed="81"/>
            <rFont val="Tahoma"/>
            <family val="2"/>
          </rPr>
          <t xml:space="preserve">
</t>
        </r>
        <r>
          <rPr>
            <b/>
            <sz val="9"/>
            <color indexed="81"/>
            <rFont val="Tahoma"/>
            <family val="2"/>
          </rPr>
          <t xml:space="preserve">See also: </t>
        </r>
        <r>
          <rPr>
            <sz val="9"/>
            <color indexed="81"/>
            <rFont val="Tahoma"/>
            <family val="2"/>
          </rPr>
          <t xml:space="preserve">
https://en.wikipedia.org/wiki/Lake_Kivu
</t>
        </r>
        <r>
          <rPr>
            <b/>
            <sz val="9"/>
            <color indexed="81"/>
            <rFont val="Tahoma"/>
            <family val="2"/>
          </rPr>
          <t>Geography</t>
        </r>
        <r>
          <rPr>
            <sz val="9"/>
            <color indexed="81"/>
            <rFont val="Tahoma"/>
            <family val="2"/>
          </rPr>
          <t xml:space="preserve">
Lake Kivu is approximately 90 km long and 50 km at its widest. 
Its irregular shape makes measuring its precise surface area difficult; it has been estimated to cover a total surface area of some 2,700 km2. The surface of the lake sits at a height of 1,460 metres above sea level. 
The lake has a maximum depth of 475 m  and a mean depth of 220 m, making it the world's eighteenth deepest lake by maximum depth, and the ninth deepest by mean depth.[2] 
Some 1,370 km2 or </t>
        </r>
        <r>
          <rPr>
            <b/>
            <sz val="9"/>
            <color indexed="81"/>
            <rFont val="Tahoma"/>
            <family val="2"/>
          </rPr>
          <t>58 percent of the lake's waters</t>
        </r>
        <r>
          <rPr>
            <sz val="9"/>
            <color indexed="81"/>
            <rFont val="Tahoma"/>
            <family val="2"/>
          </rPr>
          <t xml:space="preserve"> lie within DRC borders. 
--&gt; Meaning </t>
        </r>
        <r>
          <rPr>
            <b/>
            <sz val="9"/>
            <color indexed="81"/>
            <rFont val="Tahoma"/>
            <family val="2"/>
          </rPr>
          <t xml:space="preserve">42 percent of volume in Rwanda ?! </t>
        </r>
        <r>
          <rPr>
            <sz val="9"/>
            <color indexed="81"/>
            <rFont val="Tahoma"/>
            <family val="2"/>
          </rPr>
          <t xml:space="preserve">  
The lake bed sits upon a rift valley that is slowly being pulled apart, causing volcanic activity in the area.</t>
        </r>
      </text>
    </comment>
    <comment ref="A65" authorId="0" shapeId="0">
      <text>
        <r>
          <rPr>
            <b/>
            <sz val="9"/>
            <color indexed="81"/>
            <rFont val="Tahoma"/>
            <family val="2"/>
          </rPr>
          <t>NCA - Rwanda - Water :</t>
        </r>
        <r>
          <rPr>
            <sz val="9"/>
            <color indexed="81"/>
            <rFont val="Tahoma"/>
            <family val="2"/>
          </rPr>
          <t xml:space="preserve">
From file: 
'lakes water levels (Historical)__I' 
</t>
        </r>
      </text>
    </comment>
    <comment ref="F68" authorId="0" shapeId="0">
      <text>
        <r>
          <rPr>
            <b/>
            <sz val="9"/>
            <color indexed="81"/>
            <rFont val="Tahoma"/>
            <family val="2"/>
          </rPr>
          <t>Cor. Graveland:</t>
        </r>
        <r>
          <rPr>
            <sz val="9"/>
            <color indexed="81"/>
            <rFont val="Tahoma"/>
            <family val="2"/>
          </rPr>
          <t xml:space="preserve">
Except from lake Burera, all Lakes showed declining  water levels over 2012 up to 1st of January 2013. 
</t>
        </r>
      </text>
    </comment>
  </commentList>
</comments>
</file>

<file path=xl/comments2.xml><?xml version="1.0" encoding="utf-8"?>
<comments xmlns="http://schemas.openxmlformats.org/spreadsheetml/2006/main">
  <authors>
    <author>Graveland, C. (Cor)</author>
  </authors>
  <commentList>
    <comment ref="J62" authorId="0" shapeId="0">
      <text>
        <r>
          <rPr>
            <b/>
            <sz val="9"/>
            <color indexed="81"/>
            <rFont val="Tahoma"/>
            <family val="2"/>
          </rPr>
          <t>Graveland, C. (Cor):</t>
        </r>
        <r>
          <rPr>
            <sz val="9"/>
            <color indexed="81"/>
            <rFont val="Tahoma"/>
            <family val="2"/>
          </rPr>
          <t xml:space="preserve">
Was: 
=H62*3600*24*365  
Should be: 
=H62*3600*24*365</t>
        </r>
      </text>
    </comment>
  </commentList>
</comments>
</file>

<file path=xl/comments3.xml><?xml version="1.0" encoding="utf-8"?>
<comments xmlns="http://schemas.openxmlformats.org/spreadsheetml/2006/main">
  <authors>
    <author>Cor. Graveland</author>
    <author>Graveland, C. (Cor)</author>
  </authors>
  <commentList>
    <comment ref="H6" authorId="0" shapeId="0">
      <text>
        <r>
          <rPr>
            <b/>
            <sz val="9"/>
            <color indexed="81"/>
            <rFont val="Tahoma"/>
            <family val="2"/>
          </rPr>
          <t>Cor. Graveland:</t>
        </r>
        <r>
          <rPr>
            <sz val="9"/>
            <color indexed="81"/>
            <rFont val="Tahoma"/>
            <family val="2"/>
          </rPr>
          <t xml:space="preserve">
Data from MINAGRI:
RAB: ( )  
RSSP: (project). 
</t>
        </r>
      </text>
    </comment>
    <comment ref="H53" authorId="0" shapeId="0">
      <text>
        <r>
          <rPr>
            <b/>
            <sz val="9"/>
            <color indexed="81"/>
            <rFont val="Tahoma"/>
            <family val="2"/>
          </rPr>
          <t>NCA:</t>
        </r>
        <r>
          <rPr>
            <sz val="9"/>
            <color indexed="81"/>
            <rFont val="Tahoma"/>
            <family val="2"/>
          </rPr>
          <t xml:space="preserve">
Automated recording of the water levels. 
Close to real time. 
</t>
        </r>
      </text>
    </comment>
    <comment ref="T53" authorId="0" shapeId="0">
      <text>
        <r>
          <rPr>
            <b/>
            <sz val="9"/>
            <color indexed="81"/>
            <rFont val="Tahoma"/>
            <family val="2"/>
          </rPr>
          <t>NCA:</t>
        </r>
        <r>
          <rPr>
            <sz val="9"/>
            <color indexed="81"/>
            <rFont val="Tahoma"/>
            <family val="2"/>
          </rPr>
          <t xml:space="preserve">
In operation in 2014, dec. 
Means 1 months out of 12. 
</t>
        </r>
      </text>
    </comment>
    <comment ref="I57" authorId="0" shapeId="0">
      <text>
        <r>
          <rPr>
            <b/>
            <sz val="11"/>
            <color indexed="81"/>
            <rFont val="Tahoma"/>
            <family val="2"/>
          </rPr>
          <t xml:space="preserve">Cor. Graveland: </t>
        </r>
        <r>
          <rPr>
            <sz val="11"/>
            <color indexed="81"/>
            <rFont val="Tahoma"/>
            <family val="2"/>
          </rPr>
          <t xml:space="preserve">
Estimates !! 
Based upon dvolume an Design Flow (m3/s) derived ratio ! 
OR: 
Ratio between installed capacity ratio with known storage volume from '</t>
        </r>
        <r>
          <rPr>
            <b/>
            <sz val="11"/>
            <color indexed="81"/>
            <rFont val="Tahoma"/>
            <family val="2"/>
          </rPr>
          <t>Nyabarongo 1</t>
        </r>
        <r>
          <rPr>
            <sz val="11"/>
            <color indexed="81"/>
            <rFont val="Tahoma"/>
            <family val="2"/>
          </rPr>
          <t xml:space="preserve">' and other parameters. 
</t>
        </r>
      </text>
    </comment>
    <comment ref="Q65" authorId="0" shapeId="0">
      <text>
        <r>
          <rPr>
            <b/>
            <sz val="9"/>
            <color indexed="81"/>
            <rFont val="Tahoma"/>
            <family val="2"/>
          </rPr>
          <t>Cor. Graveland:</t>
        </r>
        <r>
          <rPr>
            <sz val="9"/>
            <color indexed="81"/>
            <rFont val="Tahoma"/>
            <family val="2"/>
          </rPr>
          <t xml:space="preserve">
In operation in 2011, 6 months out of 12. 
</t>
        </r>
      </text>
    </comment>
    <comment ref="Q66" authorId="0" shapeId="0">
      <text>
        <r>
          <rPr>
            <b/>
            <sz val="9"/>
            <color indexed="81"/>
            <rFont val="Tahoma"/>
            <family val="2"/>
          </rPr>
          <t>Cor. Graveland:</t>
        </r>
        <r>
          <rPr>
            <sz val="9"/>
            <color indexed="81"/>
            <rFont val="Tahoma"/>
            <family val="2"/>
          </rPr>
          <t xml:space="preserve">
In operation in 2011, 6 months out of 12. 
</t>
        </r>
      </text>
    </comment>
    <comment ref="Q67" authorId="0" shapeId="0">
      <text>
        <r>
          <rPr>
            <b/>
            <sz val="9"/>
            <color indexed="81"/>
            <rFont val="Tahoma"/>
            <family val="2"/>
          </rPr>
          <t>Cor. Graveland:</t>
        </r>
        <r>
          <rPr>
            <sz val="9"/>
            <color indexed="81"/>
            <rFont val="Tahoma"/>
            <family val="2"/>
          </rPr>
          <t xml:space="preserve">
In operation in 2011, 6 months out of 12. 
</t>
        </r>
      </text>
    </comment>
    <comment ref="Q68" authorId="0" shapeId="0">
      <text>
        <r>
          <rPr>
            <b/>
            <sz val="9"/>
            <color indexed="81"/>
            <rFont val="Tahoma"/>
            <family val="2"/>
          </rPr>
          <t>Cor. Graveland:</t>
        </r>
        <r>
          <rPr>
            <sz val="9"/>
            <color indexed="81"/>
            <rFont val="Tahoma"/>
            <family val="2"/>
          </rPr>
          <t xml:space="preserve">
In operation in 2011, 6 months out of 12. 
</t>
        </r>
      </text>
    </comment>
    <comment ref="R69" authorId="0" shapeId="0">
      <text>
        <r>
          <rPr>
            <b/>
            <sz val="9"/>
            <color indexed="81"/>
            <rFont val="Tahoma"/>
            <family val="2"/>
          </rPr>
          <t>Cor. Graveland:</t>
        </r>
        <r>
          <rPr>
            <sz val="9"/>
            <color indexed="81"/>
            <rFont val="Tahoma"/>
            <family val="2"/>
          </rPr>
          <t xml:space="preserve">
In operation in 2012, 8 months out of 12. 
</t>
        </r>
      </text>
    </comment>
    <comment ref="R70" authorId="0" shapeId="0">
      <text>
        <r>
          <rPr>
            <b/>
            <sz val="9"/>
            <color indexed="81"/>
            <rFont val="Tahoma"/>
            <family val="2"/>
          </rPr>
          <t>Cor. Graveland:</t>
        </r>
        <r>
          <rPr>
            <sz val="9"/>
            <color indexed="81"/>
            <rFont val="Tahoma"/>
            <family val="2"/>
          </rPr>
          <t xml:space="preserve">
In operation in 2012, 8 months out of 12. 
</t>
        </r>
      </text>
    </comment>
    <comment ref="S71" authorId="0" shapeId="0">
      <text>
        <r>
          <rPr>
            <b/>
            <sz val="9"/>
            <color indexed="81"/>
            <rFont val="Tahoma"/>
            <family val="2"/>
          </rPr>
          <t>NCA:</t>
        </r>
        <r>
          <rPr>
            <sz val="9"/>
            <color indexed="81"/>
            <rFont val="Tahoma"/>
            <family val="2"/>
          </rPr>
          <t xml:space="preserve">
In operation in JJJJ, 
Means X months out of 12. 
</t>
        </r>
      </text>
    </comment>
    <comment ref="S72" authorId="0" shapeId="0">
      <text>
        <r>
          <rPr>
            <b/>
            <sz val="9"/>
            <color indexed="81"/>
            <rFont val="Tahoma"/>
            <family val="2"/>
          </rPr>
          <t>NCA:</t>
        </r>
        <r>
          <rPr>
            <sz val="9"/>
            <color indexed="81"/>
            <rFont val="Tahoma"/>
            <family val="2"/>
          </rPr>
          <t xml:space="preserve">
In operation in JJJJ, 
Means X months out of 12. 
</t>
        </r>
      </text>
    </comment>
    <comment ref="T73" authorId="0" shapeId="0">
      <text>
        <r>
          <rPr>
            <b/>
            <sz val="9"/>
            <color indexed="81"/>
            <rFont val="Tahoma"/>
            <family val="2"/>
          </rPr>
          <t>NCA:</t>
        </r>
        <r>
          <rPr>
            <sz val="9"/>
            <color indexed="81"/>
            <rFont val="Tahoma"/>
            <family val="2"/>
          </rPr>
          <t xml:space="preserve">
In operation in JJJJ, 
Means X months out of 12. 
</t>
        </r>
      </text>
    </comment>
    <comment ref="T74" authorId="0" shapeId="0">
      <text>
        <r>
          <rPr>
            <b/>
            <sz val="9"/>
            <color indexed="81"/>
            <rFont val="Tahoma"/>
            <family val="2"/>
          </rPr>
          <t>NCA:</t>
        </r>
        <r>
          <rPr>
            <sz val="9"/>
            <color indexed="81"/>
            <rFont val="Tahoma"/>
            <family val="2"/>
          </rPr>
          <t xml:space="preserve">
In operation in JJJJ, 
Means X months out of 12. 
</t>
        </r>
      </text>
    </comment>
    <comment ref="I75" authorId="0" shapeId="0">
      <text>
        <r>
          <rPr>
            <b/>
            <sz val="9"/>
            <color indexed="81"/>
            <rFont val="Tahoma"/>
            <family val="2"/>
          </rPr>
          <t>NCA:</t>
        </r>
        <r>
          <rPr>
            <sz val="9"/>
            <color indexed="81"/>
            <rFont val="Tahoma"/>
            <family val="2"/>
          </rPr>
          <t xml:space="preserve">
Volume is taken form 2016 report on water storage / cap. At MINIRENA. 
</t>
        </r>
      </text>
    </comment>
    <comment ref="T75" authorId="0" shapeId="0">
      <text>
        <r>
          <rPr>
            <b/>
            <sz val="9"/>
            <color indexed="81"/>
            <rFont val="Tahoma"/>
            <family val="2"/>
          </rPr>
          <t>NCA:</t>
        </r>
        <r>
          <rPr>
            <sz val="9"/>
            <color indexed="81"/>
            <rFont val="Tahoma"/>
            <family val="2"/>
          </rPr>
          <t xml:space="preserve">
In operation in JJJJ, 
Means X months out of 12. 
</t>
        </r>
      </text>
    </comment>
    <comment ref="Q81" authorId="0" shapeId="0">
      <text>
        <r>
          <rPr>
            <b/>
            <sz val="9"/>
            <color indexed="81"/>
            <rFont val="Tahoma"/>
            <family val="2"/>
          </rPr>
          <t>NCA:</t>
        </r>
        <r>
          <rPr>
            <sz val="9"/>
            <color indexed="81"/>
            <rFont val="Tahoma"/>
            <family val="2"/>
          </rPr>
          <t xml:space="preserve">
In operation in JJJJ, 
Means X months out of 12. 
Assumed established mid 2011 .. 
</t>
        </r>
      </text>
    </comment>
    <comment ref="R82" authorId="0" shapeId="0">
      <text>
        <r>
          <rPr>
            <b/>
            <sz val="9"/>
            <color indexed="81"/>
            <rFont val="Tahoma"/>
            <family val="2"/>
          </rPr>
          <t>NCA:</t>
        </r>
        <r>
          <rPr>
            <sz val="9"/>
            <color indexed="81"/>
            <rFont val="Tahoma"/>
            <family val="2"/>
          </rPr>
          <t xml:space="preserve">
In operation in JJJJ, 
Means X months out of 12. 
</t>
        </r>
      </text>
    </comment>
    <comment ref="R83" authorId="0" shapeId="0">
      <text>
        <r>
          <rPr>
            <b/>
            <sz val="9"/>
            <color indexed="81"/>
            <rFont val="Tahoma"/>
            <family val="2"/>
          </rPr>
          <t>NCA:</t>
        </r>
        <r>
          <rPr>
            <sz val="9"/>
            <color indexed="81"/>
            <rFont val="Tahoma"/>
            <family val="2"/>
          </rPr>
          <t xml:space="preserve">
In operation in JJJJ, 
Means X months out of 12. 
</t>
        </r>
      </text>
    </comment>
    <comment ref="S84" authorId="0" shapeId="0">
      <text>
        <r>
          <rPr>
            <b/>
            <sz val="9"/>
            <color indexed="81"/>
            <rFont val="Tahoma"/>
            <family val="2"/>
          </rPr>
          <t>NCA:</t>
        </r>
        <r>
          <rPr>
            <sz val="9"/>
            <color indexed="81"/>
            <rFont val="Tahoma"/>
            <family val="2"/>
          </rPr>
          <t xml:space="preserve">
In operation in JJJJ, 
Means X months out of 12. 
</t>
        </r>
      </text>
    </comment>
    <comment ref="S85" authorId="0" shapeId="0">
      <text>
        <r>
          <rPr>
            <b/>
            <sz val="9"/>
            <color indexed="81"/>
            <rFont val="Tahoma"/>
            <family val="2"/>
          </rPr>
          <t>NCA:</t>
        </r>
        <r>
          <rPr>
            <sz val="9"/>
            <color indexed="81"/>
            <rFont val="Tahoma"/>
            <family val="2"/>
          </rPr>
          <t xml:space="preserve">
In operation in JJJJ, 
Means X months out of 12. 
</t>
        </r>
      </text>
    </comment>
    <comment ref="Q95" authorId="1" shapeId="0">
      <text>
        <r>
          <rPr>
            <b/>
            <sz val="11"/>
            <color indexed="81"/>
            <rFont val="Tahoma"/>
            <family val="2"/>
          </rPr>
          <t xml:space="preserve">Graveland, C. (Cor): </t>
        </r>
        <r>
          <rPr>
            <sz val="11"/>
            <color indexed="81"/>
            <rFont val="Tahoma"/>
            <family val="2"/>
          </rPr>
          <t xml:space="preserve">
Try to make a time series for 2012 onwards for the ratio: 
actual capacity to design capacity (ASSUMPTION) ! 
This mainly depends on: 
  1. Increasing sedimentation 
  2. damage (or repairs) to the wall of the dams / artificial reservoirs 
  3. ... 
</t>
        </r>
      </text>
    </comment>
    <comment ref="R95" authorId="1" shapeId="0">
      <text>
        <r>
          <rPr>
            <b/>
            <sz val="11"/>
            <color indexed="81"/>
            <rFont val="Tahoma"/>
            <family val="2"/>
          </rPr>
          <t xml:space="preserve">Graveland, C. (Cor): </t>
        </r>
        <r>
          <rPr>
            <sz val="11"/>
            <color indexed="81"/>
            <rFont val="Tahoma"/>
            <family val="2"/>
          </rPr>
          <t xml:space="preserve">
Try to make a time series for 2012 onwards for the ratio: 
actual capacity to design capacity (ASSUMPTION) ! 
This mainly depends on: 
  1. Increasing sedimentation 
  2. damage (or repairs) to the wall of the dams / artificial reservoirs 
  3. ... 
</t>
        </r>
      </text>
    </comment>
  </commentList>
</comments>
</file>

<file path=xl/comments4.xml><?xml version="1.0" encoding="utf-8"?>
<comments xmlns="http://schemas.openxmlformats.org/spreadsheetml/2006/main">
  <authors>
    <author>Cor. Graveland</author>
  </authors>
  <commentList>
    <comment ref="A54" authorId="0" shapeId="0">
      <text>
        <r>
          <rPr>
            <b/>
            <sz val="9"/>
            <color indexed="81"/>
            <rFont val="Tahoma"/>
            <family val="2"/>
          </rPr>
          <t>NCA - team Rwanda:</t>
        </r>
        <r>
          <rPr>
            <sz val="9"/>
            <color indexed="81"/>
            <rFont val="Tahoma"/>
            <family val="2"/>
          </rPr>
          <t xml:space="preserve">
</t>
        </r>
        <r>
          <rPr>
            <b/>
            <sz val="9"/>
            <color indexed="81"/>
            <rFont val="Tahoma"/>
            <family val="2"/>
          </rPr>
          <t xml:space="preserve">2 March 2018: 
</t>
        </r>
        <r>
          <rPr>
            <sz val="9"/>
            <color indexed="81"/>
            <rFont val="Tahoma"/>
            <family val="2"/>
          </rPr>
          <t xml:space="preserve">scientific input: 
From: Research and testing department Civil Env. Engineering of Univ of Rwanda - College of Science &amp; Technology … 
Eng. Louis Théonest DUSHIMIRIMANA. - Lab - Technician. 
Told us: 
Soil samples they test range between 45% soil moisture and 12% soil mositure, This is WEIGHT percentage! 
As it takes wet weight from original Total weight of the sample taken. The Dry weight remains after the labs drying procedure.  
--&gt; See notes from Cor 
Under MINAGRI;
NAEP: National Agricultural Export Board.  
NAEP - dealing with export for example ! 
But also do soil sampling / testing. 
Confirmation needed from Rwanda Meteorology. 
They have some stations that can do the sampling and show outcomes like m3/m3. 
 (m3 water /m3 soil) 
Some show content of only 10 or 11 percent. 
</t>
        </r>
      </text>
    </comment>
  </commentList>
</comments>
</file>

<file path=xl/comments5.xml><?xml version="1.0" encoding="utf-8"?>
<comments xmlns="http://schemas.openxmlformats.org/spreadsheetml/2006/main">
  <authors>
    <author>Graveland, C. (Cor)</author>
  </authors>
  <commentList>
    <comment ref="B38" authorId="0" shapeId="0">
      <text>
        <r>
          <rPr>
            <b/>
            <sz val="11"/>
            <color indexed="81"/>
            <rFont val="Tahoma"/>
            <family val="2"/>
          </rPr>
          <t>Graveland, C. (Cor):</t>
        </r>
        <r>
          <rPr>
            <sz val="11"/>
            <color indexed="81"/>
            <rFont val="Tahoma"/>
            <family val="2"/>
          </rPr>
          <t xml:space="preserve">
Here try to calculate the outflow of Lake Kivu to rivers &amp; Streams … 
And the outflow from other lakes, to rivers &amp; Streams. 
</t>
        </r>
      </text>
    </comment>
  </commentList>
</comments>
</file>

<file path=xl/comments6.xml><?xml version="1.0" encoding="utf-8"?>
<comments xmlns="http://schemas.openxmlformats.org/spreadsheetml/2006/main">
  <authors>
    <author>Cor. Graveland</author>
    <author>Graveland, C. (Cor)</author>
  </authors>
  <commentList>
    <comment ref="E15" authorId="0" shapeId="0">
      <text>
        <r>
          <rPr>
            <b/>
            <sz val="9"/>
            <color indexed="81"/>
            <rFont val="Tahoma"/>
            <family val="2"/>
          </rPr>
          <t>Cor. Graveland:</t>
        </r>
        <r>
          <rPr>
            <sz val="9"/>
            <color indexed="81"/>
            <rFont val="Tahoma"/>
            <family val="2"/>
          </rPr>
          <t xml:space="preserve">
Given RBM&amp;E2017 - Study it seems that abstraction ('use') of surfacewater from reservoirs was too low. 
So adjusted accordingly. 
Here we (&amp; in the PSUT) need to consider the RBM&amp;E water volumes (use) for (large scale) 
irrigation and for hydropower …! 
</t>
        </r>
      </text>
    </comment>
    <comment ref="C17" authorId="0" shapeId="0">
      <text>
        <r>
          <rPr>
            <b/>
            <sz val="9"/>
            <color indexed="81"/>
            <rFont val="Tahoma"/>
            <family val="2"/>
          </rPr>
          <t>NCA - team Rwanda:</t>
        </r>
        <r>
          <rPr>
            <sz val="9"/>
            <color indexed="81"/>
            <rFont val="Tahoma"/>
            <family val="2"/>
          </rPr>
          <t xml:space="preserve">
It might that, as lake Kivu is cross-border, even here an outflow from the lake to abroad could be observed. </t>
        </r>
      </text>
    </comment>
    <comment ref="B22" authorId="1" shapeId="0">
      <text>
        <r>
          <rPr>
            <b/>
            <sz val="9"/>
            <color indexed="81"/>
            <rFont val="Tahoma"/>
            <family val="2"/>
          </rPr>
          <t xml:space="preserve">NCA - team Rwanda: </t>
        </r>
        <r>
          <rPr>
            <sz val="9"/>
            <color indexed="81"/>
            <rFont val="Tahoma"/>
            <family val="2"/>
          </rPr>
          <t xml:space="preserve">
Balancing item, to show what remaining Inbalance is in the table. 
--&gt; Go To: worksheet '</t>
        </r>
        <r>
          <rPr>
            <b/>
            <sz val="9"/>
            <color indexed="81"/>
            <rFont val="Tahoma"/>
            <family val="2"/>
          </rPr>
          <t>Asset_Tbl_Balance_2012</t>
        </r>
        <r>
          <rPr>
            <sz val="9"/>
            <color indexed="81"/>
            <rFont val="Tahoma"/>
            <family val="2"/>
          </rPr>
          <t xml:space="preserve">' to see the final result AFTER balancing procedure. </t>
        </r>
      </text>
    </comment>
    <comment ref="B24" authorId="1" shapeId="0">
      <text>
        <r>
          <rPr>
            <b/>
            <sz val="9"/>
            <color indexed="81"/>
            <rFont val="Tahoma"/>
            <family val="2"/>
          </rPr>
          <t xml:space="preserve">Graveland, C. (Cor): </t>
        </r>
        <r>
          <rPr>
            <sz val="9"/>
            <color indexed="81"/>
            <rFont val="Tahoma"/>
            <family val="2"/>
          </rPr>
          <t xml:space="preserve">
</t>
        </r>
        <r>
          <rPr>
            <b/>
            <sz val="9"/>
            <color indexed="81"/>
            <rFont val="Tahoma"/>
            <family val="2"/>
          </rPr>
          <t>Data in:</t>
        </r>
        <r>
          <rPr>
            <sz val="9"/>
            <color indexed="81"/>
            <rFont val="Tahoma"/>
            <family val="2"/>
          </rPr>
          <t xml:space="preserve"> 
'W-Assets_Data&amp;Method_2013', requires an update each year depending on autonomic assessment for reporting year 2013 (opening stock 2013 ) 
If no such info is available for state at 1 January 2013, like on water tables in rivers and streams, in lakes (probably largely constant), and probably most variable, the water tables in the artifical reservoirs on 1st of January and on groundwater tables. 
--&gt; Than this 2012 closing stock, can be used in 2013 opening stock. 
</t>
        </r>
      </text>
    </comment>
    <comment ref="F24" authorId="1" shapeId="0">
      <text>
        <r>
          <rPr>
            <b/>
            <sz val="9"/>
            <color indexed="81"/>
            <rFont val="Tahoma"/>
            <family val="2"/>
          </rPr>
          <t>Graveland, C. (Cor):</t>
        </r>
        <r>
          <rPr>
            <sz val="9"/>
            <color indexed="81"/>
            <rFont val="Tahoma"/>
            <family val="2"/>
          </rPr>
          <t xml:space="preserve">
Find soil water content or better apply the CHANGE in '</t>
        </r>
        <r>
          <rPr>
            <b/>
            <sz val="9"/>
            <color indexed="81"/>
            <rFont val="Tahoma"/>
            <family val="2"/>
          </rPr>
          <t>volume percentage</t>
        </r>
        <r>
          <rPr>
            <sz val="9"/>
            <color indexed="81"/>
            <rFont val="Tahoma"/>
            <family val="2"/>
          </rPr>
          <t xml:space="preserve">' data from Rwanda Meteo (m3/m3) and update table accordingly. 
Can also be derived from soil water content (Weight percentage) 
Look to plausible volume change, starting from opening stock ! 
</t>
        </r>
      </text>
    </comment>
    <comment ref="G24" authorId="0" shapeId="0">
      <text>
        <r>
          <rPr>
            <b/>
            <sz val="9"/>
            <color indexed="81"/>
            <rFont val="Tahoma"/>
            <family val="2"/>
          </rPr>
          <t>Cor. Graveland:</t>
        </r>
        <r>
          <rPr>
            <sz val="9"/>
            <color indexed="81"/>
            <rFont val="Tahoma"/>
            <family val="2"/>
          </rPr>
          <t xml:space="preserve">
For the SHALLOW groundwater, try to find a number of boreholes with measured/monitored groundwater tables. 
Thie chnage in groundtables can be used to correct the volume of (shallow) ground water content from beginning to closing stock of (shallow) ground water. 
Maybe extract data from 20 boreholes that have this data and use it to correct closing stock.  
Look in the end to plausible volume change, starting from opening stock ! 
</t>
        </r>
      </text>
    </comment>
  </commentList>
</comments>
</file>

<file path=xl/comments7.xml><?xml version="1.0" encoding="utf-8"?>
<comments xmlns="http://schemas.openxmlformats.org/spreadsheetml/2006/main">
  <authors>
    <author>Graveland, C. (Cor)</author>
    <author>Cor. Graveland</author>
  </authors>
  <commentList>
    <comment ref="I4" authorId="0" shapeId="0">
      <text>
        <r>
          <rPr>
            <b/>
            <sz val="9"/>
            <color indexed="81"/>
            <rFont val="Tahoma"/>
            <family val="2"/>
          </rPr>
          <t>Graveland, C. (Cor):</t>
        </r>
        <r>
          <rPr>
            <sz val="9"/>
            <color indexed="81"/>
            <rFont val="Tahoma"/>
            <family val="2"/>
          </rPr>
          <t xml:space="preserve">
</t>
        </r>
        <r>
          <rPr>
            <b/>
            <sz val="9"/>
            <color indexed="81"/>
            <rFont val="Tahoma"/>
            <family val="2"/>
          </rPr>
          <t>For method &amp; description of method:</t>
        </r>
        <r>
          <rPr>
            <sz val="9"/>
            <color indexed="81"/>
            <rFont val="Tahoma"/>
            <family val="2"/>
          </rPr>
          <t xml:space="preserve"> 
</t>
        </r>
        <r>
          <rPr>
            <b/>
            <sz val="9"/>
            <color indexed="81"/>
            <rFont val="Tahoma"/>
            <family val="2"/>
          </rPr>
          <t xml:space="preserve">See: </t>
        </r>
        <r>
          <rPr>
            <sz val="9"/>
            <color indexed="81"/>
            <rFont val="Tahoma"/>
            <family val="2"/>
          </rPr>
          <t xml:space="preserve">
  Rda_SEEA-Water_Asset_Account_&amp;_PSUT_Version-18-10-'17__I.xlsx 
</t>
        </r>
        <r>
          <rPr>
            <b/>
            <sz val="9"/>
            <color indexed="81"/>
            <rFont val="Tahoma"/>
            <family val="2"/>
          </rPr>
          <t xml:space="preserve">Worksheet: </t>
        </r>
        <r>
          <rPr>
            <sz val="9"/>
            <color indexed="81"/>
            <rFont val="Tahoma"/>
            <family val="2"/>
          </rPr>
          <t xml:space="preserve">
  W-Assets_Data&amp;Method_2012
</t>
        </r>
        <r>
          <rPr>
            <b/>
            <sz val="9"/>
            <color indexed="81"/>
            <rFont val="Tahoma"/>
            <family val="2"/>
          </rPr>
          <t xml:space="preserve">Cel: </t>
        </r>
        <r>
          <rPr>
            <sz val="9"/>
            <color indexed="81"/>
            <rFont val="Tahoma"/>
            <family val="2"/>
          </rPr>
          <t xml:space="preserve">
  J4 
</t>
        </r>
      </text>
    </comment>
    <comment ref="F50" authorId="1" shapeId="0">
      <text>
        <r>
          <rPr>
            <b/>
            <sz val="9"/>
            <color indexed="81"/>
            <rFont val="Tahoma"/>
            <family val="2"/>
          </rPr>
          <t>Cor. Graveland:</t>
        </r>
        <r>
          <rPr>
            <sz val="9"/>
            <color indexed="81"/>
            <rFont val="Tahoma"/>
            <family val="2"/>
          </rPr>
          <t xml:space="preserve">
We added 'also the same share of water from Precipitation the reservoirs. 
Moved from 40% to 90%. 
Also to be discussed… with TWG. </t>
        </r>
      </text>
    </comment>
    <comment ref="I50" authorId="0" shapeId="0">
      <text>
        <r>
          <rPr>
            <b/>
            <sz val="9"/>
            <color indexed="81"/>
            <rFont val="Tahoma"/>
            <family val="2"/>
          </rPr>
          <t>Graveland, C. (Cor):</t>
        </r>
        <r>
          <rPr>
            <sz val="9"/>
            <color indexed="81"/>
            <rFont val="Tahoma"/>
            <family val="2"/>
          </rPr>
          <t xml:space="preserve">
Don't understand this 10% from the stock flowing out throughout a full year ??
Is to little. </t>
        </r>
      </text>
    </comment>
  </commentList>
</comments>
</file>

<file path=xl/comments8.xml><?xml version="1.0" encoding="utf-8"?>
<comments xmlns="http://schemas.openxmlformats.org/spreadsheetml/2006/main">
  <authors>
    <author>Graveland, C. (Cor)</author>
  </authors>
  <commentList>
    <comment ref="H21" authorId="0" shapeId="0">
      <text>
        <r>
          <rPr>
            <b/>
            <sz val="9"/>
            <color indexed="81"/>
            <rFont val="Tahoma"/>
            <family val="2"/>
          </rPr>
          <t xml:space="preserve">Graveland, C. (Cor): </t>
        </r>
        <r>
          <rPr>
            <sz val="9"/>
            <color indexed="81"/>
            <rFont val="Tahoma"/>
            <family val="2"/>
          </rPr>
          <t xml:space="preserve">
It might that the 'RBM&amp;E2017 study', does not cover all water used in mining? 
Totally different figure: 
  Was: 1,309,600.65  (*1000m3) 
  RBM&amp;E: 22.391 (*1000m3) 
Please check. 
</t>
        </r>
      </text>
    </comment>
    <comment ref="H57" authorId="0" shapeId="0">
      <text>
        <r>
          <rPr>
            <b/>
            <sz val="9"/>
            <color indexed="81"/>
            <rFont val="Tahoma"/>
            <family val="2"/>
          </rPr>
          <t>Graveland, C. (Cor):</t>
        </r>
        <r>
          <rPr>
            <sz val="9"/>
            <color indexed="81"/>
            <rFont val="Tahoma"/>
            <family val="2"/>
          </rPr>
          <t xml:space="preserve">
</t>
        </r>
        <r>
          <rPr>
            <b/>
            <sz val="9"/>
            <color indexed="81"/>
            <rFont val="Tahoma"/>
            <family val="2"/>
          </rPr>
          <t>Was Hardcopy:</t>
        </r>
        <r>
          <rPr>
            <sz val="9"/>
            <color indexed="81"/>
            <rFont val="Tahoma"/>
            <family val="2"/>
          </rPr>
          <t xml:space="preserve"> 
2,488,033,000 m3 
</t>
        </r>
        <r>
          <rPr>
            <b/>
            <sz val="9"/>
            <color indexed="81"/>
            <rFont val="Tahoma"/>
            <family val="2"/>
          </rPr>
          <t>Now Linked to RBM&amp;E:</t>
        </r>
        <r>
          <rPr>
            <sz val="9"/>
            <color indexed="81"/>
            <rFont val="Tahoma"/>
            <family val="2"/>
          </rPr>
          <t xml:space="preserve"> 
See sum under: 
213,654,000 m3 (just for hydro electric … ) 
</t>
        </r>
      </text>
    </comment>
    <comment ref="H64" authorId="0" shapeId="0">
      <text>
        <r>
          <rPr>
            <b/>
            <sz val="9"/>
            <color indexed="81"/>
            <rFont val="Tahoma"/>
            <family val="2"/>
          </rPr>
          <t>Graveland, C. (Cor):</t>
        </r>
        <r>
          <rPr>
            <sz val="9"/>
            <color indexed="81"/>
            <rFont val="Tahoma"/>
            <family val="2"/>
          </rPr>
          <t xml:space="preserve">
What is the water volume (m3) from Artificial Reservoirs used for hydro generation? 
This is In-stream use, meaning it largely remains in the Inland Water System. 
Work with an estimed 5% loss from the reservouirs (ok?). 
--&gt; This means: 
  - Is water use 
  - But is hardly water consumption 
</t>
        </r>
      </text>
    </comment>
    <comment ref="H84" authorId="0" shapeId="0">
      <text>
        <r>
          <rPr>
            <b/>
            <sz val="9"/>
            <color indexed="81"/>
            <rFont val="Tahoma"/>
            <family val="2"/>
          </rPr>
          <t xml:space="preserve">Graveland, C. (Cor): </t>
        </r>
        <r>
          <rPr>
            <sz val="9"/>
            <color indexed="81"/>
            <rFont val="Tahoma"/>
            <family val="2"/>
          </rPr>
          <t xml:space="preserve">
Can this get further breakdown underneath ? 
In H85 to: 
     1.i.2.a From Boreholes 
  and 
In H86 to: 
     1.i.2.b From Springs 
</t>
        </r>
      </text>
    </comment>
    <comment ref="H437" authorId="0" shapeId="0">
      <text>
        <r>
          <rPr>
            <b/>
            <sz val="9"/>
            <color indexed="81"/>
            <rFont val="Tahoma"/>
            <family val="2"/>
          </rPr>
          <t>Graveland, C. (Cor):</t>
        </r>
        <r>
          <rPr>
            <sz val="9"/>
            <color indexed="81"/>
            <rFont val="Tahoma"/>
            <family val="2"/>
          </rPr>
          <t xml:space="preserve">
See PSUT_2012 and all other PSUT's 
Was a too a high value compared to 'Abstraction' ! 
Was for 2012:  2,363,631.084 (*1000 m3). 
--&gt; Therefore, Now Apply a share that relate to 'abstraction' from the different surface waters for hydro power ...! 
Assumption for Return is to take </t>
        </r>
        <r>
          <rPr>
            <b/>
            <sz val="9"/>
            <color indexed="81"/>
            <rFont val="Tahoma"/>
            <family val="2"/>
          </rPr>
          <t>95%</t>
        </r>
        <r>
          <rPr>
            <sz val="9"/>
            <color indexed="81"/>
            <rFont val="Tahoma"/>
            <family val="2"/>
          </rPr>
          <t xml:space="preserve"> from 'abstraction' from surface waters for hydro power. 
Please check if asumption is ok and correct for Rwanda if needed. 
</t>
        </r>
      </text>
    </comment>
  </commentList>
</comments>
</file>

<file path=xl/comments9.xml><?xml version="1.0" encoding="utf-8"?>
<comments xmlns="http://schemas.openxmlformats.org/spreadsheetml/2006/main">
  <authors>
    <author>Graveland, C. (Cor)</author>
  </authors>
  <commentList>
    <comment ref="B6" authorId="0" shapeId="0">
      <text>
        <r>
          <rPr>
            <b/>
            <sz val="9"/>
            <color indexed="81"/>
            <rFont val="Tahoma"/>
            <family val="2"/>
          </rPr>
          <t>Graveland, C. (Cor):</t>
        </r>
        <r>
          <rPr>
            <sz val="9"/>
            <color indexed="81"/>
            <rFont val="Tahoma"/>
            <family val="2"/>
          </rPr>
          <t xml:space="preserve">
This line 6: '1 - Total abstraction (=1.a+1.b = 1.i+1.ii)', 
For each column, need to be consistent with: 
Line 9: '1 - Total abstraction (1.i+1.ii)' 
</t>
        </r>
      </text>
    </comment>
    <comment ref="D45" authorId="0" shapeId="0">
      <text>
        <r>
          <rPr>
            <b/>
            <sz val="9"/>
            <color indexed="81"/>
            <rFont val="Tahoma"/>
            <family val="2"/>
          </rPr>
          <t xml:space="preserve">Graveland, C. (Cor): </t>
        </r>
        <r>
          <rPr>
            <sz val="9"/>
            <color indexed="81"/>
            <rFont val="Tahoma"/>
            <family val="2"/>
          </rPr>
          <t xml:space="preserve">
Negative value! 
Is not possible at this position of account tabel. 
Where to reapair? 
Due to cell D36 is large while D6 is now small value after RBM&amp;E. 
</t>
        </r>
      </text>
    </comment>
  </commentList>
</comments>
</file>

<file path=xl/comments10.xml><?xml version="1.0" encoding="utf-8"?>
<comments xmlns="http://schemas.openxmlformats.org/spreadsheetml/2006/main">
  <authors>
    <author>Cor. Graveland</author>
    <author>Graveland, C. (Cor)</author>
  </authors>
  <commentList>
    <comment ref="H1" authorId="0" shapeId="0">
      <text>
        <r>
          <rPr>
            <b/>
            <sz val="12"/>
            <color indexed="81"/>
            <rFont val="Tahoma"/>
            <family val="2"/>
          </rPr>
          <t>NCA - Rwanda:</t>
        </r>
        <r>
          <rPr>
            <sz val="12"/>
            <color indexed="81"/>
            <rFont val="Tahoma"/>
            <family val="2"/>
          </rPr>
          <t xml:space="preserve">
From File: 
' Users_and_Use_full_list__I ' 
</t>
        </r>
      </text>
    </comment>
    <comment ref="S29" authorId="1" shapeId="0">
      <text>
        <r>
          <rPr>
            <b/>
            <sz val="11"/>
            <color indexed="81"/>
            <rFont val="Tahoma"/>
            <family val="2"/>
          </rPr>
          <t xml:space="preserve">Graveland, C. (Cor): </t>
        </r>
        <r>
          <rPr>
            <sz val="11"/>
            <color indexed="81"/>
            <rFont val="Tahoma"/>
            <family val="2"/>
          </rPr>
          <t xml:space="preserve">
Sure, this is just from rivers (not from AR) ? 
</t>
        </r>
      </text>
    </comment>
    <comment ref="S31" authorId="1" shapeId="0">
      <text>
        <r>
          <rPr>
            <b/>
            <sz val="11"/>
            <color indexed="81"/>
            <rFont val="Tahoma"/>
            <family val="2"/>
          </rPr>
          <t xml:space="preserve">Graveland, C. (Cor): </t>
        </r>
        <r>
          <rPr>
            <sz val="11"/>
            <color indexed="81"/>
            <rFont val="Tahoma"/>
            <family val="2"/>
          </rPr>
          <t xml:space="preserve">
This groundwater and surface water used by 'manufacturing industry':  
How the groundwater is obtained? 
  --&gt; Unknown thus can in category: 'Combined River &amp; Reservoirs (Dams, ponds, ..)', together 50% 
How the surface water is obtained? 
  --&gt; Unknown but suppose equaly over 'boreholes' and 'springs', together 50%, 25% each. 
</t>
        </r>
      </text>
    </comment>
    <comment ref="X40" authorId="1" shapeId="0">
      <text>
        <r>
          <rPr>
            <b/>
            <sz val="11"/>
            <color indexed="81"/>
            <rFont val="Tahoma"/>
            <family val="2"/>
          </rPr>
          <t>Graveland, C. (Cor):</t>
        </r>
        <r>
          <rPr>
            <sz val="11"/>
            <color indexed="81"/>
            <rFont val="Tahoma"/>
            <family val="2"/>
          </rPr>
          <t xml:space="preserve">
Please check ! 
Are this still correct values for each year ? 
To me seems too high values compared to dam capacities. 
Dam store capacity is between 60 mln m3 (2012) goed to little above 100 mln m3 (2016). </t>
        </r>
      </text>
    </comment>
    <comment ref="T59" authorId="0" shapeId="0">
      <text>
        <r>
          <rPr>
            <b/>
            <sz val="11"/>
            <color indexed="81"/>
            <rFont val="Tahoma"/>
            <family val="2"/>
          </rPr>
          <t xml:space="preserve">NCA - Water: </t>
        </r>
        <r>
          <rPr>
            <sz val="11"/>
            <color indexed="81"/>
            <rFont val="Tahoma"/>
            <family val="2"/>
          </rPr>
          <t xml:space="preserve">
</t>
        </r>
        <r>
          <rPr>
            <b/>
            <sz val="11"/>
            <color indexed="81"/>
            <rFont val="Tahoma"/>
            <family val="2"/>
          </rPr>
          <t>GUESTIMATES FOR:</t>
        </r>
        <r>
          <rPr>
            <sz val="11"/>
            <color indexed="81"/>
            <rFont val="Tahoma"/>
            <family val="2"/>
          </rPr>
          <t xml:space="preserve"> 
Annual Growth Percentages in water use per Water Use category in RBM&amp;E study, is to be chosen depending on EXPERT knowlegde and or a good timeseries with the NWRMP_2012. 
Also compare and eventually (partially) align to annual Economic growth rates by industry, following the NISR - National Accounts data (NA - Data). 
But, be aware NWRMP_2012 can be confusing and/or incomplete..., 
So not always possible to use sufficiently. 
</t>
        </r>
      </text>
    </comment>
    <comment ref="T62" authorId="1" shapeId="0">
      <text>
        <r>
          <rPr>
            <b/>
            <sz val="11"/>
            <color indexed="81"/>
            <rFont val="Tahoma"/>
            <family val="2"/>
          </rPr>
          <t>Graveland, C. (Cor):</t>
        </r>
        <r>
          <rPr>
            <sz val="11"/>
            <color indexed="81"/>
            <rFont val="Tahoma"/>
            <family val="2"/>
          </rPr>
          <t xml:space="preserve">
Given the </t>
        </r>
        <r>
          <rPr>
            <b/>
            <sz val="11"/>
            <color indexed="81"/>
            <rFont val="Tahoma"/>
            <family val="2"/>
          </rPr>
          <t>4.1 percent annual growth in areal irrigated in agriculture</t>
        </r>
        <r>
          <rPr>
            <sz val="11"/>
            <color indexed="81"/>
            <rFont val="Tahoma"/>
            <family val="2"/>
          </rPr>
          <t xml:space="preserve"> in period 2012 - 2016 (see worksheet 'SDG_6.4.1__T-Series', we presume that the growth in the volume of water in irrigation grew with the same rate being around  </t>
        </r>
        <r>
          <rPr>
            <b/>
            <sz val="11"/>
            <color indexed="81"/>
            <rFont val="Tahoma"/>
            <family val="2"/>
          </rPr>
          <t>4.1 percent / year</t>
        </r>
        <r>
          <rPr>
            <sz val="11"/>
            <color indexed="81"/>
            <rFont val="Tahoma"/>
            <family val="2"/>
          </rPr>
          <t xml:space="preserve"> on average. 
</t>
        </r>
      </text>
    </comment>
  </commentList>
</comments>
</file>

<file path=xl/comments11.xml><?xml version="1.0" encoding="utf-8"?>
<comments xmlns="http://schemas.openxmlformats.org/spreadsheetml/2006/main">
  <authors>
    <author>Graveland, C. (Cor)</author>
    <author>Cor. Graveland</author>
  </authors>
  <commentList>
    <comment ref="C5" authorId="0" shapeId="0">
      <text>
        <r>
          <rPr>
            <b/>
            <sz val="9"/>
            <color indexed="81"/>
            <rFont val="Tahoma"/>
            <family val="2"/>
          </rPr>
          <t xml:space="preserve">Graveland, C. (Cor): </t>
        </r>
        <r>
          <rPr>
            <sz val="9"/>
            <color indexed="81"/>
            <rFont val="Tahoma"/>
            <family val="2"/>
          </rPr>
          <t xml:space="preserve">
Formula Was: 
='W-Assets_Data&amp;Method_2013'!F3 
Changed it to: 
equal to closing stock 2012 
=Asset_2012_Table!C24 
--&gt; This holds For all cells in opening stock. 
LINK to the metadata: 'W-Assets_Data&amp;Method_2014'F3 is fine ! 
--&gt; Delete this comment after reading pls. </t>
        </r>
      </text>
    </comment>
    <comment ref="E15" authorId="1" shapeId="0">
      <text>
        <r>
          <rPr>
            <b/>
            <sz val="9"/>
            <color indexed="81"/>
            <rFont val="Tahoma"/>
            <family val="2"/>
          </rPr>
          <t>Cor. Graveland:</t>
        </r>
        <r>
          <rPr>
            <sz val="9"/>
            <color indexed="81"/>
            <rFont val="Tahoma"/>
            <family val="2"/>
          </rPr>
          <t xml:space="preserve">
Given RBM&amp;E2017 - Study it seems that abstraction ('use') of surfacewater from reservoirs was too low. 
So adjusted accordingly. 
Here we (&amp; in the PSUT) need to consider the RBM&amp;E water volumes (use) for (large scale) 
irrigation and for hydropower …! 
</t>
        </r>
      </text>
    </comment>
    <comment ref="C17" authorId="1" shapeId="0">
      <text>
        <r>
          <rPr>
            <b/>
            <sz val="9"/>
            <color indexed="81"/>
            <rFont val="Tahoma"/>
            <family val="2"/>
          </rPr>
          <t>NCA - team Rwanda:</t>
        </r>
        <r>
          <rPr>
            <sz val="9"/>
            <color indexed="81"/>
            <rFont val="Tahoma"/>
            <family val="2"/>
          </rPr>
          <t xml:space="preserve">
It might that, as lake Kivu is cross-border, even here an outflow from the lake to abroad could be observed. </t>
        </r>
      </text>
    </comment>
    <comment ref="B22" authorId="0" shapeId="0">
      <text>
        <r>
          <rPr>
            <b/>
            <sz val="9"/>
            <color indexed="81"/>
            <rFont val="Tahoma"/>
            <family val="2"/>
          </rPr>
          <t xml:space="preserve">NCA - team Rwanda: </t>
        </r>
        <r>
          <rPr>
            <sz val="9"/>
            <color indexed="81"/>
            <rFont val="Tahoma"/>
            <family val="2"/>
          </rPr>
          <t xml:space="preserve">
Balancing item, to show what remaining Inbalance is in the table. 
--&gt; Go To: worksheet '</t>
        </r>
        <r>
          <rPr>
            <b/>
            <sz val="9"/>
            <color indexed="81"/>
            <rFont val="Tahoma"/>
            <family val="2"/>
          </rPr>
          <t>Asset_Tbl_Balance_2012</t>
        </r>
        <r>
          <rPr>
            <sz val="9"/>
            <color indexed="81"/>
            <rFont val="Tahoma"/>
            <family val="2"/>
          </rPr>
          <t xml:space="preserve">' to see the final result AFTER balancing procedure. </t>
        </r>
      </text>
    </comment>
    <comment ref="B24" authorId="0" shapeId="0">
      <text>
        <r>
          <rPr>
            <b/>
            <sz val="9"/>
            <color indexed="81"/>
            <rFont val="Tahoma"/>
            <family val="2"/>
          </rPr>
          <t xml:space="preserve">Graveland, C. (Cor): </t>
        </r>
        <r>
          <rPr>
            <sz val="9"/>
            <color indexed="81"/>
            <rFont val="Tahoma"/>
            <family val="2"/>
          </rPr>
          <t xml:space="preserve">
</t>
        </r>
        <r>
          <rPr>
            <b/>
            <sz val="9"/>
            <color indexed="81"/>
            <rFont val="Tahoma"/>
            <family val="2"/>
          </rPr>
          <t>Data in:</t>
        </r>
        <r>
          <rPr>
            <sz val="9"/>
            <color indexed="81"/>
            <rFont val="Tahoma"/>
            <family val="2"/>
          </rPr>
          <t xml:space="preserve"> 
'W-Assets_Data&amp;Method_2013', requires an update each year depending on autonomic assessment for reporting year 2013 (opening stock 2013 ) 
If no such info is available for state at 1 January 2013, like on water tables in rivers and streams, in lakes (probably largely constant), and probably most variable, the water tables in the artifical reservoirs on 1st of January and on groundwater tables. 
--&gt; Than this 2012 closing stock, can be used in 2013 opening stock. 
</t>
        </r>
      </text>
    </comment>
    <comment ref="F24" authorId="0" shapeId="0">
      <text>
        <r>
          <rPr>
            <b/>
            <sz val="9"/>
            <color indexed="81"/>
            <rFont val="Tahoma"/>
            <family val="2"/>
          </rPr>
          <t>Graveland, C. (Cor):</t>
        </r>
        <r>
          <rPr>
            <sz val="9"/>
            <color indexed="81"/>
            <rFont val="Tahoma"/>
            <family val="2"/>
          </rPr>
          <t xml:space="preserve">
Find soil water content or better apply the CHANGE in '</t>
        </r>
        <r>
          <rPr>
            <b/>
            <sz val="9"/>
            <color indexed="81"/>
            <rFont val="Tahoma"/>
            <family val="2"/>
          </rPr>
          <t>volume percentage</t>
        </r>
        <r>
          <rPr>
            <sz val="9"/>
            <color indexed="81"/>
            <rFont val="Tahoma"/>
            <family val="2"/>
          </rPr>
          <t xml:space="preserve">' data from Rwanda Meteo (m3/m3) and update table accordingly. 
Can also be derived from soil water content (Weight percentage) 
Look to plausible volume change, starting from opening stock ! 
</t>
        </r>
      </text>
    </comment>
    <comment ref="G24" authorId="1" shapeId="0">
      <text>
        <r>
          <rPr>
            <b/>
            <sz val="9"/>
            <color indexed="81"/>
            <rFont val="Tahoma"/>
            <family val="2"/>
          </rPr>
          <t>Cor. Graveland:</t>
        </r>
        <r>
          <rPr>
            <sz val="9"/>
            <color indexed="81"/>
            <rFont val="Tahoma"/>
            <family val="2"/>
          </rPr>
          <t xml:space="preserve">
For the SHALLOW groundwater, try to find a number of boreholes with measured/monitored groundwater tables. 
Thie chnage in groundtables can be used to correct the volume of (shallow) ground water content from beginning to closing stock of (shallow) ground water. 
Maybe extract data from 20 boreholes that have this data and use it to correct closing stock.  
Look in the end to plausible volume change, starting from opening stock ! 
</t>
        </r>
      </text>
    </comment>
  </commentList>
</comments>
</file>

<file path=xl/comments12.xml><?xml version="1.0" encoding="utf-8"?>
<comments xmlns="http://schemas.openxmlformats.org/spreadsheetml/2006/main">
  <authors>
    <author>Graveland, C. (Cor)</author>
    <author>Cor. Graveland</author>
  </authors>
  <commentList>
    <comment ref="I4" authorId="0" shapeId="0">
      <text>
        <r>
          <rPr>
            <b/>
            <sz val="9"/>
            <color indexed="81"/>
            <rFont val="Tahoma"/>
            <family val="2"/>
          </rPr>
          <t>Graveland, C. (Cor):</t>
        </r>
        <r>
          <rPr>
            <sz val="9"/>
            <color indexed="81"/>
            <rFont val="Tahoma"/>
            <family val="2"/>
          </rPr>
          <t xml:space="preserve">
</t>
        </r>
        <r>
          <rPr>
            <b/>
            <sz val="9"/>
            <color indexed="81"/>
            <rFont val="Tahoma"/>
            <family val="2"/>
          </rPr>
          <t>For method &amp; description of method:</t>
        </r>
        <r>
          <rPr>
            <sz val="9"/>
            <color indexed="81"/>
            <rFont val="Tahoma"/>
            <family val="2"/>
          </rPr>
          <t xml:space="preserve"> 
</t>
        </r>
        <r>
          <rPr>
            <b/>
            <sz val="9"/>
            <color indexed="81"/>
            <rFont val="Tahoma"/>
            <family val="2"/>
          </rPr>
          <t xml:space="preserve">See: </t>
        </r>
        <r>
          <rPr>
            <sz val="9"/>
            <color indexed="81"/>
            <rFont val="Tahoma"/>
            <family val="2"/>
          </rPr>
          <t xml:space="preserve">
  Rda_SEEA-Water_Asset_Account_&amp;_PSUT_Version-18-10-'17__I.xlsx 
</t>
        </r>
        <r>
          <rPr>
            <b/>
            <sz val="9"/>
            <color indexed="81"/>
            <rFont val="Tahoma"/>
            <family val="2"/>
          </rPr>
          <t xml:space="preserve">Worksheet: </t>
        </r>
        <r>
          <rPr>
            <sz val="9"/>
            <color indexed="81"/>
            <rFont val="Tahoma"/>
            <family val="2"/>
          </rPr>
          <t xml:space="preserve">
  W-Assets_Data&amp;Method_2012
</t>
        </r>
        <r>
          <rPr>
            <b/>
            <sz val="9"/>
            <color indexed="81"/>
            <rFont val="Tahoma"/>
            <family val="2"/>
          </rPr>
          <t xml:space="preserve">Cel: </t>
        </r>
        <r>
          <rPr>
            <sz val="9"/>
            <color indexed="81"/>
            <rFont val="Tahoma"/>
            <family val="2"/>
          </rPr>
          <t xml:space="preserve">
  J4 
</t>
        </r>
      </text>
    </comment>
    <comment ref="F5" authorId="0" shapeId="0">
      <text>
        <r>
          <rPr>
            <b/>
            <sz val="9"/>
            <color indexed="81"/>
            <rFont val="Tahoma"/>
            <family val="2"/>
          </rPr>
          <t>Graveland, C. (Cor):</t>
        </r>
        <r>
          <rPr>
            <sz val="9"/>
            <color indexed="81"/>
            <rFont val="Tahoma"/>
            <family val="2"/>
          </rPr>
          <t xml:space="preserve">
Need to be R112 ipv Q112 
</t>
        </r>
      </text>
    </comment>
    <comment ref="F50" authorId="1" shapeId="0">
      <text>
        <r>
          <rPr>
            <b/>
            <sz val="9"/>
            <color indexed="81"/>
            <rFont val="Tahoma"/>
            <family val="2"/>
          </rPr>
          <t>Cor. Graveland:</t>
        </r>
        <r>
          <rPr>
            <sz val="9"/>
            <color indexed="81"/>
            <rFont val="Tahoma"/>
            <family val="2"/>
          </rPr>
          <t xml:space="preserve">
We added 'also the same share of water from Precipitation the reservoirs. 
Moved from 40% to 90%. 
Also to be discussed… with TWG. </t>
        </r>
      </text>
    </comment>
    <comment ref="I50" authorId="0" shapeId="0">
      <text>
        <r>
          <rPr>
            <b/>
            <sz val="9"/>
            <color indexed="81"/>
            <rFont val="Tahoma"/>
            <family val="2"/>
          </rPr>
          <t>Graveland, C. (Cor):</t>
        </r>
        <r>
          <rPr>
            <sz val="9"/>
            <color indexed="81"/>
            <rFont val="Tahoma"/>
            <family val="2"/>
          </rPr>
          <t xml:space="preserve">
Don't understand this 10% from the stock flowing out throughout a full year ??
Is to little. </t>
        </r>
      </text>
    </comment>
  </commentList>
</comments>
</file>

<file path=xl/comments13.xml><?xml version="1.0" encoding="utf-8"?>
<comments xmlns="http://schemas.openxmlformats.org/spreadsheetml/2006/main">
  <authors>
    <author>Graveland, C. (Cor)</author>
  </authors>
  <commentList>
    <comment ref="H57" authorId="0" shapeId="0">
      <text>
        <r>
          <rPr>
            <b/>
            <sz val="9"/>
            <color indexed="81"/>
            <rFont val="Tahoma"/>
            <family val="2"/>
          </rPr>
          <t>Graveland, C. (Cor):</t>
        </r>
        <r>
          <rPr>
            <sz val="9"/>
            <color indexed="81"/>
            <rFont val="Tahoma"/>
            <family val="2"/>
          </rPr>
          <t xml:space="preserve">
</t>
        </r>
        <r>
          <rPr>
            <b/>
            <sz val="9"/>
            <color indexed="81"/>
            <rFont val="Tahoma"/>
            <family val="2"/>
          </rPr>
          <t>Was Hardcopy:</t>
        </r>
        <r>
          <rPr>
            <sz val="9"/>
            <color indexed="81"/>
            <rFont val="Tahoma"/>
            <family val="2"/>
          </rPr>
          <t xml:space="preserve"> 
2,488,033,000 m3 
</t>
        </r>
        <r>
          <rPr>
            <b/>
            <sz val="9"/>
            <color indexed="81"/>
            <rFont val="Tahoma"/>
            <family val="2"/>
          </rPr>
          <t>Now Linked to RBM&amp;E:</t>
        </r>
        <r>
          <rPr>
            <sz val="9"/>
            <color indexed="81"/>
            <rFont val="Tahoma"/>
            <family val="2"/>
          </rPr>
          <t xml:space="preserve"> 
See sum under: 
213,654,000 m3 (just for hydro electric … ) 
</t>
        </r>
      </text>
    </comment>
    <comment ref="H64" authorId="0" shapeId="0">
      <text>
        <r>
          <rPr>
            <b/>
            <sz val="9"/>
            <color indexed="81"/>
            <rFont val="Tahoma"/>
            <family val="2"/>
          </rPr>
          <t>Graveland, C. (Cor):</t>
        </r>
        <r>
          <rPr>
            <sz val="9"/>
            <color indexed="81"/>
            <rFont val="Tahoma"/>
            <family val="2"/>
          </rPr>
          <t xml:space="preserve">
What is the water volume (m3) from Artificial Reservoirs used for hydro generation? 
This is In-stream use, meaning it largely remains in the Inland Water System. 
Work with an estimed 5% loss from the reservouirs (ok?). 
--&gt; This means: 
  - Is water use 
  - But is hardly water consumption 
</t>
        </r>
      </text>
    </comment>
    <comment ref="H84" authorId="0" shapeId="0">
      <text>
        <r>
          <rPr>
            <b/>
            <sz val="9"/>
            <color indexed="81"/>
            <rFont val="Tahoma"/>
            <family val="2"/>
          </rPr>
          <t xml:space="preserve">Graveland, C. (Cor): </t>
        </r>
        <r>
          <rPr>
            <sz val="9"/>
            <color indexed="81"/>
            <rFont val="Tahoma"/>
            <family val="2"/>
          </rPr>
          <t xml:space="preserve">
Can this get further breakdown underneath ? 
In H85 to: 
     1.i.2.a From Boreholes 
  and 
In H86 to: 
     1.i.2.b From Springs 
</t>
        </r>
      </text>
    </comment>
    <comment ref="H437" authorId="0" shapeId="0">
      <text>
        <r>
          <rPr>
            <b/>
            <sz val="9"/>
            <color indexed="81"/>
            <rFont val="Tahoma"/>
            <family val="2"/>
          </rPr>
          <t>Graveland, C. (Cor):</t>
        </r>
        <r>
          <rPr>
            <sz val="9"/>
            <color indexed="81"/>
            <rFont val="Tahoma"/>
            <family val="2"/>
          </rPr>
          <t xml:space="preserve">
See PSUT_2012 and all other PSUT's 
Was a too a high value compared to 'Abstraction' ! 
Was for 2012:  2,363,631.084 (*1000 m3). 
--&gt; Therefore, Now Apply a share that relate to 'abstraction' from the different surface waters for hydro power ...! 
Assumption for Return is to take </t>
        </r>
        <r>
          <rPr>
            <b/>
            <sz val="9"/>
            <color indexed="81"/>
            <rFont val="Tahoma"/>
            <family val="2"/>
          </rPr>
          <t>95%</t>
        </r>
        <r>
          <rPr>
            <sz val="9"/>
            <color indexed="81"/>
            <rFont val="Tahoma"/>
            <family val="2"/>
          </rPr>
          <t xml:space="preserve"> from 'abstraction' from surface waters for hydro power. 
Please check if asumption is ok and correct for Rwanda if needed. 
</t>
        </r>
      </text>
    </comment>
  </commentList>
</comments>
</file>

<file path=xl/comments14.xml><?xml version="1.0" encoding="utf-8"?>
<comments xmlns="http://schemas.openxmlformats.org/spreadsheetml/2006/main">
  <authors>
    <author>Graveland, C. (Cor)</author>
    <author>Cor. Graveland</author>
  </authors>
  <commentList>
    <comment ref="C5" authorId="0" shapeId="0">
      <text>
        <r>
          <rPr>
            <b/>
            <sz val="9"/>
            <color indexed="81"/>
            <rFont val="Tahoma"/>
            <family val="2"/>
          </rPr>
          <t xml:space="preserve">Graveland, C. (Cor): </t>
        </r>
        <r>
          <rPr>
            <sz val="9"/>
            <color indexed="81"/>
            <rFont val="Tahoma"/>
            <family val="2"/>
          </rPr>
          <t xml:space="preserve">
Formula Was: 
='W-Assets_Data&amp;Method_2014'!F3 
Changed Should be: 
equal to closing stock 2013 
=Asset_2013_Table!C24 
--&gt; For all cells in opening stock !
LINK to the metadata: 'W-Assets_Data&amp;Method_2014'F3 is fine ! 
</t>
        </r>
      </text>
    </comment>
    <comment ref="E15" authorId="1" shapeId="0">
      <text>
        <r>
          <rPr>
            <b/>
            <sz val="9"/>
            <color indexed="81"/>
            <rFont val="Tahoma"/>
            <family val="2"/>
          </rPr>
          <t>Cor. Graveland:</t>
        </r>
        <r>
          <rPr>
            <sz val="9"/>
            <color indexed="81"/>
            <rFont val="Tahoma"/>
            <family val="2"/>
          </rPr>
          <t xml:space="preserve">
Given RBM&amp;E2017 - Study it seems that abstraction ('use') of surfacewater from reservoirs was too low. 
So adjusted accordingly. 
Here we (&amp; in the PSUT) need to consider the RBM&amp;E water volumes (use) for (large scale) 
irrigation and for hydropower …! 
</t>
        </r>
      </text>
    </comment>
    <comment ref="C17" authorId="1" shapeId="0">
      <text>
        <r>
          <rPr>
            <b/>
            <sz val="9"/>
            <color indexed="81"/>
            <rFont val="Tahoma"/>
            <family val="2"/>
          </rPr>
          <t>NCA - team Rwanda:</t>
        </r>
        <r>
          <rPr>
            <sz val="9"/>
            <color indexed="81"/>
            <rFont val="Tahoma"/>
            <family val="2"/>
          </rPr>
          <t xml:space="preserve">
It might that, as lake Kivu is cross-border, even here an outflow from the lake to abroad could be observed. </t>
        </r>
      </text>
    </comment>
    <comment ref="B22" authorId="0" shapeId="0">
      <text>
        <r>
          <rPr>
            <b/>
            <sz val="9"/>
            <color indexed="81"/>
            <rFont val="Tahoma"/>
            <family val="2"/>
          </rPr>
          <t xml:space="preserve">NCA - team Rwanda: </t>
        </r>
        <r>
          <rPr>
            <sz val="9"/>
            <color indexed="81"/>
            <rFont val="Tahoma"/>
            <family val="2"/>
          </rPr>
          <t xml:space="preserve">
Balancing item, to show what remaining Inbalance is in the table. 
--&gt; Go To: worksheet '</t>
        </r>
        <r>
          <rPr>
            <b/>
            <sz val="9"/>
            <color indexed="81"/>
            <rFont val="Tahoma"/>
            <family val="2"/>
          </rPr>
          <t>Asset_Tbl_Balance_2012</t>
        </r>
        <r>
          <rPr>
            <sz val="9"/>
            <color indexed="81"/>
            <rFont val="Tahoma"/>
            <family val="2"/>
          </rPr>
          <t xml:space="preserve">' to see the final result AFTER balancing procedure. </t>
        </r>
      </text>
    </comment>
    <comment ref="B24" authorId="0" shapeId="0">
      <text>
        <r>
          <rPr>
            <b/>
            <sz val="9"/>
            <color indexed="81"/>
            <rFont val="Tahoma"/>
            <family val="2"/>
          </rPr>
          <t xml:space="preserve">Graveland, C. (Cor): </t>
        </r>
        <r>
          <rPr>
            <sz val="9"/>
            <color indexed="81"/>
            <rFont val="Tahoma"/>
            <family val="2"/>
          </rPr>
          <t xml:space="preserve">
</t>
        </r>
        <r>
          <rPr>
            <b/>
            <sz val="9"/>
            <color indexed="81"/>
            <rFont val="Tahoma"/>
            <family val="2"/>
          </rPr>
          <t>Data in:</t>
        </r>
        <r>
          <rPr>
            <sz val="9"/>
            <color indexed="81"/>
            <rFont val="Tahoma"/>
            <family val="2"/>
          </rPr>
          <t xml:space="preserve"> 
'W-Assets_Data&amp;Method_2013', requires an update each year depending on autonomic assessment for reporting year 2013 (opening stock 2013 ) 
If no such info is available for state at 1 January 2013, like on water tables in rivers and streams, in lakes (probably largely constant), and probably most variable, the water tables in the artifical reservoirs on 1st of January and on groundwater tables. 
--&gt; Than this 2012 closing stock, can be used in 2013 opening stock. 
</t>
        </r>
      </text>
    </comment>
    <comment ref="F24" authorId="0" shapeId="0">
      <text>
        <r>
          <rPr>
            <b/>
            <sz val="9"/>
            <color indexed="81"/>
            <rFont val="Tahoma"/>
            <family val="2"/>
          </rPr>
          <t>Graveland, C. (Cor):</t>
        </r>
        <r>
          <rPr>
            <sz val="9"/>
            <color indexed="81"/>
            <rFont val="Tahoma"/>
            <family val="2"/>
          </rPr>
          <t xml:space="preserve">
Find soil water content or better apply the CHANGE in '</t>
        </r>
        <r>
          <rPr>
            <b/>
            <sz val="9"/>
            <color indexed="81"/>
            <rFont val="Tahoma"/>
            <family val="2"/>
          </rPr>
          <t>volume percentage</t>
        </r>
        <r>
          <rPr>
            <sz val="9"/>
            <color indexed="81"/>
            <rFont val="Tahoma"/>
            <family val="2"/>
          </rPr>
          <t xml:space="preserve">' data from Rwanda Meteo (m3/m3) and update table accordingly. 
Can also be derived from soil water content (Weight percentage) 
Look to plausible volume change, starting from opening stock ! 
</t>
        </r>
      </text>
    </comment>
    <comment ref="G24" authorId="1" shapeId="0">
      <text>
        <r>
          <rPr>
            <b/>
            <sz val="9"/>
            <color indexed="81"/>
            <rFont val="Tahoma"/>
            <family val="2"/>
          </rPr>
          <t>Cor. Graveland:</t>
        </r>
        <r>
          <rPr>
            <sz val="9"/>
            <color indexed="81"/>
            <rFont val="Tahoma"/>
            <family val="2"/>
          </rPr>
          <t xml:space="preserve">
For the SHALLOW groundwater, try to find a number of boreholes with measured/monitored groundwater tables. 
Thie chnage in groundtables can be used to correct the volume of (shallow) ground water content from beginning to closing stock of (shallow) ground water. 
Maybe extract data from 20 boreholes that have this data and use it to correct closing stock.  
Look in the end to plausible volume change, starting from opening stock ! 
</t>
        </r>
      </text>
    </comment>
  </commentList>
</comments>
</file>

<file path=xl/comments15.xml><?xml version="1.0" encoding="utf-8"?>
<comments xmlns="http://schemas.openxmlformats.org/spreadsheetml/2006/main">
  <authors>
    <author>Graveland, C. (Cor)</author>
    <author>Cor. Graveland</author>
  </authors>
  <commentList>
    <comment ref="I4" authorId="0" shapeId="0">
      <text>
        <r>
          <rPr>
            <b/>
            <sz val="9"/>
            <color indexed="81"/>
            <rFont val="Tahoma"/>
            <family val="2"/>
          </rPr>
          <t>Graveland, C. (Cor):</t>
        </r>
        <r>
          <rPr>
            <sz val="9"/>
            <color indexed="81"/>
            <rFont val="Tahoma"/>
            <family val="2"/>
          </rPr>
          <t xml:space="preserve">
</t>
        </r>
        <r>
          <rPr>
            <b/>
            <sz val="9"/>
            <color indexed="81"/>
            <rFont val="Tahoma"/>
            <family val="2"/>
          </rPr>
          <t>For method &amp; description of method:</t>
        </r>
        <r>
          <rPr>
            <sz val="9"/>
            <color indexed="81"/>
            <rFont val="Tahoma"/>
            <family val="2"/>
          </rPr>
          <t xml:space="preserve"> 
</t>
        </r>
        <r>
          <rPr>
            <b/>
            <sz val="9"/>
            <color indexed="81"/>
            <rFont val="Tahoma"/>
            <family val="2"/>
          </rPr>
          <t xml:space="preserve">See: </t>
        </r>
        <r>
          <rPr>
            <sz val="9"/>
            <color indexed="81"/>
            <rFont val="Tahoma"/>
            <family val="2"/>
          </rPr>
          <t xml:space="preserve">
  Rda_SEEA-Water_Asset_Account_&amp;_PSUT_Version-18-10-'17__I.xlsx 
</t>
        </r>
        <r>
          <rPr>
            <b/>
            <sz val="9"/>
            <color indexed="81"/>
            <rFont val="Tahoma"/>
            <family val="2"/>
          </rPr>
          <t xml:space="preserve">Worksheet: </t>
        </r>
        <r>
          <rPr>
            <sz val="9"/>
            <color indexed="81"/>
            <rFont val="Tahoma"/>
            <family val="2"/>
          </rPr>
          <t xml:space="preserve">
  W-Assets_Data&amp;Method_2012
</t>
        </r>
        <r>
          <rPr>
            <b/>
            <sz val="9"/>
            <color indexed="81"/>
            <rFont val="Tahoma"/>
            <family val="2"/>
          </rPr>
          <t xml:space="preserve">Cel: </t>
        </r>
        <r>
          <rPr>
            <sz val="9"/>
            <color indexed="81"/>
            <rFont val="Tahoma"/>
            <family val="2"/>
          </rPr>
          <t xml:space="preserve">
  J4 
</t>
        </r>
      </text>
    </comment>
    <comment ref="F50" authorId="1" shapeId="0">
      <text>
        <r>
          <rPr>
            <b/>
            <sz val="9"/>
            <color indexed="81"/>
            <rFont val="Tahoma"/>
            <family val="2"/>
          </rPr>
          <t>Cor. Graveland:</t>
        </r>
        <r>
          <rPr>
            <sz val="9"/>
            <color indexed="81"/>
            <rFont val="Tahoma"/>
            <family val="2"/>
          </rPr>
          <t xml:space="preserve">
We added 'also the same share of water from Precipitation the reservoirs. 
Moved from 40% to 90%. 
Also to be discussed… with TWG. </t>
        </r>
      </text>
    </comment>
    <comment ref="I50" authorId="0" shapeId="0">
      <text>
        <r>
          <rPr>
            <b/>
            <sz val="9"/>
            <color indexed="81"/>
            <rFont val="Tahoma"/>
            <family val="2"/>
          </rPr>
          <t>Graveland, C. (Cor):</t>
        </r>
        <r>
          <rPr>
            <sz val="9"/>
            <color indexed="81"/>
            <rFont val="Tahoma"/>
            <family val="2"/>
          </rPr>
          <t xml:space="preserve">
Don't understand this 10% from the stock flowing out throughout a full year ??
Is to little. </t>
        </r>
      </text>
    </comment>
  </commentList>
</comments>
</file>

<file path=xl/comments16.xml><?xml version="1.0" encoding="utf-8"?>
<comments xmlns="http://schemas.openxmlformats.org/spreadsheetml/2006/main">
  <authors>
    <author>Graveland, C. (Cor)</author>
  </authors>
  <commentList>
    <comment ref="H57" authorId="0" shapeId="0">
      <text>
        <r>
          <rPr>
            <b/>
            <sz val="9"/>
            <color indexed="81"/>
            <rFont val="Tahoma"/>
            <family val="2"/>
          </rPr>
          <t>Graveland, C. (Cor):</t>
        </r>
        <r>
          <rPr>
            <sz val="9"/>
            <color indexed="81"/>
            <rFont val="Tahoma"/>
            <family val="2"/>
          </rPr>
          <t xml:space="preserve">
</t>
        </r>
        <r>
          <rPr>
            <b/>
            <sz val="9"/>
            <color indexed="81"/>
            <rFont val="Tahoma"/>
            <family val="2"/>
          </rPr>
          <t>Was Hardcopy:</t>
        </r>
        <r>
          <rPr>
            <sz val="9"/>
            <color indexed="81"/>
            <rFont val="Tahoma"/>
            <family val="2"/>
          </rPr>
          <t xml:space="preserve"> 
2,488,033,000 m3 
</t>
        </r>
        <r>
          <rPr>
            <b/>
            <sz val="9"/>
            <color indexed="81"/>
            <rFont val="Tahoma"/>
            <family val="2"/>
          </rPr>
          <t>Now Linked to RBM&amp;E:</t>
        </r>
        <r>
          <rPr>
            <sz val="9"/>
            <color indexed="81"/>
            <rFont val="Tahoma"/>
            <family val="2"/>
          </rPr>
          <t xml:space="preserve"> 
See sum under: 
213,654,000 m3 (just for hydro electric … ) 
</t>
        </r>
      </text>
    </comment>
    <comment ref="H64" authorId="0" shapeId="0">
      <text>
        <r>
          <rPr>
            <b/>
            <sz val="9"/>
            <color indexed="81"/>
            <rFont val="Tahoma"/>
            <family val="2"/>
          </rPr>
          <t>Graveland, C. (Cor):</t>
        </r>
        <r>
          <rPr>
            <sz val="9"/>
            <color indexed="81"/>
            <rFont val="Tahoma"/>
            <family val="2"/>
          </rPr>
          <t xml:space="preserve">
What is the water volume (m3) from Artificial Reservoirs used for hydro generation? 
This is In-stream use, meaning it largely remains in the Inland Water System. 
--&gt; This means: 
  - Is water use 
  - But is hardly water consumption 
</t>
        </r>
      </text>
    </comment>
    <comment ref="H84" authorId="0" shapeId="0">
      <text>
        <r>
          <rPr>
            <b/>
            <sz val="9"/>
            <color indexed="81"/>
            <rFont val="Tahoma"/>
            <family val="2"/>
          </rPr>
          <t xml:space="preserve">Graveland, C. (Cor): </t>
        </r>
        <r>
          <rPr>
            <sz val="9"/>
            <color indexed="81"/>
            <rFont val="Tahoma"/>
            <family val="2"/>
          </rPr>
          <t xml:space="preserve">
Can this get further breakdown underneath ? 
In H85 to: 
     1.i.2.a From Boreholes 
  and 
In H86 to: 
     1.i.2.b From Springs 
</t>
        </r>
      </text>
    </comment>
    <comment ref="H437" authorId="0" shapeId="0">
      <text>
        <r>
          <rPr>
            <b/>
            <sz val="9"/>
            <color indexed="81"/>
            <rFont val="Tahoma"/>
            <family val="2"/>
          </rPr>
          <t>Graveland, C. (Cor):</t>
        </r>
        <r>
          <rPr>
            <sz val="9"/>
            <color indexed="81"/>
            <rFont val="Tahoma"/>
            <family val="2"/>
          </rPr>
          <t xml:space="preserve">
See PSUT_2012 and all other PSUT's 
Was a too a high value compared to 'Abstraction' ! 
Was for 2012:  2,363,631.084 (*1000 m3). 
--&gt; Therefore, Now Apply a share that relate to 'abstraction' from the different surface waters for hydro power ...! 
Assumption for Return is to take </t>
        </r>
        <r>
          <rPr>
            <b/>
            <sz val="9"/>
            <color indexed="81"/>
            <rFont val="Tahoma"/>
            <family val="2"/>
          </rPr>
          <t>95%</t>
        </r>
        <r>
          <rPr>
            <sz val="9"/>
            <color indexed="81"/>
            <rFont val="Tahoma"/>
            <family val="2"/>
          </rPr>
          <t xml:space="preserve"> from 'abstraction' from surface waters for hydro power. 
Please check if asumption is ok and correct for Rwanda if needed. 
</t>
        </r>
      </text>
    </comment>
  </commentList>
</comments>
</file>

<file path=xl/comments17.xml><?xml version="1.0" encoding="utf-8"?>
<comments xmlns="http://schemas.openxmlformats.org/spreadsheetml/2006/main">
  <authors>
    <author>Cor. Graveland</author>
    <author>Graveland, C. (Cor)</author>
  </authors>
  <commentList>
    <comment ref="E15" authorId="0" shapeId="0">
      <text>
        <r>
          <rPr>
            <b/>
            <sz val="9"/>
            <color indexed="81"/>
            <rFont val="Tahoma"/>
            <family val="2"/>
          </rPr>
          <t>Cor. Graveland:</t>
        </r>
        <r>
          <rPr>
            <sz val="9"/>
            <color indexed="81"/>
            <rFont val="Tahoma"/>
            <family val="2"/>
          </rPr>
          <t xml:space="preserve">
Given RBM&amp;E2017 - Study it seems that abstraction ('use') of surfacewater from reservoirs was too low. 
So adjusted accordingly. 
Here we (&amp; in the PSUT) need to consider the RBM&amp;E water volumes (use) for (large scale) 
irrigation and for hydropower …! 
</t>
        </r>
      </text>
    </comment>
    <comment ref="C17" authorId="0" shapeId="0">
      <text>
        <r>
          <rPr>
            <b/>
            <sz val="9"/>
            <color indexed="81"/>
            <rFont val="Tahoma"/>
            <family val="2"/>
          </rPr>
          <t>NCA - team Rwanda:</t>
        </r>
        <r>
          <rPr>
            <sz val="9"/>
            <color indexed="81"/>
            <rFont val="Tahoma"/>
            <family val="2"/>
          </rPr>
          <t xml:space="preserve">
It might that, as lake Kivu is cross-border, even here an outflow from the lake to abroad could be observed. </t>
        </r>
      </text>
    </comment>
    <comment ref="B22" authorId="1" shapeId="0">
      <text>
        <r>
          <rPr>
            <b/>
            <sz val="9"/>
            <color indexed="81"/>
            <rFont val="Tahoma"/>
            <family val="2"/>
          </rPr>
          <t xml:space="preserve">NCA - team Rwanda: </t>
        </r>
        <r>
          <rPr>
            <sz val="9"/>
            <color indexed="81"/>
            <rFont val="Tahoma"/>
            <family val="2"/>
          </rPr>
          <t xml:space="preserve">
Balancing item, to show what remaining Inbalance is in the table. 
--&gt; Go To: worksheet '</t>
        </r>
        <r>
          <rPr>
            <b/>
            <sz val="9"/>
            <color indexed="81"/>
            <rFont val="Tahoma"/>
            <family val="2"/>
          </rPr>
          <t>Asset_Tbl_Balance_2012</t>
        </r>
        <r>
          <rPr>
            <sz val="9"/>
            <color indexed="81"/>
            <rFont val="Tahoma"/>
            <family val="2"/>
          </rPr>
          <t xml:space="preserve">' to see the final result AFTER balancing procedure. </t>
        </r>
      </text>
    </comment>
    <comment ref="B24" authorId="1" shapeId="0">
      <text>
        <r>
          <rPr>
            <b/>
            <sz val="9"/>
            <color indexed="81"/>
            <rFont val="Tahoma"/>
            <family val="2"/>
          </rPr>
          <t xml:space="preserve">Graveland, C. (Cor): </t>
        </r>
        <r>
          <rPr>
            <sz val="9"/>
            <color indexed="81"/>
            <rFont val="Tahoma"/>
            <family val="2"/>
          </rPr>
          <t xml:space="preserve">
</t>
        </r>
        <r>
          <rPr>
            <b/>
            <sz val="9"/>
            <color indexed="81"/>
            <rFont val="Tahoma"/>
            <family val="2"/>
          </rPr>
          <t>Data in:</t>
        </r>
        <r>
          <rPr>
            <sz val="9"/>
            <color indexed="81"/>
            <rFont val="Tahoma"/>
            <family val="2"/>
          </rPr>
          <t xml:space="preserve"> 
'W-Assets_Data&amp;Method_2013', requires an update each year depending on autonomic assessment for reporting year 2013 (opening stock 2013 ) 
If no such info is available for state at 1 January 2013, like on water tables in rivers and streams, in lakes (probably largely constant), and probably most variable, the water tables in the artifical reservoirs on 1st of January and on groundwater tables. 
--&gt; Than this 2012 closing stock, can be used in 2013 opening stock. 
</t>
        </r>
      </text>
    </comment>
    <comment ref="F24" authorId="1" shapeId="0">
      <text>
        <r>
          <rPr>
            <b/>
            <sz val="9"/>
            <color indexed="81"/>
            <rFont val="Tahoma"/>
            <family val="2"/>
          </rPr>
          <t>Graveland, C. (Cor):</t>
        </r>
        <r>
          <rPr>
            <sz val="9"/>
            <color indexed="81"/>
            <rFont val="Tahoma"/>
            <family val="2"/>
          </rPr>
          <t xml:space="preserve">
Find soil water content or better apply the CHANGE in '</t>
        </r>
        <r>
          <rPr>
            <b/>
            <sz val="9"/>
            <color indexed="81"/>
            <rFont val="Tahoma"/>
            <family val="2"/>
          </rPr>
          <t>volume percentage</t>
        </r>
        <r>
          <rPr>
            <sz val="9"/>
            <color indexed="81"/>
            <rFont val="Tahoma"/>
            <family val="2"/>
          </rPr>
          <t xml:space="preserve">' data from Rwanda Meteo (m3/m3) and update table accordingly. 
Can also be derived from soil water content (Weight percentage) 
Look to plausible volume change, starting from opening stock ! 
</t>
        </r>
      </text>
    </comment>
    <comment ref="G24" authorId="0" shapeId="0">
      <text>
        <r>
          <rPr>
            <b/>
            <sz val="9"/>
            <color indexed="81"/>
            <rFont val="Tahoma"/>
            <family val="2"/>
          </rPr>
          <t>Cor. Graveland:</t>
        </r>
        <r>
          <rPr>
            <sz val="9"/>
            <color indexed="81"/>
            <rFont val="Tahoma"/>
            <family val="2"/>
          </rPr>
          <t xml:space="preserve">
For the SHALLOW groundwater, try to find a number of boreholes with measured/monitored groundwater tables. 
Thie chnage in groundtables can be used to correct the volume of (shallow) ground water content from beginning to closing stock of (shallow) ground water. 
Maybe extract data from 20 boreholes that have this data and use it to correct closing stock.  
Look in the end to plausible volume change, starting from opening stock ! 
</t>
        </r>
      </text>
    </comment>
  </commentList>
</comments>
</file>

<file path=xl/comments18.xml><?xml version="1.0" encoding="utf-8"?>
<comments xmlns="http://schemas.openxmlformats.org/spreadsheetml/2006/main">
  <authors>
    <author>Graveland, C. (Cor)</author>
    <author>Cor. Graveland</author>
  </authors>
  <commentList>
    <comment ref="I4" authorId="0" shapeId="0">
      <text>
        <r>
          <rPr>
            <b/>
            <sz val="9"/>
            <color indexed="81"/>
            <rFont val="Tahoma"/>
            <family val="2"/>
          </rPr>
          <t>Graveland, C. (Cor):</t>
        </r>
        <r>
          <rPr>
            <sz val="9"/>
            <color indexed="81"/>
            <rFont val="Tahoma"/>
            <family val="2"/>
          </rPr>
          <t xml:space="preserve">
</t>
        </r>
        <r>
          <rPr>
            <b/>
            <sz val="9"/>
            <color indexed="81"/>
            <rFont val="Tahoma"/>
            <family val="2"/>
          </rPr>
          <t>For method &amp; description of method:</t>
        </r>
        <r>
          <rPr>
            <sz val="9"/>
            <color indexed="81"/>
            <rFont val="Tahoma"/>
            <family val="2"/>
          </rPr>
          <t xml:space="preserve"> 
</t>
        </r>
        <r>
          <rPr>
            <b/>
            <sz val="9"/>
            <color indexed="81"/>
            <rFont val="Tahoma"/>
            <family val="2"/>
          </rPr>
          <t xml:space="preserve">See: </t>
        </r>
        <r>
          <rPr>
            <sz val="9"/>
            <color indexed="81"/>
            <rFont val="Tahoma"/>
            <family val="2"/>
          </rPr>
          <t xml:space="preserve">
  Rda_SEEA-Water_Asset_Account_&amp;_PSUT_Version-18-10-'17__I.xlsx 
</t>
        </r>
        <r>
          <rPr>
            <b/>
            <sz val="9"/>
            <color indexed="81"/>
            <rFont val="Tahoma"/>
            <family val="2"/>
          </rPr>
          <t xml:space="preserve">Worksheet: </t>
        </r>
        <r>
          <rPr>
            <sz val="9"/>
            <color indexed="81"/>
            <rFont val="Tahoma"/>
            <family val="2"/>
          </rPr>
          <t xml:space="preserve">
  W-Assets_Data&amp;Method_2012
</t>
        </r>
        <r>
          <rPr>
            <b/>
            <sz val="9"/>
            <color indexed="81"/>
            <rFont val="Tahoma"/>
            <family val="2"/>
          </rPr>
          <t xml:space="preserve">Cel: </t>
        </r>
        <r>
          <rPr>
            <sz val="9"/>
            <color indexed="81"/>
            <rFont val="Tahoma"/>
            <family val="2"/>
          </rPr>
          <t xml:space="preserve">
  J4 
</t>
        </r>
      </text>
    </comment>
    <comment ref="F50" authorId="1" shapeId="0">
      <text>
        <r>
          <rPr>
            <b/>
            <sz val="9"/>
            <color indexed="81"/>
            <rFont val="Tahoma"/>
            <family val="2"/>
          </rPr>
          <t>Cor. Graveland:</t>
        </r>
        <r>
          <rPr>
            <sz val="9"/>
            <color indexed="81"/>
            <rFont val="Tahoma"/>
            <family val="2"/>
          </rPr>
          <t xml:space="preserve">
We added 'also the same share of water from Precipitation the reservoirs. 
Moved from 40% to 90%. 
Also to be discussed… with TWG. </t>
        </r>
      </text>
    </comment>
    <comment ref="I50" authorId="0" shapeId="0">
      <text>
        <r>
          <rPr>
            <b/>
            <sz val="9"/>
            <color indexed="81"/>
            <rFont val="Tahoma"/>
            <family val="2"/>
          </rPr>
          <t>Graveland, C. (Cor):</t>
        </r>
        <r>
          <rPr>
            <sz val="9"/>
            <color indexed="81"/>
            <rFont val="Tahoma"/>
            <family val="2"/>
          </rPr>
          <t xml:space="preserve">
Don't understand this 10% from the stock flowing out throughout a full year ??
Is to little. </t>
        </r>
      </text>
    </comment>
  </commentList>
</comments>
</file>

<file path=xl/comments19.xml><?xml version="1.0" encoding="utf-8"?>
<comments xmlns="http://schemas.openxmlformats.org/spreadsheetml/2006/main">
  <authors>
    <author>Graveland, C. (Cor)</author>
  </authors>
  <commentList>
    <comment ref="H57" authorId="0" shapeId="0">
      <text>
        <r>
          <rPr>
            <b/>
            <sz val="9"/>
            <color indexed="81"/>
            <rFont val="Tahoma"/>
            <family val="2"/>
          </rPr>
          <t>Graveland, C. (Cor):</t>
        </r>
        <r>
          <rPr>
            <sz val="9"/>
            <color indexed="81"/>
            <rFont val="Tahoma"/>
            <family val="2"/>
          </rPr>
          <t xml:space="preserve">
</t>
        </r>
        <r>
          <rPr>
            <b/>
            <sz val="9"/>
            <color indexed="81"/>
            <rFont val="Tahoma"/>
            <family val="2"/>
          </rPr>
          <t>Was Hardcopy:</t>
        </r>
        <r>
          <rPr>
            <sz val="9"/>
            <color indexed="81"/>
            <rFont val="Tahoma"/>
            <family val="2"/>
          </rPr>
          <t xml:space="preserve"> 
2,488,033,000 m3 
</t>
        </r>
        <r>
          <rPr>
            <b/>
            <sz val="9"/>
            <color indexed="81"/>
            <rFont val="Tahoma"/>
            <family val="2"/>
          </rPr>
          <t>Now Linked to RBM&amp;E:</t>
        </r>
        <r>
          <rPr>
            <sz val="9"/>
            <color indexed="81"/>
            <rFont val="Tahoma"/>
            <family val="2"/>
          </rPr>
          <t xml:space="preserve"> 
See sum under: 
213,654,000 m3 (just for hydro electric … ) 
</t>
        </r>
      </text>
    </comment>
    <comment ref="H64" authorId="0" shapeId="0">
      <text>
        <r>
          <rPr>
            <b/>
            <sz val="9"/>
            <color indexed="81"/>
            <rFont val="Tahoma"/>
            <family val="2"/>
          </rPr>
          <t>Graveland, C. (Cor):</t>
        </r>
        <r>
          <rPr>
            <sz val="9"/>
            <color indexed="81"/>
            <rFont val="Tahoma"/>
            <family val="2"/>
          </rPr>
          <t xml:space="preserve">
What is the water volume (m3) from Artificial Reservoirs used for hydro generation? 
This is In-stream use, meaning it largely remains in the Inland Water System. 
--&gt; This means: 
  - Is water use 
  - But is hardly water consumption 
</t>
        </r>
      </text>
    </comment>
    <comment ref="H84" authorId="0" shapeId="0">
      <text>
        <r>
          <rPr>
            <b/>
            <sz val="9"/>
            <color indexed="81"/>
            <rFont val="Tahoma"/>
            <family val="2"/>
          </rPr>
          <t xml:space="preserve">Graveland, C. (Cor): </t>
        </r>
        <r>
          <rPr>
            <sz val="9"/>
            <color indexed="81"/>
            <rFont val="Tahoma"/>
            <family val="2"/>
          </rPr>
          <t xml:space="preserve">
Can this get further breakdown underneath ? 
In H85 to: 
     1.i.2.a From Boreholes 
  and 
In H86 to: 
     1.i.2.b From Springs 
</t>
        </r>
      </text>
    </comment>
    <comment ref="H437" authorId="0" shapeId="0">
      <text>
        <r>
          <rPr>
            <b/>
            <sz val="9"/>
            <color indexed="81"/>
            <rFont val="Tahoma"/>
            <family val="2"/>
          </rPr>
          <t>Graveland, C. (Cor):</t>
        </r>
        <r>
          <rPr>
            <sz val="9"/>
            <color indexed="81"/>
            <rFont val="Tahoma"/>
            <family val="2"/>
          </rPr>
          <t xml:space="preserve">
See PSUT_2012 and all other PSUT's 
Was a too a high value compared to 'Abstraction' ! 
Was for 2012:  2,363,631.084 (*1000 m3). 
--&gt; Therefore, Now Apply a share that relate to 'abstraction' from the different surface waters for hydro power ...! 
Assumption for Return is to take </t>
        </r>
        <r>
          <rPr>
            <b/>
            <sz val="9"/>
            <color indexed="81"/>
            <rFont val="Tahoma"/>
            <family val="2"/>
          </rPr>
          <t>95%</t>
        </r>
        <r>
          <rPr>
            <sz val="9"/>
            <color indexed="81"/>
            <rFont val="Tahoma"/>
            <family val="2"/>
          </rPr>
          <t xml:space="preserve"> from 'abstraction' from surface waters for hydro power. 
Please check if asumption is ok and correct for Rwanda if needed. 
</t>
        </r>
      </text>
    </comment>
  </commentList>
</comments>
</file>

<file path=xl/comments20.xml><?xml version="1.0" encoding="utf-8"?>
<comments xmlns="http://schemas.openxmlformats.org/spreadsheetml/2006/main">
  <authors>
    <author>Graveland, C. (Cor)</author>
  </authors>
  <commentList>
    <comment ref="A6" authorId="0" shapeId="0">
      <text>
        <r>
          <rPr>
            <b/>
            <sz val="9"/>
            <color indexed="81"/>
            <rFont val="Tahoma"/>
            <family val="2"/>
          </rPr>
          <t>Graveland, C. (Cor):</t>
        </r>
        <r>
          <rPr>
            <sz val="9"/>
            <color indexed="81"/>
            <rFont val="Tahoma"/>
            <family val="2"/>
          </rPr>
          <t xml:space="preserve">
Update with links from here: see row 5. 
</t>
        </r>
      </text>
    </comment>
  </commentList>
</comments>
</file>

<file path=xl/comments21.xml><?xml version="1.0" encoding="utf-8"?>
<comments xmlns="http://schemas.openxmlformats.org/spreadsheetml/2006/main">
  <authors>
    <author>Graveland, C. (Cor)</author>
  </authors>
  <commentList>
    <comment ref="A6" authorId="0" shapeId="0">
      <text>
        <r>
          <rPr>
            <b/>
            <sz val="9"/>
            <color indexed="81"/>
            <rFont val="Tahoma"/>
            <family val="2"/>
          </rPr>
          <t>Graveland, C. (Cor):</t>
        </r>
        <r>
          <rPr>
            <sz val="9"/>
            <color indexed="81"/>
            <rFont val="Tahoma"/>
            <family val="2"/>
          </rPr>
          <t xml:space="preserve">
Update with links from here: see row 5. 
</t>
        </r>
      </text>
    </comment>
  </commentList>
</comments>
</file>

<file path=xl/comments22.xml><?xml version="1.0" encoding="utf-8"?>
<comments xmlns="http://schemas.openxmlformats.org/spreadsheetml/2006/main">
  <authors>
    <author>Graveland, C. (Cor)</author>
  </authors>
  <commentList>
    <comment ref="A6" authorId="0" shapeId="0">
      <text>
        <r>
          <rPr>
            <b/>
            <sz val="9"/>
            <color indexed="81"/>
            <rFont val="Tahoma"/>
            <family val="2"/>
          </rPr>
          <t>Graveland, C. (Cor):</t>
        </r>
        <r>
          <rPr>
            <sz val="9"/>
            <color indexed="81"/>
            <rFont val="Tahoma"/>
            <family val="2"/>
          </rPr>
          <t xml:space="preserve">
Update with links from here: see row 5. 
</t>
        </r>
      </text>
    </comment>
  </commentList>
</comments>
</file>

<file path=xl/comments23.xml><?xml version="1.0" encoding="utf-8"?>
<comments xmlns="http://schemas.openxmlformats.org/spreadsheetml/2006/main">
  <authors>
    <author>Graveland, C. (Cor)</author>
  </authors>
  <commentList>
    <comment ref="V22" authorId="0" shapeId="0">
      <text>
        <r>
          <rPr>
            <b/>
            <sz val="11"/>
            <color indexed="81"/>
            <rFont val="Tahoma"/>
            <family val="2"/>
          </rPr>
          <t>Graveland, C. (Cor):</t>
        </r>
        <r>
          <rPr>
            <sz val="11"/>
            <color indexed="81"/>
            <rFont val="Tahoma"/>
            <family val="2"/>
          </rPr>
          <t xml:space="preserve">
Combi:  R, S &amp; T  !! 
</t>
        </r>
      </text>
    </comment>
    <comment ref="V41" authorId="0" shapeId="0">
      <text>
        <r>
          <rPr>
            <b/>
            <sz val="11"/>
            <color indexed="81"/>
            <rFont val="Tahoma"/>
            <family val="2"/>
          </rPr>
          <t>Graveland, C. (Cor):</t>
        </r>
        <r>
          <rPr>
            <sz val="11"/>
            <color indexed="81"/>
            <rFont val="Tahoma"/>
            <family val="2"/>
          </rPr>
          <t xml:space="preserve">
Combi:  R, S &amp; T  !! 
</t>
        </r>
      </text>
    </comment>
    <comment ref="V60" authorId="0" shapeId="0">
      <text>
        <r>
          <rPr>
            <b/>
            <sz val="11"/>
            <color indexed="81"/>
            <rFont val="Tahoma"/>
            <family val="2"/>
          </rPr>
          <t>Graveland, C. (Cor):</t>
        </r>
        <r>
          <rPr>
            <sz val="11"/>
            <color indexed="81"/>
            <rFont val="Tahoma"/>
            <family val="2"/>
          </rPr>
          <t xml:space="preserve">
Combi:  R, S &amp; T  !! 
</t>
        </r>
      </text>
    </comment>
    <comment ref="V79" authorId="0" shapeId="0">
      <text>
        <r>
          <rPr>
            <b/>
            <sz val="11"/>
            <color indexed="81"/>
            <rFont val="Tahoma"/>
            <family val="2"/>
          </rPr>
          <t>Graveland, C. (Cor):</t>
        </r>
        <r>
          <rPr>
            <sz val="11"/>
            <color indexed="81"/>
            <rFont val="Tahoma"/>
            <family val="2"/>
          </rPr>
          <t xml:space="preserve">
Combi:  R, S &amp; T  !! 
</t>
        </r>
      </text>
    </comment>
  </commentList>
</comments>
</file>

<file path=xl/comments24.xml><?xml version="1.0" encoding="utf-8"?>
<comments xmlns="http://schemas.openxmlformats.org/spreadsheetml/2006/main">
  <authors>
    <author>Graveland, C. (Cor)</author>
    <author>tc={A1BACAD5-EBA1-4DC3-80AE-7B2701669933}</author>
  </authors>
  <commentList>
    <comment ref="F4" authorId="0" shapeId="0">
      <text>
        <r>
          <rPr>
            <b/>
            <sz val="9"/>
            <color indexed="81"/>
            <rFont val="Tahoma"/>
            <family val="2"/>
          </rPr>
          <t xml:space="preserve">Graveland, C. (Cor): </t>
        </r>
        <r>
          <rPr>
            <sz val="9"/>
            <color indexed="81"/>
            <rFont val="Tahoma"/>
            <family val="2"/>
          </rPr>
          <t xml:space="preserve">
This figure represents: 
  Abstraction or Withdrawal of ONLY Surface Water &amp; Groundwater ! 
  NO Abstraction (Withdrawal) of SOIL Water ! 
</t>
        </r>
      </text>
    </comment>
    <comment ref="G4" authorId="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(Water Stress %: TWW / (TRWR-Env.) * 100).</t>
        </r>
      </text>
    </comment>
  </commentList>
</comments>
</file>

<file path=xl/comments25.xml><?xml version="1.0" encoding="utf-8"?>
<comments xmlns="http://schemas.openxmlformats.org/spreadsheetml/2006/main">
  <authors>
    <author>Graveland, C. (Cor)</author>
  </authors>
  <commentList>
    <comment ref="I12" authorId="0" shapeId="0">
      <text>
        <r>
          <rPr>
            <b/>
            <sz val="11"/>
            <color indexed="81"/>
            <rFont val="Tahoma"/>
            <family val="2"/>
          </rPr>
          <t>Graveland, C. (Cor):</t>
        </r>
        <r>
          <rPr>
            <sz val="11"/>
            <color indexed="81"/>
            <rFont val="Tahoma"/>
            <family val="2"/>
          </rPr>
          <t xml:space="preserve">
Although it says: 
'Proportion of irrigated land on the total arable land (Ai)'. 
--&gt; This is about total agricultural area utilised (AAU) that is actually irrigated in each particular reporting year. 
</t>
        </r>
      </text>
    </comment>
    <comment ref="J13" authorId="0" shapeId="0">
      <text>
        <r>
          <rPr>
            <b/>
            <sz val="12"/>
            <color indexed="81"/>
            <rFont val="Tahoma"/>
            <family val="2"/>
          </rPr>
          <t xml:space="preserve">Graveland, C. (Cor): </t>
        </r>
        <r>
          <rPr>
            <sz val="12"/>
            <color indexed="81"/>
            <rFont val="Tahoma"/>
            <family val="2"/>
          </rPr>
          <t xml:space="preserve">
Averaged trend from: 
  1. NISR figure for 2012 and; 
  2. RBM&amp;E study (2017) figure for 2016. 
--&gt; Average trend chosen as we could get an annual update ! 
</t>
        </r>
        <r>
          <rPr>
            <b/>
            <sz val="12"/>
            <color indexed="81"/>
            <rFont val="Tahoma"/>
            <family val="2"/>
          </rPr>
          <t>--&gt; Ideally we would like to have an annual updated figure from MINAGRI, RAB, or NISR.</t>
        </r>
        <r>
          <rPr>
            <sz val="12"/>
            <color indexed="81"/>
            <rFont val="Tahoma"/>
            <family val="2"/>
          </rPr>
          <t xml:space="preserve"> 
</t>
        </r>
      </text>
    </comment>
    <comment ref="I14" authorId="0" shapeId="0">
      <text>
        <r>
          <rPr>
            <b/>
            <sz val="11"/>
            <color indexed="81"/>
            <rFont val="Tahoma"/>
            <family val="2"/>
          </rPr>
          <t>Graveland, C. (Cor):</t>
        </r>
        <r>
          <rPr>
            <sz val="11"/>
            <color indexed="81"/>
            <rFont val="Tahoma"/>
            <family val="2"/>
          </rPr>
          <t xml:space="preserve">
Is this for each single reporting year available from NISR or from MINAGRI ? 
</t>
        </r>
      </text>
    </comment>
  </commentList>
</comments>
</file>

<file path=xl/comments26.xml><?xml version="1.0" encoding="utf-8"?>
<comments xmlns="http://schemas.openxmlformats.org/spreadsheetml/2006/main">
  <authors>
    <author>Graveland, C. (Cor)</author>
  </authors>
  <commentList>
    <comment ref="M47" authorId="0" shapeId="0">
      <text>
        <r>
          <rPr>
            <b/>
            <sz val="12"/>
            <color indexed="81"/>
            <rFont val="Tahoma"/>
            <family val="2"/>
          </rPr>
          <t xml:space="preserve">Graveland, C. (Cor): </t>
        </r>
        <r>
          <rPr>
            <sz val="12"/>
            <color indexed="81"/>
            <rFont val="Tahoma"/>
            <family val="2"/>
          </rPr>
          <t xml:space="preserve">
Instead of formulat with M12, now M18 is chosen ! 
Thus instead of formula: 
  =M12+M35 
Now we have chosen formula: 
  =M18+M35 
</t>
        </r>
      </text>
    </comment>
  </commentList>
</comments>
</file>

<file path=xl/comments27.xml><?xml version="1.0" encoding="utf-8"?>
<comments xmlns="http://schemas.openxmlformats.org/spreadsheetml/2006/main">
  <authors>
    <author>Cor. Graveland</author>
    <author>Graveland, C. (Cor)</author>
  </authors>
  <commentList>
    <comment ref="B1" authorId="0" shapeId="0">
      <text>
        <r>
          <rPr>
            <b/>
            <sz val="12"/>
            <color indexed="81"/>
            <rFont val="Tahoma"/>
            <family val="2"/>
          </rPr>
          <t>Cor. Graveland:</t>
        </r>
        <r>
          <rPr>
            <sz val="12"/>
            <color indexed="81"/>
            <rFont val="Tahoma"/>
            <family val="2"/>
          </rPr>
          <t xml:space="preserve">
From: 
R_GDP National Accounts 2016 
</t>
        </r>
      </text>
    </comment>
    <comment ref="AO28" authorId="1" shapeId="0">
      <text>
        <r>
          <rPr>
            <b/>
            <sz val="11"/>
            <color indexed="81"/>
            <rFont val="Tahoma"/>
            <family val="2"/>
          </rPr>
          <t>Graveland, C. (Cor):</t>
        </r>
        <r>
          <rPr>
            <sz val="11"/>
            <color indexed="81"/>
            <rFont val="Tahoma"/>
            <family val="2"/>
          </rPr>
          <t xml:space="preserve">
Combi:  R, S &amp; T  !! 
</t>
        </r>
      </text>
    </comment>
    <comment ref="AO54" authorId="1" shapeId="0">
      <text>
        <r>
          <rPr>
            <b/>
            <sz val="11"/>
            <color indexed="81"/>
            <rFont val="Tahoma"/>
            <family val="2"/>
          </rPr>
          <t>Graveland, C. (Cor):</t>
        </r>
        <r>
          <rPr>
            <sz val="11"/>
            <color indexed="81"/>
            <rFont val="Tahoma"/>
            <family val="2"/>
          </rPr>
          <t xml:space="preserve">
Combi:  R, S &amp; T  !! 
</t>
        </r>
      </text>
    </comment>
    <comment ref="AO80" authorId="1" shapeId="0">
      <text>
        <r>
          <rPr>
            <b/>
            <sz val="11"/>
            <color indexed="81"/>
            <rFont val="Tahoma"/>
            <family val="2"/>
          </rPr>
          <t>Graveland, C. (Cor):</t>
        </r>
        <r>
          <rPr>
            <sz val="11"/>
            <color indexed="81"/>
            <rFont val="Tahoma"/>
            <family val="2"/>
          </rPr>
          <t xml:space="preserve">
Combi:  R, S &amp; T  !! 
</t>
        </r>
      </text>
    </comment>
    <comment ref="AO106" authorId="1" shapeId="0">
      <text>
        <r>
          <rPr>
            <b/>
            <sz val="11"/>
            <color indexed="81"/>
            <rFont val="Tahoma"/>
            <family val="2"/>
          </rPr>
          <t>Graveland, C. (Cor):</t>
        </r>
        <r>
          <rPr>
            <sz val="11"/>
            <color indexed="81"/>
            <rFont val="Tahoma"/>
            <family val="2"/>
          </rPr>
          <t xml:space="preserve">
Combi:  R, S &amp; T  !! 
</t>
        </r>
      </text>
    </comment>
  </commentList>
</comments>
</file>

<file path=xl/comments28.xml><?xml version="1.0" encoding="utf-8"?>
<comments xmlns="http://schemas.openxmlformats.org/spreadsheetml/2006/main">
  <authors>
    <author>Cor. Graveland</author>
    <author>Graveland, C. (Cor)</author>
  </authors>
  <commentList>
    <comment ref="B1" authorId="0" shapeId="0">
      <text>
        <r>
          <rPr>
            <b/>
            <sz val="12"/>
            <color indexed="81"/>
            <rFont val="Tahoma"/>
            <family val="2"/>
          </rPr>
          <t>Cor. Graveland:</t>
        </r>
        <r>
          <rPr>
            <sz val="12"/>
            <color indexed="81"/>
            <rFont val="Tahoma"/>
            <family val="2"/>
          </rPr>
          <t xml:space="preserve">
From: 
R_GDP National Accounts 2016 
</t>
        </r>
      </text>
    </comment>
    <comment ref="AO71" authorId="1" shapeId="0">
      <text>
        <r>
          <rPr>
            <b/>
            <sz val="11"/>
            <color indexed="81"/>
            <rFont val="Tahoma"/>
            <family val="2"/>
          </rPr>
          <t>Graveland, C. (Cor):</t>
        </r>
        <r>
          <rPr>
            <sz val="11"/>
            <color indexed="81"/>
            <rFont val="Tahoma"/>
            <family val="2"/>
          </rPr>
          <t xml:space="preserve">
Combi:  R, S &amp; T  !! 
</t>
        </r>
      </text>
    </comment>
    <comment ref="AO88" authorId="1" shapeId="0">
      <text>
        <r>
          <rPr>
            <b/>
            <sz val="11"/>
            <color indexed="81"/>
            <rFont val="Tahoma"/>
            <family val="2"/>
          </rPr>
          <t>Graveland, C. (Cor):</t>
        </r>
        <r>
          <rPr>
            <sz val="11"/>
            <color indexed="81"/>
            <rFont val="Tahoma"/>
            <family val="2"/>
          </rPr>
          <t xml:space="preserve">
Combi:  R, S &amp; T  !! 
</t>
        </r>
      </text>
    </comment>
    <comment ref="AO105" authorId="1" shapeId="0">
      <text>
        <r>
          <rPr>
            <b/>
            <sz val="11"/>
            <color indexed="81"/>
            <rFont val="Tahoma"/>
            <family val="2"/>
          </rPr>
          <t>Graveland, C. (Cor):</t>
        </r>
        <r>
          <rPr>
            <sz val="11"/>
            <color indexed="81"/>
            <rFont val="Tahoma"/>
            <family val="2"/>
          </rPr>
          <t xml:space="preserve">
Combi:  R, S &amp; T  !! 
</t>
        </r>
      </text>
    </comment>
    <comment ref="AO122" authorId="1" shapeId="0">
      <text>
        <r>
          <rPr>
            <b/>
            <sz val="11"/>
            <color indexed="81"/>
            <rFont val="Tahoma"/>
            <family val="2"/>
          </rPr>
          <t>Graveland, C. (Cor):</t>
        </r>
        <r>
          <rPr>
            <sz val="11"/>
            <color indexed="81"/>
            <rFont val="Tahoma"/>
            <family val="2"/>
          </rPr>
          <t xml:space="preserve">
Combi:  R, S &amp; T  !! 
</t>
        </r>
      </text>
    </comment>
  </commentList>
</comments>
</file>

<file path=xl/comments29.xml><?xml version="1.0" encoding="utf-8"?>
<comments xmlns="http://schemas.openxmlformats.org/spreadsheetml/2006/main">
  <authors>
    <author>Cor. Graveland</author>
    <author>Graveland, C. (Cor)</author>
  </authors>
  <commentList>
    <comment ref="B1" authorId="0" shapeId="0">
      <text>
        <r>
          <rPr>
            <b/>
            <sz val="12"/>
            <color indexed="81"/>
            <rFont val="Tahoma"/>
            <family val="2"/>
          </rPr>
          <t>Cor. Graveland:</t>
        </r>
        <r>
          <rPr>
            <sz val="12"/>
            <color indexed="81"/>
            <rFont val="Tahoma"/>
            <family val="2"/>
          </rPr>
          <t xml:space="preserve">
From: 
R_GDP National Accounts 2016 
</t>
        </r>
      </text>
    </comment>
    <comment ref="F1" authorId="1" shapeId="0">
      <text>
        <r>
          <rPr>
            <b/>
            <sz val="11"/>
            <color indexed="81"/>
            <rFont val="Tahoma"/>
            <family val="2"/>
          </rPr>
          <t>Graveland, C. (Cor):</t>
        </r>
        <r>
          <rPr>
            <sz val="11"/>
            <color indexed="81"/>
            <rFont val="Tahoma"/>
            <family val="2"/>
          </rPr>
          <t xml:space="preserve">
Some hidden cells (columns) from here ! 
</t>
        </r>
      </text>
    </comment>
    <comment ref="W63" authorId="1" shapeId="0">
      <text>
        <r>
          <rPr>
            <b/>
            <sz val="12"/>
            <color indexed="81"/>
            <rFont val="Tahoma"/>
            <family val="2"/>
          </rPr>
          <t>Graveland, C. (Cor):</t>
        </r>
        <r>
          <rPr>
            <sz val="12"/>
            <color indexed="81"/>
            <rFont val="Tahoma"/>
            <family val="2"/>
          </rPr>
          <t xml:space="preserve">
In the PSUT tables for all 4 years, this requires update. 
Thanks! </t>
        </r>
      </text>
    </comment>
    <comment ref="AO71" authorId="1" shapeId="0">
      <text>
        <r>
          <rPr>
            <b/>
            <sz val="11"/>
            <color indexed="81"/>
            <rFont val="Tahoma"/>
            <family val="2"/>
          </rPr>
          <t>Graveland, C. (Cor):</t>
        </r>
        <r>
          <rPr>
            <sz val="11"/>
            <color indexed="81"/>
            <rFont val="Tahoma"/>
            <family val="2"/>
          </rPr>
          <t xml:space="preserve">
Combi:  R, S &amp; T  !! 
</t>
        </r>
      </text>
    </comment>
    <comment ref="W85" authorId="1" shapeId="0">
      <text>
        <r>
          <rPr>
            <b/>
            <sz val="12"/>
            <color indexed="81"/>
            <rFont val="Tahoma"/>
            <family val="2"/>
          </rPr>
          <t>Graveland, C. (Cor):</t>
        </r>
        <r>
          <rPr>
            <sz val="12"/>
            <color indexed="81"/>
            <rFont val="Tahoma"/>
            <family val="2"/>
          </rPr>
          <t xml:space="preserve">
In the PSUT tables for all 4 years, this requires update. 
Thanks! </t>
        </r>
      </text>
    </comment>
    <comment ref="AO88" authorId="1" shapeId="0">
      <text>
        <r>
          <rPr>
            <b/>
            <sz val="11"/>
            <color indexed="81"/>
            <rFont val="Tahoma"/>
            <family val="2"/>
          </rPr>
          <t>Graveland, C. (Cor):</t>
        </r>
        <r>
          <rPr>
            <sz val="11"/>
            <color indexed="81"/>
            <rFont val="Tahoma"/>
            <family val="2"/>
          </rPr>
          <t xml:space="preserve">
Combi:  R, S &amp; T  !! 
</t>
        </r>
      </text>
    </comment>
    <comment ref="AO105" authorId="1" shapeId="0">
      <text>
        <r>
          <rPr>
            <b/>
            <sz val="11"/>
            <color indexed="81"/>
            <rFont val="Tahoma"/>
            <family val="2"/>
          </rPr>
          <t>Graveland, C. (Cor):</t>
        </r>
        <r>
          <rPr>
            <sz val="11"/>
            <color indexed="81"/>
            <rFont val="Tahoma"/>
            <family val="2"/>
          </rPr>
          <t xml:space="preserve">
Combi:  R, S &amp; T  !! 
</t>
        </r>
      </text>
    </comment>
    <comment ref="AO122" authorId="1" shapeId="0">
      <text>
        <r>
          <rPr>
            <b/>
            <sz val="11"/>
            <color indexed="81"/>
            <rFont val="Tahoma"/>
            <family val="2"/>
          </rPr>
          <t>Graveland, C. (Cor):</t>
        </r>
        <r>
          <rPr>
            <sz val="11"/>
            <color indexed="81"/>
            <rFont val="Tahoma"/>
            <family val="2"/>
          </rPr>
          <t xml:space="preserve">
Combi:  R, S &amp; T  !! 
</t>
        </r>
      </text>
    </comment>
  </commentList>
</comments>
</file>

<file path=xl/comments30.xml><?xml version="1.0" encoding="utf-8"?>
<comments xmlns="http://schemas.openxmlformats.org/spreadsheetml/2006/main">
  <authors>
    <author>Cor. Graveland</author>
  </authors>
  <commentList>
    <comment ref="B1" authorId="0" shapeId="0">
      <text>
        <r>
          <rPr>
            <b/>
            <sz val="12"/>
            <color indexed="81"/>
            <rFont val="Tahoma"/>
            <family val="2"/>
          </rPr>
          <t xml:space="preserve">NCA - Rwanda: </t>
        </r>
        <r>
          <rPr>
            <sz val="12"/>
            <color indexed="81"/>
            <rFont val="Tahoma"/>
            <family val="2"/>
          </rPr>
          <t xml:space="preserve">
From: 
R_GDP National Accounts 2016 
</t>
        </r>
      </text>
    </comment>
  </commentList>
</comments>
</file>

<file path=xl/comments31.xml><?xml version="1.0" encoding="utf-8"?>
<comments xmlns="http://schemas.openxmlformats.org/spreadsheetml/2006/main">
  <authors>
    <author>Cor. Graveland</author>
  </authors>
  <commentList>
    <comment ref="B1" authorId="0" shapeId="0">
      <text>
        <r>
          <rPr>
            <b/>
            <sz val="11"/>
            <color indexed="81"/>
            <rFont val="Tahoma"/>
            <family val="2"/>
          </rPr>
          <t>Cor. Graveland:</t>
        </r>
        <r>
          <rPr>
            <sz val="11"/>
            <color indexed="81"/>
            <rFont val="Tahoma"/>
            <family val="2"/>
          </rPr>
          <t xml:space="preserve">
</t>
        </r>
        <r>
          <rPr>
            <b/>
            <sz val="11"/>
            <color indexed="81"/>
            <rFont val="Tahoma"/>
            <family val="2"/>
          </rPr>
          <t>From:</t>
        </r>
        <r>
          <rPr>
            <sz val="11"/>
            <color indexed="81"/>
            <rFont val="Tahoma"/>
            <family val="2"/>
          </rPr>
          <t xml:space="preserve"> 
File:  R_GDP National Accounts 2016 
Worksheet: CYGDP KP 
Transposed this worksheet here. </t>
        </r>
      </text>
    </comment>
  </commentList>
</comments>
</file>

<file path=xl/comments32.xml><?xml version="1.0" encoding="utf-8"?>
<comments xmlns="http://schemas.openxmlformats.org/spreadsheetml/2006/main">
  <authors>
    <author>Graveland, C. (Cor)</author>
  </authors>
  <commentList>
    <comment ref="V22" authorId="0" shapeId="0">
      <text>
        <r>
          <rPr>
            <b/>
            <sz val="11"/>
            <color indexed="81"/>
            <rFont val="Tahoma"/>
            <family val="2"/>
          </rPr>
          <t>Graveland, C. (Cor):</t>
        </r>
        <r>
          <rPr>
            <sz val="11"/>
            <color indexed="81"/>
            <rFont val="Tahoma"/>
            <family val="2"/>
          </rPr>
          <t xml:space="preserve">
Combi:  R, S &amp; T  !! 
</t>
        </r>
      </text>
    </comment>
  </commentList>
</comments>
</file>

<file path=xl/comments33.xml><?xml version="1.0" encoding="utf-8"?>
<comments xmlns="http://schemas.openxmlformats.org/spreadsheetml/2006/main">
  <authors>
    <author>Cor. Graveland</author>
  </authors>
  <commentList>
    <comment ref="G1" authorId="0" shapeId="0">
      <text>
        <r>
          <rPr>
            <b/>
            <sz val="9"/>
            <color indexed="81"/>
            <rFont val="Tahoma"/>
            <family val="2"/>
          </rPr>
          <t>NCA-Rwanda:</t>
        </r>
        <r>
          <rPr>
            <sz val="9"/>
            <color indexed="81"/>
            <rFont val="Tahoma"/>
            <family val="2"/>
          </rPr>
          <t xml:space="preserve">
</t>
        </r>
        <r>
          <rPr>
            <b/>
            <sz val="9"/>
            <color indexed="81"/>
            <rFont val="Tahoma"/>
            <family val="2"/>
          </rPr>
          <t>From:</t>
        </r>
        <r>
          <rPr>
            <sz val="9"/>
            <color indexed="81"/>
            <rFont val="Tahoma"/>
            <family val="2"/>
          </rPr>
          <t xml:space="preserve"> 
NISR: 
'Labour_Force_Statistical_Tables_2016__I'
</t>
        </r>
      </text>
    </comment>
  </commentList>
</comments>
</file>

<file path=xl/comments34.xml><?xml version="1.0" encoding="utf-8"?>
<comments xmlns="http://schemas.openxmlformats.org/spreadsheetml/2006/main">
  <authors>
    <author>Cor. Graveland</author>
  </authors>
  <commentList>
    <comment ref="E1" authorId="0" shapeId="0">
      <text>
        <r>
          <rPr>
            <b/>
            <sz val="9"/>
            <color indexed="81"/>
            <rFont val="Tahoma"/>
            <family val="2"/>
          </rPr>
          <t>NCA-Rwanda:</t>
        </r>
        <r>
          <rPr>
            <sz val="9"/>
            <color indexed="81"/>
            <rFont val="Tahoma"/>
            <family val="2"/>
          </rPr>
          <t xml:space="preserve">
</t>
        </r>
        <r>
          <rPr>
            <b/>
            <sz val="9"/>
            <color indexed="81"/>
            <rFont val="Tahoma"/>
            <family val="2"/>
          </rPr>
          <t>From:</t>
        </r>
        <r>
          <rPr>
            <sz val="9"/>
            <color indexed="81"/>
            <rFont val="Tahoma"/>
            <family val="2"/>
          </rPr>
          <t xml:space="preserve"> 
NISR: 
'Labour_Force_Statistical_Tables_2016__I'
</t>
        </r>
      </text>
    </comment>
  </commentList>
</comments>
</file>

<file path=xl/comments35.xml><?xml version="1.0" encoding="utf-8"?>
<comments xmlns="http://schemas.openxmlformats.org/spreadsheetml/2006/main">
  <authors>
    <author>Graveland, C. (Cor)</author>
  </authors>
  <commentList>
    <comment ref="H3" authorId="0" shapeId="0">
      <text>
        <r>
          <rPr>
            <b/>
            <sz val="9"/>
            <color indexed="81"/>
            <rFont val="Tahoma"/>
            <family val="2"/>
          </rPr>
          <t>Graveland, C. (Cor):</t>
        </r>
        <r>
          <rPr>
            <sz val="9"/>
            <color indexed="81"/>
            <rFont val="Tahoma"/>
            <family val="2"/>
          </rPr>
          <t xml:space="preserve">
Are these more detailed figures possibly known from NISR ? 
Either from: 
  1. National Accounts - compilation 
  2. IBES </t>
        </r>
      </text>
    </comment>
  </commentList>
</comments>
</file>

<file path=xl/sharedStrings.xml><?xml version="1.0" encoding="utf-8"?>
<sst xmlns="http://schemas.openxmlformats.org/spreadsheetml/2006/main" count="8357" uniqueCount="1779">
  <si>
    <t>I. Accommodation and food service activities</t>
  </si>
  <si>
    <t>P. Education</t>
  </si>
  <si>
    <t>U. Activities of extraterritorial organizations and bodies</t>
  </si>
  <si>
    <t>Total</t>
  </si>
  <si>
    <t>From the environment</t>
  </si>
  <si>
    <t>Within the economy</t>
  </si>
  <si>
    <t xml:space="preserve">A. Agriculture, forestry and fishing </t>
  </si>
  <si>
    <t xml:space="preserve">B. Mining and Quarrying </t>
  </si>
  <si>
    <t>C. Manufacturing</t>
  </si>
  <si>
    <t>D. Electricity, gas, steam and air conditioning supply</t>
  </si>
  <si>
    <t xml:space="preserve">Q. Human health and social work activities </t>
  </si>
  <si>
    <t>SEEAW Standard Table I: Physical use table</t>
  </si>
  <si>
    <t>Industries (by ISIC categories)</t>
  </si>
  <si>
    <t>Rest of the world</t>
  </si>
  <si>
    <t xml:space="preserve">Total </t>
  </si>
  <si>
    <t>1-3</t>
  </si>
  <si>
    <t>6-8</t>
  </si>
  <si>
    <t>10-13. 22, 32</t>
  </si>
  <si>
    <t>36-38</t>
  </si>
  <si>
    <t>55-56</t>
  </si>
  <si>
    <t>64-66, 71-72, 75</t>
  </si>
  <si>
    <t>86, 88</t>
  </si>
  <si>
    <t>94, 96</t>
  </si>
  <si>
    <t>1.a Abstraction for own use</t>
  </si>
  <si>
    <t>1.b Abstraction for distribution</t>
  </si>
  <si>
    <t>1.i From water resources:</t>
  </si>
  <si>
    <t>1.i.1 Surface water</t>
  </si>
  <si>
    <t xml:space="preserve">   1.i.1.a Lakes</t>
  </si>
  <si>
    <t xml:space="preserve">   1.i.1.b Rivers</t>
  </si>
  <si>
    <t xml:space="preserve">   1.i.1.c Reservoirs (Dams, ponds, ..)</t>
  </si>
  <si>
    <t xml:space="preserve">   1.i.1.d Combined River &amp; Reservoirs (Dams, ponds, ..)</t>
  </si>
  <si>
    <t>1.i.2 Groundwater</t>
  </si>
  <si>
    <t>1.i.3 Soil water (green water)</t>
  </si>
  <si>
    <t xml:space="preserve">1.ii From other sources </t>
  </si>
  <si>
    <t>1.ii.1 Collection of precipitation (rainwater harvesting; ..)</t>
  </si>
  <si>
    <t>1.ii.2 Abstraction from the sea</t>
  </si>
  <si>
    <t>2. Use of water received from other economic units</t>
  </si>
  <si>
    <t>Note: grey cells indicate zero entries by definition.</t>
  </si>
  <si>
    <t>SEEAW Standard Table II: Physical supply table</t>
  </si>
  <si>
    <t>4. Supply of water to other economic units</t>
  </si>
  <si>
    <t xml:space="preserve">                4.a Reused water</t>
  </si>
  <si>
    <t xml:space="preserve">                4.b Wastewater to sewerage</t>
  </si>
  <si>
    <t>To the environment</t>
  </si>
  <si>
    <t>5.a To water resources</t>
  </si>
  <si>
    <t>5.a.1 Surface water</t>
  </si>
  <si>
    <t>5.a.2 Groundwater</t>
  </si>
  <si>
    <t>5.a.3 Soil water</t>
  </si>
  <si>
    <t>5.b To other sources (e.g. sea water)</t>
  </si>
  <si>
    <t>Precipitation</t>
  </si>
  <si>
    <t xml:space="preserve">Surface water </t>
  </si>
  <si>
    <t>Soil water</t>
  </si>
  <si>
    <t>Groundwater</t>
  </si>
  <si>
    <t>Lakes</t>
  </si>
  <si>
    <t>Artificial reservoirs</t>
  </si>
  <si>
    <t>Opening stock water resources</t>
  </si>
  <si>
    <t>Additions to stock</t>
  </si>
  <si>
    <t>Returns of water</t>
  </si>
  <si>
    <t>Inflows from other territories</t>
  </si>
  <si>
    <t>Inflows from other inland water resources</t>
  </si>
  <si>
    <t>Total additions to stock</t>
  </si>
  <si>
    <t>Reductions in stock</t>
  </si>
  <si>
    <t>Abstraction of water</t>
  </si>
  <si>
    <t>Evaporation and transpiration</t>
  </si>
  <si>
    <t>Total reductions in stock</t>
  </si>
  <si>
    <t>Closing stock water resources</t>
  </si>
  <si>
    <t>Outflows to other territories</t>
  </si>
  <si>
    <t>Outflow to the sea</t>
  </si>
  <si>
    <t>Outflow to other inland water resources</t>
  </si>
  <si>
    <t>Rivers and streams</t>
  </si>
  <si>
    <t>Units in Million Cubic Meters</t>
  </si>
  <si>
    <t>Internal Renewable water resources</t>
  </si>
  <si>
    <t>Total Renewable water resources</t>
  </si>
  <si>
    <t xml:space="preserve">Balancing item: </t>
  </si>
  <si>
    <t>No</t>
  </si>
  <si>
    <t>Opening Stock</t>
  </si>
  <si>
    <t>Volume in Million M3</t>
  </si>
  <si>
    <t>Explanations / Assumptions</t>
  </si>
  <si>
    <t>Asset Account</t>
  </si>
  <si>
    <t>Additions to Stock</t>
  </si>
  <si>
    <t>Reductions to Stock</t>
  </si>
  <si>
    <t>Opening Stock_Surface water _Lakes</t>
  </si>
  <si>
    <t>Opening Stock_Surface water _Rivers and streams</t>
  </si>
  <si>
    <t>Opening Stock_Surface water _Artificial reservoirs</t>
  </si>
  <si>
    <t>Opening Stock_Soil water</t>
  </si>
  <si>
    <t>Opening Stock_Groundwater</t>
  </si>
  <si>
    <t>Returns_Surface water _Lakes</t>
  </si>
  <si>
    <t>Returns_Surface water _Rivers and streams</t>
  </si>
  <si>
    <t>Returns_Surface water _Artificial reservoirs</t>
  </si>
  <si>
    <t>Returns_Soil water</t>
  </si>
  <si>
    <t>Returns_Groundwater</t>
  </si>
  <si>
    <t>Precipitation_Surface water _Lakes</t>
  </si>
  <si>
    <t>Precipitation_Surface water _Rivers and streams</t>
  </si>
  <si>
    <t>Precipitation_Surface water _Artificial reservoirs</t>
  </si>
  <si>
    <t>Precipitation_Soil water</t>
  </si>
  <si>
    <t>Precipitation_Groundwater</t>
  </si>
  <si>
    <t>Inflows from other territories_Surface water _Lakes</t>
  </si>
  <si>
    <t>Inflows from other territories_Surface water _Rivers and streams</t>
  </si>
  <si>
    <t>Inflows from other territories_Surface water _Artificial reservoirs</t>
  </si>
  <si>
    <t>Inflows from other territories_Soil water</t>
  </si>
  <si>
    <t>Inflows from other territories_Groundwater</t>
  </si>
  <si>
    <t>Inflows from other inland water resources_Surface water _Rivers and streams</t>
  </si>
  <si>
    <t>Inflows from other inland water resources_Surface water _Artificial reservoirs</t>
  </si>
  <si>
    <t>Inflows from other inland water resources_Soil water</t>
  </si>
  <si>
    <t>Inflows from other inland water resources_Groundwater</t>
  </si>
  <si>
    <t>Abstraction of water_Surface water _Lakes</t>
  </si>
  <si>
    <t>Abstraction of water_Surface water _Rivers and streams</t>
  </si>
  <si>
    <t>Abstraction of water_Surface water _Artificial reservoirs</t>
  </si>
  <si>
    <t>Abstraction of water_Soil water</t>
  </si>
  <si>
    <t>Abstraction of water_Groundwater</t>
  </si>
  <si>
    <t>Evaporation and transpiration_Surface water _Lakes</t>
  </si>
  <si>
    <t>Evaporation and transpiration_Surface water _Rivers and streams</t>
  </si>
  <si>
    <t>Evaporation and transpiration_Surface water _Artificial reservoirs</t>
  </si>
  <si>
    <t>Evaporation and transpiration_Groundwater</t>
  </si>
  <si>
    <t>Outflows to other territories_Surface water _Lakes</t>
  </si>
  <si>
    <t>Outflows to other territories_Surface water _Rivers and streams</t>
  </si>
  <si>
    <t>Outflows to other territories_Surface water _Artificial reservoirs</t>
  </si>
  <si>
    <t>Outflows to other territories_Soil water</t>
  </si>
  <si>
    <t>Outflows to other territories_Groundwater</t>
  </si>
  <si>
    <t>Outflow to the sea_Surface water _Lakes</t>
  </si>
  <si>
    <t>Outflow to the sea_Surface water _Rivers and streams</t>
  </si>
  <si>
    <t>Outflow to the sea_Surface water _Artificial reservoirs</t>
  </si>
  <si>
    <t>Outflow to the sea_Soil water</t>
  </si>
  <si>
    <t>Outflow to the sea_Groundwater</t>
  </si>
  <si>
    <t>Outflow to other inland water resources_Surface water _Lakes</t>
  </si>
  <si>
    <t>Outflow to other inland water resources_Surface water _Rivers and streams</t>
  </si>
  <si>
    <t>Outflow to other inland water resources_Surface water _Artificial reservoirs</t>
  </si>
  <si>
    <t>Outflow to other inland water resources_Soil water</t>
  </si>
  <si>
    <t>Outflow to other inland water resources_Groundwater</t>
  </si>
  <si>
    <t>Closing Stock_Surface water _Lakes</t>
  </si>
  <si>
    <t>Closing Stock_Surface water _Rivers and streams</t>
  </si>
  <si>
    <t>Closing Stock_Surface water _Artificial reservoirs</t>
  </si>
  <si>
    <t>Closing Stock_Soil water</t>
  </si>
  <si>
    <t>Closing Stock_Groundwater</t>
  </si>
  <si>
    <t>Description</t>
  </si>
  <si>
    <t xml:space="preserve">Source / Institution </t>
  </si>
  <si>
    <t>Period of collected Data</t>
  </si>
  <si>
    <t>Closing Stock</t>
  </si>
  <si>
    <t>E. Water supply (WASAC &amp; AquaVirunga)</t>
  </si>
  <si>
    <t>K. Banking and insurance activities</t>
  </si>
  <si>
    <t>S. Other service activities (Religious &amp; Burial)</t>
  </si>
  <si>
    <r>
      <t xml:space="preserve">1 - Total abstraction </t>
    </r>
    <r>
      <rPr>
        <sz val="6"/>
        <rFont val="Times New Roman"/>
        <family val="1"/>
      </rPr>
      <t>(=1.a+1.b =</t>
    </r>
    <r>
      <rPr>
        <i/>
        <sz val="6"/>
        <rFont val="Times New Roman"/>
        <family val="1"/>
      </rPr>
      <t xml:space="preserve"> </t>
    </r>
    <r>
      <rPr>
        <sz val="6"/>
        <rFont val="Times New Roman"/>
        <family val="1"/>
      </rPr>
      <t>1.i+1.ii)</t>
    </r>
  </si>
  <si>
    <r>
      <t xml:space="preserve">1 - Total abstraction </t>
    </r>
    <r>
      <rPr>
        <sz val="6"/>
        <rFont val="Times New Roman"/>
        <family val="1"/>
      </rPr>
      <t>(1.i+1.ii)</t>
    </r>
  </si>
  <si>
    <r>
      <t xml:space="preserve">3. </t>
    </r>
    <r>
      <rPr>
        <b/>
        <sz val="6"/>
        <rFont val="Times New Roman"/>
        <family val="1"/>
      </rPr>
      <t xml:space="preserve">Total use of water </t>
    </r>
    <r>
      <rPr>
        <sz val="6"/>
        <rFont val="Times New Roman"/>
        <family val="1"/>
      </rPr>
      <t>(=1+2)</t>
    </r>
  </si>
  <si>
    <t>Note: The cels contain a formular, are not fillled (exception possible).</t>
  </si>
  <si>
    <t>Note: Where we have zero do not mean zero, just we did not get data but maybe should be available in different agencies except sea water.</t>
  </si>
  <si>
    <t>1 - Total abstraction (=1.a+1.b = 1.i+1.ii)</t>
  </si>
  <si>
    <t>1 - Total abstraction (1.i+1.ii)</t>
  </si>
  <si>
    <t>ISIC Code</t>
  </si>
  <si>
    <t xml:space="preserve">A. Agriculture, forestry and fishing                           </t>
  </si>
  <si>
    <t xml:space="preserve">B. Mining and Quarrying              </t>
  </si>
  <si>
    <t xml:space="preserve">C. Manufacturing                </t>
  </si>
  <si>
    <t xml:space="preserve">D. Electricity, gas, steam and air conditioning supply            </t>
  </si>
  <si>
    <t xml:space="preserve">E. Water supply (WASAC &amp; AquaVirunga)                   </t>
  </si>
  <si>
    <t xml:space="preserve">I. Accommodation and food service activities             </t>
  </si>
  <si>
    <t xml:space="preserve">K. Banking and insurance activities                   </t>
  </si>
  <si>
    <t xml:space="preserve">P. Education             </t>
  </si>
  <si>
    <t xml:space="preserve">Q. Human health and social work activities                      </t>
  </si>
  <si>
    <t xml:space="preserve">S. Other service activities (Religious &amp; Burial)              </t>
  </si>
  <si>
    <t xml:space="preserve">98 Households            </t>
  </si>
  <si>
    <t xml:space="preserve">U. Activities of extraterritorial organizations and bodies                 </t>
  </si>
  <si>
    <t>10-13;   22, 32</t>
  </si>
  <si>
    <t>5. Total returns (= 5.a+5.b)</t>
  </si>
  <si>
    <r>
      <t xml:space="preserve">5. Total returns </t>
    </r>
    <r>
      <rPr>
        <sz val="6"/>
        <rFont val="Times New Roman"/>
        <family val="1"/>
      </rPr>
      <t>(= 5.a+5.b)</t>
    </r>
  </si>
  <si>
    <r>
      <t xml:space="preserve">6. Total supply of water </t>
    </r>
    <r>
      <rPr>
        <sz val="6"/>
        <rFont val="Times New Roman"/>
        <family val="1"/>
      </rPr>
      <t>(= 4+5)</t>
    </r>
  </si>
  <si>
    <r>
      <t>7. Consumption</t>
    </r>
    <r>
      <rPr>
        <sz val="6"/>
        <rFont val="Times New Roman"/>
        <family val="1"/>
      </rPr>
      <t xml:space="preserve"> (3-6)</t>
    </r>
  </si>
  <si>
    <t xml:space="preserve">Calculated based on Land use change matrix and considering ET and Rainfall of 2012 as collected from Rwanda Meteo                                                                                                             Soil Water &amp; Ground Water assessment: 
Combine the land area with for each region (or catchment) relevant soil characteristics 
Relevant soil characteristics: 
 - Soil depth (average &amp; distribution) over the country 
   - At what depth start the impermeable layer deep subsoil (with no or hardly groundwater flows)? 
   - Soil depth, relative to the surface / ground level 
   - Option: visualise a representative cross-section over the country 
 - porevolume of this soil layer over the country (differences depending on type of soil and region?) 
 - Distribute porevolumes over groundwater (saturated) and soil water (unsaturated), relate to regions / catchments 
 - Distribution of porevolumes over groundwater vs soil water may (will) depend on soil moisture, eventually relate to soil moisture date for regions / catchments (?) </t>
  </si>
  <si>
    <t>We considered here water harvested</t>
  </si>
  <si>
    <t>from green water</t>
  </si>
  <si>
    <t>RNRA</t>
  </si>
  <si>
    <t>Land accounts, RNRA</t>
  </si>
  <si>
    <t>807m3 from Master Plan and other from our own survey</t>
  </si>
  <si>
    <t xml:space="preserve">Ground Water Stock calculation (1st of January for opening stock) &amp; For closing stock 31 december of closing stock or simply 1st of January next year. </t>
  </si>
  <si>
    <t>ha</t>
  </si>
  <si>
    <t>Selected area</t>
  </si>
  <si>
    <t>Total area (LAIS 2013 figure, after that has been further improved)</t>
  </si>
  <si>
    <t>Total land area of Rwanda (= total area Rwanda -/- wet surface area of water like lakes, rivers, streams, artificial reservoirs), exclude wetlands. Source: REMA publication 2008 figure &amp; MSc Thesis Dr. Omar &amp; 2014 article …).</t>
  </si>
  <si>
    <t>Total area of Rwanda</t>
  </si>
  <si>
    <t>m2</t>
  </si>
  <si>
    <t>??</t>
  </si>
  <si>
    <t xml:space="preserve">Soil layer (m), consists of unsaturated zone (soil water) and saturated zone (groundwater). Underneath, there is impermeable zone of rock. Check with Innocent: Soil layer and saturation etc. Further treatment of aquifer (confined) … </t>
  </si>
  <si>
    <t>Pore volume (%), discussion on this figure may change this figure slightly.</t>
  </si>
  <si>
    <t>Saturation of the pores with water (%) (i.e. compare with soil moisture (%) from either Rwanda Meteo on this data 1st of January</t>
  </si>
  <si>
    <t>m3</t>
  </si>
  <si>
    <t>10^9 m3</t>
  </si>
  <si>
    <t>10^6 m3</t>
  </si>
  <si>
    <t>Shallow ground water</t>
  </si>
  <si>
    <t xml:space="preserve">Total volume of groundwater for Rwanda. </t>
  </si>
  <si>
    <r>
      <t>Improved physical asset account for water resources Year 2012 in Million m</t>
    </r>
    <r>
      <rPr>
        <b/>
        <vertAlign val="superscript"/>
        <sz val="8"/>
        <color indexed="30"/>
        <rFont val="Calibri Light"/>
        <family val="2"/>
      </rPr>
      <t>3</t>
    </r>
  </si>
  <si>
    <t>Calculated rainfall for year 2012 as collected from Rwanda Meteo</t>
  </si>
  <si>
    <t>Total rainfall volume for yr 2012</t>
  </si>
  <si>
    <t>Billion m3/yr</t>
  </si>
  <si>
    <r>
      <t>Source:</t>
    </r>
    <r>
      <rPr>
        <sz val="11"/>
        <color theme="1"/>
        <rFont val="Calibri"/>
        <family val="2"/>
        <scheme val="minor"/>
      </rPr>
      <t xml:space="preserve"> Land Use Matrix (Land Accounts results)</t>
    </r>
  </si>
  <si>
    <t>Km2</t>
  </si>
  <si>
    <t>Rwanda size</t>
  </si>
  <si>
    <t>Total area of Agriculture sector</t>
  </si>
  <si>
    <t>mm/yr</t>
  </si>
  <si>
    <t>Source: Meteo Rwanda  from 85 rain gauge stations countrywide</t>
  </si>
  <si>
    <t>Evapotranspiration</t>
  </si>
  <si>
    <r>
      <rPr>
        <b/>
        <sz val="8"/>
        <color indexed="8"/>
        <rFont val="Calibri"/>
        <family val="2"/>
      </rPr>
      <t>Source</t>
    </r>
    <r>
      <rPr>
        <sz val="8"/>
        <color indexed="8"/>
        <rFont val="Calibri"/>
        <family val="2"/>
      </rPr>
      <t xml:space="preserve">: NWRMP, 2015 and Meteo Rwanda </t>
    </r>
  </si>
  <si>
    <t>' 000 m3</t>
  </si>
  <si>
    <t>%</t>
  </si>
  <si>
    <t>MCM of ET</t>
  </si>
  <si>
    <t>Agriculture (crop/irrigation)</t>
  </si>
  <si>
    <t>Livestock</t>
  </si>
  <si>
    <t>Forest</t>
  </si>
  <si>
    <t>Fishing</t>
  </si>
  <si>
    <r>
      <rPr>
        <b/>
        <sz val="8"/>
        <color indexed="8"/>
        <rFont val="Calibri"/>
        <family val="2"/>
      </rPr>
      <t>However</t>
    </r>
    <r>
      <rPr>
        <sz val="8"/>
        <color indexed="8"/>
        <rFont val="Calibri"/>
        <family val="2"/>
      </rPr>
      <t>, Soil water for 2012 is</t>
    </r>
  </si>
  <si>
    <t>000'm3</t>
  </si>
  <si>
    <t>Areas (ha) for 2012</t>
  </si>
  <si>
    <t>Actual ET (mm/y)</t>
  </si>
  <si>
    <t>ET per sector</t>
  </si>
  <si>
    <t>Actual ET (m3/y)</t>
  </si>
  <si>
    <t>Actual ET ("000"m3/y)</t>
  </si>
  <si>
    <r>
      <t>Source:</t>
    </r>
    <r>
      <rPr>
        <sz val="11"/>
        <color theme="1"/>
        <rFont val="Calibri"/>
        <family val="2"/>
        <scheme val="minor"/>
      </rPr>
      <t xml:space="preserve"> Land Use Matrix (Land Accounts results) Cfr: Ngabirame Gabriel Land data analyst</t>
    </r>
  </si>
  <si>
    <t>total_parcels</t>
  </si>
  <si>
    <t>size_in_Ha</t>
  </si>
  <si>
    <t>land_use</t>
  </si>
  <si>
    <t>Agriculture</t>
  </si>
  <si>
    <t>Commercial</t>
  </si>
  <si>
    <t>Economic</t>
  </si>
  <si>
    <t>Forestry</t>
  </si>
  <si>
    <t>Industrial</t>
  </si>
  <si>
    <t>Research/Scientific</t>
  </si>
  <si>
    <t>Residential</t>
  </si>
  <si>
    <t>Social and culture</t>
  </si>
  <si>
    <t>Tourism</t>
  </si>
  <si>
    <t xml:space="preserve">Soil Water Stock calculation (1st of January for opening stock) &amp; For closing stock 31 december of closing stock or simply 1st of January next year. </t>
  </si>
  <si>
    <t xml:space="preserve">soil layer (m), consits of unsaturate zone (soil water) and saturated zone (groundwater). Underneath, there is impermeable zone of rock. Check with Innocent: Soil layer and saturation etc. Further treatment of aquifer (confined) … </t>
  </si>
  <si>
    <t>Pore volume (%)</t>
  </si>
  <si>
    <t xml:space="preserve">Combine with actual soil moisture at this data from Rwanda Meteo or MINAGRI &amp; RAB on this data 1st of January </t>
  </si>
  <si>
    <t>Total surface of water bodies</t>
  </si>
  <si>
    <t>According to Land Cover 2015</t>
  </si>
  <si>
    <t>Total area of surface water bodies from Land cover 2015; smaller than area of natural lakes from report water storage per capita!!??</t>
  </si>
  <si>
    <t>Total wetland area from Land cover 2015; probably includes wet buffer zones (swampy) around lakes; ask Eric</t>
  </si>
  <si>
    <t>Total area wet surface water bodies plus wetlands</t>
  </si>
  <si>
    <t>According to Report Water storage per capita</t>
  </si>
  <si>
    <t xml:space="preserve">Area natural lakes. This  surface is already higher then total water body surface from landcover map. Gilbert: there are usually large buffer zones/swampy areas around lakes. Maybe these areas are included.  </t>
  </si>
  <si>
    <t>km</t>
  </si>
  <si>
    <t>Area Rivers: 861 rivers totalling 6462 km in length. Source of length of rivers: http://www.rema.gov.rw/soe/chap7.pdf. Average width??</t>
  </si>
  <si>
    <t>m</t>
  </si>
  <si>
    <t>First estimate of average width of rivers: 10 m: needs to be checked by the team!!</t>
  </si>
  <si>
    <t>Estimated area of rivers</t>
  </si>
  <si>
    <t>Area Artificial reservoirs and dams:  see Water storage per capita final report.pdf__Map2__II.xlsx and report table 6: combine volume and dam height for first estimate of area.</t>
  </si>
  <si>
    <t>Area Ponds, see Water storage per capita final report.pdf__Map2__II.xlsx. Preliminary estimate with average depth of 4 m. Ask Minagri for average depth of ponds</t>
  </si>
  <si>
    <t>Total Area of Ponds and Artificial reservoirs</t>
  </si>
  <si>
    <t>Total area of water bodies</t>
  </si>
  <si>
    <t xml:space="preserve">Total Surface of Rwanda lakes. </t>
  </si>
  <si>
    <t>Source: Report water storage per capita</t>
  </si>
  <si>
    <t xml:space="preserve">Adapted by Cor: see </t>
  </si>
  <si>
    <t>Sum of Eastern valley lakes</t>
  </si>
  <si>
    <t>Burera</t>
  </si>
  <si>
    <t>Ihema</t>
  </si>
  <si>
    <t>Ruhondo</t>
  </si>
  <si>
    <t>Rumira</t>
  </si>
  <si>
    <t>Mirayi</t>
  </si>
  <si>
    <t>Kivu</t>
  </si>
  <si>
    <t>Only the area of Rwanda!</t>
  </si>
  <si>
    <t>Total including DRC is 2700 km2</t>
  </si>
  <si>
    <t>Cyohoha South</t>
  </si>
  <si>
    <t>Only the area of Rwanda? Check!</t>
  </si>
  <si>
    <t>Rweru</t>
  </si>
  <si>
    <t>Total lakes</t>
  </si>
  <si>
    <t>Total Surface of Rivers</t>
  </si>
  <si>
    <t>Table 4: Sampled Lakes Area Volume estimations.</t>
  </si>
  <si>
    <t>?</t>
  </si>
  <si>
    <t>#</t>
  </si>
  <si>
    <t>Type</t>
  </si>
  <si>
    <t>Name</t>
  </si>
  <si>
    <t>Area sq.m</t>
  </si>
  <si>
    <t>Area sq.m (m2)</t>
  </si>
  <si>
    <t>Volume m3</t>
  </si>
  <si>
    <t>Average depth calculated m (check:)</t>
  </si>
  <si>
    <t>Catchment</t>
  </si>
  <si>
    <t>Lake</t>
  </si>
  <si>
    <t>Kishanju</t>
  </si>
  <si>
    <t>2,478,078.25</t>
  </si>
  <si>
    <t>Akagera downstream</t>
  </si>
  <si>
    <t>Muhari</t>
  </si>
  <si>
    <t>3,503,007.37</t>
  </si>
  <si>
    <t>N/A</t>
  </si>
  <si>
    <t>2,779,488.82</t>
  </si>
  <si>
    <t>5,134,202.10</t>
  </si>
  <si>
    <t>2,169,724.01</t>
  </si>
  <si>
    <t>Kivumba</t>
  </si>
  <si>
    <t>11202626.62</t>
  </si>
  <si>
    <t>46,378,874.23</t>
  </si>
  <si>
    <t>Hago</t>
  </si>
  <si>
    <t>17871953.05</t>
  </si>
  <si>
    <t>73,989,885.64</t>
  </si>
  <si>
    <t>Cyambwe</t>
  </si>
  <si>
    <t>22759797.77</t>
  </si>
  <si>
    <t>94,225,562.78</t>
  </si>
  <si>
    <t>Mihindi</t>
  </si>
  <si>
    <t>10476026.54</t>
  </si>
  <si>
    <t>43,370,749.89</t>
  </si>
  <si>
    <t>Gishanda</t>
  </si>
  <si>
    <t>1,211,385.84</t>
  </si>
  <si>
    <t>Rwakibali</t>
  </si>
  <si>
    <t>14,104,610.41</t>
  </si>
  <si>
    <t>8,468,923.89</t>
  </si>
  <si>
    <t>Nasho</t>
  </si>
  <si>
    <t>12723775.17</t>
  </si>
  <si>
    <t>52,676,429.19</t>
  </si>
  <si>
    <t>Rwampanga</t>
  </si>
  <si>
    <t>10142174.6</t>
  </si>
  <si>
    <t>41,988,602.84</t>
  </si>
  <si>
    <t>Rwanyakizinga</t>
  </si>
  <si>
    <t>22617508.52</t>
  </si>
  <si>
    <t>93,636,485.29</t>
  </si>
  <si>
    <t>Kanaga</t>
  </si>
  <si>
    <t>1,803,255.09</t>
  </si>
  <si>
    <t>Mugesera</t>
  </si>
  <si>
    <t>44325011.45</t>
  </si>
  <si>
    <t>183,505,547.40</t>
  </si>
  <si>
    <t>Akagera upstream</t>
  </si>
  <si>
    <t>Gashanga</t>
  </si>
  <si>
    <t>1772827.23</t>
  </si>
  <si>
    <t>7,339,504.73</t>
  </si>
  <si>
    <t>Bilira</t>
  </si>
  <si>
    <t>22,662,176.58</t>
  </si>
  <si>
    <t>Sake</t>
  </si>
  <si>
    <t>67,531,201.29</t>
  </si>
  <si>
    <t>Kilimbi</t>
  </si>
  <si>
    <t>11,147,804.90</t>
  </si>
  <si>
    <t>Nyabugongwe</t>
  </si>
  <si>
    <t>1,337,345.09</t>
  </si>
  <si>
    <t>Nyakabingo</t>
  </si>
  <si>
    <t>559,988.33</t>
  </si>
  <si>
    <t>1,046,346.36</t>
  </si>
  <si>
    <t>Cyohoha Nord</t>
  </si>
  <si>
    <t>7,781,705.32</t>
  </si>
  <si>
    <t>Akanyaru</t>
  </si>
  <si>
    <t>Karago</t>
  </si>
  <si>
    <t>1003163.93</t>
  </si>
  <si>
    <t>4,153,098.67</t>
  </si>
  <si>
    <t>Mukungwa</t>
  </si>
  <si>
    <t>Ntosho</t>
  </si>
  <si>
    <t>974,156.94</t>
  </si>
  <si>
    <t>Bihinga</t>
  </si>
  <si>
    <t>845,963.94</t>
  </si>
  <si>
    <t>Nyirakigugu</t>
  </si>
  <si>
    <t>642,053.32</t>
  </si>
  <si>
    <t>Muhazi</t>
  </si>
  <si>
    <t>35439908.56</t>
  </si>
  <si>
    <t>146,721,221.40</t>
  </si>
  <si>
    <t>Nyabarongo downstream</t>
  </si>
  <si>
    <t>TRANS-BOUNDARY LAKES</t>
  </si>
  <si>
    <t>VOLUMES (M3)</t>
  </si>
  <si>
    <t>247,595,940,457.5577</t>
  </si>
  <si>
    <t>231,590,021.9060439</t>
  </si>
  <si>
    <t>522,297,070.8869806</t>
  </si>
  <si>
    <t>Akagera Upstream</t>
  </si>
  <si>
    <t>Total surface of lakes</t>
  </si>
  <si>
    <t>Eastern valley lakes</t>
  </si>
  <si>
    <t>Only Rwanda part!! Total lake Kivu = 2700 km2</t>
  </si>
  <si>
    <t>TOTAL VOLUME OF NATURAL LAKES</t>
  </si>
  <si>
    <t>Artificial water storages</t>
  </si>
  <si>
    <t>Large ponds (&gt;120 cubic meters)</t>
  </si>
  <si>
    <t xml:space="preserve">District </t>
  </si>
  <si>
    <t xml:space="preserve">Total volume m3 </t>
  </si>
  <si>
    <t xml:space="preserve">Gisagara </t>
  </si>
  <si>
    <t xml:space="preserve">Nyanza </t>
  </si>
  <si>
    <t xml:space="preserve">Muhanga </t>
  </si>
  <si>
    <t xml:space="preserve">Nyamagabe </t>
  </si>
  <si>
    <t xml:space="preserve">Huye </t>
  </si>
  <si>
    <t xml:space="preserve">Kamonyi </t>
  </si>
  <si>
    <t xml:space="preserve">Rutsiro </t>
  </si>
  <si>
    <t xml:space="preserve">Ngororero </t>
  </si>
  <si>
    <t xml:space="preserve">Karongi </t>
  </si>
  <si>
    <t xml:space="preserve">Rulindo </t>
  </si>
  <si>
    <t xml:space="preserve">Gakenke </t>
  </si>
  <si>
    <t xml:space="preserve">Gicumbi </t>
  </si>
  <si>
    <t xml:space="preserve">Kirehe </t>
  </si>
  <si>
    <t xml:space="preserve">Nyagatare </t>
  </si>
  <si>
    <t xml:space="preserve">Kayonza </t>
  </si>
  <si>
    <t xml:space="preserve">Rwamagana </t>
  </si>
  <si>
    <t xml:space="preserve">Gatsibo </t>
  </si>
  <si>
    <t xml:space="preserve">Ngoma </t>
  </si>
  <si>
    <t xml:space="preserve">Gasabo </t>
  </si>
  <si>
    <t xml:space="preserve">Nyarugenge </t>
  </si>
  <si>
    <t>Million m3</t>
  </si>
  <si>
    <t xml:space="preserve">Inflow of water to inland water resources, Rwanda Meteo and considering surface area of agricultural land to GW,but empty following SEEA-W (in first instance all allocated to soilwater) </t>
  </si>
  <si>
    <t xml:space="preserve">Source: NWRMP, 2015 and Meteo Rwanda </t>
  </si>
  <si>
    <t xml:space="preserve">Stocks: </t>
  </si>
  <si>
    <t xml:space="preserve">Internal flow: Precipitation -/- EvapoTranspiration (ET): </t>
  </si>
  <si>
    <t>P</t>
  </si>
  <si>
    <t>ET</t>
  </si>
  <si>
    <t>10^9 * m3</t>
  </si>
  <si>
    <t>2012</t>
  </si>
  <si>
    <t>P -/- ET</t>
  </si>
  <si>
    <t xml:space="preserve">Lake Kivu </t>
  </si>
  <si>
    <t xml:space="preserve">Known: </t>
  </si>
  <si>
    <t>Unknown</t>
  </si>
  <si>
    <t>km2</t>
  </si>
  <si>
    <t>Use total area of all lakes in Rwanda * average Evaporation (ET) value for lakes from FAO WaPOR database data extracted (in Excels Benji).  
For area lakes, use consistent data from calculation of the stocks. 
Old: Master plan shows ET of 2012 yr is 860 mm and rainfall is 1274 mm meaning 67.5% of abstracted water are evaporated</t>
  </si>
  <si>
    <t xml:space="preserve">based on total area rivers in Rwanda times average ET in m. Area calculation: i.e. see calculation for lakes 
ET value take E value from open water bodies (similar to values of lakes) also from FAO WaPOR database. </t>
  </si>
  <si>
    <t xml:space="preserve">Same method as for Rivers and streams. But here use the total surface area of the artificial reservoirs including the ponds. </t>
  </si>
  <si>
    <t xml:space="preserve">  Gisenyi-Sebeya</t>
  </si>
  <si>
    <t xml:space="preserve">  ..</t>
  </si>
  <si>
    <t xml:space="preserve">  .. </t>
  </si>
  <si>
    <t xml:space="preserve">Net Inflow (or net outflow) to Rwanda from other territory via Lake KIVU: </t>
  </si>
  <si>
    <t xml:space="preserve">Outflow via Rwandan rivers draining lake KIVU  (-/-):  </t>
  </si>
  <si>
    <t xml:space="preserve">Inflows from incoming rivers in Rwanda to KIVU (draining to lake KIVU)  (+): </t>
  </si>
  <si>
    <t xml:space="preserve">  Kivu Outlet / Rusizi I</t>
  </si>
  <si>
    <t>Cyarubare</t>
  </si>
  <si>
    <t>Gacaca</t>
  </si>
  <si>
    <t>Kayonza-4</t>
  </si>
  <si>
    <t>Mahama</t>
  </si>
  <si>
    <t>Ntende</t>
  </si>
  <si>
    <t>Ruramira</t>
  </si>
  <si>
    <t>Rurenge</t>
  </si>
  <si>
    <t>Rwagitima-Ntende</t>
  </si>
  <si>
    <t>Rwinkwavu</t>
  </si>
  <si>
    <t>Bugugu</t>
  </si>
  <si>
    <t>Cyinuzi</t>
  </si>
  <si>
    <t>Cyaruhogo</t>
  </si>
  <si>
    <t>Cyimpima</t>
  </si>
  <si>
    <t>Gashara</t>
  </si>
  <si>
    <t>Gitinga</t>
  </si>
  <si>
    <t>Kayonza</t>
  </si>
  <si>
    <t>Ngoma22</t>
  </si>
  <si>
    <t>Nyamugali</t>
  </si>
  <si>
    <t>Rwamagana-34</t>
  </si>
  <si>
    <t>Sagatare</t>
  </si>
  <si>
    <t>Agasasa</t>
  </si>
  <si>
    <t>Cyiri</t>
  </si>
  <si>
    <t>Kiruhura</t>
  </si>
  <si>
    <t>Nyarubogo</t>
  </si>
  <si>
    <t>Rwabikwano</t>
  </si>
  <si>
    <t>Rwasave</t>
  </si>
  <si>
    <t>Shyara/Nyarugenge</t>
  </si>
  <si>
    <t>Kinoni 1</t>
  </si>
  <si>
    <t>Kinoni 2</t>
  </si>
  <si>
    <t>Kiliba</t>
  </si>
  <si>
    <t>Kajevuba</t>
  </si>
  <si>
    <t>Kanyonyomba A</t>
  </si>
  <si>
    <t>Kanyonyomba B</t>
  </si>
  <si>
    <t>Nyabarongo 1</t>
  </si>
  <si>
    <t>Nyanza-23</t>
  </si>
  <si>
    <t>Muyanza</t>
  </si>
  <si>
    <t>Volume in Million M3 (Hardcopy)</t>
  </si>
  <si>
    <t xml:space="preserve">2. Combine surface area of rivers (km2) * Average depth (m). Surface area is known from spatial data like from RCMRD for Rwanda 2010 or 2015 data (RCMRD landcover data). There are 4 categories of rivers. We woud liek to use those for making assessment. For the biggest rivers use the river depth data from the 6 or 10 hydro measuring stations. </t>
  </si>
  <si>
    <t xml:space="preserve">3. Combine length (km) of rivers times some measured average cross-section areas (m2) of rivers done in the country. </t>
  </si>
  <si>
    <t xml:space="preserve">2nd and 3rd method allow to monitor change of the stock over time, showing change 2012 - 2013, etc.  </t>
  </si>
  <si>
    <t xml:space="preserve">1, Discharge of 1 day for Rwanda (Easiest one based upon availability of the data as proposed by Mr. Gilbert). </t>
  </si>
  <si>
    <t xml:space="preserve">Possible Methods:  </t>
  </si>
  <si>
    <t>Average weighed water depth</t>
  </si>
  <si>
    <t>Surface of the water area (possible measurement like form NASA)</t>
  </si>
  <si>
    <t>?????</t>
  </si>
  <si>
    <t>Questionable to use a water flow for estimating a stock</t>
  </si>
  <si>
    <t>1, First start from stocks in rivers from Rwanda Resources Masterplan 2012 (RWRMP2012)</t>
  </si>
  <si>
    <t>MCM</t>
  </si>
  <si>
    <t xml:space="preserve">Stocks:  </t>
  </si>
  <si>
    <t xml:space="preserve">Flows (incoming &amp; outgoing): </t>
  </si>
  <si>
    <t>Data from RNRA as measured at 3 rivers mainly Ruvubu river from Burundi; Muvumba river from Uganda at Kabare; and at Rusumo River from Uganda at Butaro station (Kinyababa river). (Ruvubu river at Rusumo (TO BE CONFIRMED BY IWRM IF INLOW OR NOT..?) from Burundi with 25.7087m3/s; Muvumba river coming from Kabare 16.3806m3/s) Total inflows: 42.089m3/s = 1,327,326,492.03m3/yr in 365days = 1,327.34Million m3/yr</t>
  </si>
  <si>
    <t>25.7087m3/s; Muvumba river coming from Kabare 16.3806m3/s)</t>
  </si>
  <si>
    <t xml:space="preserve">Kinyababa river at Burera data to be added ... and gauging station to be installed to measure and collect the data in future ... </t>
  </si>
  <si>
    <t>Total inflows:</t>
  </si>
  <si>
    <t>m3/s</t>
  </si>
  <si>
    <t xml:space="preserve"> = 1,327,326,492.03m3/yr in 365days = 1,327.34Million m3/yr</t>
  </si>
  <si>
    <t>As abstracted from GW. What about abstraction of groundwater (i.e. springwater)?</t>
  </si>
  <si>
    <t xml:space="preserve">   1.i.2a From Boreholes</t>
  </si>
  <si>
    <t xml:space="preserve">   1.i.2b From Springs</t>
  </si>
  <si>
    <r>
      <t>Improved Water exchanged between the environment and the economy (abstractions) and within the economy (supply within the economy) for year 2012 based on NWRMP in 10</t>
    </r>
    <r>
      <rPr>
        <b/>
        <vertAlign val="superscript"/>
        <sz val="16"/>
        <color indexed="12"/>
        <rFont val="Calibri Light"/>
        <family val="2"/>
      </rPr>
      <t>3</t>
    </r>
    <r>
      <rPr>
        <b/>
        <sz val="16"/>
        <color indexed="12"/>
        <rFont val="Calibri Light"/>
        <family val="2"/>
      </rPr>
      <t xml:space="preserve"> m</t>
    </r>
    <r>
      <rPr>
        <b/>
        <vertAlign val="superscript"/>
        <sz val="16"/>
        <color indexed="12"/>
        <rFont val="Calibri Light"/>
        <family val="2"/>
      </rPr>
      <t>3</t>
    </r>
  </si>
  <si>
    <t>Rwangigo-Karangazi</t>
  </si>
  <si>
    <t>Rugenge, Karembo, Remera</t>
  </si>
  <si>
    <t>Rusuli-Rwamuginga</t>
  </si>
  <si>
    <t>Method / Explanations / Assumptions</t>
  </si>
  <si>
    <t xml:space="preserve">Water Stock calculation (1st of January for opening stock) &amp; For closing stock 31 december of closing stock or simply 1st of January next year. </t>
  </si>
  <si>
    <t>Dams and Valley dams ( From UPDATED Report 2016! )</t>
  </si>
  <si>
    <t xml:space="preserve">FINAL REPOR 2016; COMPANY: Senior Construction Company Ltd.; ASSESSMENT OF WATER STORAGE PER CAPITA IN RWANDA, 2016. </t>
  </si>
  <si>
    <t>Installation date of the Dam ?</t>
  </si>
  <si>
    <t>Total water contained in artificial storage</t>
  </si>
  <si>
    <t>Total artificial water storage CAPACITY</t>
  </si>
  <si>
    <t>New dam for Hydro electric</t>
  </si>
  <si>
    <t>March 2015</t>
  </si>
  <si>
    <t xml:space="preserve">For irrigation </t>
  </si>
  <si>
    <t>New dam for irrigation (under constr.)</t>
  </si>
  <si>
    <t xml:space="preserve">For irrigation &amp; domestic water supply </t>
  </si>
  <si>
    <t>Rugeramigozi - I</t>
  </si>
  <si>
    <t>Rugeramigozi - II</t>
  </si>
  <si>
    <t xml:space="preserve">Total Water Actually stored </t>
  </si>
  <si>
    <t xml:space="preserve">Actual storage 01-01-YEAR, in Share of Storage capacity (ASSUMPTION) </t>
  </si>
  <si>
    <t>Ruhwa river</t>
  </si>
  <si>
    <t>m3/sec</t>
  </si>
  <si>
    <t>Umurindi river at Gatuna</t>
  </si>
  <si>
    <t>Average dicharge 1970-1988:</t>
  </si>
  <si>
    <t>Total Outflows</t>
  </si>
  <si>
    <t>m3/yr</t>
  </si>
  <si>
    <t>days</t>
  </si>
  <si>
    <t>Million m3/yr</t>
  </si>
  <si>
    <t xml:space="preserve">Outflows to other from Rw rivers </t>
  </si>
  <si>
    <t xml:space="preserve">Outflow (m3/sec) </t>
  </si>
  <si>
    <t xml:space="preserve">Outflow (MCM/Year) </t>
  </si>
  <si>
    <t>NO DATA (Recommendation to install Station)</t>
  </si>
  <si>
    <t xml:space="preserve">Rubyiro at Bugarama </t>
  </si>
  <si>
    <t xml:space="preserve">File: water levels and discharges from Alsaad__I </t>
  </si>
  <si>
    <t>TBD either KIVU outlet or at the border with Kamanyola</t>
  </si>
  <si>
    <t>Rusizi river at Kamanyola</t>
  </si>
  <si>
    <t xml:space="preserve">Calculated based on rainfall data collected from Rwanda Meteo and considering surface area of rwanda rivers
Surface area is taken  from landcoverdata 2015 (RCMRD). 
Here to be added the RUNOFF of all catchments for the total area of the country, 92%. 
MINUS a small area surrounding the 'Lakes' 5% and the area surrounding the 'Artificial Reservoirs' 3% (direct RUNOFF). 
Later on this will end up in the lakes and artificial reservoirs. In line 11: 'Inflows from other inland water resources'. </t>
  </si>
  <si>
    <t xml:space="preserve">Inflow to inland water resources, Rwanda Meteo and considering surface area of Artificial Reservoir. 
Also consider the RUNOFF from the area directly connected to the differet lakes (NOT the full catchment). 
Here to be added the RUNOFF for a small area surrounding the 'Artificial Reservoirs' 3% share from all catchments of the country (direct RUNOFF).  
Later the 'artificial reservoirs' will get the water collected by the rivers (similar to the lakes), this to be done In line 11: 'Inflows from other inland water resources' and Line 19 'outflows from other inland water resources'. </t>
  </si>
  <si>
    <t xml:space="preserve">Calculated based on rainfall data collected from Rwanda Meteo and considering surface area of rwanda lakes
Surface area is taken  from landcoverdata 2015 (RCMRD). 
Also consider the RUNOFF from the area directly connected to the differet lakes (NOT the full catchment). 
Here to be added the RUNOFF for a small area surrounding the 'Lakes' 5% share from all catchments of the country (direct RUNOFF).  
Later the 'Lakes' will get the water collected by the rivers (and similar for the artificial reservoirs), this to be done In line 11: 'Inflows from other inland water resources' and Line 19 'outflows from other inland water resources'.  
Eventually For this purpse all "Water Balances" of all lakes?? 
</t>
  </si>
  <si>
    <t xml:space="preserve">WEAP-Model outcome, analaysed by Alsaad  with technical 'Expert judgement'. </t>
  </si>
  <si>
    <t xml:space="preserve">At lake Muhazi, Mugesera, Cyohoha - South, there is abstraction for  water treatment plants. 
Data from RBM&amp;E project data. </t>
  </si>
  <si>
    <t xml:space="preserve">Inflow of water to inland water resources, Rwanda Meteo and considering surface area of agricultural land adding to Soil Water. 
Alternative calculation: Total P minus P on Lakes + Rivers + Reservoirs? But autonomous calculation using area is better. 
Here the precipitation entering the land require redistribution in: 1. INFILTRATION to the land itself and 2. into SURFACE RUNOFF away from the land into waterbodies. Derive a RUNOFF coëfficient. Start from the infiltration rates from the R-NWRMP2012, being different at catchment level. 
In meantime we use the R-NWRMP figure 'Surface water runoff' to reduce the volume of precipitation entering the soil via infiltration. This 'Surface water runoff' will be redistributed over lakes, rivers and artificial reservoirs according the capture (shares depending on their relevance in the catchment) of this RUNOFF. 
From the infiltration, big part goes into ET, the remainder goes into groundwater recharge (or depletion). </t>
  </si>
  <si>
    <t>Consumptive Water demand</t>
  </si>
  <si>
    <t xml:space="preserve">Agriculture </t>
  </si>
  <si>
    <t>Year 2012</t>
  </si>
  <si>
    <t>Rainfall</t>
  </si>
  <si>
    <t>Evaporation loss</t>
  </si>
  <si>
    <t>Surface-water volume storage</t>
  </si>
  <si>
    <t>Groundwater volume storage</t>
  </si>
  <si>
    <t xml:space="preserve">Renewable resource </t>
  </si>
  <si>
    <t>Catch. Area (km2)</t>
  </si>
  <si>
    <t>Population</t>
  </si>
  <si>
    <t>(mm/yr)</t>
  </si>
  <si>
    <t>(MCM)</t>
  </si>
  <si>
    <t>['000 m³]</t>
  </si>
  <si>
    <t>Runoff</t>
  </si>
  <si>
    <t>Renewable water</t>
  </si>
  <si>
    <t>CKIV (Lake Kivu, 2,425 km²)</t>
  </si>
  <si>
    <t>CRUS (Rusizi, 1.005 km²)</t>
  </si>
  <si>
    <t>NNYU (Upper Nyabarongo, 3,348 km²)</t>
  </si>
  <si>
    <t>NMUK (Mukungwa, 1,949 km²)</t>
  </si>
  <si>
    <t>NNYL (Lower Nyabarongo, 3.304 km²)</t>
  </si>
  <si>
    <t>NAKN (Akanyaru, 3,402 km²)</t>
  </si>
  <si>
    <t>NAKU (Upper Akagera, 3.053 km²)</t>
  </si>
  <si>
    <t>NAKL (Lower Akagera, 4.288 km²)</t>
  </si>
  <si>
    <t>NMUV (Muvumba, 1,568 km²)</t>
  </si>
  <si>
    <t>TOTAL FOR RWANDA (000m3/yr)</t>
  </si>
  <si>
    <t>from water storage report</t>
  </si>
  <si>
    <t>Actual P for 2012 as per Meteo</t>
  </si>
  <si>
    <t>m3/ca/yr</t>
  </si>
  <si>
    <t>m3/ca/day</t>
  </si>
  <si>
    <t xml:space="preserve">Renewable % of Prec. </t>
  </si>
  <si>
    <t>l/ca/day</t>
  </si>
  <si>
    <t>Water Available for recharge</t>
  </si>
  <si>
    <t>m3/ha/yr</t>
  </si>
  <si>
    <t>Assets Accounts</t>
  </si>
  <si>
    <t>R-NWRMP: Surface water runoff = 
SEEA-W 'Internal Flow'</t>
  </si>
  <si>
    <t>m/yr</t>
  </si>
  <si>
    <t>Lakes, Rivers and streams, Artificial reservoirs</t>
  </si>
  <si>
    <t>Soil water (Remainder)</t>
  </si>
  <si>
    <t>Of Which: 
To Groundwater recharge</t>
  </si>
  <si>
    <t xml:space="preserve">Of Which: 
To 'Runoff'  </t>
  </si>
  <si>
    <t xml:space="preserve">Of Which: To 'Runoff' </t>
  </si>
  <si>
    <t>Internal Renewable Water Resources (IRWR): Precipitation</t>
  </si>
  <si>
    <t>Internal Renewable Water Resources (IRWR): ET</t>
  </si>
  <si>
    <t>IRWR: Internal Flow: P - ET</t>
  </si>
  <si>
    <t>ERWR: External Inflows from other territories</t>
  </si>
  <si>
    <t>TRWR: Total Renewable Water Resources:</t>
  </si>
  <si>
    <t>Total Water Storage capacity (Design capacity)</t>
  </si>
  <si>
    <t>Total Water Storage capacity (Actual Capacity, due to sedimentation)</t>
  </si>
  <si>
    <t>Total reduction fromm design cap. To actual water stored</t>
  </si>
  <si>
    <t>Difference RATIO to LTAA (20 yrs up to 2000)</t>
  </si>
  <si>
    <t>Of Which: To 'Runoff' Lakes</t>
  </si>
  <si>
    <t>Of Which: To 'Runoff' 'Artificial Reservoirs'</t>
  </si>
  <si>
    <t>Of Which: To 'Runoff' rivers and streams</t>
  </si>
  <si>
    <t>Rusizi river at KIVU Outlet</t>
  </si>
  <si>
    <t>Calculated ET for year 2012 as collected from Rwanda Meteo</t>
  </si>
  <si>
    <t>Av. Depth</t>
  </si>
  <si>
    <t>Content</t>
  </si>
  <si>
    <t xml:space="preserve">Distance between land surface &amp; groundwater table, on average. soil layer (m) unsaturated with water (the layer with soil water), same as above in different terms </t>
  </si>
  <si>
    <t xml:space="preserve">Distance between groundwater table and impermeable rock underneath, on average for country. Soil layer (m) saturated with water (the layer with shallow ground water (not yet deep groundwater)), put in different terms </t>
  </si>
  <si>
    <t xml:space="preserve"> Artificial reservoirs</t>
  </si>
  <si>
    <t xml:space="preserve">  Rivers and streams</t>
  </si>
  <si>
    <t xml:space="preserve">  Lakes</t>
  </si>
  <si>
    <t>P on watersurface itself</t>
  </si>
  <si>
    <t xml:space="preserve"> Kinyababa river at Burera data to be added ... and gauging station to be installed to measure and collect the data in future ... </t>
  </si>
  <si>
    <t xml:space="preserve">Data from RNRA as measured at 3 rivers, mainly: </t>
  </si>
  <si>
    <t>INflows from other territories</t>
  </si>
  <si>
    <t xml:space="preserve">Inflows from other territory coming in (only) via the Rw rivers </t>
  </si>
  <si>
    <t xml:space="preserve">Total inflows: </t>
  </si>
  <si>
    <t xml:space="preserve">m3/s </t>
  </si>
  <si>
    <t>m3/yr (365days)</t>
  </si>
  <si>
    <t xml:space="preserve">Data from the PSUT, linked from the TOTAL column (possibly column V). 
Method: straightforward use the values from the PSUT ! 
OLD: Without information, first 'expert judgement': 30% of surface water are abstracted from lakes and 70% from rivers. 
Better information on these shares is desired. </t>
  </si>
  <si>
    <t>Method: straightforward use the values from the PSUT ! 
Water use in Hydro - Electric is IN-Stream Use ! Don't confuse 'Use' versus 'Consumption'. 
From other study the 'water consumption' as a consequence of the hydro power is considered 5%, leidng to a reduction of 5% lower Return flow from the Hydro Power Stations. 
OLD: 30% of surface water are abstracted from lakes and 70% from rivers</t>
  </si>
  <si>
    <t>Physical units: 1000 m3</t>
  </si>
  <si>
    <t>'000  m3</t>
  </si>
  <si>
    <t>ET on watersurface itself</t>
  </si>
  <si>
    <t>Sum P on water surface itself + Surroundings (m3)</t>
  </si>
  <si>
    <t>Worksheet</t>
  </si>
  <si>
    <t>Notes to the tabels</t>
  </si>
  <si>
    <t xml:space="preserve">Explanation of symbols </t>
  </si>
  <si>
    <t>Empty cell = Figure not applicable</t>
  </si>
  <si>
    <t>. = Figure is unknown, insufficiently reliable or confidential</t>
  </si>
  <si>
    <t>* = Provisional figure</t>
  </si>
  <si>
    <t>** = Revised provisional figure</t>
  </si>
  <si>
    <t>2012–2015 = 2012 to 2015 inclusive</t>
  </si>
  <si>
    <t xml:space="preserve">Question on this publication can be send to XXXX@NISR putting it under reference number Rwanda-NCA_SEEA_Water_Accounts_2018. </t>
  </si>
  <si>
    <t>XXXX@NISR.Rw</t>
  </si>
  <si>
    <t xml:space="preserve">Our e-mailadres is: </t>
  </si>
  <si>
    <t>Water_Asset_Table_Data_&amp;_Method, 2012</t>
  </si>
  <si>
    <t>Water Asset Table, 2012</t>
  </si>
  <si>
    <t xml:space="preserve"> … </t>
  </si>
  <si>
    <t xml:space="preserve">…. </t>
  </si>
  <si>
    <t>Water_PSUT_Table_Data_&amp;_Method, 2012</t>
  </si>
  <si>
    <t xml:space="preserve">  Table 1</t>
  </si>
  <si>
    <t xml:space="preserve">  Table 2</t>
  </si>
  <si>
    <t xml:space="preserve">  Table 3</t>
  </si>
  <si>
    <t xml:space="preserve">  Table 4</t>
  </si>
  <si>
    <t xml:space="preserve">  Table 5</t>
  </si>
  <si>
    <t xml:space="preserve">  Table 6</t>
  </si>
  <si>
    <t xml:space="preserve">  Notes</t>
  </si>
  <si>
    <t>P on Surrounding areas to water surfaces (m3)</t>
  </si>
  <si>
    <t>Sum ET on water surface itself (m3)</t>
  </si>
  <si>
    <t xml:space="preserve">New calculation: 
A. from FAO WaPOR database Actual ET data (both E as T in mm / yr) is extracted and is gridcell based (raster). From the Excels (Benji), these Actual ET values, can be combined with the areas of the gridcells and the results derived for both country wide and at (9*) catchment level. Via an overlay, thsi s even more convenient.  
B. Average Evaporation (ET) value for land area (Rwanda area without the lakes) from FAO WaPOR database data extracted (in Excels Benji). Combine with area of land (eventuall just for agricultural land, grassland and forest). Use consistent area from calculation of the stocks. 
Existing Calculation: 1.Area (m2) * average layer of water of ET (m) = m3; 2.Area (from Landcover maps): of the 1.lakes, vs 2.Rivers&amp;streams vs 3.artificial Reservoirs; 3. Sources used. The REMAINDER can get allocated to SOIL Water. 
Or take Soil Water and/or compare with the ET data in the PSUT (Confront the Data Sources). 
Around 67% of soil water evapotranspirated through different types of crops. </t>
  </si>
  <si>
    <t>IRWR</t>
  </si>
  <si>
    <t>TRWR</t>
  </si>
  <si>
    <t>population in 2012 (NISR, Census 2012)</t>
  </si>
  <si>
    <t>population in mln 2012</t>
  </si>
  <si>
    <t>TWW</t>
  </si>
  <si>
    <t>Water Stress %</t>
  </si>
  <si>
    <t>IRWR (m3) / capita</t>
  </si>
  <si>
    <t>TRWR (m3) / capita</t>
  </si>
  <si>
    <t>F. Construction</t>
  </si>
  <si>
    <t>G. Wholesale and retail trade; repair of motor vehicles and motorcycles</t>
  </si>
  <si>
    <t>H. Transportation and storage</t>
  </si>
  <si>
    <t>J. Information and communication</t>
  </si>
  <si>
    <t>L. Real estate activities</t>
  </si>
  <si>
    <t>M. Professional, scientific and technical activities</t>
  </si>
  <si>
    <t>N. Administrative and support service activities</t>
  </si>
  <si>
    <t>O. Public administration and defence; compulsory social security</t>
  </si>
  <si>
    <t>R. Arts, entertainment and recreation</t>
  </si>
  <si>
    <t>T. Activities of households as employers; undifferentiated goods- and services-producing activities of households for own use</t>
  </si>
  <si>
    <t xml:space="preserve">Volume of 'deep' groundwater in 'confined aquifers'. Start from 2012NWRMP, check how this is assessed and compare with other sources. Like from global assessments of groundwater in aquifers, i.e. from IGRAC: International Groundwater Resources Assessment Centre (at IHE - Delft). </t>
  </si>
  <si>
    <t>Per Capita Abstraction per annum</t>
  </si>
  <si>
    <t>Demand (IWRM):</t>
  </si>
  <si>
    <t xml:space="preserve">SEEA-W "USE": </t>
  </si>
  <si>
    <t>NWRMP2012</t>
  </si>
  <si>
    <t xml:space="preserve">From WEAP Uganda inflow … </t>
  </si>
  <si>
    <t xml:space="preserve">Ruvubu river from Burundi. 
It is a shared river, therfore we take 50% of this Ruvubu river!  </t>
  </si>
  <si>
    <t xml:space="preserve">Akagera river at Rusumo Station, this discharge of Akagera river at Rusumo Station is taken as an estimate for the Akagera Outlet (at Kagitumba). </t>
  </si>
  <si>
    <t xml:space="preserve">At KIVU outlet. 
We take 50% as this is Shared River (50/50 share on water volume) with Congo. 
</t>
  </si>
  <si>
    <t xml:space="preserve">Muvumba River at Kagitumba. </t>
  </si>
  <si>
    <t xml:space="preserve"> Muvumba river from Uganda, data from WEAP model. </t>
  </si>
  <si>
    <t xml:space="preserve">See Calculation in Excel: 'From water levels to Discharge'. 
File: 'Water_Level_to_Discharge_Calc__ RWANDA_RWAFA_2017-09-21__I'. </t>
  </si>
  <si>
    <r>
      <t xml:space="preserve"> Akanyaru river partially from Burundi.  It is river at the border, BUT ends fully in Rwanda. Measuring station is in Rwanda, far from the border. That is why TWG take </t>
    </r>
    <r>
      <rPr>
        <b/>
        <sz val="11"/>
        <color indexed="8"/>
        <rFont val="Calibri"/>
        <family val="2"/>
      </rPr>
      <t>30% of the  Akanyaru river</t>
    </r>
    <r>
      <rPr>
        <sz val="11"/>
        <color theme="1"/>
        <rFont val="Calibri"/>
        <family val="2"/>
        <scheme val="minor"/>
      </rPr>
      <t xml:space="preserve"> as 'Inflow from Burundi'. </t>
    </r>
  </si>
  <si>
    <t xml:space="preserve">Recommendation to install 2 main stations: 
 1.at the Outlet of Akagera at Kagitumba and; 
 2.at point in Akagera River just before Rweru Lake. </t>
  </si>
  <si>
    <t xml:space="preserve">J. Information and communication          </t>
  </si>
  <si>
    <t xml:space="preserve">   1.i.2.a From Boreholes</t>
  </si>
  <si>
    <t xml:space="preserve">   1.i.2.b From Springs</t>
  </si>
  <si>
    <t>Households</t>
  </si>
  <si>
    <t xml:space="preserve">F. Construction        </t>
  </si>
  <si>
    <t xml:space="preserve">G. Wholesale and retail trade; repair of motor vehicles and motorcycles     </t>
  </si>
  <si>
    <t xml:space="preserve">H. Transportation and storage               </t>
  </si>
  <si>
    <t xml:space="preserve">J. Information and communication     </t>
  </si>
  <si>
    <t xml:space="preserve">L. Real estate activities       </t>
  </si>
  <si>
    <t xml:space="preserve">M. Professional, scientific and technical activities               </t>
  </si>
  <si>
    <t xml:space="preserve">O. Public administration and defence; compulsory social security         </t>
  </si>
  <si>
    <t xml:space="preserve">T. Activities of households as employers; undifferentiated goods- and services-producing activities of households for own use     </t>
  </si>
  <si>
    <t>This ROW is about het EXCHANGE of water between the inland water resources (5 categrories) within the year. This Item in Total (5 categories) should balance with 'Outflows to other inland water resources'). 
Has been filled at the country level. 
Will be improved after the information at the catchment (9*) is processed. 
--&gt;&gt; From the flow 'lake to the rivers', and then add to it 'WATER BALANCE', With 1. Discharge + 2. P, 3. -ET, 4. change in water balance, in order to derive inflow to the lake or 'artificial Reservoir'. 
We follow the approach of the 'Water Balance', For inflows from Lakes to Rivers, we have only considered 3 lakes (Kivu, Muhazi and Ruhondo). For lake Muhazi, only 2 discharge measurements have been taken and available, that's why we took their average.</t>
  </si>
  <si>
    <t xml:space="preserve">Data from RNRA as measured at 3 rivers:  mainly Ruvubu river from Burundi; Muvumba river from Uganda; and Kinyababa river from Uganda at Burera. Ruvubu river at Rusumo. 
For Rivers that enter from neighboring countries, BUT enter one of the 'SHARED RIVERS' with one of the neigboring countries Tanzania, Burundi,  these becone shared rivers, and THUS this INFLOW is shared with this neighboring country! Therefor TWG takes 50% of the Inflow from such rivers! This is relevant for Ruvubu River (at Rusumo) at border with Burundi entering the shared river at border. 
Kinyababa river at Burera data to be added ... and gauging station to be installed to measure and collect the data in future ... </t>
  </si>
  <si>
    <t>Rivers</t>
  </si>
  <si>
    <t>Year 2013</t>
  </si>
  <si>
    <t>Year 2014</t>
  </si>
  <si>
    <t>Year 2015</t>
  </si>
  <si>
    <t>Index (2012 = 100)</t>
  </si>
  <si>
    <t>Ratio from TWW in 2012 as per NCA to TWW in 2016 as per Water User survey</t>
  </si>
  <si>
    <t>TWW from Water users study done in 2017 for year 2016</t>
  </si>
  <si>
    <t>1274.2mm/yr</t>
  </si>
  <si>
    <t>26338km2</t>
  </si>
  <si>
    <t>863.8mm/yr</t>
  </si>
  <si>
    <t>ET for 2012</t>
  </si>
  <si>
    <t>1.2742m/yr</t>
  </si>
  <si>
    <t>26338000000m2</t>
  </si>
  <si>
    <t>0.8638m/yr</t>
  </si>
  <si>
    <t xml:space="preserve">Cell E58 and E59 seem to be double counted </t>
  </si>
  <si>
    <t xml:space="preserve"> </t>
  </si>
  <si>
    <t>Surface water produced internally</t>
  </si>
  <si>
    <t>Groundwater produced internally</t>
  </si>
  <si>
    <t>Water Demand in 2012</t>
  </si>
  <si>
    <t>with no consideration of rainfed agriculture and electricity demand</t>
  </si>
  <si>
    <t>There is no sea near by Rwanda</t>
  </si>
  <si>
    <r>
      <t>000m</t>
    </r>
    <r>
      <rPr>
        <b/>
        <vertAlign val="superscript"/>
        <sz val="11"/>
        <color indexed="8"/>
        <rFont val="Calibri"/>
        <family val="2"/>
      </rPr>
      <t>3</t>
    </r>
    <r>
      <rPr>
        <b/>
        <sz val="11"/>
        <color indexed="8"/>
        <rFont val="Calibri"/>
        <family val="2"/>
      </rPr>
      <t xml:space="preserve"> (Consumptive Water demand)</t>
    </r>
  </si>
  <si>
    <t xml:space="preserve">Mining </t>
  </si>
  <si>
    <t xml:space="preserve">Manufacturing </t>
  </si>
  <si>
    <t xml:space="preserve">Water </t>
  </si>
  <si>
    <t>Fish ponds</t>
  </si>
  <si>
    <t>Irr. RWH</t>
  </si>
  <si>
    <t>Irr. Marshlands</t>
  </si>
  <si>
    <t>Irr. Surface water</t>
  </si>
  <si>
    <t>Irr. Dam</t>
  </si>
  <si>
    <t>Irr. Gr. Water</t>
  </si>
  <si>
    <t>Mining WS</t>
  </si>
  <si>
    <t>Coffee Washing Station</t>
  </si>
  <si>
    <t>Industry WS</t>
  </si>
  <si>
    <t>Other manufacturing</t>
  </si>
  <si>
    <t>Hydropower for Electricity</t>
  </si>
  <si>
    <t>Household Urban DWS</t>
  </si>
  <si>
    <t>Household Rural DWS</t>
  </si>
  <si>
    <r>
      <t>Total (000m</t>
    </r>
    <r>
      <rPr>
        <b/>
        <vertAlign val="superscript"/>
        <sz val="12"/>
        <color indexed="8"/>
        <rFont val="Calibri"/>
        <family val="2"/>
      </rPr>
      <t>3</t>
    </r>
    <r>
      <rPr>
        <b/>
        <sz val="12"/>
        <color indexed="8"/>
        <rFont val="Calibri"/>
        <family val="2"/>
      </rPr>
      <t>/yr)</t>
    </r>
  </si>
  <si>
    <t>Population in 2012 Census</t>
  </si>
  <si>
    <r>
      <t>TOTAL FOR RWANDA (000m</t>
    </r>
    <r>
      <rPr>
        <b/>
        <vertAlign val="superscript"/>
        <sz val="11"/>
        <color indexed="8"/>
        <rFont val="Calibri"/>
        <family val="2"/>
      </rPr>
      <t>3</t>
    </r>
    <r>
      <rPr>
        <b/>
        <sz val="11"/>
        <color indexed="8"/>
        <rFont val="Calibri"/>
        <family val="2"/>
      </rPr>
      <t>/yr)</t>
    </r>
  </si>
  <si>
    <t>Abstraction of water 2012</t>
  </si>
  <si>
    <t>Total per Sector</t>
  </si>
  <si>
    <t>Mining</t>
  </si>
  <si>
    <t>Industry</t>
  </si>
  <si>
    <t>Electricity</t>
  </si>
  <si>
    <t>Water Supply</t>
  </si>
  <si>
    <t>Surface water runoff</t>
  </si>
  <si>
    <t>Groundwater recharge</t>
  </si>
  <si>
    <t>.</t>
  </si>
  <si>
    <r>
      <t>TOTAL FOR RWANDA (000m</t>
    </r>
    <r>
      <rPr>
        <b/>
        <vertAlign val="superscript"/>
        <sz val="10"/>
        <color indexed="8"/>
        <rFont val="Calibri"/>
        <family val="2"/>
      </rPr>
      <t>3</t>
    </r>
    <r>
      <rPr>
        <b/>
        <sz val="10"/>
        <color indexed="8"/>
        <rFont val="Calibri"/>
        <family val="2"/>
      </rPr>
      <t>/yr)</t>
    </r>
  </si>
  <si>
    <r>
      <t>m</t>
    </r>
    <r>
      <rPr>
        <b/>
        <vertAlign val="superscript"/>
        <sz val="10"/>
        <color indexed="8"/>
        <rFont val="Calibri"/>
        <family val="2"/>
      </rPr>
      <t>3</t>
    </r>
    <r>
      <rPr>
        <b/>
        <sz val="10"/>
        <color indexed="8"/>
        <rFont val="Calibri"/>
        <family val="2"/>
      </rPr>
      <t>/ca/yr</t>
    </r>
  </si>
  <si>
    <r>
      <t>m</t>
    </r>
    <r>
      <rPr>
        <b/>
        <vertAlign val="superscript"/>
        <sz val="10"/>
        <color indexed="8"/>
        <rFont val="Calibri"/>
        <family val="2"/>
      </rPr>
      <t>3</t>
    </r>
    <r>
      <rPr>
        <b/>
        <sz val="10"/>
        <color indexed="8"/>
        <rFont val="Calibri"/>
        <family val="2"/>
      </rPr>
      <t>/ca/day</t>
    </r>
  </si>
  <si>
    <r>
      <t>m</t>
    </r>
    <r>
      <rPr>
        <b/>
        <vertAlign val="superscript"/>
        <sz val="10"/>
        <color indexed="8"/>
        <rFont val="Calibri"/>
        <family val="2"/>
      </rPr>
      <t>3</t>
    </r>
    <r>
      <rPr>
        <b/>
        <sz val="10"/>
        <color indexed="8"/>
        <rFont val="Calibri"/>
        <family val="2"/>
      </rPr>
      <t>/ha/yr</t>
    </r>
  </si>
  <si>
    <t xml:space="preserve">For details: worksheet: 'Lakes'
Splitted the Rwanda part from lake Kivu. 
Which is about 1000 km2 out of 2700 km2. 
Average depth for Rwanda  part may be less than 240 m, as it is the smaller part of the lake in contrast to DRC. 
1000 * 1000,000 m2 * 240 m = 240,000 mln m3. 
We found a source that says: 249,000 mln m3 (Munyaneza Omar MSc thesis, 2007, NUR) 
The report: 'Water storage per capita final report', shows the capacity i Table 4: 247,595,940,457.6 m3, or 247.6 bln m3. 
The average depth may be overestimate a bit. 
I.e. compare to the volume of 500,000 mln m3, less than half may be less than 250,000 mln m3! 
First we had: 553,838 mln m3. 
But this included the whole lake Kivu. 
We thus tried to limit to the lake Kivu area which is part of Rwanda territory. 
Kivu Lake  
Lake in Afrika
Wikipedia
Area: 2.700 km²
Hightof water surface : 1.460 m
Length: 89 km 
Average depth: 240 m
Maximum depth: 480 m 
Volume: 500 km³ = 500 mln m3. 
Cities: Goma, Bukavu, Kibuye, Gisenyi, Cyangugu                                                                            
All transboundary lakes have been considered. Including Cyohoha South and Rweru. 
Small lakes were also considered. 
Table 4: Sampled Lakes Area Volume estimations. For the rest of the eastern valley lakes, an approximation was adopted based on the average depth obtained from the Ihema, Rumira and Mirayi Lakes. 
The estimated average depth used to estimate the storage capacities of the remaining valley lakes was 4.14 meters depth. 
Table 5 provides the results of this estimation. The majority of the existing lakes are located in the Akagera Upstream and Akagara Downstream catchments.  </t>
  </si>
  <si>
    <t xml:space="preserve">See worksheet 'G&amp;SW2012', with developed method and results for Groundwater and for Soil Water: 
Update parts of these data, with data from soil data base, like with soil layer or soil depth from soil database incl horizons.  
Roughly starting  from these data: 
0.60 soil layer (m), consits of unsaturated zone (soil water) and saturated zone (groundwater). Underneath, there is impermeable zone of rock. Check with Innocent: Soil layer and saturation etc. Further treatment of aquifer (confined) … 
0.30 Distance between land surface &amp; groundwater table, on average
0.30 soil layer (m) unsaturated with water (the layer with soil water), same as above in different terms 
0.50 Pore volume (%)
0.50 Saturation of the pores with water (%) (i.e. compare with soil moisture (%) from either Rwanda Meteo on this data 1st of January
0.25 Soil Moisture (%) (i.e. compare with soil moisture (%) from either Rwanda Meteo or MINAGRI &amp; RAB on this data 1st of January. 
Previously: Deep Groundwater, say from aquifers are taken From Master Plan, 2015. Expected to bekind of constant. Only shallow GRW is changing each year a bit. </t>
  </si>
  <si>
    <t xml:space="preserve">See also worksheet 'inflow' 
How to treat inflow to lake Kivu? --&gt; Solved by using the river(s) to Rwanda that drains the lake, Rusizi (its inflow flow is not yet measured, so no data yet ...Possible FOLLOW UP WITH EXPERT FROM IWRM TO MAKE FIRST ASSESSMENT for 2012 etc.). This ends up in item 'Outflows to other territories'. If there is a net flow from Congo than it is covered in the outflow. But also in the inflow?? 
If too many unkwown variables remain, than leave this value at 0. Also because the net inflow or outflow leaves Rwanda quite quickly. 
Look with experts LAKE KIVU Monitorings program, Including the estimates made fro the contribution via groundwater flows. See also SHARE Report, to get data (Estimates) for all rivers entering Lake KIVU from Rwanda. I.e. consultants working on it. 
See Report:  'Lake Kivu Monitoring Prgramme'. The water from Congo Basin to Lake Kivu is 1.3 km3 / year. It contains even a 'Water Balance'. --&gt; Known. 
</t>
  </si>
  <si>
    <r>
      <t>The observed increasing trends for St8 (Kagera catchment) might be attributed to the response (inflow) of Ruvubu river (av. Streamflow: 200 m</t>
    </r>
    <r>
      <rPr>
        <vertAlign val="superscript"/>
        <sz val="11"/>
        <rFont val="Times New Roman"/>
        <family val="1"/>
      </rPr>
      <t>3</t>
    </r>
    <r>
      <rPr>
        <sz val="11"/>
        <rFont val="Times New Roman"/>
        <family val="1"/>
      </rPr>
      <t>/s) from a large catchment (40%) in Burundi (Kyaruzi et al., 2005), and the catchment is beyond of this the study area analyzed.</t>
    </r>
  </si>
  <si>
    <t>From Munyaneza et al., 2013</t>
  </si>
  <si>
    <t>Ruvubu river at Rusumo from Burundi with</t>
  </si>
  <si>
    <t xml:space="preserve">Average discharge </t>
  </si>
  <si>
    <t>Muvumba river before entering to Akagera at Kabare</t>
  </si>
  <si>
    <t>Average dicharge 1966-1974:</t>
  </si>
  <si>
    <t>Average dicharge 1956-1989:</t>
  </si>
  <si>
    <t xml:space="preserve"> (Kinyababa river)</t>
  </si>
  <si>
    <t>Total inflows</t>
  </si>
  <si>
    <t xml:space="preserve">Compare to annual precipitation: </t>
  </si>
  <si>
    <t xml:space="preserve">Share of External inflow in total water resources </t>
  </si>
  <si>
    <t>Akanyaru river at Butare to Ngozi</t>
  </si>
  <si>
    <t>Average discharge 1955-2000:</t>
  </si>
  <si>
    <t>Rusizi river at Kamanyora</t>
  </si>
  <si>
    <t>Sebeya river to Lake Kivu at Gisenyi</t>
  </si>
  <si>
    <t>Average dicharge 1950-1997:</t>
  </si>
  <si>
    <t>Kagitumba river at Bugaragara</t>
  </si>
  <si>
    <t xml:space="preserve">Akagera river at Rusumo </t>
  </si>
  <si>
    <t>Average dicharge 1955-2000:</t>
  </si>
  <si>
    <t>Outflows</t>
  </si>
  <si>
    <t>mln m3</t>
  </si>
  <si>
    <t>Seconds / year:</t>
  </si>
  <si>
    <t xml:space="preserve">Returns of water after abstraction flows to inland water resources, we assumed that the total water abstracted only 0.2% goes back to lakes. it was linked with PSUT table data on this category
</t>
  </si>
  <si>
    <t>Returns of water after abstraction flows to inland water resources, we assumed that the total water abstracted only 0% goes back to reservoirs . it was linked with PSUT table data on this category</t>
  </si>
  <si>
    <t>Returns of water after abstraction flows to inland water resources, we assumed that the total water abstracted only 0.25% goes back to Groundwater . it was linked with PSUT table data on this category</t>
  </si>
  <si>
    <t>Rusumo Rugezi river at Butaro Ruhengeri</t>
  </si>
  <si>
    <t xml:space="preserve">Returns of water after abstraction flows to inland water resources, we assumed that the total water abstracted only 70% goes back to rivers and streams . it was linked with PSUT table data on this category: This assumption of 70% was due on urban areas and irrigation schemes much water goes back to rivers and while in rural areas much water return to soil </t>
  </si>
  <si>
    <t xml:space="preserve">Returns of water after abstraction flows to inland water resources, we assumed that the total water abstracted only 29.55% goes back to soils . it was linked with PSUT table data on this category. This assumption of 29.55% was due on urban areas and irrigation schemes much water goes back to rivers and while in rural areas much water return to soil </t>
  </si>
  <si>
    <r>
      <t xml:space="preserve">1, First start from stocks in rivers from Rwanda Resources Masterplan 2012 (RWRMP2012) </t>
    </r>
    <r>
      <rPr>
        <sz val="11"/>
        <color indexed="10"/>
        <rFont val="Calibri"/>
        <family val="2"/>
      </rPr>
      <t>add pages</t>
    </r>
  </si>
  <si>
    <t xml:space="preserve">Here the 'Capilary Rise' of water is relevant, which flows from the 'shallow groundwater' underneath UP to the soilwater above. Which is a loss or reduction of groundwater as it is taken from the exisitng groundwater in the soil, let's say 2% of the SHALLOW GW is contributing to soil water. Also we took 70% of GW recharge of 4556 MCM flow to rivers and streams as per Master plan. </t>
  </si>
  <si>
    <t xml:space="preserve">I.e The River discharges to the Lakes, like to lake Kivu. However, as per inflows from other inland water resources for Lakes which is equal to  1636 MCM came from rivers. In addition, 5% of water within rivers (as per inflows from other inland water resources) contribute to AR. </t>
  </si>
  <si>
    <r>
      <t xml:space="preserve">Groundwater recharge from water resources master plan 2015. which is the combination of recharge of 'Ground- &amp; soil water'or contribution to the water under the groundwater table. It is an estimate of the flow on a dayly basis for the 365 days of a year. Let's take 80% for GW and 20% for Soil water                                                                                                                                                                              Here the 'Capilary Rise' of water is relevant that thus flows from the 'shallow groundwater' underneath, UP to the Soil Water above. Which is a gain or addition of groundwater to the exisitng volume of Soil water. We assume that 2% of the SHALLOW GW is contributing to soil water. --&gt;                                                                                                                                                                                                                                                         </t>
    </r>
    <r>
      <rPr>
        <sz val="11"/>
        <color indexed="10"/>
        <rFont val="Calibri"/>
        <family val="2"/>
      </rPr>
      <t xml:space="preserve">Source: Water Experts judgement but there is another methodology which can be used to estimate the soil  water via capillary rise On contribution from capillairy rise: </t>
    </r>
    <r>
      <rPr>
        <sz val="11"/>
        <color theme="1"/>
        <rFont val="Calibri"/>
        <family val="2"/>
        <scheme val="minor"/>
      </rPr>
      <t xml:space="preserve">
</t>
    </r>
    <r>
      <rPr>
        <sz val="11"/>
        <color indexed="10"/>
        <rFont val="Calibri"/>
        <family val="2"/>
      </rPr>
      <t xml:space="preserve">Handbook on dairy farming 2013 says: </t>
    </r>
    <r>
      <rPr>
        <sz val="11"/>
        <color theme="1"/>
        <rFont val="Calibri"/>
        <family val="2"/>
        <scheme val="minor"/>
      </rPr>
      <t xml:space="preserve">
Water suply from Capillary Rise to rooted zone 
In addition to the amount of easily absorbable moisture in the root zone, the extent to which capillary water delivery occurs from the subsurface is important. The amount (volume) of capillary supply strongly depends on the groundwater level and the soil texture. Sometimes the maximum distance is exceeded for which sufficient capillary supply to the bottom of the effective root zone is still possible (critical ascending distance z). This leads to crop growth reduction. A capillary supply to the root zone of 1.0 to 2.0 mm/day is generally considered sufficient. 
Table 1.14 gives an approximation of the permissible distance between the bottom of the effective root zone and the groundwater level and the groundwater level (cm) for rising speeds of 3, 2, 1, 0.8 and 0.4 mm./day.
Other sources on contribution from capillary rise to soil water (rooted zone) in Rwanda ...? 
Example calculation: 
From Groundwater to Soil Water via capillary Rise: 
  Say 2 million ha is 
  20 billion m2 
  Times 200 days of 1 mm / day = 200 mm - 20cm = 0.20 m 
  20 bln times 0.20 is 4 billlion = 2,000 million m3 / year 
--&gt; Please REDO with actual Rwanda information !  </t>
    </r>
  </si>
  <si>
    <t>Groundwater recharge from water resources master plan 2015. which is the combination of recharge of 'Ground- &amp; soil water'or contribution to the water under the groundwater table. It is an estimate of the flow on a dayly basis for the 365 days of a year. Let's take 80% for GW and 20% for Soil water</t>
  </si>
  <si>
    <t>Table 2</t>
  </si>
  <si>
    <t>Gross Domestic product by Kind of Activity</t>
  </si>
  <si>
    <t>at constant 2014 prices</t>
  </si>
  <si>
    <t xml:space="preserve">  ( in billion Rwf)      </t>
  </si>
  <si>
    <t>Activity description</t>
  </si>
  <si>
    <t>ISIC4</t>
  </si>
  <si>
    <t>GROSS DOMESTIC PRODUCT (GDP)</t>
  </si>
  <si>
    <t>AGRICULTURE, FORESTRY &amp; FISHING</t>
  </si>
  <si>
    <t>A</t>
  </si>
  <si>
    <t>Food crops</t>
  </si>
  <si>
    <t>AA</t>
  </si>
  <si>
    <t>Export crops</t>
  </si>
  <si>
    <t>AB</t>
  </si>
  <si>
    <t>Livestock &amp; livestock products</t>
  </si>
  <si>
    <t>AC</t>
  </si>
  <si>
    <t>AD</t>
  </si>
  <si>
    <t>AE</t>
  </si>
  <si>
    <t>INDUSTRY</t>
  </si>
  <si>
    <t>B-F</t>
  </si>
  <si>
    <t>Mining &amp; quarrying</t>
  </si>
  <si>
    <t>B</t>
  </si>
  <si>
    <t>TOTAL MANUFACTURING</t>
  </si>
  <si>
    <t>C</t>
  </si>
  <si>
    <t>Of which: Food</t>
  </si>
  <si>
    <t>CA</t>
  </si>
  <si>
    <t xml:space="preserve">              Beverages &amp; tobacco</t>
  </si>
  <si>
    <t>CB</t>
  </si>
  <si>
    <t xml:space="preserve">             Textiles, clothing &amp; leather goods</t>
  </si>
  <si>
    <t>CC</t>
  </si>
  <si>
    <t xml:space="preserve">             Wood &amp; paper; printing</t>
  </si>
  <si>
    <t>CD</t>
  </si>
  <si>
    <t xml:space="preserve">             Chemicals, rubber &amp; plastic products</t>
  </si>
  <si>
    <t>CE</t>
  </si>
  <si>
    <t xml:space="preserve">             Non-metallic mineral products</t>
  </si>
  <si>
    <t>CF</t>
  </si>
  <si>
    <t xml:space="preserve">             Metal products, machinery &amp; equipment</t>
  </si>
  <si>
    <t>CG</t>
  </si>
  <si>
    <t xml:space="preserve">             Furniture &amp; other manufacturing </t>
  </si>
  <si>
    <t>CH</t>
  </si>
  <si>
    <t>D</t>
  </si>
  <si>
    <t>Water &amp; waste management</t>
  </si>
  <si>
    <t>E</t>
  </si>
  <si>
    <t>Construction</t>
  </si>
  <si>
    <t>F</t>
  </si>
  <si>
    <t>SERVICES</t>
  </si>
  <si>
    <t>G-T</t>
  </si>
  <si>
    <t>TRADE &amp;TRANSPORT</t>
  </si>
  <si>
    <t>G-H</t>
  </si>
  <si>
    <t>Maintenance and repair of motor vehicles</t>
  </si>
  <si>
    <t>GA</t>
  </si>
  <si>
    <t>Wholesale &amp; retail trade</t>
  </si>
  <si>
    <t>GB</t>
  </si>
  <si>
    <t>Transport services</t>
  </si>
  <si>
    <t>H</t>
  </si>
  <si>
    <t>OTHER SERVICES</t>
  </si>
  <si>
    <t>I-T</t>
  </si>
  <si>
    <t>Hotels &amp; restaurants</t>
  </si>
  <si>
    <t>I</t>
  </si>
  <si>
    <t>Information &amp; communication</t>
  </si>
  <si>
    <t>J</t>
  </si>
  <si>
    <t>Financial services</t>
  </si>
  <si>
    <t>K</t>
  </si>
  <si>
    <t>Real estate activities</t>
  </si>
  <si>
    <t>L</t>
  </si>
  <si>
    <t>Professional, scientific and technical activities</t>
  </si>
  <si>
    <t>M</t>
  </si>
  <si>
    <t>Administrative and support service activities</t>
  </si>
  <si>
    <t>N</t>
  </si>
  <si>
    <t>Public administration and defence; compulsory social security</t>
  </si>
  <si>
    <t>O</t>
  </si>
  <si>
    <t>Education</t>
  </si>
  <si>
    <t>Human health and social work activities</t>
  </si>
  <si>
    <t>Q</t>
  </si>
  <si>
    <t>Cultural, domestic &amp; other services</t>
  </si>
  <si>
    <t>R-T</t>
  </si>
  <si>
    <t>TAXES LESS SUBSIDIES ON PRODUCTS</t>
  </si>
  <si>
    <r>
      <rPr>
        <b/>
        <i/>
        <sz val="9"/>
        <rFont val="Cambria"/>
        <family val="1"/>
      </rPr>
      <t>Source:</t>
    </r>
    <r>
      <rPr>
        <i/>
        <sz val="9"/>
        <rFont val="Cambria"/>
        <family val="1"/>
      </rPr>
      <t xml:space="preserve"> National Institute of Statistics of Rwanda</t>
    </r>
  </si>
  <si>
    <t xml:space="preserve">  Design Capacity (Reporting Year 2016 ?) </t>
  </si>
  <si>
    <t xml:space="preserve">The estimated average depth used to estimate the storage capacities of the remaining valley lakes was 4.14 meters depth. </t>
  </si>
  <si>
    <t xml:space="preserve">For the rest of the eastern valley lakes, an approximation was adopted based on the average depth obtained from the Ihema, Rumira and Mirayi Lakes. </t>
  </si>
  <si>
    <t xml:space="preserve">Table 5 provides the results of this estimation. The majority of the existing lakes are located in the Akagera Upstream and Akagara Downstream catchments. </t>
  </si>
  <si>
    <t xml:space="preserve">Table: Artificial Reservoirs. </t>
  </si>
  <si>
    <t xml:space="preserve">  Reservoir in operation</t>
  </si>
  <si>
    <t xml:space="preserve">  From Year 20JJ (?) </t>
  </si>
  <si>
    <t>A.</t>
  </si>
  <si>
    <t>OPERATIONAL HYDROPOWER PLANTS AS OF DEC 2015</t>
  </si>
  <si>
    <t>DOMESTIC ON GRID GENERATION</t>
  </si>
  <si>
    <t>Plant Name</t>
  </si>
  <si>
    <t>Location</t>
  </si>
  <si>
    <t>Owner</t>
  </si>
  <si>
    <t>Year of Coming</t>
  </si>
  <si>
    <t>Installed Capacity in MW</t>
  </si>
  <si>
    <t>Net Head in m</t>
  </si>
  <si>
    <r>
      <t>Design Flow (m</t>
    </r>
    <r>
      <rPr>
        <b/>
        <vertAlign val="superscript"/>
        <sz val="11"/>
        <color indexed="8"/>
        <rFont val="Book Antiqua"/>
        <family val="1"/>
      </rPr>
      <t>3</t>
    </r>
    <r>
      <rPr>
        <b/>
        <sz val="11"/>
        <color indexed="8"/>
        <rFont val="Book Antiqua"/>
        <family val="1"/>
      </rPr>
      <t>/s)</t>
    </r>
  </si>
  <si>
    <t>Sector/District</t>
  </si>
  <si>
    <t>Province</t>
  </si>
  <si>
    <t>Gacaca/Musanze</t>
  </si>
  <si>
    <t xml:space="preserve">North </t>
  </si>
  <si>
    <t>GoR</t>
  </si>
  <si>
    <t>Ntaruka</t>
  </si>
  <si>
    <t>Kinoni/Burera</t>
  </si>
  <si>
    <t>North</t>
  </si>
  <si>
    <t>Gisenyi</t>
  </si>
  <si>
    <t>Gisenyi/Rubavu</t>
  </si>
  <si>
    <t>West</t>
  </si>
  <si>
    <t>Gihira</t>
  </si>
  <si>
    <t>Rugerero/Rubavu</t>
  </si>
  <si>
    <t>Murunda</t>
  </si>
  <si>
    <t>Murunda/Rutsiro</t>
  </si>
  <si>
    <t>REPRO Ltd</t>
  </si>
  <si>
    <t>Apri,2010</t>
  </si>
  <si>
    <t>Rukarara 1</t>
  </si>
  <si>
    <t>Kibilizi/Nyamagabe</t>
  </si>
  <si>
    <t>South</t>
  </si>
  <si>
    <t>Ngali Energy Ltd</t>
  </si>
  <si>
    <t>Dec,2010</t>
  </si>
  <si>
    <t>Rugezi</t>
  </si>
  <si>
    <t>Butaro/Burera</t>
  </si>
  <si>
    <t>Mar,2011</t>
  </si>
  <si>
    <t>Keya</t>
  </si>
  <si>
    <t>Nyundo/Rubavu</t>
  </si>
  <si>
    <t>July,2011</t>
  </si>
  <si>
    <t>Nkora</t>
  </si>
  <si>
    <t>Kigeyo/Rutsiro</t>
  </si>
  <si>
    <t>ENNY Ltd</t>
  </si>
  <si>
    <t>Cyimbili</t>
  </si>
  <si>
    <t>Mazimeru</t>
  </si>
  <si>
    <t>Nyabimata/Nyaruguru</t>
  </si>
  <si>
    <t>May,2012</t>
  </si>
  <si>
    <t>Nshili1</t>
  </si>
  <si>
    <t>Runyombyi/Nyaruguru</t>
  </si>
  <si>
    <r>
      <t>48 (</t>
    </r>
    <r>
      <rPr>
        <sz val="8"/>
        <color indexed="8"/>
        <rFont val="Book Antiqua"/>
        <family val="1"/>
      </rPr>
      <t>Gross head</t>
    </r>
    <r>
      <rPr>
        <sz val="11"/>
        <color indexed="8"/>
        <rFont val="Book Antiqua"/>
        <family val="1"/>
      </rPr>
      <t>)</t>
    </r>
  </si>
  <si>
    <t>Musarara</t>
  </si>
  <si>
    <t>/Musanze</t>
  </si>
  <si>
    <t>Amahoro Energy Ltd</t>
  </si>
  <si>
    <t>February 2013</t>
  </si>
  <si>
    <t>Mukungwa 2</t>
  </si>
  <si>
    <t>Nkotsi/Musanze</t>
  </si>
  <si>
    <t>May 2013</t>
  </si>
  <si>
    <t>Rukarara 2</t>
  </si>
  <si>
    <t>Uwinkingi/Nyamagabe</t>
  </si>
  <si>
    <t>GOR</t>
  </si>
  <si>
    <t>Giciye</t>
  </si>
  <si>
    <t>……../Nyabihu</t>
  </si>
  <si>
    <t>RMT</t>
  </si>
  <si>
    <t>June 2014</t>
  </si>
  <si>
    <t>Mushishiro/Muhanga</t>
  </si>
  <si>
    <t>OFF GRID POWER PLANTS UNDER OPERATION</t>
  </si>
  <si>
    <t>Year of operation</t>
  </si>
  <si>
    <t>Nyamyotsi I</t>
  </si>
  <si>
    <t>Rugera/Nyabihu</t>
  </si>
  <si>
    <t>Mutobo</t>
  </si>
  <si>
    <t>Agatobwe</t>
  </si>
  <si>
    <t>Ngoma/Nyaruguru</t>
  </si>
  <si>
    <t>Nyamyotsi II</t>
  </si>
  <si>
    <t>Private</t>
  </si>
  <si>
    <t>Janja</t>
  </si>
  <si>
    <t>Mugunga/Gakenke</t>
  </si>
  <si>
    <t>Nyabahanga</t>
  </si>
  <si>
    <t>Gitesi/Karongi</t>
  </si>
  <si>
    <r>
      <t>44(</t>
    </r>
    <r>
      <rPr>
        <sz val="8"/>
        <color indexed="8"/>
        <rFont val="Book Antiqua"/>
        <family val="1"/>
      </rPr>
      <t>Gross head</t>
    </r>
    <r>
      <rPr>
        <sz val="12"/>
        <color indexed="8"/>
        <rFont val="Book Antiqua"/>
        <family val="1"/>
      </rPr>
      <t>)</t>
    </r>
  </si>
  <si>
    <t>Nyirabuhombohombo</t>
  </si>
  <si>
    <t>Macuba/Nyamasheke</t>
  </si>
  <si>
    <t>January 2013</t>
  </si>
  <si>
    <t>Gashashi</t>
  </si>
  <si>
    <t>March 2013</t>
  </si>
  <si>
    <r>
      <t>112(</t>
    </r>
    <r>
      <rPr>
        <sz val="8"/>
        <color indexed="8"/>
        <rFont val="Book Antiqua"/>
        <family val="1"/>
      </rPr>
      <t xml:space="preserve"> Gross head</t>
    </r>
    <r>
      <rPr>
        <sz val="12"/>
        <color indexed="8"/>
        <rFont val="Book Antiqua"/>
        <family val="1"/>
      </rPr>
      <t xml:space="preserve"> )</t>
    </r>
  </si>
  <si>
    <t>FROM RUSIZI RIVER/ Imported</t>
  </si>
  <si>
    <t>Source Name</t>
  </si>
  <si>
    <t>Rwanda quota in MW</t>
  </si>
  <si>
    <t xml:space="preserve">Rusizi I </t>
  </si>
  <si>
    <t>Mururu/Rusizi</t>
  </si>
  <si>
    <t>SNEL</t>
  </si>
  <si>
    <t>Hydro</t>
  </si>
  <si>
    <t xml:space="preserve">Rusizi II </t>
  </si>
  <si>
    <t>SINELAC</t>
  </si>
  <si>
    <t xml:space="preserve">Try to fill </t>
  </si>
  <si>
    <t>Result from column K</t>
  </si>
  <si>
    <t xml:space="preserve">Actual water stored in dams annually (1st of January YEAR - JJJJ): </t>
  </si>
  <si>
    <t>Design Flow translated to year (m3/year)</t>
  </si>
  <si>
    <t>Derived volume (via Design Flow OR Instal MW!</t>
  </si>
  <si>
    <t xml:space="preserve">ratio: </t>
  </si>
  <si>
    <t>VOLUME METRIC WATER CONTENT, (NOT Soil Moisture (%), as percentage of the volume in (m3 water /m3 soil)  (i.e. compare with soil moisture (%) from either Rwanda Meteo or MINAGRI &amp; RAB on this data 1st of January</t>
  </si>
  <si>
    <t>2013 ?</t>
  </si>
  <si>
    <t>Inflows from other inland water resources_Surface water_Lakes</t>
  </si>
  <si>
    <t xml:space="preserve">Stock changes: </t>
  </si>
  <si>
    <t xml:space="preserve">Date: </t>
  </si>
  <si>
    <t xml:space="preserve">Date of measurement </t>
  </si>
  <si>
    <t>Water_Level (m)</t>
  </si>
  <si>
    <t>Surface area (m2)</t>
  </si>
  <si>
    <t>Range of Water_volume_layer (mln m3)</t>
  </si>
  <si>
    <t>Water_volume_change (T --&gt; T+1) (m3)</t>
  </si>
  <si>
    <t>2012-01-01</t>
  </si>
  <si>
    <t>2012-01-01T00:00:00.000+02:00</t>
  </si>
  <si>
    <t>2013-01-01</t>
  </si>
  <si>
    <t>2013-01-01T01:00:00.000+02:00</t>
  </si>
  <si>
    <t>2014-01-01</t>
  </si>
  <si>
    <t>2014-01-01T00:00:00.000+02:00</t>
  </si>
  <si>
    <t>2014-08-10</t>
  </si>
  <si>
    <t>2014-08-10T00:00:00.000+02:00</t>
  </si>
  <si>
    <t>YEAR ?</t>
  </si>
  <si>
    <r>
      <t>From Eng. Alsaad of RWFA who extracted data from RNRA report on water storage per capita, 2016. This is design capacity! 
Next step is to get to real water contained by these reservoirs. 
Two options to come from capacity to real volume at 01-01-20JJ (Any year): 
METHOD 1. To consider the '</t>
    </r>
    <r>
      <rPr>
        <b/>
        <sz val="11"/>
        <color indexed="8"/>
        <rFont val="Calibri"/>
        <family val="2"/>
      </rPr>
      <t>YEAR of coming in OPERATION</t>
    </r>
    <r>
      <rPr>
        <sz val="11"/>
        <color theme="1"/>
        <rFont val="Calibri"/>
        <family val="2"/>
        <scheme val="minor"/>
      </rPr>
      <t xml:space="preserve">' and trace back from </t>
    </r>
    <r>
      <rPr>
        <b/>
        <sz val="11"/>
        <color indexed="8"/>
        <rFont val="Calibri"/>
        <family val="2"/>
      </rPr>
      <t>2016 Reporting Year</t>
    </r>
    <r>
      <rPr>
        <sz val="11"/>
        <color theme="1"/>
        <rFont val="Calibri"/>
        <family val="2"/>
        <scheme val="minor"/>
      </rPr>
      <t xml:space="preserve">  Information towards previous year up from 2012 !! 
    To estimate: A. a percentage from the DESIGN storage capacity to get to 'MAXIMUM ACTUAL CAPACITY' (NOT actual capacity) reduced each year, depending on sedimentation; 
    Percentage will depend on the lifetime of the reservoir, due to SEDIMENTATION, Affected dykes and quality of the dam etc. 
    To estimate: B. a percentage from the 'MAXIMUM ACTUAL CAPACITY' to get to the 'ACTUAL STORAGE for each single YEAR', largely determined by the water level in the reservoir, which is determined by the actual storage depending of the weather in previous months and from the volume used in economic activity, evaporation and percolation in Rwandan dams); 
METHOD 2. See also METHOD 1. But information like size and orientation of reservoir and water levels, using EO / remote sensing (ESA - Data from SENTINEL - I, from YEAR X onwards) assess average 'water depth' in each reservoir at 01-01-20JJ (Any year); 
Together area * average depth = real volume of water in the reservoir; 
From EO / remote sensing assess area of the reservoirs combined with depth wit classification model, being a digital elevation model (via Benji). 
We need the volume at certain date: 01-01-2012. </t>
    </r>
  </si>
  <si>
    <t xml:space="preserve">From Eng. Alsaad of RWFA who extracted data from RNRA report on water storage per capita, 2016. This is design capacity! 
Next step is to get to real water contained by these reservoirs. 
Two options to come from capacity to real volume at 01-01-20JJ (Any year): 
METHOD 1. To consider the 'YEAR of coming in OPERATION' and trace back from 2016 Reporting Year  Information towards previous year up from 2012 !! 
    To estimate: A. a percentage from the DESIGN storage capacity to get to 'MAXIMUM ACTUAL CAPACITY' (NOT actual capacity) reduced each year, depending on sedimentation; 
    Percentage will depend on the lifetime of the reservoir, due to SEDIMENTATION, Affected dykes and quality of the dam etc. 
    To estimate: B. a percentage from the 'MAXIMUM ACTUAL CAPACITY' to get to the 'ACTUAL STORAGE for each single YEAR', largely determined by the water level in the reservoir, which is determined by the actual storage depending of the weather in previous months and from the volume used in economic activity, evaporation and percolation in Rwandan dams); 
METHOD 2. See also METHOD 1. But information like size and orientation of reservoir and water levels, using EO / remote sensing (ESA - Data from SENTINEL - I, from YEAR X onwards) assess average 'water depth' in each reservoir at 01-01-20JJ (Any year); 
Together area * average depth = real volume of water in the reservoir; 
From EO / remote sensing assess area of the reservoirs combined with depth wit classification model, being a digital elevation model (via Benji). 
We need the volume at certain date: 01-01-2012. </t>
  </si>
  <si>
    <t xml:space="preserve">Method: Openingstock and change with the changing volume in the lake, based upon the data water level changes in the Lakes. Data from Alsaad (downloaded from IWRM website (database als possible with more actual data in future?). </t>
  </si>
  <si>
    <t xml:space="preserve">Resulting Adjustments due to balancing procedure: </t>
  </si>
  <si>
    <t>RBM&amp;E Project</t>
  </si>
  <si>
    <t xml:space="preserve">Survey applied to a sample in order to verify the existing data available from on Springs WASAC and boreholes from IWRM. </t>
  </si>
  <si>
    <t xml:space="preserve">Available water' is taken from Rwanda - R-NWRMP2012. </t>
  </si>
  <si>
    <t xml:space="preserve">After these data are used to feed the model (SVR - Regression) in order to extrapolate to the entire population. </t>
  </si>
  <si>
    <t xml:space="preserve">IR: Small Scale Based upon list of irrigators from RAB </t>
  </si>
  <si>
    <t xml:space="preserve">See also Report: RBM&amp;E_Final Report_Water Users  and  Uses_31.07.2017-1 </t>
  </si>
  <si>
    <t>usertype</t>
  </si>
  <si>
    <t>Usertype_FullName</t>
  </si>
  <si>
    <t>Sum of wateruse(m3)</t>
  </si>
  <si>
    <t>Approach Taken</t>
  </si>
  <si>
    <t>City of Kigali</t>
  </si>
  <si>
    <t>Eastern Province</t>
  </si>
  <si>
    <t>Northern Province</t>
  </si>
  <si>
    <t>Southern Province</t>
  </si>
  <si>
    <t>Western Province</t>
  </si>
  <si>
    <t>(blank)</t>
  </si>
  <si>
    <t>Grand Total</t>
  </si>
  <si>
    <t>Grand Total (m3)</t>
  </si>
  <si>
    <t>Grand Total (MCM)</t>
  </si>
  <si>
    <t xml:space="preserve">Population from MINIRENA. Full set (capacity of discharge from company installing) * (operation hours) </t>
  </si>
  <si>
    <t>500*</t>
  </si>
  <si>
    <t>BH</t>
  </si>
  <si>
    <t>Borehole</t>
  </si>
  <si>
    <t>Model (depending on volume washed)</t>
  </si>
  <si>
    <t>CWS</t>
  </si>
  <si>
    <t>Full set (5% of water taken)</t>
  </si>
  <si>
    <t>HP</t>
  </si>
  <si>
    <t>Hydropower</t>
  </si>
  <si>
    <t>Full set</t>
  </si>
  <si>
    <t>Full set (large scale) &amp; Modal (small scale)</t>
  </si>
  <si>
    <t>IR</t>
  </si>
  <si>
    <t>Irrigation</t>
  </si>
  <si>
    <t xml:space="preserve">MINECOM (Commerce) list 300 for Industry. 30 were surveyed that use water. </t>
  </si>
  <si>
    <t>MF</t>
  </si>
  <si>
    <t>Manufacturing</t>
  </si>
  <si>
    <t xml:space="preserve">Model (operational time) </t>
  </si>
  <si>
    <t>MG</t>
  </si>
  <si>
    <t xml:space="preserve">Start from WASAC List of &gt; 10.000 (9000 in operation). (capacity of discharge from company installing) * (operation hours) </t>
  </si>
  <si>
    <t>Spring</t>
  </si>
  <si>
    <t>WP</t>
  </si>
  <si>
    <t>Waterpond</t>
  </si>
  <si>
    <t>WTP</t>
  </si>
  <si>
    <t>Water Treatment Plant for Public Water Supply</t>
  </si>
  <si>
    <t xml:space="preserve">TOTAL </t>
  </si>
  <si>
    <t>Table 1</t>
  </si>
  <si>
    <t>at current prices</t>
  </si>
  <si>
    <t xml:space="preserve">Table 18. Employed population by sex, branch of economic activity, and urban/rural area, February 2016 </t>
  </si>
  <si>
    <t>Male</t>
  </si>
  <si>
    <t>Female</t>
  </si>
  <si>
    <t>Urban</t>
  </si>
  <si>
    <t>Rural</t>
  </si>
  <si>
    <t xml:space="preserve">Paricipated in </t>
  </si>
  <si>
    <t>Not particpated</t>
  </si>
  <si>
    <t>subsistance</t>
  </si>
  <si>
    <t xml:space="preserve"> in subsistence </t>
  </si>
  <si>
    <t>agriculture</t>
  </si>
  <si>
    <t>Employed population</t>
  </si>
  <si>
    <t>Agriculture, forestry and fishing</t>
  </si>
  <si>
    <t>Mining and quarrying</t>
  </si>
  <si>
    <t>Electricity, gas, steam and air conditioning supply</t>
  </si>
  <si>
    <t>Water supply, sewerage and waste management</t>
  </si>
  <si>
    <t>Wholesale, retail trade, repair of motor vehicles, motorcylces</t>
  </si>
  <si>
    <t>Transportation and storage</t>
  </si>
  <si>
    <t>Accommodation and food service activities</t>
  </si>
  <si>
    <t>Information and communication</t>
  </si>
  <si>
    <t>Financial and insurance activities</t>
  </si>
  <si>
    <t>Public administration and defence</t>
  </si>
  <si>
    <t>Arts, entertainment and recreation</t>
  </si>
  <si>
    <t>Other service activities</t>
  </si>
  <si>
    <t>Activities of households as employers</t>
  </si>
  <si>
    <t>Activities of extraterritorial organizations and bodies</t>
  </si>
  <si>
    <t>Blank</t>
    <phoneticPr fontId="3" type="noConversion"/>
  </si>
  <si>
    <t>Table 22. Formal and informal employment by sex, branch of economic activity, February 2016</t>
  </si>
  <si>
    <t>Both sexes</t>
    <phoneticPr fontId="5" type="noConversion"/>
  </si>
  <si>
    <t>Male</t>
    <phoneticPr fontId="5" type="noConversion"/>
  </si>
  <si>
    <t>Female</t>
    <phoneticPr fontId="5" type="noConversion"/>
  </si>
  <si>
    <t>Total</t>
    <phoneticPr fontId="5" type="noConversion"/>
  </si>
  <si>
    <t>Informal</t>
  </si>
  <si>
    <t>Formal</t>
  </si>
  <si>
    <t>Water intensity</t>
  </si>
  <si>
    <t>Consume X m3 of water to earn 1000 RWF</t>
  </si>
  <si>
    <t>% of formal Employment</t>
  </si>
  <si>
    <t xml:space="preserve">% of GDP </t>
  </si>
  <si>
    <t>% of Water Consumption</t>
  </si>
  <si>
    <t>Watercons./GDP (m3/RWF)</t>
  </si>
  <si>
    <t>2014RWF</t>
  </si>
  <si>
    <t>Water Use Efficiency ('Water productivity')</t>
  </si>
  <si>
    <r>
      <t>Earn X RWF with use of 1m</t>
    </r>
    <r>
      <rPr>
        <vertAlign val="superscript"/>
        <sz val="11"/>
        <color indexed="8"/>
        <rFont val="Calibri"/>
        <family val="2"/>
      </rPr>
      <t>3</t>
    </r>
    <r>
      <rPr>
        <sz val="11"/>
        <color theme="1"/>
        <rFont val="Calibri"/>
        <family val="2"/>
        <scheme val="minor"/>
      </rPr>
      <t xml:space="preserve"> of water</t>
    </r>
  </si>
  <si>
    <r>
      <t>Earn X RWF with consumption of 1m</t>
    </r>
    <r>
      <rPr>
        <vertAlign val="superscript"/>
        <sz val="11"/>
        <color indexed="8"/>
        <rFont val="Calibri"/>
        <family val="2"/>
      </rPr>
      <t>3</t>
    </r>
    <r>
      <rPr>
        <sz val="11"/>
        <color theme="1"/>
        <rFont val="Calibri"/>
        <family val="2"/>
        <scheme val="minor"/>
      </rPr>
      <t xml:space="preserve"> of water</t>
    </r>
  </si>
  <si>
    <r>
      <t>GDP/Water Use (RWF/m</t>
    </r>
    <r>
      <rPr>
        <vertAlign val="superscript"/>
        <sz val="11"/>
        <color indexed="8"/>
        <rFont val="Calibri"/>
        <family val="2"/>
      </rPr>
      <t>3</t>
    </r>
    <r>
      <rPr>
        <sz val="11"/>
        <color theme="1"/>
        <rFont val="Calibri"/>
        <family val="2"/>
        <scheme val="minor"/>
      </rPr>
      <t>)</t>
    </r>
  </si>
  <si>
    <r>
      <t>GDP/Water Cons. (RWF/m</t>
    </r>
    <r>
      <rPr>
        <vertAlign val="superscript"/>
        <sz val="11"/>
        <color indexed="8"/>
        <rFont val="Calibri"/>
        <family val="2"/>
      </rPr>
      <t>3</t>
    </r>
    <r>
      <rPr>
        <sz val="11"/>
        <color theme="1"/>
        <rFont val="Calibri"/>
        <family val="2"/>
        <scheme val="minor"/>
      </rPr>
      <t>)</t>
    </r>
  </si>
  <si>
    <t xml:space="preserve">This ROW is about net EXCHANGE of water between the inland water resources (5 categrories) within the year. This Item in Total (5 categories) should balance with 'Outflows to other inland water resources'). This has been filled at the country level using data from Lake Kivu Monitoring Programme report which shows contribution of all rivers from congo to Lake Kivu (936 MCM) as reported by  (ABAKIR). in addition we added  the contribution of Sebeya River to lake Kivu (76.4 MCM) AND Rusumo Rugezi river to lake Burera (42.9 MCM). contribution of other rivers to lakes are not available but for lake kivu we have estimated them using water balance equation where by the evaporation of lake kivu is 3600 MCM: SOURCE(Muvunja et al, 2009) and using the outflow from Kivu to RUSIZI river which is about 3200MCM (Source: RWAFA) and precipitation 1240 mm/y=1.24m/yr (master Plan, 2015)= 1.24*2,400,000,000 m2 = 2,976 MCM, hence other rivers to lake kivu are equal to = (2,976 + 936 + 76.4)-3600-3200= 2,811.6 MCM.
To get Inflows from other inland water resources for Kivu Lake, we considered half (50%) of inflows from Congo plus Sebeya river,  plus other rivers contributing to Lake Kivu: (936 + 76.4 + 2811.6)/2.4 = 1593 MCM
However, for the whole Inflows from other inland water resources for Lakes, we get 1593 MCM  plus Rusumo-Rugezi river 42.9 MCM means 1636 MCM,                                                                                                                                                                                  Will be improved after the information at the catchment (9*) is processed. 
--&gt;&gt; From the flow 'lake to the rivers', and then add to it 'WATER BALANCE', With 1. Discharge + 2. P, 3. -ET, 4. change in water balance, in order to derive inflow to the lake or 'artificial Reservoir'. 
We follow the approach of the 'Water Balance'. </t>
  </si>
  <si>
    <t>Reduction % from design capacity to actual capacity (ASSUMPTION), Mainly due to sedimentation !</t>
  </si>
  <si>
    <t>Actual storage 01-01-YEAR, in Share of Actual Storage capacity (ASSUMPTION), dependng on weather in that year (dry or wet, etc.)</t>
  </si>
  <si>
    <t xml:space="preserve">For the SHALLOW groundwater, the NCA-team need to try to find a number of boreholes with measured/monitored groundwater tables. 
The change in groundtables can be used to correct the volume of (shallow) ground water content from beginning to closing stock of (shallow) ground water. 
Maybe extract data from few boreholes (about ... out of 12 boreholes monitored permanently which data can be downloaded from the RWFA - WaterDataPORTAL !) that have this data on groundwatertable and use it to correct the closing stock. The range in here van be used to make countrywide assessment. 
Look in the end to plausible volume change, starting from opening stock ! </t>
  </si>
  <si>
    <t xml:space="preserve">See: line 11, posibly abstraction from Surface Water from Rivers is covered by that line already!? 
Prevent from double counting. </t>
  </si>
  <si>
    <t xml:space="preserve">NCA-Team: Looking after RBM&amp;E_2017 study on reporting year 2016, what can we learn from the different categories of 'water use' in this study  that can be allocated to stemming from the Rwanda Lakes for this year? </t>
  </si>
  <si>
    <t xml:space="preserve">Some data are availlable on infows from Rivers to the artificial reservoirs (AR). Let consider that 80% of water in AR comes from rivers. Hence take 5% of water within rivers (as per Inflows from other inland water resourcesas) contribute to AR. </t>
  </si>
  <si>
    <t xml:space="preserve">I.e. The discharges from the 'Artificial Reservoirs' to the Rivers downstream. This need 'to balance with items under Total from 'Outflow to other inland water resources'.  
We considered 40% of Inflows from other inland water resources to Artificial Reservoirs back to rivers and streams, as the biggest part of the outflow of the reservoir goes to irrigation in agriculture and will NOT return to the Inland Water System as it for big part goes to the atmosphere due to ET after irrigation. This need to balance to some extent with the water tht is lost by evaporation from the reservoirs (which is known in assrt table) and presumably little (?) will percolate to groundwater and the rest remains available for outflow to use in hydro and irrigation.For Rwanda this is a fair share. In contrast to for example countries with very flat reservoirs (haing higher losses from evaporation. 
But here also used the same percentage from the precipitation water that entered the Artificial reservoirs throughout the year. </t>
  </si>
  <si>
    <r>
      <t>Here the team need to find 'soil water content' or better apply the CHANGE in '</t>
    </r>
    <r>
      <rPr>
        <b/>
        <sz val="11"/>
        <color indexed="8"/>
        <rFont val="Calibri"/>
        <family val="2"/>
      </rPr>
      <t>volume percentage</t>
    </r>
    <r>
      <rPr>
        <sz val="11"/>
        <color theme="1"/>
        <rFont val="Calibri"/>
        <family val="2"/>
        <scheme val="minor"/>
      </rPr>
      <t xml:space="preserve">' data over the 1st of the subsequent year following the current reporting year from Rwanda Meteo (m3/m3) and update the table accordingly. 
Can also be derived from soil water content sampling results for this particular reporting year (Weight percentage). 
Check in the end whether the outcome do look plausible volume change, starting from opening stock! 
Can also indirectly be derived from 'Soil water content'  (Weight percentage). </t>
    </r>
  </si>
  <si>
    <t xml:space="preserve">Indicator compilation: straight taken from Asset Table. </t>
  </si>
  <si>
    <t xml:space="preserve">Indicator compilation: straight taken from Asset Table. Look to plausible volume change, by checking stock change, starting from opening stock! </t>
  </si>
  <si>
    <t>Check ISIC on PSUT</t>
  </si>
  <si>
    <t xml:space="preserve">  Table 9</t>
  </si>
  <si>
    <t xml:space="preserve">  Table 10</t>
  </si>
  <si>
    <t>NA_Economic_data, timeseries</t>
  </si>
  <si>
    <t>NA_Labour_Force_Data, timeseries</t>
  </si>
  <si>
    <t>01 (Division) - Crop and animal production, hunting and related service activities</t>
  </si>
  <si>
    <t>1079 - Manufacture of other food products n.e.c.</t>
  </si>
  <si>
    <t>3510 - Electric power generation, transmission and distribution</t>
  </si>
  <si>
    <t>Section B - Mining and quarrying (Division 05 - 09)</t>
  </si>
  <si>
    <t>Section C - Manufacturing (Division 10 - 33)</t>
  </si>
  <si>
    <t>… Various</t>
  </si>
  <si>
    <t>36 (Division) - Water collection, treatment and supply</t>
  </si>
  <si>
    <t xml:space="preserve">ISIC-Rev.4 ? </t>
  </si>
  <si>
    <t>Water availability / capita</t>
  </si>
  <si>
    <r>
      <rPr>
        <sz val="11"/>
        <color indexed="10"/>
        <rFont val="Calibri"/>
        <family val="2"/>
      </rPr>
      <t xml:space="preserve"> </t>
    </r>
    <r>
      <rPr>
        <sz val="11"/>
        <color theme="1"/>
        <rFont val="Calibri"/>
        <family val="2"/>
        <scheme val="minor"/>
      </rPr>
      <t xml:space="preserve">I.e. Flow from Lake Kivu to Risizi River. 
Well, this need to balance the total volume availlable for lakes, say opening stock lakes + additions of water to stock lakes  -/- closing stock lakes is sort of reductions of water to stock lakes .. Isn't it?!  
Is it needed 'to balance with items under Total from 'Outflow to other inland water resources'. </t>
    </r>
    <r>
      <rPr>
        <sz val="11"/>
        <rFont val="Calibri"/>
        <family val="2"/>
      </rPr>
      <t xml:space="preserve">We had now considered 70% of Inflows from other inland water resources to lakes back to rivers and streams. 
--&gt; </t>
    </r>
    <r>
      <rPr>
        <b/>
        <sz val="11"/>
        <rFont val="Calibri"/>
        <family val="2"/>
      </rPr>
      <t xml:space="preserve">Before we had formulas: </t>
    </r>
    <r>
      <rPr>
        <sz val="11"/>
        <rFont val="Calibri"/>
        <family val="2"/>
      </rPr>
      <t xml:space="preserve">
  =(F23)*70% = 1,145 mln m3
  =(F13+F23)*70% = 2689 mln m3 
OR:  Take the remaining difference. In order to derived the only cell that is unknown. ... Although this last step can also be done in the "Asset_Tbl_Balance_2012'  Worksheet 
Now we use Formula:   =SUM(Asset_2012_Table!C5;Asset_2012_Table!C12)-SUM(Asset_2012_Table!C24;Asset_2012_Table!C15;Asset_2012_Table!C16)
--&gt; It might that, as lake Kivu is cross-border, even here an outflow from the lake to abroad DRC could be observed. </t>
    </r>
  </si>
  <si>
    <t xml:space="preserve">Data from RNRA as measured at 4 rivers (Akagera river at Rusumo, Rusizi river at Kamanyora and Ruhwa and Muvumba river before entering to Akagera river. Ruhwa river: 17.86m3/s; Kagitumba river at Bugaragara: 16.38m3/s; Akagera river at Rusumo: 335.80m3/s. Total Outflows: 370.04m3/s = 11,669,654,982.54 m3/yr for 365days = 11,669.65Million m3/yr. 
For Rivers that enter from neighboring countries, BUT enter one of the 'SHARED RIVERS' with one of the neigboring countries Tanzania, Burundi,  these becone shared rivers, and THUS this INFLOW is shared with this neighboring country! Therefor TWG takes 50% of the Inflow from such rivers! This is relevant for Ruvubu River (at Rusumo) at border with Burundi entering the shared river at border. 
At the Outlet of Akagera, currently there is no station. In the past (eighties) there may have been a station, TWG hope to obtain these as a first estimate (2012 data??). So far we use the discharge of Akagera river at Rusumo Station as an estimate for the Akagera Outlet (Kagitumba). This because the experts explained after station at Rusumo there is both inflow, but clearly also outflow (i.e. to feed the lakes in Rwanda, while the precipitation is limited in Eastern Province, thus probably little addtion to akagera from the catchment there. </t>
  </si>
  <si>
    <t>Average dicharge 1970-1988: was 16.3814093390006</t>
  </si>
  <si>
    <t xml:space="preserve">Average dicharge 1955-2000: 335.804765625 m3/sec. 
Now we considered a recent study (2018) by REMA, TNC - Third National Communication on Climate Change for Water Resources Sector (including autors: Omar &amp; Tetero) with a more recent estimate for the volume at the outlet: 256 m3/sec. 
We take 50% as this is Shared River (50/50 share on water volume) with Tanzania. </t>
  </si>
  <si>
    <t xml:space="preserve">Previously we used: 17.8561570547727 from whatever source (?). 
Now we considered a recent study (2018) by REMA, TNC - Third National Communication on Climate Change for Water Resources Sector (including autors: Omar &amp; Tetero) with a more recent estimate for the volume at the outlet: 256 m3/sec. 
We take 50% as this is Shared River (50/50 share on water volume) with Burundi. </t>
  </si>
  <si>
    <t xml:space="preserve">First: 4,556 million m3 is the water from GW to rivers and streams as per Master plan and 30% of it is flowing to the soil water layer due to capilary rise. 
Secondly: we have considered 70% of Inflows from other inland water resources to lakes back to rivers and streams and. In this second Inflow category there may be a bit of double counting with first category here. 
Lastly: 40% of Inflows from other inland water resources to Artificial Reservoirs goes back to rivers and streams (see next cell). </t>
  </si>
  <si>
    <t>Water type</t>
  </si>
  <si>
    <t xml:space="preserve">First: Part of the 'Excess' Soil water will flow to other inland water bodies, partially this Soil Water flows to the shallow groundwater underneath, but probably also partly to the DEEP groundwater bodies. This flow is the so-called 'Percolation' from Soil water to the grounwater underneath. Here put is a first 'rough' estimate. However, we took GW recharge as given by Master plan 2015. 
Further, a second category of water that may flow out of soil water: as we treat Soil Water and groundwater separately, this is in contrast with the NWRMP_2012, that only considered 'Groundwater', that is fine in itself. But therefore, in order to make it balancing we need to considerer all flows leaving the soil water after it has been 'loaded' with a large inflow of water from precipitation. This large inflow somewhere need to flow out again, either to groundwater, but clearly also to one of the other 'inland water resources' like rivers, lakes, reservoirs and so on. 
We now start from taking precipitation -/- ET = remaining water that is available in the soil for whatever purpose, but ready to flow out to one of the other categories. 
The exact parametrisation (50%) ofcourse can be discussed within TWG. </t>
  </si>
  <si>
    <t>Surface water</t>
  </si>
  <si>
    <t>Surface water (rivers)</t>
  </si>
  <si>
    <t>Surface water (rivers &amp; lakes &amp; AR)</t>
  </si>
  <si>
    <t>Groundwater &amp; Surface water</t>
  </si>
  <si>
    <t>Surface water (Artificial reservoir)</t>
  </si>
  <si>
    <t xml:space="preserve">Reporting year is 2016 </t>
  </si>
  <si>
    <t xml:space="preserve">… Various (mainly agriculture) </t>
  </si>
  <si>
    <t xml:space="preserve">TEST: </t>
  </si>
  <si>
    <t xml:space="preserve">… Various (mainly households) </t>
  </si>
  <si>
    <t xml:space="preserve">ISIC-Rev.4 Code: </t>
  </si>
  <si>
    <t>Section A: 01 (Division) - Crop and animal production, hunting and related service activities</t>
  </si>
  <si>
    <t>Section C - Manufacturing - 1079 - Manufacture of other food products n.e.c.</t>
  </si>
  <si>
    <t xml:space="preserve">… Various (mainly household) </t>
  </si>
  <si>
    <t xml:space="preserve">… Various (mainly irrigation &amp; household) </t>
  </si>
  <si>
    <t>Section E
Water supply; sewerage, waste management etc - 36 (Division) - Water collection, treatment and supply</t>
  </si>
  <si>
    <t xml:space="preserve">? Team check please: Small-scale irrigation: Possibly this represents the water taken from rivers transported via the small canals (Weirs) to the fields.  
Was: 31,537.0. </t>
  </si>
  <si>
    <t xml:space="preserve">NCA-Team: Start from figure of RBM&amp;E_2017 study on reporting year 2016 and do kind of 'backasting', in order to arrive at 2012 reporting year. And use expert knowledge on the development of irrigation levels over time from 2012 - 2016. 
The 2016 figure is  157,982,745.60 mln m3 for hydro power and for irrigation: 222,328,965.00 mln m3. From PPT for 2012 we have 162 mln m3 / yr (for 40.5 kha and 4000/ha/yr) and 35 mln m3 / yr for hillside irrigation (for 5kha and 7000 m3/ha/yr). together is 197 mln m3 for 2012. 
Distribute the volume of RBM&amp;E_2017 study over 1.lakes (7%?), 2.Rivers (58%?) and 3.Artificial Reservoirs (25%?) and 4. Combined River &amp; Reservoirs (Dams, ponds, ..) (10%). 
See also: 2012NWRMP', 2012 figure on irrigation (?). And come up with solution.  
Was: 197,000.0 </t>
  </si>
  <si>
    <t xml:space="preserve">NCA-Team: Start from figure of RBM&amp;E_2017 study on reporting year 2016 and do kind of 'backasting', in order to arrive at 2012 reporting year. And use expert knowledge on the development of Water Use levels from Spring irrigation by Households and maybe agriculture over time from 2012 - 2016. 
Distribute the volume of RBM&amp;E_2017 study over 1.households (70%?) and 2.agriculture (30%?) and 3. ... (any other?) (X %?). 
See also: 2012NWRMP', 2012 figure on irrigation (?). And come up with solution.  
Was: ....0 </t>
  </si>
  <si>
    <t>AQUASTAT</t>
  </si>
  <si>
    <r>
      <t>Computation of the Indicator 6.4.1 on Water Use Efficiency (in USD/m</t>
    </r>
    <r>
      <rPr>
        <b/>
        <vertAlign val="superscript"/>
        <sz val="12"/>
        <rFont val="Arial"/>
        <family val="2"/>
      </rPr>
      <t>3</t>
    </r>
    <r>
      <rPr>
        <b/>
        <sz val="12"/>
        <rFont val="Arial"/>
        <family val="2"/>
      </rPr>
      <t>)</t>
    </r>
  </si>
  <si>
    <t>Country:</t>
  </si>
  <si>
    <t>RWANDA</t>
  </si>
  <si>
    <r>
      <t xml:space="preserve">Note: </t>
    </r>
    <r>
      <rPr>
        <sz val="10"/>
        <rFont val="Arial"/>
        <family val="2"/>
      </rPr>
      <t>Fill in blue cells, for green cells to be automatically calculated</t>
    </r>
  </si>
  <si>
    <t>IRRIGATED AGRICULTURE WATER USE EFFICIENCY (Awe)</t>
  </si>
  <si>
    <t>UNIT</t>
  </si>
  <si>
    <t xml:space="preserve">Source ? </t>
  </si>
  <si>
    <t>CALCULATION RULES</t>
  </si>
  <si>
    <t>NISR National Account data</t>
  </si>
  <si>
    <t xml:space="preserve">Unit ? </t>
  </si>
  <si>
    <t xml:space="preserve">The three doesn't add up. </t>
  </si>
  <si>
    <t>Ratio between rainfed and irrigated yields</t>
  </si>
  <si>
    <t>[1]</t>
  </si>
  <si>
    <t>decimals</t>
  </si>
  <si>
    <t>OK</t>
  </si>
  <si>
    <t>0.375 default ratio used if no data entered</t>
  </si>
  <si>
    <t>Agri</t>
  </si>
  <si>
    <t>Source</t>
  </si>
  <si>
    <t>Proportion of irrigated land on the total arable land (Ai)</t>
  </si>
  <si>
    <t>[2]</t>
  </si>
  <si>
    <t>=[3]/[4]</t>
  </si>
  <si>
    <t>Industries</t>
  </si>
  <si>
    <t>Irrigated land</t>
  </si>
  <si>
    <t>[3]</t>
  </si>
  <si>
    <t xml:space="preserve">From MINAGRI, collected in May 2016 (FAO) (ha), 
Ask Innocent from MINAGRI </t>
  </si>
  <si>
    <t>Arable land</t>
  </si>
  <si>
    <t>[4]</t>
  </si>
  <si>
    <t xml:space="preserve">From MINAGRI / FAO in ha ?? 
Ask Innocent from MINAGRI ! </t>
  </si>
  <si>
    <r>
      <t xml:space="preserve">1965: 20.5% of total land 24617 km2 
</t>
    </r>
    <r>
      <rPr>
        <b/>
        <sz val="8"/>
        <rFont val="Arial"/>
        <family val="2"/>
      </rPr>
      <t xml:space="preserve">'2012: 47.9 % of total land 24617 km2 </t>
    </r>
    <r>
      <rPr>
        <sz val="8"/>
        <rFont val="Arial"/>
        <family val="2"/>
      </rPr>
      <t xml:space="preserve">
'2013: 47.9 % of total land 24617 km2 
'2014: 46% of total land 24617 km2 </t>
    </r>
  </si>
  <si>
    <t>Services</t>
  </si>
  <si>
    <t>Proportion of agricultural GVA produced by rainfed agriculture (Cr)</t>
  </si>
  <si>
    <t>[5]</t>
  </si>
  <si>
    <t>Can NOT be Negative !?</t>
  </si>
  <si>
    <t>=(1/(1+([2]/((1-[2])*[1])))))</t>
  </si>
  <si>
    <t xml:space="preserve">Volume of water withdrawn by the agricultural sector </t>
  </si>
  <si>
    <t>[6]</t>
  </si>
  <si>
    <r>
      <t>km</t>
    </r>
    <r>
      <rPr>
        <vertAlign val="superscript"/>
        <sz val="8"/>
        <rFont val="Arial"/>
        <family val="2"/>
      </rPr>
      <t>3</t>
    </r>
  </si>
  <si>
    <t xml:space="preserve">Correct ? CHECK: Either from RBM&amp;E AND/OR from NCA - Water !? </t>
  </si>
  <si>
    <t>(including irrigation, livestock and aquaculture)</t>
  </si>
  <si>
    <t>NCA .. GRW &amp; SW ..</t>
  </si>
  <si>
    <t xml:space="preserve">Gross value added by agriculture </t>
  </si>
  <si>
    <t>[7]</t>
  </si>
  <si>
    <t>USD</t>
  </si>
  <si>
    <t>km3</t>
  </si>
  <si>
    <t>(excluding river and marine fisheries and forestry)</t>
  </si>
  <si>
    <t xml:space="preserve">% GVA Rainfed Agric. </t>
  </si>
  <si>
    <t>% GVA Irrigated Agric.</t>
  </si>
  <si>
    <t>Irrigated Agriculture Water Use Efficiency</t>
  </si>
  <si>
    <t>[8]</t>
  </si>
  <si>
    <r>
      <t>USD/m</t>
    </r>
    <r>
      <rPr>
        <b/>
        <vertAlign val="superscript"/>
        <sz val="10"/>
        <rFont val="Arial"/>
        <family val="2"/>
      </rPr>
      <t>3</t>
    </r>
  </si>
  <si>
    <t>=([7]*(1-[5]))/[6]</t>
  </si>
  <si>
    <t>WUE</t>
  </si>
  <si>
    <t>INDUSTRIAL WATER USE EFFICIENCY (Iwe)</t>
  </si>
  <si>
    <t>Unit</t>
  </si>
  <si>
    <t>Gross value added by industries (including energy)</t>
  </si>
  <si>
    <t>[9]</t>
  </si>
  <si>
    <t xml:space="preserve">Volume of water withdrawn by the industries (including energy) </t>
  </si>
  <si>
    <t>[10]</t>
  </si>
  <si>
    <t>Industrial Water Use Efficiency</t>
  </si>
  <si>
    <t>[11]</t>
  </si>
  <si>
    <t>=[9]/[10]</t>
  </si>
  <si>
    <t>SERVICES WATER USE EFFICIENCY (Swe)</t>
  </si>
  <si>
    <t>Gross value added by services</t>
  </si>
  <si>
    <t>[12]</t>
  </si>
  <si>
    <t>Volume of water withdrawn by the services</t>
  </si>
  <si>
    <t>[13]</t>
  </si>
  <si>
    <t>Services Water Use Efficiency</t>
  </si>
  <si>
    <t>[14]</t>
  </si>
  <si>
    <t>=[12]/[13]</t>
  </si>
  <si>
    <t>WATER USE EFFICIENCY (WUE)</t>
  </si>
  <si>
    <t>Proportion of water withdrawn by the agricultural sector over the total withdrawals</t>
  </si>
  <si>
    <t>[15]</t>
  </si>
  <si>
    <t>=[6]/([6]+[10]+[13])</t>
  </si>
  <si>
    <t>Proportion of water withdrawn by the industry sector over the total withdrawals</t>
  </si>
  <si>
    <t>[16]</t>
  </si>
  <si>
    <t>=[10]/([6]+[10]+[13])</t>
  </si>
  <si>
    <t>Proportion of water withdrawn by the service sector over the total withdrawals</t>
  </si>
  <si>
    <t>[17]</t>
  </si>
  <si>
    <t>=[13]/([6]+[10]+[13])</t>
  </si>
  <si>
    <t>Water Use Efficiency</t>
  </si>
  <si>
    <t>[18]</t>
  </si>
  <si>
    <t>=([15]*[8])+([16]*[11])+([17]*[14])</t>
  </si>
  <si>
    <t>Notes:</t>
  </si>
  <si>
    <t>The definitions of the variables listed in the form are available in AQUASTAT:</t>
  </si>
  <si>
    <t>http://www.fao.org/nr/water/aquastat/data/glossary/search.html?lang=en</t>
  </si>
  <si>
    <r>
      <t>Computation of long-term average annual renewable water resources by country (in km</t>
    </r>
    <r>
      <rPr>
        <b/>
        <vertAlign val="superscript"/>
        <sz val="12"/>
        <rFont val="Arial"/>
        <family val="2"/>
      </rPr>
      <t>3</t>
    </r>
    <r>
      <rPr>
        <b/>
        <sz val="12"/>
        <rFont val="Arial"/>
        <family val="2"/>
      </rPr>
      <t>/year)</t>
    </r>
  </si>
  <si>
    <t>INTERNAL RENEWABLE WATER RESOURCES (IRWR)</t>
  </si>
  <si>
    <t>Precipitation (mm/year)</t>
  </si>
  <si>
    <t>Area of the country (1000 ha)</t>
  </si>
  <si>
    <t>Precipitation (km3/year)</t>
  </si>
  <si>
    <t>=([1]/1000000)x([2]x10)</t>
  </si>
  <si>
    <t xml:space="preserve">= Internal Flow' Source ? </t>
  </si>
  <si>
    <t>Overlap between surface water and groundwater</t>
  </si>
  <si>
    <t xml:space="preserve">Total internal renewable water resources </t>
  </si>
  <si>
    <t>=[4]+[5]-[6]</t>
  </si>
  <si>
    <t>EXTERNAL RENEWABLE WATER RESOURCES (ERWR)</t>
  </si>
  <si>
    <t>Accounted</t>
  </si>
  <si>
    <t>Surface water entering the country</t>
  </si>
  <si>
    <t>Inflow not submitted to treaties</t>
  </si>
  <si>
    <t>Inflow submitted to treaties</t>
  </si>
  <si>
    <t>Inflow secured through treaties</t>
  </si>
  <si>
    <t>Flow in border rivers</t>
  </si>
  <si>
    <t>Accounted inflow</t>
  </si>
  <si>
    <t>=[8]+[9]+[10]</t>
  </si>
  <si>
    <t>Surface water leaving the country</t>
  </si>
  <si>
    <t>Outflow not submitted to treaties</t>
  </si>
  <si>
    <t>Outflow submitted to treaties</t>
  </si>
  <si>
    <t>Outflow secured through treaties</t>
  </si>
  <si>
    <t>Surface water: total external renewable</t>
  </si>
  <si>
    <t>=[11]-[12]</t>
  </si>
  <si>
    <t xml:space="preserve">Groundwater entering the country </t>
  </si>
  <si>
    <t>Groundwater leaving the country</t>
  </si>
  <si>
    <t>Total external renewable water resources</t>
  </si>
  <si>
    <t>=[13]+[14]</t>
  </si>
  <si>
    <t>TOTAL RENEWABLE WATER RESOURCES (TRWR)</t>
  </si>
  <si>
    <t>Surface water: total renewable</t>
  </si>
  <si>
    <t>=[4]+[13]</t>
  </si>
  <si>
    <t>Groundwater: total renewable</t>
  </si>
  <si>
    <t>=[5]+[14]</t>
  </si>
  <si>
    <t>Water resources: total renewable</t>
  </si>
  <si>
    <t>=[16]+[17]-[6]</t>
  </si>
  <si>
    <t>Dependency ratio (%)</t>
  </si>
  <si>
    <t>[19]</t>
  </si>
  <si>
    <t>=100*([11]+[14]])/([11]+[14]+[7])</t>
  </si>
  <si>
    <t>Metadata:</t>
  </si>
  <si>
    <t>Computation of the SDG Indicator 6.4.2 on Water Stress by country (in %)</t>
  </si>
  <si>
    <t>Update [year]</t>
  </si>
  <si>
    <t>WATER STRESS</t>
  </si>
  <si>
    <t xml:space="preserve">?? </t>
  </si>
  <si>
    <t>Total freshwater withdrawn (surface + groundwater)</t>
  </si>
  <si>
    <r>
      <t>in km</t>
    </r>
    <r>
      <rPr>
        <vertAlign val="superscript"/>
        <sz val="8"/>
        <rFont val="Arial"/>
        <family val="2"/>
      </rPr>
      <t>3</t>
    </r>
  </si>
  <si>
    <t>=[2]-[3]-[4]-[5]</t>
  </si>
  <si>
    <t>Total water withdrawal</t>
  </si>
  <si>
    <t>Desalinated water produced</t>
  </si>
  <si>
    <t>Direct use of treated municipal wastewater</t>
  </si>
  <si>
    <t>Direct use of agricultural drainage water</t>
  </si>
  <si>
    <t>Total renewable freshwater resources</t>
  </si>
  <si>
    <t>Environmental flow requirements</t>
  </si>
  <si>
    <t>in %</t>
  </si>
  <si>
    <t>Environmental flow requirements (volume)</t>
  </si>
  <si>
    <t>Water Stress</t>
  </si>
  <si>
    <t>=[1]/([6]-([6]*[7]/100))</t>
  </si>
  <si>
    <t xml:space="preserve">Indicators: </t>
  </si>
  <si>
    <t>Indicators</t>
  </si>
  <si>
    <t>Water Asset Table, 2012 - Balanced</t>
  </si>
  <si>
    <t>Year</t>
  </si>
  <si>
    <t>33,559.9</t>
  </si>
  <si>
    <t>31,934.7</t>
  </si>
  <si>
    <t>31,966.4</t>
  </si>
  <si>
    <t>32,026.9</t>
  </si>
  <si>
    <t>24,086.0</t>
  </si>
  <si>
    <t>850.2</t>
  </si>
  <si>
    <t>1,109.0</t>
  </si>
  <si>
    <t>34,410.1</t>
  </si>
  <si>
    <t>33,043.7</t>
  </si>
  <si>
    <t>33,075.4</t>
  </si>
  <si>
    <t>33,135.9</t>
  </si>
  <si>
    <t>25,195.0</t>
  </si>
  <si>
    <t>22,750.8</t>
  </si>
  <si>
    <t>22,458.5</t>
  </si>
  <si>
    <t>20,893.9</t>
  </si>
  <si>
    <t>21,620.9</t>
  </si>
  <si>
    <t>16,378.5</t>
  </si>
  <si>
    <t>11,659.3</t>
  </si>
  <si>
    <t>10,585.2</t>
  </si>
  <si>
    <t>12,181.5</t>
  </si>
  <si>
    <t>11,515.1</t>
  </si>
  <si>
    <t>8,816.5</t>
  </si>
  <si>
    <t xml:space="preserve">LINKED: </t>
  </si>
  <si>
    <r>
      <t>Total Renewable water resources</t>
    </r>
    <r>
      <rPr>
        <b/>
        <sz val="10"/>
        <color indexed="8"/>
        <rFont val="Calibri"/>
        <family val="2"/>
      </rPr>
      <t xml:space="preserve"> (TRWR)</t>
    </r>
  </si>
  <si>
    <r>
      <t>Internal Renewable water resources</t>
    </r>
    <r>
      <rPr>
        <b/>
        <sz val="10"/>
        <color indexed="8"/>
        <rFont val="Calibri"/>
        <family val="2"/>
      </rPr>
      <t xml:space="preserve"> (IRWR)</t>
    </r>
  </si>
  <si>
    <t xml:space="preserve">Table X: Water accounts results on water stress  at country level </t>
  </si>
  <si>
    <t>TWW as per NWRMP and Water use study report</t>
  </si>
  <si>
    <t>Population by NISR</t>
  </si>
  <si>
    <t xml:space="preserve">As per JJJJ </t>
  </si>
  <si>
    <t xml:space="preserve">With Env water flows consideration of 21% </t>
  </si>
  <si>
    <t xml:space="preserve">Linked: </t>
  </si>
  <si>
    <t xml:space="preserve">Source: </t>
  </si>
  <si>
    <r>
      <t>(Million m</t>
    </r>
    <r>
      <rPr>
        <i/>
        <vertAlign val="superscript"/>
        <sz val="10"/>
        <color indexed="8"/>
        <rFont val="Times New Roman"/>
        <family val="1"/>
      </rPr>
      <t>3</t>
    </r>
    <r>
      <rPr>
        <i/>
        <sz val="10"/>
        <color indexed="8"/>
        <rFont val="Times New Roman"/>
        <family val="1"/>
      </rPr>
      <t>)</t>
    </r>
  </si>
  <si>
    <r>
      <t xml:space="preserve"> (m</t>
    </r>
    <r>
      <rPr>
        <i/>
        <vertAlign val="superscript"/>
        <sz val="10"/>
        <color indexed="8"/>
        <rFont val="Times New Roman"/>
        <family val="1"/>
      </rPr>
      <t>3</t>
    </r>
    <r>
      <rPr>
        <i/>
        <sz val="10"/>
        <color indexed="8"/>
        <rFont val="Times New Roman"/>
        <family val="1"/>
      </rPr>
      <t xml:space="preserve"> / capita ) </t>
    </r>
  </si>
  <si>
    <t xml:space="preserve">Water availability: TRWR / capita </t>
  </si>
  <si>
    <t>SDG - Water Resources</t>
  </si>
  <si>
    <t>SDG 6.4.2 - Water stress</t>
  </si>
  <si>
    <t>SDG 6.4.1 - Water Use Efficiency</t>
  </si>
  <si>
    <t xml:space="preserve">Plausibility: </t>
  </si>
  <si>
    <t xml:space="preserve">Total Production activities </t>
  </si>
  <si>
    <t xml:space="preserve">GDP / Total use of water </t>
  </si>
  <si>
    <t xml:space="preserve">GDP / Groundwater </t>
  </si>
  <si>
    <t xml:space="preserve">GDP / Surface water </t>
  </si>
  <si>
    <t xml:space="preserve">GDP / Total abstraction </t>
  </si>
  <si>
    <t xml:space="preserve">GDP / Total supply of water </t>
  </si>
  <si>
    <t xml:space="preserve">GDP / Consumption </t>
  </si>
  <si>
    <t>Water productivity (by water 'use category'</t>
  </si>
  <si>
    <t>PSUT: Physical Supply &amp; Use Table Water (detailed), 2012</t>
  </si>
  <si>
    <t xml:space="preserve">  Table 11</t>
  </si>
  <si>
    <t>Indices</t>
  </si>
  <si>
    <t>Grand Total (*1000 m3)</t>
  </si>
  <si>
    <t xml:space="preserve">RBM&amp;E - 2017 Study: Reporting year is 2016, previous years are derived by using 'sectoral growth rates' </t>
  </si>
  <si>
    <t xml:space="preserve">Starting from RBM&amp;E - 2017 Study, with reporting year 2016, here 'sectoral growth rates' are shown. To be chosen manually, with using NA - data &amp; Expert knowledge on timeseries of 'water uses' ! </t>
  </si>
  <si>
    <t xml:space="preserve">RBM&amp;E 2017 Study Results </t>
  </si>
  <si>
    <t>Estimated annual growth percentage of water USE (% / year):</t>
  </si>
  <si>
    <t xml:space="preserve">NCA-Team: Start from figure of RBM&amp;E_2017 study, including BOREHOLES on reporting year 2016 and do kind of 'backasting', in order to arrive at water volume for 2012 reporting year. Possibly use expert knowledge (from NCA-Water &amp; IWRM) on the development of water use volumes from Boreholes over time from 2012 - 2016. 
The 2016 figure for Boreholes is 5,657,799.59 mln m3. 
We need to discover which part goes to agriculture (75% ?), and which part goes to the other industries (ISIC - categories) !? 
And: We need to correct and trace back ('backcast') the volume in previous years all back to reportingyear 2012 and find the right volume (mln m3). As a proposal start as a share with 2012 being 90% of 2016. Please check this on plausibility. 
See also: 2012NWRMP', has this 2012 figure on water obtained from boreholes .. (?). And come up with final bid for 2012. 
Source:  ... &amp; Link ? Correct?? </t>
  </si>
  <si>
    <t xml:space="preserve">NCA-Team: Start from figure of RBM&amp;E_2017 study on reporting year 2016 and do kind of 'backasting', in order to arrive at 2012 reporting year. And use expert knowledge on the development of Water Use levels from Spring irrigation by Households and maybe agriculture over time from 2012 - 2016. 
Distribute the volume of RBM&amp;E_2017 study over 1.households (70%?) and 2.agriculture (30%?) and 3. ... (any other?) (X %?). 
See also: 2012NWRMP', 2012 figure on irrigation (?). And come up with solution.  
Was: =(39118.22402)*(75%*90%) = 26.405.  
As a proposal Was: We need to discover (or judge) which part goes to agriculture (75% ?), and which part goes to the other industries (ISIC - categories). 
And further need to choose a trend for reporting year 2012 as a trend comparing to 90% of 2016. 
Please check on plausibility. </t>
  </si>
  <si>
    <t xml:space="preserve">NCA-Team: Start from figure of RBM&amp;E_2017 study on reporting year 2016 and do kind of 'backasting', in order to arrive at 2012 reporting year. And use expert knowledge on the development of Water Use levels from Spring irrigation by Households and maybe agriculture over time from 2012 - 2016. 
Distribute the volume of RBM&amp;E_2017 study over 1.households (70%?) and 2.agriculture (30%?) and 3. ... (any other?) (X %?). 
See also: 2012NWRMP', 2012 figure on irrigation (?). And come up with solution.  
Was: ... .  
As a proposal Was: We need to discover (or judge) which part goes to agriculture (25% ?), and which part goes to the other industries (ISIC - categories), 10 percent to manufacturing (10%) and households (65%). 
And see again the trend (in timeseries) for reporting year 2012 as a trend comparing to 90% or else compared to 2016. 
Please check on plausibility. </t>
  </si>
  <si>
    <t xml:space="preserve">NWRMP - Mining - 2012 - Country wide: This was 4,007,000 m3. 
Now: Use the values from the RBM&amp;E - Report 2017 directly, on the water used by Mining sector. </t>
  </si>
  <si>
    <t xml:space="preserve">Source: … ? </t>
  </si>
  <si>
    <t xml:space="preserve">Was: 36,963,000 m3. Source: … ? 
Now 2018: NCA-Team: Start from figure of RBM&amp;E_2017 study, including the water used by: 'Section E: Water supply; sewerage, waste management etc - 36 (Division) - Water collection, treatment and supply' on reporting year 2016 and via kind of 'backasting' in order to arrive at water volume for 2012 reporting year. 
Here also apply expert knowledge (from NCA-Water &amp; IWRM) on the development, the trend of water use volumes from Boreholes over time from 2012 - 2016 by implmenting indexes. 
The 2016 figure for Section E water use is 53,008,,790 mln m3. 
We need to discover which part goes to ... (75% ?), and which part comes from surface water (ricvers) and which part comes from groundwater ... (  %) !?. 
Apply distribution, following previous data (based upon WASAC distribution). 
See evt. also: 2012NWRMP', has this 2012 figure on water for Public Water Supply. And confront after growth with 2012 figure. </t>
  </si>
  <si>
    <t xml:space="preserve">Was: 40,176,000 m3. Source: … ? 
Now 2018: NCA-Team: Start from figure of RBM&amp;E_2017 study, including the water used by: 'Section E: Water supply; sewerage, waste management etc - 36 (Division) - Water collection, treatment and supply' on reporting year 2016 and via kind of 'backasting' in order to arrive at water volume for 2012 reporting year. 
Here also apply expert knowledge (from NCA-Water &amp; IWRM) on the development, the trend of water use volumes from Boreholes over time from 2012 - 2016 by implmenting indexes. 
The 2016 figure for Section E water use is 53,008,,790 mln m3. 
We need to discover which part goes to ... (75% ?), and which part comes from surface water (ricvers) and which part comes from groundwater ... (  %) !?. 
Apply distribution, following previous data (based upon WASAC distribution). 
See evt. also: 2012NWRMP', has this 2012 figure on water for Public Water Supply. And confront after growth with 2012 figure. </t>
  </si>
  <si>
    <t xml:space="preserve">Was: 31,092,000 m3. Source: … ? 
Now 2018: NCA-Team: Start from figure of RBM&amp;E_2017 study, including the water used by: 'Section E: Water supply; sewerage, waste management etc - 36 (Division) - Water collection, treatment and supply' on reporting year 2016 and via kind of 'backasting' in order to arrive at water volume for 2012 reporting year. 
Apply Ratio old: 31,092,229.6 / (31,092,229.6 + 9,083,378.2) = 31,092,229.6 / 40,175,607.8 </t>
  </si>
  <si>
    <t>Years opening stock</t>
  </si>
  <si>
    <t xml:space="preserve">Link to Asset_Tbl_Balance_JJJJ … </t>
  </si>
  <si>
    <t xml:space="preserve">LATER: Update links for the different years from here … </t>
  </si>
  <si>
    <t>Hardcopy: as per 07-03-2018</t>
  </si>
  <si>
    <t>Was: 39898</t>
  </si>
  <si>
    <t>Was: 133,1154</t>
  </si>
  <si>
    <t>Was: 90,7908</t>
  </si>
  <si>
    <t>Was: 741,096</t>
  </si>
  <si>
    <t xml:space="preserve">Was Hardcopy: 8,078,000 m3 
Now Linked to RBM&amp;E: 11,482,000 m3 (just covering the 'Coffee Washing Stations') 
… / (what about use from rivers by other industries manufacturing (ISIC - C)  ?? </t>
  </si>
  <si>
    <t xml:space="preserve">NCA-Team: Start from figure of RBM&amp;E_2017 study, including BOREHOLES on reporting year 2016 and do kind of 'backasting', in order to arrive at water volume for 2012 reporting year. Possibly use expert knowledge (from NCA-Water &amp; IWRM) on the development of water use volumes from Boreholes over time from 2012 - 2016. 
The 2016 figure for Boreholes is 5,657,799.59 mln m3. 
We need to discover which part goes to agriculture (75% ?), and which part goes to the other industries (ISIC - categories) !? 
And: We need to correct and trace back ('backcast') the volume in previous years all back to reportingyear 2012 and find the right volume (mln m3). As a proposal start as a share with 2012 being 90% of 2016. Please check this on plausibility. 
See also: 2012NWRMP', has this 2012 figure on water obtained from boreholes .. (?). And come up with final bid for 2012. 
30% Ok?  &amp;  25% Ok? </t>
  </si>
  <si>
    <t xml:space="preserve">50% Ok? </t>
  </si>
  <si>
    <t xml:space="preserve">From rivers: October 2017: From 15.6 Mln m3 
To: 
January 2018: 2,215.0 Mln m3 ??? 
--&gt; A factor of about 150 difference ! 
To: March 2018: RBM&amp;E 2012: 
213 mln m3 from just Rivers !! </t>
  </si>
  <si>
    <t xml:space="preserve">What is the water volume (m3) from Artificial Reservoirs used for hydro generation? 
This is In-stream use, meaning it largely remains in the Inland Water System. 
--&gt; This means: 
  - Is 'Water use' 
  - But is NOT perse 'Water consumption' ! </t>
  </si>
  <si>
    <r>
      <t>Physical asset account for water resources Year 2012 in Million m</t>
    </r>
    <r>
      <rPr>
        <b/>
        <u/>
        <vertAlign val="superscript"/>
        <sz val="8"/>
        <rFont val="Calibri Light"/>
        <family val="2"/>
      </rPr>
      <t>3</t>
    </r>
    <r>
      <rPr>
        <b/>
        <u/>
        <sz val="8"/>
        <rFont val="Calibri Light"/>
        <family val="2"/>
      </rPr>
      <t xml:space="preserve">  (BALANCED !)</t>
    </r>
  </si>
  <si>
    <t xml:space="preserve">Estimate need to be made here … ! 
--&gt; Depeding on water use for food and wood production for households (livelihood) </t>
  </si>
  <si>
    <t xml:space="preserve">Checks: </t>
  </si>
  <si>
    <t xml:space="preserve">Share of cell L85: 1.i.2 Groundwater …? </t>
  </si>
  <si>
    <t>Source:</t>
  </si>
  <si>
    <t xml:space="preserve">Was: 63,78813. Source: … ? 
Can this get further breakdown underneath for distribution over Boreholes and Springs ? 
In H85 to:      1.i.2.a From Boreholes   and 
In H86 to:      1.i.2.b From Springs </t>
  </si>
  <si>
    <t xml:space="preserve">Was: 9,083,000 m3. Source: … ? 
Now 2018: NCA-Team: Start from figure of RBM&amp;E_2017 study, including the water used by: 'Section E: Water supply; sewerage, waste management etc - 36 (Division) - Water collection, treatment and supply' on reporting year 2016 and via kind of 'backasting' in order to arrive at water volume for 2012 reporting year. 
Apply Ratio old: 31,092,229.6 / (31,092,229.6 + 9,083,378.2) = 9,083,378.2 / 40,175,607.8 
--&gt; Can this get further breakdown underneath over Boreholes and Springs: 
  In H85 to:      1.i.2.a From Boreholes   and 
  In H86 to:      1.i.2.b From Springs </t>
  </si>
  <si>
    <t>Water availability per capita</t>
  </si>
  <si>
    <t>SDG 6.4.1</t>
  </si>
  <si>
    <t>SDG 6.4.2</t>
  </si>
  <si>
    <t>SDG Resources Sheet</t>
  </si>
  <si>
    <t>GDP / Surface water &amp; Groundwater</t>
  </si>
  <si>
    <t>PSUT_2012</t>
  </si>
  <si>
    <t>From PSUT_2012: 'Wateruse category'</t>
  </si>
  <si>
    <t xml:space="preserve">  ( billion Rwf )</t>
  </si>
  <si>
    <r>
      <t>RwF/m</t>
    </r>
    <r>
      <rPr>
        <vertAlign val="superscript"/>
        <sz val="11"/>
        <color indexed="12"/>
        <rFont val="Calibri"/>
        <family val="2"/>
      </rPr>
      <t>3</t>
    </r>
    <r>
      <rPr>
        <sz val="11"/>
        <color indexed="12"/>
        <rFont val="Calibri"/>
        <family val="2"/>
      </rPr>
      <t xml:space="preserve"> </t>
    </r>
  </si>
  <si>
    <r>
      <t>Bln m</t>
    </r>
    <r>
      <rPr>
        <vertAlign val="superscript"/>
        <sz val="11"/>
        <color indexed="12"/>
        <rFont val="Calibri"/>
        <family val="2"/>
      </rPr>
      <t>3</t>
    </r>
    <r>
      <rPr>
        <sz val="11"/>
        <color indexed="12"/>
        <rFont val="Calibri"/>
        <family val="2"/>
      </rPr>
      <t xml:space="preserve"> </t>
    </r>
  </si>
  <si>
    <t>Billion Rwf</t>
  </si>
  <si>
    <r>
      <t>Total (Bln m</t>
    </r>
    <r>
      <rPr>
        <vertAlign val="superscript"/>
        <sz val="11"/>
        <color indexed="12"/>
        <rFont val="Calibri"/>
        <family val="2"/>
      </rPr>
      <t>3</t>
    </r>
    <r>
      <rPr>
        <sz val="11"/>
        <color indexed="12"/>
        <rFont val="Calibri"/>
        <family val="2"/>
      </rPr>
      <t xml:space="preserve"> )</t>
    </r>
  </si>
  <si>
    <t xml:space="preserve">RBM&amp;E_2017_Study on Water use with data, for reporting year 2016 </t>
  </si>
  <si>
    <t>'Standard'</t>
  </si>
  <si>
    <r>
      <t>Bln m</t>
    </r>
    <r>
      <rPr>
        <vertAlign val="superscript"/>
        <sz val="11"/>
        <color indexed="8"/>
        <rFont val="Calibri"/>
        <family val="2"/>
      </rPr>
      <t>3</t>
    </r>
    <r>
      <rPr>
        <sz val="11"/>
        <color theme="1"/>
        <rFont val="Calibri"/>
        <family val="2"/>
        <scheme val="minor"/>
      </rPr>
      <t xml:space="preserve"> </t>
    </r>
  </si>
  <si>
    <t>To be filled ….</t>
  </si>
  <si>
    <t xml:space="preserve">… </t>
  </si>
  <si>
    <t>RBM&amp;E-2017_Study</t>
  </si>
  <si>
    <t xml:space="preserve">RATIOS for ANNUAL GROWTH in Water use (2012 onwards) </t>
  </si>
  <si>
    <t>Volume in 1000 m3</t>
  </si>
  <si>
    <t xml:space="preserve">  Table 12</t>
  </si>
  <si>
    <t>Water Asset Table, 2014</t>
  </si>
  <si>
    <t>Water_Asset_Table_Data_&amp;_Method, 2014</t>
  </si>
  <si>
    <t>Water Asset Table, 2013 - Balanced</t>
  </si>
  <si>
    <t>Water_PSUT_Table_Data_&amp;_Method, 2013</t>
  </si>
  <si>
    <t>PSUT: Physical Supply &amp; Use Table Water (detailed), 2014</t>
  </si>
  <si>
    <t>Water_PSUT_Table_Data_&amp;_Method, 2014</t>
  </si>
  <si>
    <t>Water Asset Table, 2014 - Balanced</t>
  </si>
  <si>
    <t>PSUT: Physical Supply &amp; Use Table Water (detailed), 2013</t>
  </si>
  <si>
    <t>Water_Asset_Table_Data_&amp;_Method, 2013</t>
  </si>
  <si>
    <t>Water Asset Table, 2013</t>
  </si>
  <si>
    <t>Water Asset Table, 2015</t>
  </si>
  <si>
    <t>Water_Asset_Table_Data_&amp;_Method, 2015</t>
  </si>
  <si>
    <t>Water Asset Table, 2015 - Balanced</t>
  </si>
  <si>
    <t>Water_PSUT_Table_Data_&amp;_Method, 2015</t>
  </si>
  <si>
    <t>PSUT: Physical Supply &amp; Use Table Water (detailed), 2015</t>
  </si>
  <si>
    <t>population in mln 2013 using projections from NISR</t>
  </si>
  <si>
    <t>population in mln 2014 using projections from NISR</t>
  </si>
  <si>
    <t>population in mln 2015 using projections from NISR</t>
  </si>
  <si>
    <t>Calculated rainfall for year 2015 as collected from Rwanda Meteo</t>
  </si>
  <si>
    <t>1260.4mm/yr</t>
  </si>
  <si>
    <t>Total rainfall volume for yr 2015</t>
  </si>
  <si>
    <t>1.2604m/yr</t>
  </si>
  <si>
    <t>Calculated rainfall for year 2014 as collected from Rwanda Meteo</t>
  </si>
  <si>
    <t>1213.7mm/yr</t>
  </si>
  <si>
    <t>ET for 2013</t>
  </si>
  <si>
    <t>ET for 2014</t>
  </si>
  <si>
    <t>ET for 2015</t>
  </si>
  <si>
    <t>Total rainfall volume for yr 2014</t>
  </si>
  <si>
    <t>Calculated rainfall for year 2013 as collected from Rwanda Meteo</t>
  </si>
  <si>
    <t>1212.5mm/yr</t>
  </si>
  <si>
    <t>1.2125m/yr</t>
  </si>
  <si>
    <t>0.82092m/yr</t>
  </si>
  <si>
    <t>820.92mm/yr</t>
  </si>
  <si>
    <t>0.7933m/yr</t>
  </si>
  <si>
    <t>793.3mm/yr</t>
  </si>
  <si>
    <t>0.8527m/yr</t>
  </si>
  <si>
    <t>852.7mm/yr</t>
  </si>
  <si>
    <t xml:space="preserve">Was Hardcopy: 
2,488,033,000 m3 
Now Linked to RBM&amp;E: 
See sum under: 
213,654,000 m3 (just for hydro electric … ) </t>
  </si>
  <si>
    <t>Indicator compilation: straight taken from Asset Table. Data used are rainfall from Rwanda Meteo</t>
  </si>
  <si>
    <t>Indicator compilation: straight taken from Asset Table. Data used are evaporation from Rwanda Meteo</t>
  </si>
  <si>
    <t>Calculated ET for year 2013 as collected from Rwanda Meteo</t>
  </si>
  <si>
    <t>Calculated ET for year 2014 as collected from Rwanda Meteo</t>
  </si>
  <si>
    <t>Calculated ET for year 2015 as collected from Rwanda Meteo</t>
  </si>
  <si>
    <r>
      <t>Physical asset account for water resources Year 2014 in Million m</t>
    </r>
    <r>
      <rPr>
        <b/>
        <u/>
        <vertAlign val="superscript"/>
        <sz val="8"/>
        <rFont val="Calibri Light"/>
        <family val="2"/>
      </rPr>
      <t>3</t>
    </r>
    <r>
      <rPr>
        <b/>
        <u/>
        <sz val="8"/>
        <rFont val="Calibri Light"/>
        <family val="2"/>
      </rPr>
      <t xml:space="preserve">  (BALANCED !)</t>
    </r>
  </si>
  <si>
    <r>
      <t>Physical asset account for water resources Year 2015 in Million m</t>
    </r>
    <r>
      <rPr>
        <b/>
        <u/>
        <vertAlign val="superscript"/>
        <sz val="8"/>
        <rFont val="Calibri Light"/>
        <family val="2"/>
      </rPr>
      <t>3</t>
    </r>
    <r>
      <rPr>
        <b/>
        <u/>
        <sz val="8"/>
        <rFont val="Calibri Light"/>
        <family val="2"/>
      </rPr>
      <t xml:space="preserve">  (BALANCED !)</t>
    </r>
  </si>
  <si>
    <t>Closing stock water resources2012</t>
  </si>
  <si>
    <t>Closing stock water resources2013</t>
  </si>
  <si>
    <t>Closing stock water resources2014</t>
  </si>
  <si>
    <t>Closing stock water resources2015</t>
  </si>
  <si>
    <t>Closing stock water resources2016</t>
  </si>
  <si>
    <t>Trends in % in 4 yrs</t>
  </si>
  <si>
    <r>
      <t>Trends of water resources in Rwanda for year 2012-2015 in million m</t>
    </r>
    <r>
      <rPr>
        <vertAlign val="superscript"/>
        <sz val="11"/>
        <color indexed="8"/>
        <rFont val="Calibri"/>
        <family val="2"/>
      </rPr>
      <t>3</t>
    </r>
  </si>
  <si>
    <t>Check by Closing Stocks</t>
  </si>
  <si>
    <t>Checks:</t>
  </si>
  <si>
    <t>Closing stock water resources (after balancing)</t>
  </si>
  <si>
    <t>Asset trends Charts I</t>
  </si>
  <si>
    <t>Asset trends Charts II</t>
  </si>
  <si>
    <t>Trends (2012-2015)</t>
  </si>
  <si>
    <t>Closing stock water resources 2012</t>
  </si>
  <si>
    <t>Closing stock water resources 2013</t>
  </si>
  <si>
    <t>Closing stock water resources 2014</t>
  </si>
  <si>
    <t>Closing stock water resources 2015</t>
  </si>
  <si>
    <r>
      <t>(Million m</t>
    </r>
    <r>
      <rPr>
        <i/>
        <vertAlign val="superscript"/>
        <sz val="10"/>
        <rFont val="Times New Roman"/>
        <family val="1"/>
      </rPr>
      <t>3</t>
    </r>
    <r>
      <rPr>
        <i/>
        <sz val="10"/>
        <rFont val="Times New Roman"/>
        <family val="1"/>
      </rPr>
      <t>)</t>
    </r>
  </si>
  <si>
    <r>
      <t xml:space="preserve"> (m</t>
    </r>
    <r>
      <rPr>
        <i/>
        <vertAlign val="superscript"/>
        <sz val="10"/>
        <rFont val="Times New Roman"/>
        <family val="1"/>
      </rPr>
      <t>3</t>
    </r>
    <r>
      <rPr>
        <i/>
        <sz val="10"/>
        <rFont val="Times New Roman"/>
        <family val="1"/>
      </rPr>
      <t xml:space="preserve"> / capita ) </t>
    </r>
  </si>
  <si>
    <t>From PSUT_2013: 'Wateruse category'</t>
  </si>
  <si>
    <t>From PSUT_2014: 'Wateruse category'</t>
  </si>
  <si>
    <t>From PSUT_2015: 'Wateruse category'</t>
  </si>
  <si>
    <t>A-T</t>
  </si>
  <si>
    <t xml:space="preserve">HARDCOPY as per: 22-05-2018 </t>
  </si>
  <si>
    <t xml:space="preserve">RBM&amp;E-2017 (reporting year 2016): </t>
  </si>
  <si>
    <t xml:space="preserve">Link to Asset_Tbl_Balance_JJJJ …  &amp; to PSUT_JJJJ … </t>
  </si>
  <si>
    <t xml:space="preserve">LATER: Update links for the different years from here: 2016 onwards … </t>
  </si>
  <si>
    <t xml:space="preserve">  NISR: Population projection 2012 … (). </t>
  </si>
  <si>
    <t xml:space="preserve">  Rwanda - NCA: SEEA - Water Accounts</t>
  </si>
  <si>
    <t xml:space="preserve">LATER 2016 Onwards: Update links for the different years from here … </t>
  </si>
  <si>
    <t>IRWR - total balance</t>
  </si>
  <si>
    <t>TRWR - total balance</t>
  </si>
  <si>
    <t xml:space="preserve">Remark: With Environmental water flows consideration a share of 21% </t>
  </si>
  <si>
    <t>G to T</t>
  </si>
  <si>
    <t>PM</t>
  </si>
  <si>
    <t xml:space="preserve">Remark: </t>
  </si>
  <si>
    <r>
      <t xml:space="preserve">   Value for Service sectors (G - T)  is much bigger (at around 3 - 4 mln Rwf / m</t>
    </r>
    <r>
      <rPr>
        <vertAlign val="superscript"/>
        <sz val="11"/>
        <color theme="1"/>
        <rFont val="Calibri"/>
        <family val="2"/>
        <scheme val="minor"/>
      </rPr>
      <t>3</t>
    </r>
    <r>
      <rPr>
        <sz val="11"/>
        <color theme="1"/>
        <rFont val="Calibri"/>
        <family val="2"/>
        <scheme val="minor"/>
      </rPr>
      <t xml:space="preserve">). </t>
    </r>
  </si>
  <si>
    <t xml:space="preserve">   Construction Industry, has not a value yet (PM: Pro Memory). </t>
  </si>
  <si>
    <t>NA_Economic_data, timeseries - Processed</t>
  </si>
  <si>
    <t xml:space="preserve">   Construction Industry (ISIC: F), has not a value yet (PM: Pro Memory). </t>
  </si>
  <si>
    <t>Maintenance and repair of motor vehicles &amp; Wholesale &amp; retail trade</t>
  </si>
  <si>
    <t>GA &amp; GB</t>
  </si>
  <si>
    <t>GDP</t>
  </si>
  <si>
    <t>Water Used</t>
  </si>
  <si>
    <t>Water Consumed</t>
  </si>
  <si>
    <t>CORRECTED:</t>
  </si>
  <si>
    <t xml:space="preserve">BASE: </t>
  </si>
  <si>
    <t>Rwf</t>
  </si>
  <si>
    <r>
      <t>Rwf/m</t>
    </r>
    <r>
      <rPr>
        <b/>
        <vertAlign val="superscript"/>
        <sz val="10"/>
        <rFont val="Arial"/>
        <family val="2"/>
      </rPr>
      <t>3</t>
    </r>
  </si>
  <si>
    <t>Water Use Efficiency (Total)</t>
  </si>
  <si>
    <t xml:space="preserve">Rwf </t>
  </si>
  <si>
    <t>Water 'Abstracted (Ground- &amp; Surface water)'</t>
  </si>
  <si>
    <t>Water 'Abstracted (Incl. Soil water)'</t>
  </si>
  <si>
    <t>Water 'Abstracted (Gr. &amp; Surfacewater)'</t>
  </si>
  <si>
    <t>Total Economy</t>
  </si>
  <si>
    <t>agriculture, forestry &amp; fishing</t>
  </si>
  <si>
    <t>food crops</t>
  </si>
  <si>
    <t>export crops</t>
  </si>
  <si>
    <t>livestock &amp; livestock products</t>
  </si>
  <si>
    <t>forestry</t>
  </si>
  <si>
    <t>fishing</t>
  </si>
  <si>
    <t>industry</t>
  </si>
  <si>
    <t>mining &amp; quarrying</t>
  </si>
  <si>
    <t>total manufacturing</t>
  </si>
  <si>
    <t>of which: food</t>
  </si>
  <si>
    <t xml:space="preserve">              beverages &amp; tobacco</t>
  </si>
  <si>
    <t xml:space="preserve">             textiles, clothing &amp; leather goods</t>
  </si>
  <si>
    <t xml:space="preserve">             wood &amp; paper; printing</t>
  </si>
  <si>
    <t xml:space="preserve">             chemicals, rubber &amp; plastic products</t>
  </si>
  <si>
    <t xml:space="preserve">             non-metallic mineral products</t>
  </si>
  <si>
    <t xml:space="preserve">             metal products, machinery &amp; equipment</t>
  </si>
  <si>
    <t xml:space="preserve">             furniture &amp; other manufacturing </t>
  </si>
  <si>
    <t>electricity</t>
  </si>
  <si>
    <t>water &amp; waste management</t>
  </si>
  <si>
    <t>construction</t>
  </si>
  <si>
    <t>g-t</t>
  </si>
  <si>
    <t>g-h</t>
  </si>
  <si>
    <t>ga</t>
  </si>
  <si>
    <t>gb</t>
  </si>
  <si>
    <t>h</t>
  </si>
  <si>
    <t>i-t</t>
  </si>
  <si>
    <t>i</t>
  </si>
  <si>
    <t>j</t>
  </si>
  <si>
    <t>k</t>
  </si>
  <si>
    <t>l</t>
  </si>
  <si>
    <t>n</t>
  </si>
  <si>
    <t>o</t>
  </si>
  <si>
    <t>p</t>
  </si>
  <si>
    <t>q</t>
  </si>
  <si>
    <t>r-t</t>
  </si>
  <si>
    <t/>
  </si>
  <si>
    <t>services</t>
  </si>
  <si>
    <t xml:space="preserve">Please .CHECK and if needed Correct the Orange cells ! </t>
  </si>
  <si>
    <t>SDG 6.4.1 - Water Use Efficiency - Time Series</t>
  </si>
  <si>
    <t xml:space="preserve">NA_INTEGRATED: Labour - Economic - Water data, timeseries </t>
  </si>
  <si>
    <t xml:space="preserve">  Table 14-A</t>
  </si>
  <si>
    <t xml:space="preserve">  Table 14-B</t>
  </si>
  <si>
    <t xml:space="preserve">  Table 14-C</t>
  </si>
  <si>
    <t xml:space="preserve">  Table 14-D</t>
  </si>
  <si>
    <t xml:space="preserve">  Table 14-E</t>
  </si>
  <si>
    <t xml:space="preserve">  Table 15-A</t>
  </si>
  <si>
    <t xml:space="preserve">  Table 15-B</t>
  </si>
  <si>
    <t xml:space="preserve">  Table 15-C</t>
  </si>
  <si>
    <t xml:space="preserve">  Table 15-E</t>
  </si>
  <si>
    <t xml:space="preserve">  Table 15-D</t>
  </si>
  <si>
    <t xml:space="preserve">Gross value added by Irrigated agriculture </t>
  </si>
  <si>
    <t>Gross value added by Irrigated agriculture (calculated)</t>
  </si>
  <si>
    <t xml:space="preserve">GVA Irrigated: </t>
  </si>
  <si>
    <t>GVA Irrig. Agric. Industrial &amp; Services:</t>
  </si>
  <si>
    <t>GVA Total:</t>
  </si>
  <si>
    <t>Gross value added 'Total' (irrig. Agric, Ind. &amp; Service)</t>
  </si>
  <si>
    <t>Volume of water withdrawn by the agricultural sector, by the industries (incl. energy) &amp; by the services</t>
  </si>
  <si>
    <t>SDG 6.4.1 deteminants</t>
  </si>
  <si>
    <t>Gross value added Industrial</t>
  </si>
  <si>
    <t xml:space="preserve">Gross value added Services </t>
  </si>
  <si>
    <t xml:space="preserve">Water Use - Irrigated Agriculture </t>
  </si>
  <si>
    <t xml:space="preserve">Water Use - Industrial </t>
  </si>
  <si>
    <t>Water Use - Services (Public water Supply)</t>
  </si>
  <si>
    <t>Water Use - 'Total'</t>
  </si>
  <si>
    <t>Water Use Efficiency - Irrigated Agriculture</t>
  </si>
  <si>
    <t xml:space="preserve">Water Use Efficiency - Industrial </t>
  </si>
  <si>
    <t>Water Use Efficiency - Services</t>
  </si>
  <si>
    <t>Water Use Efficiency - 'Total '</t>
  </si>
  <si>
    <t xml:space="preserve">Agricultural land (Not just Arable land) </t>
  </si>
  <si>
    <t>Please complete &amp; CHECK !</t>
  </si>
  <si>
    <r>
      <t xml:space="preserve">1965: 20.5% of total land 24617 km2 
</t>
    </r>
    <r>
      <rPr>
        <b/>
        <sz val="10"/>
        <rFont val="Arial"/>
        <family val="2"/>
      </rPr>
      <t xml:space="preserve">'2012: 47.9 % of total land 24617 km2 </t>
    </r>
    <r>
      <rPr>
        <sz val="10"/>
        <rFont val="Arial"/>
        <family val="2"/>
      </rPr>
      <t xml:space="preserve">
'2013: 47.9 % of total land 24617 km2 
'2014: 46% of total land 24617 km2 </t>
    </r>
  </si>
  <si>
    <r>
      <t>km</t>
    </r>
    <r>
      <rPr>
        <vertAlign val="superscript"/>
        <sz val="10"/>
        <rFont val="Arial"/>
        <family val="2"/>
      </rPr>
      <t>3</t>
    </r>
  </si>
  <si>
    <t xml:space="preserve">Annual trend: </t>
  </si>
  <si>
    <t>'PSUT_2012' - Cell F13</t>
  </si>
  <si>
    <t>'PSUT_2015' - Cell F13</t>
  </si>
  <si>
    <t>'PSUT_2014' - Cell F13</t>
  </si>
  <si>
    <t>'PSUT_2013' - Cell F13</t>
  </si>
  <si>
    <t>See: Rda SEEA 2012-2015_Vervion9_10032017__Rev-CG__III-1 (Original Source ?)</t>
  </si>
  <si>
    <t>As per NCA study</t>
  </si>
  <si>
    <t>As per RBM&amp;E - study &amp; Trend</t>
  </si>
  <si>
    <t xml:space="preserve">Returns: </t>
  </si>
  <si>
    <t>..</t>
  </si>
  <si>
    <t xml:space="preserve">Assumed 95% of abstracted water for energy (hydro) from surface water, returns to Inland surface water again. </t>
  </si>
  <si>
    <t>SUMMARY OF CONSUMPTION BY CATEGORIES FROM JUNE 2011 TO JULY 2015</t>
  </si>
  <si>
    <t xml:space="preserve">Total water  abstracted (raw water) </t>
  </si>
  <si>
    <t xml:space="preserve">Total water  produced </t>
  </si>
  <si>
    <t xml:space="preserve">Total water supplied </t>
  </si>
  <si>
    <t xml:space="preserve">Plant losses </t>
  </si>
  <si>
    <t>Billed 2012</t>
  </si>
  <si>
    <t>Consommation par categories</t>
  </si>
  <si>
    <t xml:space="preserve">NRW </t>
  </si>
  <si>
    <t xml:space="preserve">EFFICIENCY </t>
  </si>
  <si>
    <t>NRW %</t>
  </si>
  <si>
    <t>Domestic</t>
  </si>
  <si>
    <t>Commercial&amp; GVT</t>
  </si>
  <si>
    <t>Billed 2013</t>
  </si>
  <si>
    <t>consommation par categories</t>
  </si>
  <si>
    <t>loss</t>
  </si>
  <si>
    <t>Billed 2014</t>
  </si>
  <si>
    <t>Commercial &amp; GVT</t>
  </si>
  <si>
    <t xml:space="preserve">Industry </t>
  </si>
  <si>
    <t>Billed 2015</t>
  </si>
  <si>
    <t>DOMESTIC</t>
  </si>
  <si>
    <t>COMMERVIAL &amp; GVT</t>
  </si>
  <si>
    <t xml:space="preserve">Industries </t>
  </si>
  <si>
    <t xml:space="preserve">To check  the last figure </t>
  </si>
  <si>
    <t xml:space="preserve">Some progress in reducing NRW ! </t>
  </si>
  <si>
    <t>WASAC</t>
  </si>
  <si>
    <t xml:space="preserve">Supply - efficiency to abstraction </t>
  </si>
  <si>
    <t xml:space="preserve">Production (Treatment) - efficiency to abstraction </t>
  </si>
  <si>
    <t>Billed' to abstraction ratio</t>
  </si>
  <si>
    <t>Raw Water,Treated Water,Water Used,Filter and Back Washing  water and Water Supplied from 2010 to end of Oct-2015</t>
  </si>
  <si>
    <t>Average</t>
  </si>
  <si>
    <t>Water Abstraction (m3)</t>
  </si>
  <si>
    <t>Treated water(m3)</t>
  </si>
  <si>
    <t>Water Used(m3)</t>
  </si>
  <si>
    <t>Filter bashing Water(m3)</t>
  </si>
  <si>
    <t>Supplied water(m3)</t>
  </si>
  <si>
    <t>End of Oct-2015</t>
  </si>
  <si>
    <t>2015 *</t>
  </si>
  <si>
    <t xml:space="preserve">* 2015 partly, first three quarters of the year. </t>
  </si>
  <si>
    <r>
      <rPr>
        <vertAlign val="superscript"/>
        <sz val="11"/>
        <color rgb="FF0000FF"/>
        <rFont val="Calibri"/>
        <family val="2"/>
      </rPr>
      <t>1)</t>
    </r>
    <r>
      <rPr>
        <sz val="11"/>
        <color rgb="FF0000FF"/>
        <rFont val="Calibri"/>
        <family val="2"/>
      </rPr>
      <t xml:space="preserve"> 2011 data might not be completely correct, as it is clearly out of the range of the other years. </t>
    </r>
  </si>
  <si>
    <r>
      <t xml:space="preserve">Figure XX:  Efficiency element in public water supply, rate of treatment to abstraction, WASAC 2010 - 2015 (%) </t>
    </r>
    <r>
      <rPr>
        <vertAlign val="superscript"/>
        <sz val="11"/>
        <color rgb="FF0000FF"/>
        <rFont val="Calibri"/>
        <family val="2"/>
      </rPr>
      <t>1)</t>
    </r>
    <r>
      <rPr>
        <sz val="11"/>
        <color rgb="FF0000FF"/>
        <rFont val="Calibri"/>
        <family val="2"/>
      </rPr>
      <t xml:space="preserve">  </t>
    </r>
  </si>
  <si>
    <r>
      <rPr>
        <vertAlign val="superscript"/>
        <sz val="11"/>
        <color rgb="FF0000FF"/>
        <rFont val="Calibri"/>
        <family val="2"/>
      </rPr>
      <t>1)</t>
    </r>
    <r>
      <rPr>
        <sz val="11"/>
        <color rgb="FF0000FF"/>
        <rFont val="Calibri"/>
        <family val="2"/>
      </rPr>
      <t xml:space="preserve"> 2011 data might not be completely correct, as it suggest 100% and is clearly out of the range of the other years. </t>
    </r>
  </si>
  <si>
    <t>Domestic water use</t>
  </si>
  <si>
    <t>x</t>
  </si>
  <si>
    <t>None Revenues Water</t>
  </si>
  <si>
    <t xml:space="preserve">  Table 16-A</t>
  </si>
  <si>
    <t xml:space="preserve">  Table 16-B</t>
  </si>
  <si>
    <t xml:space="preserve">  Table 16-C</t>
  </si>
  <si>
    <t xml:space="preserve">  Table 16-D</t>
  </si>
  <si>
    <t xml:space="preserve">  Table 16-E</t>
  </si>
  <si>
    <t xml:space="preserve"> Billed: </t>
  </si>
  <si>
    <t>Billed / Treated</t>
  </si>
  <si>
    <t xml:space="preserve">Billed / Abstraction </t>
  </si>
  <si>
    <t xml:space="preserve">Supply / Abstraction </t>
  </si>
  <si>
    <t>Treated / Abstraction</t>
  </si>
  <si>
    <r>
      <t xml:space="preserve">Figure XX:  Efficiency ratios in public water supply, , WASAC 2012 - 2014 (%) </t>
    </r>
    <r>
      <rPr>
        <vertAlign val="superscript"/>
        <sz val="11"/>
        <color rgb="FF0000FF"/>
        <rFont val="Calibri"/>
        <family val="2"/>
      </rPr>
      <t>1)</t>
    </r>
  </si>
  <si>
    <r>
      <t xml:space="preserve">Figure XX:  Efficiency Ratio in public water supply, Ratio supply to abstraction, WASAC 2010 - 2015 (%) </t>
    </r>
    <r>
      <rPr>
        <vertAlign val="superscript"/>
        <sz val="11"/>
        <color rgb="FF0000FF"/>
        <rFont val="Calibri"/>
        <family val="2"/>
      </rPr>
      <t>1)</t>
    </r>
    <r>
      <rPr>
        <sz val="11"/>
        <color rgb="FF0000FF"/>
        <rFont val="Calibri"/>
        <family val="2"/>
      </rPr>
      <t xml:space="preserve"> </t>
    </r>
  </si>
  <si>
    <t>Billed' to treated ratio</t>
  </si>
  <si>
    <t>Billed' to Supplied ratio</t>
  </si>
  <si>
    <t>Billed / Supplied</t>
  </si>
  <si>
    <t>NRW</t>
  </si>
  <si>
    <t>Water Sector Analysis - Sheets</t>
  </si>
  <si>
    <t>Check: with figures from worksheet 'WASAC_abstraction'</t>
  </si>
  <si>
    <t>' Billed: '</t>
  </si>
  <si>
    <t>'Supply' / Abstraction - Efficiency ratio:</t>
  </si>
  <si>
    <t>OK !</t>
  </si>
  <si>
    <t>7.2. Water Indicators</t>
  </si>
  <si>
    <t>Water production by source location in (m3).</t>
  </si>
  <si>
    <t>Water Treatment /Year</t>
  </si>
  <si>
    <t xml:space="preserve">Location </t>
  </si>
  <si>
    <t xml:space="preserve"> Kimisagara </t>
  </si>
  <si>
    <t>Nyarugenge District</t>
  </si>
  <si>
    <t xml:space="preserve"> Karenge </t>
  </si>
  <si>
    <t>Rwamagana District</t>
  </si>
  <si>
    <t xml:space="preserve"> Gihira </t>
  </si>
  <si>
    <t>Rubavu District</t>
  </si>
  <si>
    <t xml:space="preserve"> Nzove</t>
  </si>
  <si>
    <t xml:space="preserve"> Kadahokwa </t>
  </si>
  <si>
    <t>Huye District</t>
  </si>
  <si>
    <t xml:space="preserve">Mutobo </t>
  </si>
  <si>
    <t>Musanze</t>
  </si>
  <si>
    <t xml:space="preserve"> Cyunyu </t>
  </si>
  <si>
    <t>Rusizi District</t>
  </si>
  <si>
    <t xml:space="preserve"> Gihuma </t>
  </si>
  <si>
    <t>Muhanga District</t>
  </si>
  <si>
    <t xml:space="preserve"> Muhazi </t>
  </si>
  <si>
    <t xml:space="preserve"> Rwasaburo </t>
  </si>
  <si>
    <t>Ngoma District</t>
  </si>
  <si>
    <t xml:space="preserve"> Nyamabuye </t>
  </si>
  <si>
    <t>Gicumbi District</t>
  </si>
  <si>
    <t xml:space="preserve"> Gisuma </t>
  </si>
  <si>
    <t>Nyamagabe District</t>
  </si>
  <si>
    <t>Mata&amp;Nyabima</t>
  </si>
  <si>
    <t>Nyaruguru District</t>
  </si>
  <si>
    <t>-</t>
  </si>
  <si>
    <t xml:space="preserve"> Nyagatare </t>
  </si>
  <si>
    <t>Nyagatare District</t>
  </si>
  <si>
    <t>Gatsibo</t>
  </si>
  <si>
    <t>Gatsibo District</t>
  </si>
  <si>
    <t xml:space="preserve"> Mpanga </t>
  </si>
  <si>
    <t>Nyanza District</t>
  </si>
  <si>
    <t xml:space="preserve"> Kanyabusage </t>
  </si>
  <si>
    <t>Karongi District</t>
  </si>
  <si>
    <t xml:space="preserve"> Ngenda </t>
  </si>
  <si>
    <t>Bugesera District</t>
  </si>
  <si>
    <t>Source: WASAC</t>
  </si>
  <si>
    <t>Table 7.2.1: Water production by source location in (m3).</t>
  </si>
  <si>
    <t>Water Treatment center</t>
  </si>
  <si>
    <t xml:space="preserve">SYB_2016: </t>
  </si>
  <si>
    <t xml:space="preserve">SYB_2015: </t>
  </si>
  <si>
    <t xml:space="preserve">NISR, 2016. National Accounts 2016 Publication. </t>
  </si>
  <si>
    <t xml:space="preserve">NISR, 2015. Statistical Year Book (SYB) 2015 &amp; Tables. </t>
  </si>
  <si>
    <t xml:space="preserve">NISR, 2016. Statistical Year Book (SYB) 2016 &amp; Tables. </t>
  </si>
  <si>
    <t>NISR, 2014. Labour Statistics Metadata Handbook - 2014.</t>
  </si>
  <si>
    <t xml:space="preserve">NISR, 2014. 2014 Establishment Census, data &amp; report final. </t>
  </si>
  <si>
    <t xml:space="preserve">NISR, 2017. 2017 Establishment Census, data &amp; report final. </t>
  </si>
  <si>
    <t xml:space="preserve">NISR, 2016. Labour Force Survey 2016, Pilot Report. National Institute of Statistics of Rwanda (NISR). June 2016. </t>
  </si>
  <si>
    <r>
      <t xml:space="preserve"> </t>
    </r>
    <r>
      <rPr>
        <vertAlign val="superscript"/>
        <sz val="11"/>
        <color theme="1"/>
        <rFont val="Calibri"/>
        <family val="2"/>
        <scheme val="minor"/>
      </rPr>
      <t>1)</t>
    </r>
    <r>
      <rPr>
        <sz val="11"/>
        <color theme="1"/>
        <rFont val="Calibri"/>
        <family val="2"/>
        <scheme val="minor"/>
      </rPr>
      <t xml:space="preserve"> Just turnover from sales to households; </t>
    </r>
  </si>
  <si>
    <t xml:space="preserve">Remarks: the 'year' mentioned means: 'Reporting year'. Sector means: Sector according ISIC-Rev.4 - Classification. </t>
  </si>
  <si>
    <t xml:space="preserve">   Total jobs (workers)</t>
  </si>
  <si>
    <t xml:space="preserve">   Informal jobs</t>
  </si>
  <si>
    <t xml:space="preserve">   Formal Jobs</t>
  </si>
  <si>
    <t>Labour Force Survey (2016) &amp; (SYB2016)</t>
  </si>
  <si>
    <t xml:space="preserve">Jobs: </t>
  </si>
  <si>
    <r>
      <t xml:space="preserve">Gross value added  </t>
    </r>
    <r>
      <rPr>
        <vertAlign val="superscript"/>
        <sz val="11"/>
        <color theme="1"/>
        <rFont val="Calibri"/>
        <family val="2"/>
        <scheme val="minor"/>
      </rPr>
      <t>2)</t>
    </r>
    <r>
      <rPr>
        <sz val="11"/>
        <color theme="1"/>
        <rFont val="Calibri"/>
        <family val="2"/>
        <scheme val="minor"/>
      </rPr>
      <t xml:space="preserve"> </t>
    </r>
  </si>
  <si>
    <r>
      <t xml:space="preserve">Intermediate consumption  </t>
    </r>
    <r>
      <rPr>
        <vertAlign val="superscript"/>
        <sz val="11"/>
        <color theme="1"/>
        <rFont val="Calibri"/>
        <family val="2"/>
        <scheme val="minor"/>
      </rPr>
      <t>2)</t>
    </r>
    <r>
      <rPr>
        <sz val="11"/>
        <color theme="1"/>
        <rFont val="Calibri"/>
        <family val="2"/>
        <scheme val="minor"/>
      </rPr>
      <t xml:space="preserve"> </t>
    </r>
  </si>
  <si>
    <r>
      <t xml:space="preserve">Production </t>
    </r>
    <r>
      <rPr>
        <vertAlign val="superscript"/>
        <sz val="11"/>
        <color theme="1"/>
        <rFont val="Calibri"/>
        <family val="2"/>
        <scheme val="minor"/>
      </rPr>
      <t>2)</t>
    </r>
    <r>
      <rPr>
        <sz val="11"/>
        <color theme="1"/>
        <rFont val="Calibri"/>
        <family val="2"/>
        <scheme val="minor"/>
      </rPr>
      <t xml:space="preserve"> </t>
    </r>
  </si>
  <si>
    <r>
      <t xml:space="preserve">Turnover (billed volume) </t>
    </r>
    <r>
      <rPr>
        <vertAlign val="superscript"/>
        <sz val="11"/>
        <color theme="1"/>
        <rFont val="Calibri"/>
        <family val="2"/>
        <scheme val="minor"/>
      </rPr>
      <t>1)</t>
    </r>
    <r>
      <rPr>
        <sz val="11"/>
        <color theme="1"/>
        <rFont val="Calibri"/>
        <family val="2"/>
        <scheme val="minor"/>
      </rPr>
      <t xml:space="preserve"> </t>
    </r>
  </si>
  <si>
    <t xml:space="preserve">Output: </t>
  </si>
  <si>
    <t xml:space="preserve">  Mln Rwf</t>
  </si>
  <si>
    <t>ISIC - Sector:  39 - Remediation activities and other waste management services</t>
  </si>
  <si>
    <t>ISIC - Sector:  38 - Waste collection, treatment and disposal activities; materials recovery</t>
  </si>
  <si>
    <t>ISIC - Sector:  37 - Sewerage</t>
  </si>
  <si>
    <t>ISIC - Sector:  36 - Water collection, treatment and supply</t>
  </si>
  <si>
    <t xml:space="preserve">ISIC - Sector:  E. sewerage, waste management and remediation activities 
</t>
  </si>
  <si>
    <r>
      <t xml:space="preserve">   Employment (Formal Jobs) </t>
    </r>
    <r>
      <rPr>
        <vertAlign val="superscript"/>
        <sz val="11"/>
        <color theme="1"/>
        <rFont val="Calibri"/>
        <family val="2"/>
        <scheme val="minor"/>
      </rPr>
      <t>3)</t>
    </r>
    <r>
      <rPr>
        <sz val="11"/>
        <color theme="1"/>
        <rFont val="Calibri"/>
        <family val="2"/>
        <scheme val="minor"/>
      </rPr>
      <t xml:space="preserve">  </t>
    </r>
  </si>
  <si>
    <r>
      <t xml:space="preserve"> </t>
    </r>
    <r>
      <rPr>
        <vertAlign val="superscript"/>
        <sz val="11"/>
        <color theme="1"/>
        <rFont val="Calibri"/>
        <family val="2"/>
        <scheme val="minor"/>
      </rPr>
      <t>4)</t>
    </r>
    <r>
      <rPr>
        <sz val="11"/>
        <color theme="1"/>
        <rFont val="Calibri"/>
        <family val="2"/>
        <scheme val="minor"/>
      </rPr>
      <t xml:space="preserve"> The </t>
    </r>
  </si>
  <si>
    <r>
      <t xml:space="preserve">   Paid workers </t>
    </r>
    <r>
      <rPr>
        <vertAlign val="superscript"/>
        <sz val="11"/>
        <color theme="1"/>
        <rFont val="Calibri"/>
        <family val="2"/>
        <scheme val="minor"/>
      </rPr>
      <t>3)</t>
    </r>
    <r>
      <rPr>
        <sz val="11"/>
        <color theme="1"/>
        <rFont val="Calibri"/>
        <family val="2"/>
        <scheme val="minor"/>
      </rPr>
      <t xml:space="preserve">  </t>
    </r>
  </si>
  <si>
    <r>
      <t xml:space="preserve">   Unpaid workers </t>
    </r>
    <r>
      <rPr>
        <vertAlign val="superscript"/>
        <sz val="11"/>
        <color theme="1"/>
        <rFont val="Calibri"/>
        <family val="2"/>
        <scheme val="minor"/>
      </rPr>
      <t>3)</t>
    </r>
    <r>
      <rPr>
        <sz val="11"/>
        <color theme="1"/>
        <rFont val="Calibri"/>
        <family val="2"/>
        <scheme val="minor"/>
      </rPr>
      <t xml:space="preserve">  </t>
    </r>
  </si>
  <si>
    <r>
      <t xml:space="preserve">   Total workers </t>
    </r>
    <r>
      <rPr>
        <vertAlign val="superscript"/>
        <sz val="11"/>
        <color theme="1"/>
        <rFont val="Calibri"/>
        <family val="2"/>
        <scheme val="minor"/>
      </rPr>
      <t>3)</t>
    </r>
    <r>
      <rPr>
        <sz val="11"/>
        <color theme="1"/>
        <rFont val="Calibri"/>
        <family val="2"/>
        <scheme val="minor"/>
      </rPr>
      <t xml:space="preserve">  </t>
    </r>
  </si>
  <si>
    <t xml:space="preserve">  Number (#) </t>
  </si>
  <si>
    <r>
      <t xml:space="preserve"> </t>
    </r>
    <r>
      <rPr>
        <vertAlign val="superscript"/>
        <sz val="11"/>
        <color theme="1"/>
        <rFont val="Calibri"/>
        <family val="2"/>
        <scheme val="minor"/>
      </rPr>
      <t>2)</t>
    </r>
    <r>
      <rPr>
        <sz val="11"/>
        <color theme="1"/>
        <rFont val="Calibri"/>
        <family val="2"/>
        <scheme val="minor"/>
      </rPr>
      <t xml:space="preserve"> From National Accounts data. Figures are in constant 2014 prices, that for reason of comparibility of time series; </t>
    </r>
  </si>
  <si>
    <t xml:space="preserve">Table XX: Water Sector Economic Output Indicators  </t>
  </si>
  <si>
    <t>Establishment census (2014 &amp; 2017)</t>
  </si>
  <si>
    <r>
      <t xml:space="preserve"> </t>
    </r>
    <r>
      <rPr>
        <vertAlign val="superscript"/>
        <sz val="11"/>
        <color theme="1"/>
        <rFont val="Calibri"/>
        <family val="2"/>
        <scheme val="minor"/>
      </rPr>
      <t>3)</t>
    </r>
    <r>
      <rPr>
        <sz val="11"/>
        <color theme="1"/>
        <rFont val="Calibri"/>
        <family val="2"/>
        <scheme val="minor"/>
      </rPr>
      <t xml:space="preserve">  2014 Establishment Census: Figure here is reporting year: 2014. For reporting year 2011, this was 944. Under 2016, shows the 2017 Establishment Census. </t>
    </r>
  </si>
  <si>
    <r>
      <t xml:space="preserve">   Employment (InFormal Jobs) </t>
    </r>
    <r>
      <rPr>
        <vertAlign val="superscript"/>
        <sz val="11"/>
        <color theme="1"/>
        <rFont val="Calibri"/>
        <family val="2"/>
        <scheme val="minor"/>
      </rPr>
      <t>3)</t>
    </r>
    <r>
      <rPr>
        <sz val="11"/>
        <color theme="1"/>
        <rFont val="Calibri"/>
        <family val="2"/>
        <scheme val="minor"/>
      </rPr>
      <t xml:space="preserve"> </t>
    </r>
  </si>
  <si>
    <t>FAO:</t>
  </si>
  <si>
    <t>NCA-Rwanda:</t>
  </si>
  <si>
    <t xml:space="preserve">  Table 13</t>
  </si>
  <si>
    <t xml:space="preserve">  Table 14</t>
  </si>
  <si>
    <t>SEEA Physical Asset Account for water resources, Year 2012 (Million m3)</t>
  </si>
  <si>
    <t>SEEA Physical Asset Account for water resources, Year 2013 (Million m3)</t>
  </si>
  <si>
    <t>SEEA Physical Asset Account for water resources, Year 2014 (Million m3)</t>
  </si>
  <si>
    <t>SEEA Physical Asset Account for water resources, Year 2015 (Million m3)</t>
  </si>
  <si>
    <t>SEEA-W Physical Supply - Use Table Year 2015 (1000 m3)</t>
  </si>
  <si>
    <t xml:space="preserve">SEEA Physical Account for water </t>
  </si>
  <si>
    <t>SEEA-W Physical Supply - Use Table Year 2014 (1000 m3)</t>
  </si>
  <si>
    <t>SEEA-W Physical Supply - Use Table Year 2013 (1000 m3)</t>
  </si>
  <si>
    <t>SEEA-W Physical Supply - Use Table Year 2012 (1000 m3)</t>
  </si>
  <si>
    <t xml:space="preserve">WA_PHYSICAL Water - PSUT, timeseries </t>
  </si>
  <si>
    <t>SEEA-Water - PSUT Physical Supply - Use Tables (1000 m3)</t>
  </si>
  <si>
    <t>Source: Meteo Rwanda  from 81 rain gauge stations countrywide</t>
  </si>
  <si>
    <r>
      <rPr>
        <b/>
        <sz val="11"/>
        <color theme="1"/>
        <rFont val="Calibri"/>
        <family val="2"/>
        <scheme val="minor"/>
      </rPr>
      <t>Source</t>
    </r>
    <r>
      <rPr>
        <sz val="11"/>
        <color theme="1"/>
        <rFont val="Calibri"/>
        <family val="2"/>
        <scheme val="minor"/>
      </rPr>
      <t xml:space="preserve">: NWRMP, 2015 and Meteo Rwanda </t>
    </r>
  </si>
  <si>
    <t>From Land Use table we have:</t>
  </si>
  <si>
    <r>
      <rPr>
        <b/>
        <sz val="8"/>
        <color rgb="FF0000FF"/>
        <rFont val="Calibri"/>
        <family val="2"/>
        <scheme val="minor"/>
      </rPr>
      <t>However</t>
    </r>
    <r>
      <rPr>
        <sz val="8"/>
        <color rgb="FF0000FF"/>
        <rFont val="Calibri"/>
        <family val="2"/>
        <scheme val="minor"/>
      </rPr>
      <t>, Soil water for 2013 is</t>
    </r>
  </si>
  <si>
    <t>Areas (ha) for 2013</t>
  </si>
  <si>
    <t>Administrative</t>
  </si>
  <si>
    <t>Source: Meteo Rwanda from 59 rain gauge stations countrywide</t>
  </si>
  <si>
    <r>
      <rPr>
        <b/>
        <sz val="11"/>
        <color theme="1"/>
        <rFont val="Calibri"/>
        <family val="2"/>
        <scheme val="minor"/>
      </rPr>
      <t>Source</t>
    </r>
    <r>
      <rPr>
        <sz val="11"/>
        <color theme="1"/>
        <rFont val="Calibri"/>
        <family val="2"/>
        <scheme val="minor"/>
      </rPr>
      <t xml:space="preserve">: Meteo Rwanda </t>
    </r>
  </si>
  <si>
    <r>
      <rPr>
        <b/>
        <sz val="8"/>
        <color theme="1"/>
        <rFont val="Calibri"/>
        <family val="2"/>
        <scheme val="minor"/>
      </rPr>
      <t>However</t>
    </r>
    <r>
      <rPr>
        <sz val="8"/>
        <color theme="1"/>
        <rFont val="Calibri"/>
        <family val="2"/>
        <scheme val="minor"/>
      </rPr>
      <t>, Soil water for 2014 is</t>
    </r>
  </si>
  <si>
    <t>Source: Meteo Rwanda from 51 rain gauge stations countrywide</t>
  </si>
  <si>
    <r>
      <rPr>
        <b/>
        <sz val="11"/>
        <color theme="1"/>
        <rFont val="Calibri"/>
        <family val="2"/>
        <scheme val="minor"/>
      </rPr>
      <t>Source</t>
    </r>
    <r>
      <rPr>
        <sz val="11"/>
        <color theme="1"/>
        <rFont val="Calibri"/>
        <family val="2"/>
        <scheme val="minor"/>
      </rPr>
      <t>: Meteo Rwanda</t>
    </r>
  </si>
  <si>
    <r>
      <rPr>
        <b/>
        <sz val="8"/>
        <color rgb="FF0000FF"/>
        <rFont val="Calibri"/>
        <family val="2"/>
        <scheme val="minor"/>
      </rPr>
      <t>However</t>
    </r>
    <r>
      <rPr>
        <sz val="8"/>
        <color rgb="FF0000FF"/>
        <rFont val="Calibri"/>
        <family val="2"/>
        <scheme val="minor"/>
      </rPr>
      <t>, Soil water for 2015 is</t>
    </r>
  </si>
  <si>
    <t>Areas (ha) for 2014</t>
  </si>
  <si>
    <t>SEE worksheet: 'GW&amp;SOILW_2012'</t>
  </si>
  <si>
    <t>Total Prod &amp; external incl Households</t>
  </si>
  <si>
    <t>SEEA-W Physical Supply - Use Table Year 2012 - -- JJJJ (1000 m3)</t>
  </si>
  <si>
    <t>20JJ</t>
  </si>
  <si>
    <t>Total abstraction</t>
  </si>
  <si>
    <t>Abstraction for own use</t>
  </si>
  <si>
    <t>Abstraction for distribution</t>
  </si>
  <si>
    <t>Total abstraction (1.i+1.ii)</t>
  </si>
  <si>
    <t>From water resources:</t>
  </si>
  <si>
    <t>Soil water (green water)</t>
  </si>
  <si>
    <t xml:space="preserve">From other sources </t>
  </si>
  <si>
    <t>Collection of precipitation (rainwater harvesting; ..)</t>
  </si>
  <si>
    <t>Abstraction from the sea</t>
  </si>
  <si>
    <t>Use of water received from other economic units</t>
  </si>
  <si>
    <t>From Boreholes</t>
  </si>
  <si>
    <t>From Springs</t>
  </si>
  <si>
    <t>Analysis &amp; timeseries</t>
  </si>
  <si>
    <t>PSUT trends Charts</t>
  </si>
  <si>
    <t>PSUT trends Charts &amp; ISIC breakdown</t>
  </si>
  <si>
    <t>Combined River &amp; Reservoirs (dams, ponds)</t>
  </si>
  <si>
    <t>Reservoirs (Dams, ponds)</t>
  </si>
  <si>
    <t>Actual Evaporation and transpiration</t>
  </si>
  <si>
    <t>Actual Evaporation and transpiration_Soil water</t>
  </si>
  <si>
    <t>Improved physical asset account for water resources Year 2013 in Million m3</t>
  </si>
  <si>
    <t>Improved physical asset account for water resources Year 2014 in Million m3</t>
  </si>
  <si>
    <t>Improved physical asset account for water resources Year 2015 in Million m3</t>
  </si>
  <si>
    <t>RBM&amp;E-2017 Study, 2016 data: show 27,068, including small scale and large scale irrigation:</t>
  </si>
  <si>
    <t>CHECKED !</t>
  </si>
  <si>
    <t xml:space="preserve">Please CHECK ! </t>
  </si>
  <si>
    <t>CHECK ?!</t>
  </si>
  <si>
    <t>Sum: all from RBM&amp;E study</t>
  </si>
  <si>
    <t>Source: …</t>
  </si>
  <si>
    <t>Source: was from previous data collection NCA - team water (?)</t>
  </si>
  <si>
    <t>Source: ??</t>
  </si>
  <si>
    <t xml:space="preserve">Was 684.521 Source: ??
Figure must align with: '1 - Total abstraction (1.i+1.ii)'. Adjusted. </t>
  </si>
  <si>
    <t xml:space="preserve">Was 51738 Source: ??
Figure must align with: '1 - Total abstraction (1.i+1.ii)'. Have adjusted here. </t>
  </si>
  <si>
    <t>Please check if correct?!</t>
  </si>
  <si>
    <t xml:space="preserve">Was: 1,309,600.65
Source was: from previous data collection NCA - team water. 
Now prefer to rely upon RBM&amp;E2017 study, also needed to obtain consistency! </t>
  </si>
  <si>
    <t xml:space="preserve">Was:  1,244,060.03. 
Source was: from previous data collection NCA - team water. 
Now prefer to rely upon RBM&amp;E2017 study, also needed to obtain consistency! </t>
  </si>
  <si>
    <t>4-year Average</t>
  </si>
  <si>
    <t xml:space="preserve">Index (P=100): </t>
  </si>
  <si>
    <t>Economic Sector</t>
  </si>
  <si>
    <t>% of Water used</t>
  </si>
  <si>
    <t>97.8</t>
  </si>
  <si>
    <t>96.19%</t>
  </si>
  <si>
    <t>72.0</t>
  </si>
  <si>
    <t>0.30%</t>
  </si>
  <si>
    <t>145.1</t>
  </si>
  <si>
    <t>0.93%</t>
  </si>
  <si>
    <t>1.0</t>
  </si>
  <si>
    <t>0.90%</t>
  </si>
  <si>
    <t>Accommodation</t>
  </si>
  <si>
    <t>5,976.3</t>
  </si>
  <si>
    <t>0.03%</t>
  </si>
  <si>
    <t>Insurance, banking and business</t>
  </si>
  <si>
    <t>52,263.8</t>
  </si>
  <si>
    <t>0.0001%</t>
  </si>
  <si>
    <t>3,987.7</t>
  </si>
  <si>
    <t>0.33%</t>
  </si>
  <si>
    <t>Human health</t>
  </si>
  <si>
    <t>102,710.8</t>
  </si>
  <si>
    <t>0.01%</t>
  </si>
  <si>
    <r>
      <t>National Average (RWF / m</t>
    </r>
    <r>
      <rPr>
        <b/>
        <vertAlign val="superscript"/>
        <sz val="10"/>
        <color rgb="FF000000"/>
        <rFont val="Times New Roman"/>
        <family val="1"/>
      </rPr>
      <t>3</t>
    </r>
    <r>
      <rPr>
        <b/>
        <sz val="10"/>
        <color rgb="FF000000"/>
        <rFont val="Times New Roman"/>
        <family val="1"/>
      </rPr>
      <t>)</t>
    </r>
  </si>
  <si>
    <t>20,657  (or US$ 24.8)</t>
  </si>
  <si>
    <t>Employment ('2016')</t>
  </si>
  <si>
    <t>Employment (2016')</t>
  </si>
  <si>
    <t>Productivity or  Use Efficiency = VA / m3 of water used (RWF / m3)</t>
  </si>
  <si>
    <t>National Average (RWF / m3)</t>
  </si>
  <si>
    <t>Water</t>
  </si>
  <si>
    <t>Source: National Institute of Statistics of Rwanda</t>
  </si>
  <si>
    <t>Service sectors</t>
  </si>
  <si>
    <t>*1000</t>
  </si>
  <si>
    <t>*1</t>
  </si>
  <si>
    <t>Productivity or Use Efficiency =VA / m3 of water used (RWF / m3)</t>
  </si>
  <si>
    <t>361,0  (or US$ .. ..)</t>
  </si>
  <si>
    <t>OLD:</t>
  </si>
  <si>
    <t xml:space="preserve">Table:  … Water Productivity and ground- and Surface Water Use Efficiency (Rwf/m3) for 2015 </t>
  </si>
  <si>
    <t xml:space="preserve">Table: …  Water Productivity and Total Water Use Efficiency (Rwf/m3) for 2015 by Sector </t>
  </si>
  <si>
    <r>
      <t>Average selected industries (RWF / m</t>
    </r>
    <r>
      <rPr>
        <b/>
        <vertAlign val="superscript"/>
        <sz val="10"/>
        <color rgb="FF000000"/>
        <rFont val="Times New Roman"/>
        <family val="1"/>
      </rPr>
      <t>3</t>
    </r>
    <r>
      <rPr>
        <b/>
        <sz val="10"/>
        <color rgb="FF000000"/>
        <rFont val="Times New Roman"/>
        <family val="1"/>
      </rPr>
      <t>)</t>
    </r>
  </si>
  <si>
    <t xml:space="preserve">With Env water flows consideration of 21.9% </t>
  </si>
  <si>
    <t>Average:</t>
  </si>
  <si>
    <t xml:space="preserve">--&gt;&gt; After BALANCING: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</si>
</sst>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32">
    <numFmt numFmtId="43" formatCode="_(* #,##0.00_);_(* \(#,##0.00\);_(* &quot;-&quot;??_);_(@_)"/>
    <numFmt numFmtId="164" formatCode="_ * #,##0.00_ ;_ * \-#,##0.00_ ;_ * &quot;-&quot;??_ ;_ @_ "/>
    <numFmt numFmtId="165" formatCode="_-* #,##0.00_-;\-* #,##0.00_-;_-* &quot;-&quot;??_-;_-@_-"/>
    <numFmt numFmtId="166" formatCode="#,##0.0"/>
    <numFmt numFmtId="167" formatCode="_(* #,##0_);_(* \(#,##0\);_(* &quot;-&quot;??_);_(@_)"/>
    <numFmt numFmtId="168" formatCode="_(* #,##0.0_);_(* \(#,##0.0\);_(* &quot;-&quot;??_);_(@_)"/>
    <numFmt numFmtId="169" formatCode="0.0%"/>
    <numFmt numFmtId="170" formatCode="_-* #,##0_-;\-* #,##0_-;_-* &quot;-&quot;??_-;_-@_-"/>
    <numFmt numFmtId="171" formatCode="0.000"/>
    <numFmt numFmtId="172" formatCode="#,##0.000"/>
    <numFmt numFmtId="173" formatCode="0.0000"/>
    <numFmt numFmtId="174" formatCode="_(* #,##0.000_);_(* \(#,##0.000\);_(* &quot;-&quot;??_);_(@_)"/>
    <numFmt numFmtId="175" formatCode="_(* #,##0.000000_);_(* \(#,##0.000000\);_(* &quot;-&quot;??_);_(@_)"/>
    <numFmt numFmtId="176" formatCode="_ * #,##0_ ;_ * \-#,##0_ ;_ * &quot;-&quot;??_ ;_ @_ "/>
    <numFmt numFmtId="177" formatCode="_ * #,##0.0_ ;_ * \-#,##0.0_ ;_ * &quot;-&quot;??_ ;_ @_ "/>
    <numFmt numFmtId="178" formatCode="0.0"/>
    <numFmt numFmtId="179" formatCode="#,##0.0000"/>
    <numFmt numFmtId="180" formatCode="0.00000"/>
    <numFmt numFmtId="181" formatCode="#,##0_ ;[Red]\-#,##0\ "/>
    <numFmt numFmtId="182" formatCode="_-* #,##0.00\ _€_-;\-* #,##0.00\ _€_-;_-* &quot;-&quot;??\ _€_-;_-@_-"/>
    <numFmt numFmtId="183" formatCode="[$-409]mmmm\ d\,\ yyyy;@"/>
    <numFmt numFmtId="184" formatCode="###0"/>
    <numFmt numFmtId="185" formatCode="#\ ###\ ##0.000"/>
    <numFmt numFmtId="186" formatCode="[$-F800]dddd\,\ mmmm\ dd\,\ yyyy"/>
    <numFmt numFmtId="187" formatCode="#\ ###\ ##0"/>
    <numFmt numFmtId="188" formatCode="#,##0.00000"/>
    <numFmt numFmtId="189" formatCode="0.000%"/>
    <numFmt numFmtId="190" formatCode="00.00.00.000"/>
    <numFmt numFmtId="191" formatCode="_-* #,##0.000_-;\-* #,##0.000_-;_-* &quot;-&quot;??_-;_-@_-"/>
    <numFmt numFmtId="192" formatCode="_-* #,##0.0000_-;\-* #,##0.0000_-;_-* &quot;-&quot;??_-;_-@_-"/>
    <numFmt numFmtId="193" formatCode="0.0000%"/>
    <numFmt numFmtId="194" formatCode="0.000000"/>
  </numFmts>
  <fonts count="203" x14ac:knownFonts="1">
    <font>
      <sz val="11"/>
      <color theme="1"/>
      <name val="Calibri"/>
      <family val="2"/>
      <scheme val="minor"/>
    </font>
    <font>
      <b/>
      <sz val="11"/>
      <color indexed="8"/>
      <name val="Calibri"/>
      <family val="2"/>
    </font>
    <font>
      <sz val="10"/>
      <name val="Arial"/>
      <family val="2"/>
    </font>
    <font>
      <b/>
      <sz val="9"/>
      <name val="Times New Roman"/>
      <family val="1"/>
    </font>
    <font>
      <b/>
      <sz val="7"/>
      <name val="Times New Roman"/>
      <family val="1"/>
    </font>
    <font>
      <sz val="9"/>
      <name val="Times New Roman"/>
      <family val="1"/>
    </font>
    <font>
      <sz val="8"/>
      <color indexed="8"/>
      <name val="Calibri"/>
      <family val="2"/>
    </font>
    <font>
      <sz val="10"/>
      <name val="Verdana"/>
      <family val="2"/>
    </font>
    <font>
      <sz val="10"/>
      <name val="Verdana"/>
      <family val="2"/>
    </font>
    <font>
      <b/>
      <sz val="6"/>
      <name val="Calibri"/>
      <family val="2"/>
    </font>
    <font>
      <sz val="6"/>
      <name val="Calibri"/>
      <family val="2"/>
    </font>
    <font>
      <sz val="10"/>
      <name val="Arial"/>
      <family val="2"/>
    </font>
    <font>
      <b/>
      <u/>
      <sz val="8"/>
      <name val="Calibri Light"/>
      <family val="2"/>
    </font>
    <font>
      <b/>
      <u/>
      <vertAlign val="superscript"/>
      <sz val="8"/>
      <name val="Calibri Light"/>
      <family val="2"/>
    </font>
    <font>
      <sz val="6"/>
      <name val="Times New Roman"/>
      <family val="1"/>
    </font>
    <font>
      <sz val="9"/>
      <name val="Arial"/>
      <family val="2"/>
    </font>
    <font>
      <b/>
      <sz val="6"/>
      <name val="Times New Roman"/>
      <family val="1"/>
    </font>
    <font>
      <i/>
      <sz val="6"/>
      <name val="Times New Roman"/>
      <family val="1"/>
    </font>
    <font>
      <sz val="7"/>
      <name val="Arial"/>
      <family val="2"/>
    </font>
    <font>
      <sz val="20"/>
      <name val="Times New Roman"/>
      <family val="1"/>
    </font>
    <font>
      <b/>
      <vertAlign val="superscript"/>
      <sz val="8"/>
      <color indexed="30"/>
      <name val="Calibri Light"/>
      <family val="2"/>
    </font>
    <font>
      <sz val="8"/>
      <name val="Verdana"/>
      <family val="2"/>
    </font>
    <font>
      <b/>
      <sz val="8"/>
      <color indexed="8"/>
      <name val="Calibri"/>
      <family val="2"/>
    </font>
    <font>
      <b/>
      <sz val="16"/>
      <color indexed="12"/>
      <name val="Calibri Light"/>
      <family val="2"/>
    </font>
    <font>
      <b/>
      <vertAlign val="superscript"/>
      <sz val="16"/>
      <color indexed="12"/>
      <name val="Calibri Light"/>
      <family val="2"/>
    </font>
    <font>
      <b/>
      <sz val="9"/>
      <name val="Helvetica"/>
      <family val="2"/>
    </font>
    <font>
      <sz val="9"/>
      <name val="Helvetica"/>
      <family val="2"/>
    </font>
    <font>
      <vertAlign val="superscript"/>
      <sz val="11"/>
      <color indexed="8"/>
      <name val="Calibri"/>
      <family val="2"/>
    </font>
    <font>
      <sz val="11.5"/>
      <name val="Calibri"/>
      <family val="2"/>
    </font>
    <font>
      <sz val="8"/>
      <name val="Arial"/>
      <family val="2"/>
    </font>
    <font>
      <b/>
      <sz val="9"/>
      <name val="Arial"/>
      <family val="2"/>
    </font>
    <font>
      <b/>
      <sz val="10"/>
      <name val="Arial"/>
      <family val="2"/>
    </font>
    <font>
      <sz val="9"/>
      <color indexed="81"/>
      <name val="Tahoma"/>
      <family val="2"/>
    </font>
    <font>
      <b/>
      <sz val="9"/>
      <color indexed="81"/>
      <name val="Tahoma"/>
      <family val="2"/>
    </font>
    <font>
      <b/>
      <vertAlign val="superscript"/>
      <sz val="11"/>
      <color indexed="8"/>
      <name val="Calibri"/>
      <family val="2"/>
    </font>
    <font>
      <b/>
      <sz val="12"/>
      <color indexed="8"/>
      <name val="Calibri"/>
      <family val="2"/>
    </font>
    <font>
      <b/>
      <vertAlign val="superscript"/>
      <sz val="12"/>
      <color indexed="8"/>
      <name val="Calibri"/>
      <family val="2"/>
    </font>
    <font>
      <b/>
      <sz val="10"/>
      <color indexed="8"/>
      <name val="Calibri"/>
      <family val="2"/>
    </font>
    <font>
      <b/>
      <vertAlign val="superscript"/>
      <sz val="10"/>
      <color indexed="8"/>
      <name val="Calibri"/>
      <family val="2"/>
    </font>
    <font>
      <sz val="11"/>
      <name val="Times New Roman"/>
      <family val="1"/>
    </font>
    <font>
      <vertAlign val="superscript"/>
      <sz val="11"/>
      <name val="Times New Roman"/>
      <family val="1"/>
    </font>
    <font>
      <b/>
      <sz val="14"/>
      <name val="Arial"/>
      <family val="2"/>
    </font>
    <font>
      <b/>
      <sz val="12"/>
      <name val="Arial"/>
      <family val="2"/>
    </font>
    <font>
      <sz val="14"/>
      <name val="Arial"/>
      <family val="2"/>
    </font>
    <font>
      <b/>
      <sz val="16"/>
      <name val="Arial"/>
      <family val="2"/>
    </font>
    <font>
      <b/>
      <sz val="11"/>
      <name val="Arial"/>
      <family val="2"/>
    </font>
    <font>
      <b/>
      <sz val="11"/>
      <color indexed="81"/>
      <name val="Tahoma"/>
      <family val="2"/>
    </font>
    <font>
      <sz val="11"/>
      <color indexed="81"/>
      <name val="Tahoma"/>
      <family val="2"/>
    </font>
    <font>
      <sz val="11"/>
      <color indexed="10"/>
      <name val="Calibri"/>
      <family val="2"/>
    </font>
    <font>
      <sz val="11"/>
      <name val="Calibri"/>
      <family val="2"/>
    </font>
    <font>
      <sz val="11"/>
      <color indexed="12"/>
      <name val="Calibri"/>
      <family val="2"/>
    </font>
    <font>
      <b/>
      <sz val="14"/>
      <name val="Cambria"/>
      <family val="1"/>
    </font>
    <font>
      <b/>
      <sz val="11"/>
      <name val="Cambria"/>
      <family val="1"/>
    </font>
    <font>
      <sz val="10"/>
      <name val="Cambria"/>
      <family val="1"/>
    </font>
    <font>
      <sz val="14"/>
      <name val="Cambria"/>
      <family val="1"/>
    </font>
    <font>
      <b/>
      <i/>
      <sz val="11"/>
      <name val="Cambria"/>
      <family val="1"/>
    </font>
    <font>
      <b/>
      <sz val="16"/>
      <name val="Cambria"/>
      <family val="1"/>
    </font>
    <font>
      <b/>
      <sz val="10"/>
      <name val="Cambria"/>
      <family val="1"/>
    </font>
    <font>
      <i/>
      <sz val="9.5"/>
      <name val="Cambria"/>
      <family val="1"/>
    </font>
    <font>
      <i/>
      <sz val="10"/>
      <name val="Cambria"/>
      <family val="1"/>
    </font>
    <font>
      <b/>
      <i/>
      <sz val="9"/>
      <name val="Cambria"/>
      <family val="1"/>
    </font>
    <font>
      <i/>
      <sz val="9"/>
      <name val="Cambria"/>
      <family val="1"/>
    </font>
    <font>
      <b/>
      <sz val="11"/>
      <color indexed="8"/>
      <name val="Book Antiqua"/>
      <family val="1"/>
    </font>
    <font>
      <b/>
      <vertAlign val="superscript"/>
      <sz val="11"/>
      <color indexed="8"/>
      <name val="Book Antiqua"/>
      <family val="1"/>
    </font>
    <font>
      <sz val="11"/>
      <color indexed="8"/>
      <name val="Book Antiqua"/>
      <family val="1"/>
    </font>
    <font>
      <sz val="8"/>
      <color indexed="8"/>
      <name val="Book Antiqua"/>
      <family val="1"/>
    </font>
    <font>
      <sz val="12"/>
      <color indexed="8"/>
      <name val="Book Antiqua"/>
      <family val="1"/>
    </font>
    <font>
      <sz val="10"/>
      <name val="MS Sans Serif"/>
      <family val="2"/>
    </font>
    <font>
      <b/>
      <sz val="10"/>
      <name val="MS Sans Serif"/>
      <family val="2"/>
    </font>
    <font>
      <b/>
      <sz val="12"/>
      <color indexed="81"/>
      <name val="Tahoma"/>
      <family val="2"/>
    </font>
    <font>
      <sz val="12"/>
      <color indexed="81"/>
      <name val="Tahoma"/>
      <family val="2"/>
    </font>
    <font>
      <i/>
      <sz val="14"/>
      <name val="Cambria"/>
      <family val="1"/>
    </font>
    <font>
      <b/>
      <sz val="12"/>
      <name val="Arial Narrow"/>
      <family val="2"/>
    </font>
    <font>
      <sz val="9"/>
      <color indexed="8"/>
      <name val="Arial"/>
      <family val="2"/>
    </font>
    <font>
      <b/>
      <sz val="11"/>
      <name val="Calibri"/>
      <family val="2"/>
    </font>
    <font>
      <sz val="10"/>
      <name val="Times New Roman"/>
      <family val="1"/>
    </font>
    <font>
      <b/>
      <sz val="10"/>
      <name val="Times New Roman"/>
      <family val="1"/>
    </font>
    <font>
      <b/>
      <vertAlign val="superscript"/>
      <sz val="12"/>
      <name val="Arial"/>
      <family val="2"/>
    </font>
    <font>
      <b/>
      <sz val="10"/>
      <color indexed="14"/>
      <name val="Arial"/>
      <family val="2"/>
    </font>
    <font>
      <b/>
      <sz val="10"/>
      <color indexed="10"/>
      <name val="Arial"/>
      <family val="2"/>
    </font>
    <font>
      <sz val="10"/>
      <color indexed="8"/>
      <name val="Arial"/>
      <family val="2"/>
    </font>
    <font>
      <i/>
      <sz val="10"/>
      <color indexed="8"/>
      <name val="Arial"/>
      <family val="2"/>
    </font>
    <font>
      <b/>
      <sz val="8"/>
      <name val="Arial"/>
      <family val="2"/>
    </font>
    <font>
      <vertAlign val="superscript"/>
      <sz val="8"/>
      <name val="Arial"/>
      <family val="2"/>
    </font>
    <font>
      <b/>
      <i/>
      <sz val="10"/>
      <name val="Arial"/>
      <family val="2"/>
    </font>
    <font>
      <b/>
      <vertAlign val="superscript"/>
      <sz val="10"/>
      <name val="Arial"/>
      <family val="2"/>
    </font>
    <font>
      <b/>
      <sz val="7.5"/>
      <name val="Arial"/>
      <family val="2"/>
    </font>
    <font>
      <sz val="7.5"/>
      <name val="Arial"/>
      <family val="2"/>
    </font>
    <font>
      <b/>
      <sz val="10"/>
      <color indexed="8"/>
      <name val="Arial"/>
      <family val="2"/>
    </font>
    <font>
      <b/>
      <sz val="8"/>
      <color indexed="14"/>
      <name val="Arial"/>
      <family val="2"/>
    </font>
    <font>
      <i/>
      <sz val="10"/>
      <color indexed="8"/>
      <name val="Times New Roman"/>
      <family val="1"/>
    </font>
    <font>
      <i/>
      <vertAlign val="superscript"/>
      <sz val="10"/>
      <color indexed="8"/>
      <name val="Times New Roman"/>
      <family val="1"/>
    </font>
    <font>
      <vertAlign val="superscript"/>
      <sz val="11"/>
      <color indexed="12"/>
      <name val="Calibri"/>
      <family val="2"/>
    </font>
    <font>
      <i/>
      <sz val="10"/>
      <name val="Times New Roman"/>
      <family val="1"/>
    </font>
    <font>
      <i/>
      <vertAlign val="superscript"/>
      <sz val="10"/>
      <name val="Times New Roman"/>
      <family val="1"/>
    </font>
    <font>
      <sz val="11"/>
      <color theme="1"/>
      <name val="Calibri"/>
      <family val="2"/>
      <scheme val="minor"/>
    </font>
    <font>
      <u/>
      <sz val="11"/>
      <color theme="10"/>
      <name val="Calibri"/>
      <family val="2"/>
      <scheme val="minor"/>
    </font>
    <font>
      <sz val="11"/>
      <color rgb="FF000000"/>
      <name val="Calibri"/>
      <family val="2"/>
    </font>
    <font>
      <sz val="11"/>
      <color rgb="FF000000"/>
      <name val="Calibri"/>
      <family val="2"/>
      <charset val="204"/>
    </font>
    <font>
      <b/>
      <sz val="11"/>
      <color theme="1"/>
      <name val="Calibri"/>
      <family val="2"/>
      <scheme val="minor"/>
    </font>
    <font>
      <sz val="8"/>
      <color theme="1"/>
      <name val="Calibri"/>
      <family val="2"/>
      <scheme val="minor"/>
    </font>
    <font>
      <b/>
      <sz val="8"/>
      <color rgb="FF0070C0"/>
      <name val="Calibri Light"/>
      <family val="2"/>
    </font>
    <font>
      <b/>
      <sz val="6"/>
      <color rgb="FF000000"/>
      <name val="Calibri"/>
      <family val="2"/>
    </font>
    <font>
      <sz val="6"/>
      <color rgb="FF000000"/>
      <name val="Calibri"/>
      <family val="2"/>
    </font>
    <font>
      <sz val="6"/>
      <color theme="1"/>
      <name val="Calibri"/>
      <family val="2"/>
    </font>
    <font>
      <sz val="20"/>
      <color theme="1"/>
      <name val="Calibri"/>
      <family val="2"/>
      <scheme val="minor"/>
    </font>
    <font>
      <b/>
      <sz val="6"/>
      <color theme="1"/>
      <name val="Calibri"/>
      <family val="2"/>
    </font>
    <font>
      <b/>
      <sz val="6"/>
      <color rgb="FF0000FF"/>
      <name val="Calibri"/>
      <family val="2"/>
      <scheme val="minor"/>
    </font>
    <font>
      <sz val="10"/>
      <color theme="1"/>
      <name val="Calibri"/>
      <family val="2"/>
      <scheme val="minor"/>
    </font>
    <font>
      <sz val="11.5"/>
      <color rgb="FF000000"/>
      <name val="Calibri"/>
      <family val="2"/>
    </font>
    <font>
      <sz val="10"/>
      <name val="Calibri"/>
      <family val="2"/>
      <scheme val="minor"/>
    </font>
    <font>
      <b/>
      <sz val="8"/>
      <color theme="1"/>
      <name val="Calibri"/>
      <family val="2"/>
      <scheme val="minor"/>
    </font>
    <font>
      <b/>
      <sz val="11"/>
      <color rgb="FF0000FF"/>
      <name val="Calibri"/>
      <family val="2"/>
      <scheme val="minor"/>
    </font>
    <font>
      <sz val="11"/>
      <color rgb="FF0000FF"/>
      <name val="Calibri"/>
      <family val="2"/>
      <scheme val="minor"/>
    </font>
    <font>
      <b/>
      <sz val="12"/>
      <color theme="1"/>
      <name val="Calibri"/>
      <family val="2"/>
      <scheme val="minor"/>
    </font>
    <font>
      <b/>
      <sz val="12"/>
      <color rgb="FF000000"/>
      <name val="Times New Roman"/>
      <family val="1"/>
    </font>
    <font>
      <sz val="10"/>
      <color theme="1"/>
      <name val="Times New Roman"/>
      <family val="1"/>
    </font>
    <font>
      <sz val="14"/>
      <color theme="1"/>
      <name val="Calibri"/>
      <family val="2"/>
      <scheme val="minor"/>
    </font>
    <font>
      <sz val="10"/>
      <color rgb="FF222222"/>
      <name val="Times New Roman"/>
      <family val="1"/>
    </font>
    <font>
      <b/>
      <sz val="10"/>
      <color theme="1"/>
      <name val="Times New Roman"/>
      <family val="1"/>
    </font>
    <font>
      <b/>
      <sz val="14"/>
      <color theme="1"/>
      <name val="Calibri"/>
      <family val="2"/>
      <scheme val="minor"/>
    </font>
    <font>
      <sz val="10"/>
      <color rgb="FF0000FF"/>
      <name val="Times New Roman"/>
      <family val="1"/>
    </font>
    <font>
      <sz val="12"/>
      <color theme="1"/>
      <name val="Calibri"/>
      <family val="2"/>
      <scheme val="minor"/>
    </font>
    <font>
      <b/>
      <sz val="16"/>
      <color theme="1"/>
      <name val="Calibri"/>
      <family val="2"/>
      <scheme val="minor"/>
    </font>
    <font>
      <sz val="6"/>
      <color theme="1"/>
      <name val="Calibri"/>
      <family val="2"/>
      <scheme val="minor"/>
    </font>
    <font>
      <b/>
      <i/>
      <sz val="11"/>
      <color theme="1"/>
      <name val="Calibri"/>
      <family val="2"/>
      <scheme val="minor"/>
    </font>
    <font>
      <b/>
      <sz val="6"/>
      <color rgb="FF0000FF"/>
      <name val="Calibri"/>
      <family val="2"/>
    </font>
    <font>
      <b/>
      <sz val="11.5"/>
      <color rgb="FF000000"/>
      <name val="Calibri"/>
      <family val="2"/>
    </font>
    <font>
      <b/>
      <sz val="11.5"/>
      <color rgb="FF0000FF"/>
      <name val="Calibri"/>
      <family val="2"/>
    </font>
    <font>
      <sz val="11.5"/>
      <color rgb="FF0000FF"/>
      <name val="Calibri"/>
      <family val="2"/>
    </font>
    <font>
      <sz val="9"/>
      <color theme="1"/>
      <name val="Calibri"/>
      <family val="2"/>
      <scheme val="minor"/>
    </font>
    <font>
      <sz val="8"/>
      <color rgb="FF0000FF"/>
      <name val="Calibri"/>
      <family val="2"/>
      <scheme val="minor"/>
    </font>
    <font>
      <b/>
      <sz val="8"/>
      <color rgb="FF0000FF"/>
      <name val="Calibri"/>
      <family val="2"/>
      <scheme val="minor"/>
    </font>
    <font>
      <b/>
      <sz val="6"/>
      <color theme="1"/>
      <name val="Calibri"/>
      <family val="2"/>
      <scheme val="minor"/>
    </font>
    <font>
      <b/>
      <sz val="9"/>
      <color rgb="FF000000"/>
      <name val="Calibri"/>
      <family val="2"/>
      <scheme val="minor"/>
    </font>
    <font>
      <b/>
      <sz val="9"/>
      <name val="Calibri"/>
      <family val="2"/>
      <scheme val="minor"/>
    </font>
    <font>
      <b/>
      <sz val="9"/>
      <color theme="1"/>
      <name val="Calibri"/>
      <family val="2"/>
      <scheme val="minor"/>
    </font>
    <font>
      <b/>
      <sz val="12"/>
      <color rgb="FF000000"/>
      <name val="Calibri"/>
      <family val="2"/>
      <scheme val="minor"/>
    </font>
    <font>
      <b/>
      <sz val="10"/>
      <color theme="1"/>
      <name val="Calibri"/>
      <family val="2"/>
      <scheme val="minor"/>
    </font>
    <font>
      <sz val="9"/>
      <name val="Calibri"/>
      <family val="2"/>
      <scheme val="minor"/>
    </font>
    <font>
      <sz val="9"/>
      <color rgb="FF000000"/>
      <name val="Calibri"/>
      <family val="2"/>
      <scheme val="minor"/>
    </font>
    <font>
      <sz val="10"/>
      <color rgb="FF0000FF"/>
      <name val="Arial"/>
      <family val="2"/>
    </font>
    <font>
      <b/>
      <sz val="12"/>
      <color rgb="FF0000FF"/>
      <name val="Arial"/>
      <family val="2"/>
    </font>
    <font>
      <b/>
      <sz val="14"/>
      <color rgb="FF0000FF"/>
      <name val="Arial"/>
      <family val="2"/>
    </font>
    <font>
      <b/>
      <sz val="10"/>
      <color rgb="FF0000FF"/>
      <name val="Arial"/>
      <family val="2"/>
    </font>
    <font>
      <b/>
      <sz val="24"/>
      <color theme="1"/>
      <name val="Calibri"/>
      <family val="2"/>
      <scheme val="minor"/>
    </font>
    <font>
      <sz val="11"/>
      <name val="Calibri"/>
      <family val="2"/>
      <scheme val="minor"/>
    </font>
    <font>
      <b/>
      <sz val="11"/>
      <name val="Calibri"/>
      <family val="2"/>
      <scheme val="minor"/>
    </font>
    <font>
      <sz val="11"/>
      <color theme="1"/>
      <name val="Cambria"/>
      <family val="1"/>
    </font>
    <font>
      <i/>
      <sz val="9.5"/>
      <color theme="1"/>
      <name val="Cambria"/>
      <family val="1"/>
    </font>
    <font>
      <i/>
      <sz val="9"/>
      <color theme="1"/>
      <name val="Cambria"/>
      <family val="1"/>
    </font>
    <font>
      <b/>
      <sz val="11"/>
      <color theme="1"/>
      <name val="Book Antiqua"/>
      <family val="1"/>
    </font>
    <font>
      <sz val="11"/>
      <color theme="1"/>
      <name val="Book Antiqua"/>
      <family val="1"/>
    </font>
    <font>
      <b/>
      <sz val="12"/>
      <color theme="1"/>
      <name val="Book Antiqua"/>
      <family val="1"/>
    </font>
    <font>
      <sz val="12"/>
      <color theme="1"/>
      <name val="Book Antiqua"/>
      <family val="1"/>
    </font>
    <font>
      <sz val="11"/>
      <color rgb="FF0000FF"/>
      <name val="Book Antiqua"/>
      <family val="1"/>
    </font>
    <font>
      <b/>
      <sz val="10"/>
      <color rgb="FF0000FF"/>
      <name val="MS Sans Serif"/>
      <family val="2"/>
    </font>
    <font>
      <sz val="10"/>
      <color rgb="FF0000FF"/>
      <name val="MS Sans Serif"/>
      <family val="2"/>
    </font>
    <font>
      <i/>
      <sz val="11"/>
      <color theme="1"/>
      <name val="Cambria"/>
      <family val="1"/>
    </font>
    <font>
      <b/>
      <sz val="11"/>
      <color indexed="8"/>
      <name val="Calibri"/>
      <family val="2"/>
      <scheme val="minor"/>
    </font>
    <font>
      <sz val="11"/>
      <color indexed="8"/>
      <name val="Calibri"/>
      <family val="2"/>
      <scheme val="minor"/>
    </font>
    <font>
      <sz val="10"/>
      <color rgb="FF0000FF"/>
      <name val="Calibri"/>
      <family val="2"/>
      <scheme val="minor"/>
    </font>
    <font>
      <b/>
      <sz val="6"/>
      <color theme="10"/>
      <name val="Calibri"/>
      <family val="2"/>
      <scheme val="minor"/>
    </font>
    <font>
      <sz val="8"/>
      <color rgb="FF0000FF"/>
      <name val="Arial"/>
      <family val="2"/>
    </font>
    <font>
      <b/>
      <sz val="8"/>
      <color rgb="FF0000FF"/>
      <name val="Arial"/>
      <family val="2"/>
    </font>
    <font>
      <sz val="7.5"/>
      <color rgb="FF0000FF"/>
      <name val="Arial"/>
      <family val="2"/>
    </font>
    <font>
      <b/>
      <sz val="10"/>
      <color theme="1"/>
      <name val="Arial"/>
      <family val="2"/>
    </font>
    <font>
      <sz val="9"/>
      <color rgb="FF000000"/>
      <name val="Times New Roman"/>
      <family val="1"/>
    </font>
    <font>
      <b/>
      <sz val="10"/>
      <color rgb="FF000000"/>
      <name val="Times New Roman"/>
      <family val="1"/>
    </font>
    <font>
      <i/>
      <sz val="10"/>
      <color rgb="FF000000"/>
      <name val="Times New Roman"/>
      <family val="1"/>
    </font>
    <font>
      <sz val="10"/>
      <color rgb="FF000000"/>
      <name val="Times New Roman"/>
      <family val="1"/>
    </font>
    <font>
      <b/>
      <sz val="11"/>
      <color rgb="FF000000"/>
      <name val="Calibri"/>
      <family val="2"/>
      <scheme val="minor"/>
    </font>
    <font>
      <sz val="10"/>
      <color theme="1"/>
      <name val="Cambria"/>
      <family val="1"/>
    </font>
    <font>
      <i/>
      <sz val="10"/>
      <color theme="1"/>
      <name val="Cambria"/>
      <family val="1"/>
    </font>
    <font>
      <u/>
      <sz val="12"/>
      <color theme="10"/>
      <name val="Calibri"/>
      <family val="2"/>
      <scheme val="minor"/>
    </font>
    <font>
      <sz val="11.5"/>
      <color theme="1"/>
      <name val="Calibri"/>
      <family val="2"/>
      <scheme val="minor"/>
    </font>
    <font>
      <i/>
      <sz val="11"/>
      <color rgb="FF0000FF"/>
      <name val="Calibri"/>
      <family val="2"/>
      <scheme val="minor"/>
    </font>
    <font>
      <b/>
      <sz val="10"/>
      <color rgb="FF000000"/>
      <name val="Calibri"/>
      <family val="2"/>
    </font>
    <font>
      <b/>
      <sz val="11"/>
      <color rgb="FF000000"/>
      <name val="Calibri"/>
      <family val="2"/>
    </font>
    <font>
      <sz val="10"/>
      <color rgb="FF000000"/>
      <name val="Calibri"/>
      <family val="2"/>
    </font>
    <font>
      <b/>
      <sz val="16"/>
      <color rgb="FF0000FF"/>
      <name val="Calibri Light"/>
      <family val="2"/>
    </font>
    <font>
      <b/>
      <sz val="10"/>
      <color rgb="FF000000"/>
      <name val="Calibri"/>
      <family val="2"/>
      <scheme val="minor"/>
    </font>
    <font>
      <vertAlign val="superscript"/>
      <sz val="11"/>
      <color theme="1"/>
      <name val="Calibri"/>
      <family val="2"/>
      <scheme val="minor"/>
    </font>
    <font>
      <sz val="9"/>
      <name val="Cambria"/>
      <family val="1"/>
    </font>
    <font>
      <i/>
      <sz val="10"/>
      <name val="Arial"/>
      <family val="2"/>
    </font>
    <font>
      <vertAlign val="superscript"/>
      <sz val="10"/>
      <name val="Arial"/>
      <family val="2"/>
    </font>
    <font>
      <b/>
      <u/>
      <sz val="11"/>
      <color theme="1"/>
      <name val="Calibri"/>
      <family val="2"/>
      <scheme val="minor"/>
    </font>
    <font>
      <sz val="14"/>
      <color rgb="FF0000FF"/>
      <name val="Calibri"/>
      <family val="2"/>
      <scheme val="minor"/>
    </font>
    <font>
      <sz val="11"/>
      <color rgb="FF0000FF"/>
      <name val="Calibri"/>
      <family val="2"/>
    </font>
    <font>
      <vertAlign val="superscript"/>
      <sz val="11"/>
      <color rgb="FF0000FF"/>
      <name val="Calibri"/>
      <family val="2"/>
    </font>
    <font>
      <sz val="11"/>
      <color theme="1"/>
      <name val="Palatino Linotype"/>
      <family val="1"/>
    </font>
    <font>
      <b/>
      <sz val="10"/>
      <color rgb="FF000000"/>
      <name val="Palatino Linotype"/>
      <family val="1"/>
    </font>
    <font>
      <sz val="10"/>
      <color rgb="FF000000"/>
      <name val="Palatino Linotype"/>
      <family val="1"/>
    </font>
    <font>
      <i/>
      <sz val="11"/>
      <color theme="1"/>
      <name val="Palatino Linotype"/>
      <family val="1"/>
    </font>
    <font>
      <b/>
      <sz val="12"/>
      <color theme="1"/>
      <name val="Times New Roman"/>
      <family val="1"/>
    </font>
    <font>
      <i/>
      <sz val="12"/>
      <color theme="1"/>
      <name val="Times New Roman"/>
      <family val="1"/>
    </font>
    <font>
      <i/>
      <sz val="11"/>
      <color theme="1"/>
      <name val="Calibri"/>
      <family val="2"/>
      <scheme val="minor"/>
    </font>
    <font>
      <sz val="7"/>
      <color theme="1"/>
      <name val="Calibri"/>
      <family val="2"/>
      <scheme val="minor"/>
    </font>
    <font>
      <b/>
      <sz val="11"/>
      <color theme="10"/>
      <name val="Calibri"/>
      <family val="2"/>
      <scheme val="minor"/>
    </font>
    <font>
      <sz val="11"/>
      <name val="Arial"/>
      <family val="2"/>
    </font>
    <font>
      <sz val="11"/>
      <color rgb="FF0000FF"/>
      <name val="Arial"/>
      <family val="2"/>
    </font>
    <font>
      <b/>
      <vertAlign val="superscript"/>
      <sz val="10"/>
      <color rgb="FF000000"/>
      <name val="Times New Roman"/>
      <family val="1"/>
    </font>
    <font>
      <b/>
      <sz val="9"/>
      <color rgb="FF000000"/>
      <name val="Times New Roman"/>
      <family val="1"/>
    </font>
  </fonts>
  <fills count="4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C0C0C0"/>
        <bgColor indexed="64"/>
      </patternFill>
    </fill>
    <fill>
      <patternFill patternType="solid">
        <fgColor theme="4" tint="0.59999389629810485"/>
        <bgColor indexed="64"/>
      </patternFill>
    </fill>
    <fill>
      <patternFill patternType="solid">
        <fgColor rgb="FFFF0000"/>
        <bgColor indexed="64"/>
      </patternFill>
    </fill>
    <fill>
      <patternFill patternType="solid">
        <fgColor theme="7" tint="0.39997558519241921"/>
        <bgColor indexed="64"/>
      </patternFill>
    </fill>
    <fill>
      <patternFill patternType="solid">
        <fgColor theme="1"/>
        <bgColor indexed="64"/>
      </patternFill>
    </fill>
    <fill>
      <patternFill patternType="solid">
        <fgColor theme="7"/>
        <bgColor indexed="64"/>
      </patternFill>
    </fill>
    <fill>
      <patternFill patternType="solid">
        <fgColor rgb="FFFFC000"/>
        <bgColor indexed="64"/>
      </patternFill>
    </fill>
    <fill>
      <patternFill patternType="solid">
        <fgColor theme="0" tint="-0.34998626667073579"/>
        <bgColor indexed="64"/>
      </patternFill>
    </fill>
    <fill>
      <patternFill patternType="solid">
        <fgColor theme="9"/>
        <bgColor indexed="64"/>
      </patternFill>
    </fill>
    <fill>
      <patternFill patternType="solid">
        <fgColor rgb="FF54C8D8"/>
        <bgColor indexed="64"/>
      </patternFill>
    </fill>
    <fill>
      <patternFill patternType="solid">
        <fgColor rgb="FF00B050"/>
        <bgColor indexed="64"/>
      </patternFill>
    </fill>
    <fill>
      <patternFill patternType="solid">
        <fgColor rgb="FF000000"/>
        <bgColor indexed="64"/>
      </patternFill>
    </fill>
    <fill>
      <patternFill patternType="solid">
        <fgColor theme="7" tint="0.79998168889431442"/>
        <bgColor indexed="64"/>
      </patternFill>
    </fill>
    <fill>
      <patternFill patternType="solid">
        <fgColor rgb="FFCCFFCC"/>
        <bgColor indexed="64"/>
      </patternFill>
    </fill>
    <fill>
      <patternFill patternType="solid">
        <fgColor rgb="FFB8CCE4"/>
        <bgColor indexed="64"/>
      </patternFill>
    </fill>
    <fill>
      <patternFill patternType="solid">
        <fgColor rgb="FFFABF8F"/>
        <bgColor indexed="64"/>
      </patternFill>
    </fill>
    <fill>
      <patternFill patternType="solid">
        <fgColor rgb="FFFFF2CC"/>
        <bgColor indexed="64"/>
      </patternFill>
    </fill>
    <fill>
      <patternFill patternType="solid">
        <fgColor theme="0" tint="-0.249977111117893"/>
        <bgColor indexed="64"/>
      </patternFill>
    </fill>
    <fill>
      <patternFill patternType="solid">
        <fgColor rgb="FFD9D9D9"/>
        <bgColor indexed="64"/>
      </patternFill>
    </fill>
    <fill>
      <patternFill patternType="solid">
        <fgColor rgb="FFCCFF66"/>
        <bgColor indexed="64"/>
      </patternFill>
    </fill>
    <fill>
      <patternFill patternType="solid">
        <fgColor theme="6" tint="0.79998168889431442"/>
        <bgColor indexed="64"/>
      </patternFill>
    </fill>
    <fill>
      <patternFill patternType="solid">
        <fgColor rgb="FFFBE4D5"/>
        <bgColor indexed="64"/>
      </patternFill>
    </fill>
    <fill>
      <patternFill patternType="solid">
        <fgColor rgb="FFE2EFD9"/>
        <bgColor indexed="64"/>
      </patternFill>
    </fill>
    <fill>
      <patternFill patternType="solid">
        <fgColor rgb="FFFFF3CB"/>
        <bgColor indexed="64"/>
      </patternFill>
    </fill>
    <fill>
      <patternFill patternType="solid">
        <fgColor rgb="FFFFD966"/>
        <bgColor indexed="64"/>
      </patternFill>
    </fill>
    <fill>
      <patternFill patternType="solid">
        <fgColor rgb="FFF2F2F2"/>
        <bgColor indexed="64"/>
      </patternFill>
    </fill>
    <fill>
      <patternFill patternType="solid">
        <fgColor theme="5"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FFFF"/>
        <bgColor indexed="64"/>
      </patternFill>
    </fill>
    <fill>
      <patternFill patternType="solid">
        <fgColor rgb="FFFF99FF"/>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style="thin">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right/>
      <top/>
      <bottom style="double">
        <color indexed="64"/>
      </bottom>
      <diagonal/>
    </border>
    <border>
      <left/>
      <right/>
      <top style="medium">
        <color indexed="64"/>
      </top>
      <bottom/>
      <diagonal/>
    </border>
    <border>
      <left style="medium">
        <color indexed="10"/>
      </left>
      <right/>
      <top style="medium">
        <color indexed="10"/>
      </top>
      <bottom/>
      <diagonal/>
    </border>
    <border>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2"/>
      </left>
      <right style="medium">
        <color indexed="12"/>
      </right>
      <top style="medium">
        <color indexed="12"/>
      </top>
      <bottom style="medium">
        <color indexed="12"/>
      </bottom>
      <diagonal/>
    </border>
    <border>
      <left style="medium">
        <color indexed="10"/>
      </left>
      <right/>
      <top/>
      <bottom style="medium">
        <color indexed="10"/>
      </bottom>
      <diagonal/>
    </border>
    <border>
      <left/>
      <right/>
      <top/>
      <bottom style="medium">
        <color indexed="10"/>
      </bottom>
      <diagonal/>
    </border>
    <border>
      <left/>
      <right style="medium">
        <color indexed="10"/>
      </right>
      <top/>
      <bottom style="medium">
        <color indexed="10"/>
      </bottom>
      <diagonal/>
    </border>
    <border>
      <left/>
      <right/>
      <top style="medium">
        <color indexed="12"/>
      </top>
      <bottom/>
      <diagonal/>
    </border>
    <border>
      <left style="medium">
        <color indexed="12"/>
      </left>
      <right/>
      <top/>
      <bottom/>
      <diagonal/>
    </border>
    <border>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medium">
        <color rgb="FF00B050"/>
      </left>
      <right style="medium">
        <color rgb="FF00B050"/>
      </right>
      <top style="medium">
        <color rgb="FF00B050"/>
      </top>
      <bottom style="medium">
        <color rgb="FF00B050"/>
      </bottom>
      <diagonal/>
    </border>
    <border>
      <left style="medium">
        <color rgb="FFBFBFBF"/>
      </left>
      <right style="medium">
        <color rgb="FFBFBFBF"/>
      </right>
      <top/>
      <bottom/>
      <diagonal/>
    </border>
    <border>
      <left/>
      <right style="medium">
        <color rgb="FFBFBFBF"/>
      </right>
      <top/>
      <bottom/>
      <diagonal/>
    </border>
    <border>
      <left style="medium">
        <color rgb="FFBFBFBF"/>
      </left>
      <right style="medium">
        <color rgb="FFBFBFBF"/>
      </right>
      <top/>
      <bottom style="medium">
        <color indexed="64"/>
      </bottom>
      <diagonal/>
    </border>
    <border>
      <left/>
      <right style="medium">
        <color rgb="FFBFBFBF"/>
      </right>
      <top/>
      <bottom style="medium">
        <color indexed="64"/>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indexed="64"/>
      </bottom>
      <diagonal/>
    </border>
    <border>
      <left/>
      <right style="medium">
        <color rgb="FFBFBFBF"/>
      </right>
      <top style="medium">
        <color rgb="FFBFBFBF"/>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top/>
      <bottom style="thin">
        <color rgb="FF000000"/>
      </bottom>
      <diagonal/>
    </border>
    <border>
      <left style="medium">
        <color indexed="64"/>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theme="0"/>
      </top>
      <bottom/>
      <diagonal/>
    </border>
  </borders>
  <cellStyleXfs count="57">
    <xf numFmtId="0" fontId="0" fillId="0" borderId="0"/>
    <xf numFmtId="43" fontId="95" fillId="0" borderId="0" applyFont="0" applyFill="0" applyBorder="0" applyAlignment="0" applyProtection="0"/>
    <xf numFmtId="164" fontId="95" fillId="0" borderId="0" applyFont="0" applyFill="0" applyBorder="0" applyAlignment="0" applyProtection="0"/>
    <xf numFmtId="165" fontId="95" fillId="0" borderId="0" applyFont="0" applyFill="0" applyBorder="0" applyAlignment="0" applyProtection="0"/>
    <xf numFmtId="165" fontId="95" fillId="0" borderId="0" applyFont="0" applyFill="0" applyBorder="0" applyAlignment="0" applyProtection="0"/>
    <xf numFmtId="165" fontId="95" fillId="0" borderId="0" applyFont="0" applyFill="0" applyBorder="0" applyAlignment="0" applyProtection="0"/>
    <xf numFmtId="43" fontId="95" fillId="0" borderId="0" applyFont="0" applyFill="0" applyBorder="0" applyAlignment="0" applyProtection="0"/>
    <xf numFmtId="165" fontId="95" fillId="0" borderId="0" applyFont="0" applyFill="0" applyBorder="0" applyAlignment="0" applyProtection="0"/>
    <xf numFmtId="43" fontId="95" fillId="0" borderId="0" applyFont="0" applyFill="0" applyBorder="0" applyAlignment="0" applyProtection="0"/>
    <xf numFmtId="182" fontId="2" fillId="0" borderId="0" applyFont="0" applyFill="0" applyBorder="0" applyAlignment="0" applyProtection="0"/>
    <xf numFmtId="43" fontId="67" fillId="0" borderId="0" applyFont="0" applyFill="0" applyBorder="0" applyAlignment="0" applyProtection="0"/>
    <xf numFmtId="0" fontId="96" fillId="0" borderId="0" applyNumberFormat="0" applyFill="0" applyBorder="0" applyAlignment="0" applyProtection="0"/>
    <xf numFmtId="0" fontId="97" fillId="0" borderId="0"/>
    <xf numFmtId="0" fontId="97" fillId="0" borderId="0"/>
    <xf numFmtId="0" fontId="11" fillId="0" borderId="0"/>
    <xf numFmtId="0" fontId="67" fillId="0" borderId="0"/>
    <xf numFmtId="0" fontId="98"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2" fillId="0" borderId="0"/>
    <xf numFmtId="0" fontId="2"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5" fillId="0" borderId="0"/>
    <xf numFmtId="0" fontId="97" fillId="0" borderId="0"/>
    <xf numFmtId="0" fontId="7" fillId="0" borderId="0"/>
    <xf numFmtId="0" fontId="97" fillId="0" borderId="0"/>
    <xf numFmtId="0" fontId="97" fillId="0" borderId="0"/>
    <xf numFmtId="0" fontId="97" fillId="0" borderId="0"/>
    <xf numFmtId="0" fontId="97" fillId="0" borderId="0"/>
    <xf numFmtId="0" fontId="97" fillId="0" borderId="0"/>
    <xf numFmtId="0" fontId="2" fillId="0" borderId="0"/>
    <xf numFmtId="9" fontId="95" fillId="0" borderId="0" applyFont="0" applyFill="0" applyBorder="0" applyAlignment="0" applyProtection="0"/>
    <xf numFmtId="9" fontId="95" fillId="0" borderId="0" applyFont="0" applyFill="0" applyBorder="0" applyAlignment="0" applyProtection="0"/>
    <xf numFmtId="9" fontId="8" fillId="0" borderId="0" applyFont="0" applyFill="0" applyBorder="0" applyAlignment="0" applyProtection="0"/>
    <xf numFmtId="0" fontId="2" fillId="0" borderId="0"/>
    <xf numFmtId="0" fontId="2" fillId="0" borderId="0"/>
  </cellStyleXfs>
  <cellXfs count="1809">
    <xf numFmtId="0" fontId="0" fillId="0" borderId="0" xfId="0"/>
    <xf numFmtId="0" fontId="2" fillId="0" borderId="0" xfId="28"/>
    <xf numFmtId="0" fontId="95" fillId="0" borderId="0" xfId="43"/>
    <xf numFmtId="0" fontId="100" fillId="0" borderId="0" xfId="43" applyFont="1"/>
    <xf numFmtId="3" fontId="0" fillId="0" borderId="0" xfId="0" applyNumberFormat="1"/>
    <xf numFmtId="3" fontId="99" fillId="0" borderId="0" xfId="0" applyNumberFormat="1" applyFont="1"/>
    <xf numFmtId="0" fontId="99" fillId="0" borderId="0" xfId="0" applyFont="1" applyAlignment="1">
      <alignment horizontal="center"/>
    </xf>
    <xf numFmtId="0" fontId="101" fillId="4" borderId="0" xfId="43" applyFont="1" applyFill="1"/>
    <xf numFmtId="3" fontId="102" fillId="0" borderId="0" xfId="43" applyNumberFormat="1" applyFont="1" applyAlignment="1">
      <alignment horizontal="left" wrapText="1" readingOrder="1"/>
    </xf>
    <xf numFmtId="3" fontId="102" fillId="0" borderId="0" xfId="43" applyNumberFormat="1" applyFont="1" applyAlignment="1">
      <alignment horizontal="right" wrapText="1" readingOrder="1"/>
    </xf>
    <xf numFmtId="0" fontId="0" fillId="0" borderId="1" xfId="0" applyBorder="1" applyAlignment="1">
      <alignment vertical="center"/>
    </xf>
    <xf numFmtId="0" fontId="99" fillId="0" borderId="2" xfId="0" applyFont="1" applyBorder="1" applyAlignment="1">
      <alignment horizontal="center" vertical="center"/>
    </xf>
    <xf numFmtId="0" fontId="99" fillId="0" borderId="2" xfId="0" applyFont="1" applyBorder="1" applyAlignment="1">
      <alignment horizontal="center" vertical="center" wrapText="1"/>
    </xf>
    <xf numFmtId="0" fontId="99"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vertical="center"/>
    </xf>
    <xf numFmtId="0" fontId="0" fillId="0" borderId="6" xfId="0" applyBorder="1" applyAlignment="1">
      <alignment vertical="center" wrapText="1"/>
    </xf>
    <xf numFmtId="0" fontId="0" fillId="0" borderId="7" xfId="0" applyBorder="1" applyAlignment="1">
      <alignment vertical="center" wrapText="1"/>
    </xf>
    <xf numFmtId="0" fontId="0" fillId="5" borderId="1" xfId="0" applyFill="1" applyBorder="1" applyAlignment="1">
      <alignment vertical="center"/>
    </xf>
    <xf numFmtId="0" fontId="0" fillId="5" borderId="6" xfId="0" applyFill="1" applyBorder="1" applyAlignment="1">
      <alignment vertical="center" wrapText="1"/>
    </xf>
    <xf numFmtId="0" fontId="0" fillId="5" borderId="8" xfId="0" applyFill="1" applyBorder="1" applyAlignment="1">
      <alignment vertical="center"/>
    </xf>
    <xf numFmtId="0" fontId="0" fillId="5" borderId="9" xfId="0" applyFill="1" applyBorder="1" applyAlignment="1">
      <alignment vertical="center" wrapText="1"/>
    </xf>
    <xf numFmtId="0" fontId="0" fillId="5" borderId="5" xfId="0" applyFill="1" applyBorder="1" applyAlignment="1">
      <alignment vertical="center"/>
    </xf>
    <xf numFmtId="0" fontId="0" fillId="5" borderId="7" xfId="0" applyFill="1" applyBorder="1" applyAlignment="1">
      <alignment vertical="center" wrapText="1"/>
    </xf>
    <xf numFmtId="0" fontId="0" fillId="0" borderId="8" xfId="0" applyBorder="1" applyAlignment="1">
      <alignment vertical="center"/>
    </xf>
    <xf numFmtId="0" fontId="0" fillId="0" borderId="9" xfId="0" applyBorder="1" applyAlignment="1">
      <alignment vertical="center" wrapText="1"/>
    </xf>
    <xf numFmtId="0" fontId="0" fillId="5" borderId="10" xfId="0" applyFill="1" applyBorder="1" applyAlignment="1">
      <alignment vertical="center"/>
    </xf>
    <xf numFmtId="0" fontId="0" fillId="5" borderId="11" xfId="0" applyFill="1" applyBorder="1" applyAlignment="1">
      <alignment vertical="center" wrapText="1"/>
    </xf>
    <xf numFmtId="0" fontId="99" fillId="0" borderId="12" xfId="0" applyFont="1" applyBorder="1" applyAlignment="1">
      <alignment horizontal="center"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02" fillId="0" borderId="13" xfId="43" applyFont="1" applyBorder="1" applyAlignment="1">
      <alignment horizontal="left" vertical="center" wrapText="1" readingOrder="1"/>
    </xf>
    <xf numFmtId="0" fontId="102" fillId="0" borderId="8" xfId="43" applyFont="1" applyBorder="1" applyAlignment="1">
      <alignment vertical="center" readingOrder="1"/>
    </xf>
    <xf numFmtId="0" fontId="102" fillId="0" borderId="8" xfId="43" applyFont="1" applyBorder="1" applyAlignment="1">
      <alignment vertical="center" wrapText="1" readingOrder="1"/>
    </xf>
    <xf numFmtId="0" fontId="102" fillId="0" borderId="9" xfId="43" applyFont="1" applyBorder="1" applyAlignment="1">
      <alignment vertical="center" wrapText="1" readingOrder="1"/>
    </xf>
    <xf numFmtId="0" fontId="102" fillId="0" borderId="15" xfId="43" applyFont="1" applyBorder="1" applyAlignment="1">
      <alignment horizontal="left" vertical="center" wrapText="1" readingOrder="1"/>
    </xf>
    <xf numFmtId="0" fontId="102" fillId="0" borderId="5" xfId="43" applyFont="1" applyBorder="1" applyAlignment="1">
      <alignment horizontal="left" vertical="center" wrapText="1" readingOrder="1"/>
    </xf>
    <xf numFmtId="0" fontId="102" fillId="0" borderId="5" xfId="43" applyFont="1" applyBorder="1" applyAlignment="1">
      <alignment vertical="center" readingOrder="1"/>
    </xf>
    <xf numFmtId="0" fontId="102" fillId="0" borderId="5" xfId="43" applyFont="1" applyBorder="1" applyAlignment="1">
      <alignment vertical="center" wrapText="1" readingOrder="1"/>
    </xf>
    <xf numFmtId="0" fontId="102" fillId="0" borderId="7" xfId="43" applyFont="1" applyBorder="1" applyAlignment="1">
      <alignment vertical="center" wrapText="1" readingOrder="1"/>
    </xf>
    <xf numFmtId="3" fontId="103" fillId="0" borderId="13" xfId="43" applyNumberFormat="1" applyFont="1" applyBorder="1" applyAlignment="1">
      <alignment horizontal="left" vertical="center" wrapText="1" readingOrder="1"/>
    </xf>
    <xf numFmtId="3" fontId="10" fillId="0" borderId="14" xfId="43" applyNumberFormat="1" applyFont="1" applyBorder="1" applyAlignment="1">
      <alignment horizontal="left" vertical="center" wrapText="1" readingOrder="1"/>
    </xf>
    <xf numFmtId="3" fontId="10" fillId="0" borderId="18" xfId="43" applyNumberFormat="1" applyFont="1" applyBorder="1" applyAlignment="1">
      <alignment vertical="center" wrapText="1" readingOrder="1"/>
    </xf>
    <xf numFmtId="3" fontId="9" fillId="6" borderId="14" xfId="43" applyNumberFormat="1" applyFont="1" applyFill="1" applyBorder="1" applyAlignment="1">
      <alignment horizontal="left" vertical="center" wrapText="1" readingOrder="1"/>
    </xf>
    <xf numFmtId="3" fontId="102" fillId="7" borderId="14" xfId="43" applyNumberFormat="1" applyFont="1" applyFill="1" applyBorder="1" applyAlignment="1">
      <alignment horizontal="left" vertical="center" wrapText="1" readingOrder="1"/>
    </xf>
    <xf numFmtId="3" fontId="103" fillId="0" borderId="14" xfId="43" applyNumberFormat="1" applyFont="1" applyBorder="1" applyAlignment="1">
      <alignment horizontal="left" vertical="center" wrapText="1" readingOrder="1"/>
    </xf>
    <xf numFmtId="3" fontId="102" fillId="0" borderId="15" xfId="43" applyNumberFormat="1" applyFont="1" applyBorder="1" applyAlignment="1">
      <alignment horizontal="left" vertical="center" wrapText="1" readingOrder="1"/>
    </xf>
    <xf numFmtId="166" fontId="102" fillId="0" borderId="9" xfId="43" applyNumberFormat="1" applyFont="1" applyBorder="1" applyAlignment="1">
      <alignment horizontal="center" vertical="center" wrapText="1" readingOrder="1"/>
    </xf>
    <xf numFmtId="3" fontId="10" fillId="0" borderId="16" xfId="43" applyNumberFormat="1" applyFont="1" applyBorder="1" applyAlignment="1">
      <alignment horizontal="left" vertical="center" wrapText="1" readingOrder="1"/>
    </xf>
    <xf numFmtId="3" fontId="102" fillId="6" borderId="19" xfId="43" applyNumberFormat="1" applyFont="1" applyFill="1" applyBorder="1" applyAlignment="1">
      <alignment horizontal="left" vertical="center" wrapText="1" readingOrder="1"/>
    </xf>
    <xf numFmtId="3" fontId="103" fillId="0" borderId="16" xfId="43" applyNumberFormat="1" applyFont="1" applyBorder="1" applyAlignment="1">
      <alignment horizontal="left" vertical="center" wrapText="1" readingOrder="1"/>
    </xf>
    <xf numFmtId="3" fontId="102" fillId="7" borderId="19" xfId="43" applyNumberFormat="1" applyFont="1" applyFill="1" applyBorder="1" applyAlignment="1">
      <alignment horizontal="left" vertical="center" wrapText="1" readingOrder="1"/>
    </xf>
    <xf numFmtId="166" fontId="10" fillId="0" borderId="20" xfId="43" applyNumberFormat="1" applyFont="1" applyBorder="1" applyAlignment="1">
      <alignment horizontal="center" vertical="center" wrapText="1" readingOrder="1"/>
    </xf>
    <xf numFmtId="166" fontId="9" fillId="6" borderId="19" xfId="43" applyNumberFormat="1" applyFont="1" applyFill="1" applyBorder="1" applyAlignment="1">
      <alignment horizontal="center" vertical="center" wrapText="1" readingOrder="1"/>
    </xf>
    <xf numFmtId="166" fontId="9" fillId="6" borderId="21" xfId="43" applyNumberFormat="1" applyFont="1" applyFill="1" applyBorder="1" applyAlignment="1">
      <alignment horizontal="center" vertical="center" wrapText="1" readingOrder="1"/>
    </xf>
    <xf numFmtId="0" fontId="104" fillId="0" borderId="0" xfId="0" applyFont="1"/>
    <xf numFmtId="0" fontId="104" fillId="0" borderId="22" xfId="0" applyFont="1" applyBorder="1" applyAlignment="1">
      <alignment vertical="center"/>
    </xf>
    <xf numFmtId="166" fontId="104" fillId="0" borderId="23" xfId="0" applyNumberFormat="1" applyFont="1" applyBorder="1" applyAlignment="1">
      <alignment horizontal="center" vertical="center"/>
    </xf>
    <xf numFmtId="0" fontId="102" fillId="0" borderId="13" xfId="43" applyFont="1" applyBorder="1" applyAlignment="1">
      <alignment vertical="center" wrapText="1" readingOrder="1"/>
    </xf>
    <xf numFmtId="0" fontId="102" fillId="0" borderId="15" xfId="43" applyFont="1" applyBorder="1" applyAlignment="1">
      <alignment vertical="center" wrapText="1" readingOrder="1"/>
    </xf>
    <xf numFmtId="166" fontId="102" fillId="0" borderId="13" xfId="43" applyNumberFormat="1" applyFont="1" applyBorder="1" applyAlignment="1">
      <alignment horizontal="center" vertical="center" wrapText="1" readingOrder="1"/>
    </xf>
    <xf numFmtId="166" fontId="104" fillId="0" borderId="22" xfId="0" applyNumberFormat="1" applyFont="1" applyBorder="1" applyAlignment="1">
      <alignment horizontal="center" vertical="center"/>
    </xf>
    <xf numFmtId="166" fontId="10" fillId="0" borderId="16" xfId="43" applyNumberFormat="1" applyFont="1" applyBorder="1" applyAlignment="1">
      <alignment horizontal="center" vertical="center" wrapText="1" readingOrder="1"/>
    </xf>
    <xf numFmtId="0" fontId="12" fillId="0" borderId="0" xfId="43" applyFont="1"/>
    <xf numFmtId="166" fontId="0" fillId="0" borderId="0" xfId="0" applyNumberFormat="1"/>
    <xf numFmtId="166" fontId="95" fillId="0" borderId="0" xfId="43" applyNumberFormat="1"/>
    <xf numFmtId="3" fontId="103" fillId="8" borderId="14" xfId="43" applyNumberFormat="1" applyFont="1" applyFill="1" applyBorder="1" applyAlignment="1">
      <alignment vertical="center" wrapText="1"/>
    </xf>
    <xf numFmtId="0" fontId="5" fillId="0" borderId="0" xfId="28" applyFont="1" applyAlignment="1">
      <alignment wrapText="1"/>
    </xf>
    <xf numFmtId="0" fontId="14" fillId="0" borderId="1" xfId="28" applyFont="1" applyBorder="1" applyAlignment="1">
      <alignment horizontal="center" wrapText="1"/>
    </xf>
    <xf numFmtId="0" fontId="14" fillId="0" borderId="24" xfId="28" applyFont="1" applyBorder="1" applyAlignment="1">
      <alignment horizontal="center" wrapText="1"/>
    </xf>
    <xf numFmtId="0" fontId="14" fillId="0" borderId="1" xfId="28" applyFont="1" applyBorder="1" applyAlignment="1">
      <alignment horizontal="left" textRotation="90" wrapText="1"/>
    </xf>
    <xf numFmtId="0" fontId="15" fillId="0" borderId="0" xfId="28" applyFont="1"/>
    <xf numFmtId="3" fontId="14" fillId="0" borderId="0" xfId="28" applyNumberFormat="1" applyFont="1" applyAlignment="1">
      <alignment horizontal="center"/>
    </xf>
    <xf numFmtId="0" fontId="14" fillId="9" borderId="25" xfId="0" applyFont="1" applyFill="1" applyBorder="1" applyAlignment="1">
      <alignment horizontal="center"/>
    </xf>
    <xf numFmtId="0" fontId="14" fillId="0" borderId="25" xfId="28" applyFont="1" applyBorder="1" applyAlignment="1">
      <alignment horizontal="left" vertical="center" wrapText="1"/>
    </xf>
    <xf numFmtId="0" fontId="16" fillId="0" borderId="26" xfId="28" applyFont="1" applyBorder="1" applyAlignment="1">
      <alignment horizontal="left" wrapText="1"/>
    </xf>
    <xf numFmtId="0" fontId="5" fillId="0" borderId="0" xfId="28" applyFont="1"/>
    <xf numFmtId="3" fontId="18" fillId="0" borderId="0" xfId="28" applyNumberFormat="1" applyFont="1"/>
    <xf numFmtId="4" fontId="18" fillId="0" borderId="0" xfId="28" applyNumberFormat="1" applyFont="1"/>
    <xf numFmtId="3" fontId="16" fillId="10" borderId="0" xfId="28" applyNumberFormat="1" applyFont="1" applyFill="1" applyAlignment="1">
      <alignment horizontal="center"/>
    </xf>
    <xf numFmtId="0" fontId="0" fillId="11" borderId="0" xfId="0" applyFill="1"/>
    <xf numFmtId="0" fontId="0" fillId="0" borderId="27" xfId="0" applyBorder="1" applyAlignment="1">
      <alignment horizontal="center" vertical="center" wrapText="1"/>
    </xf>
    <xf numFmtId="0" fontId="0" fillId="0" borderId="0" xfId="0" applyAlignment="1">
      <alignment vertical="center" wrapText="1"/>
    </xf>
    <xf numFmtId="0" fontId="0" fillId="12" borderId="13" xfId="0" applyFill="1" applyBorder="1" applyAlignment="1">
      <alignment vertical="center"/>
    </xf>
    <xf numFmtId="0" fontId="0" fillId="12" borderId="8" xfId="0" applyFill="1" applyBorder="1" applyAlignment="1">
      <alignment vertical="center"/>
    </xf>
    <xf numFmtId="0" fontId="0" fillId="12" borderId="9" xfId="0" applyFill="1" applyBorder="1" applyAlignment="1">
      <alignment vertical="center" wrapText="1"/>
    </xf>
    <xf numFmtId="0" fontId="0" fillId="12" borderId="14" xfId="0" applyFill="1" applyBorder="1" applyAlignment="1">
      <alignment vertical="center"/>
    </xf>
    <xf numFmtId="0" fontId="0" fillId="12" borderId="1" xfId="0" applyFill="1" applyBorder="1" applyAlignment="1">
      <alignment vertical="center"/>
    </xf>
    <xf numFmtId="0" fontId="0" fillId="12" borderId="6" xfId="0" applyFill="1" applyBorder="1" applyAlignment="1">
      <alignment vertical="center" wrapText="1"/>
    </xf>
    <xf numFmtId="0" fontId="0" fillId="13" borderId="0" xfId="0" applyFill="1"/>
    <xf numFmtId="0" fontId="0" fillId="0" borderId="0" xfId="0" applyAlignment="1">
      <alignment horizontal="center" vertical="center" textRotation="90" wrapText="1"/>
    </xf>
    <xf numFmtId="0" fontId="0" fillId="0" borderId="0" xfId="0" applyAlignment="1">
      <alignment vertical="center"/>
    </xf>
    <xf numFmtId="0" fontId="0" fillId="0" borderId="0" xfId="0" applyAlignment="1">
      <alignment horizontal="center" vertical="center" textRotation="90"/>
    </xf>
    <xf numFmtId="0" fontId="0" fillId="13" borderId="0" xfId="0" applyFill="1" applyAlignment="1">
      <alignment textRotation="90"/>
    </xf>
    <xf numFmtId="0" fontId="0" fillId="0" borderId="0" xfId="0" applyAlignment="1">
      <alignment textRotation="90"/>
    </xf>
    <xf numFmtId="0" fontId="105" fillId="0" borderId="4" xfId="0" applyFont="1" applyBorder="1" applyAlignment="1">
      <alignment vertical="top" textRotation="90"/>
    </xf>
    <xf numFmtId="0" fontId="14" fillId="0" borderId="1" xfId="28" applyFont="1" applyBorder="1"/>
    <xf numFmtId="0" fontId="14" fillId="0" borderId="10" xfId="28" applyFont="1" applyBorder="1" applyAlignment="1">
      <alignment horizontal="left" textRotation="90" wrapText="1"/>
    </xf>
    <xf numFmtId="0" fontId="14" fillId="10" borderId="1" xfId="28" applyFont="1" applyFill="1" applyBorder="1" applyAlignment="1">
      <alignment horizontal="left" textRotation="90" wrapText="1"/>
    </xf>
    <xf numFmtId="3" fontId="102" fillId="12" borderId="9" xfId="43" applyNumberFormat="1" applyFont="1" applyFill="1" applyBorder="1" applyAlignment="1">
      <alignment horizontal="center" vertical="center" wrapText="1" readingOrder="1"/>
    </xf>
    <xf numFmtId="3" fontId="106" fillId="0" borderId="0" xfId="0" applyNumberFormat="1" applyFont="1" applyAlignment="1">
      <alignment horizontal="center" vertical="center"/>
    </xf>
    <xf numFmtId="3" fontId="106" fillId="0" borderId="23" xfId="0" applyNumberFormat="1" applyFont="1" applyBorder="1"/>
    <xf numFmtId="3" fontId="102" fillId="6" borderId="28" xfId="43" applyNumberFormat="1" applyFont="1" applyFill="1" applyBorder="1" applyAlignment="1">
      <alignment horizontal="center" vertical="center" wrapText="1"/>
    </xf>
    <xf numFmtId="3" fontId="102" fillId="6" borderId="21" xfId="43" applyNumberFormat="1" applyFont="1" applyFill="1" applyBorder="1" applyAlignment="1">
      <alignment horizontal="center" vertical="center" wrapText="1"/>
    </xf>
    <xf numFmtId="3" fontId="107" fillId="0" borderId="29" xfId="11" applyNumberFormat="1" applyFont="1" applyBorder="1" applyAlignment="1">
      <alignment horizontal="center" vertical="center" wrapText="1" readingOrder="1"/>
    </xf>
    <xf numFmtId="3" fontId="9" fillId="12" borderId="20" xfId="43" applyNumberFormat="1" applyFont="1" applyFill="1" applyBorder="1" applyAlignment="1">
      <alignment horizontal="center" vertical="center" wrapText="1" readingOrder="1"/>
    </xf>
    <xf numFmtId="3" fontId="107" fillId="0" borderId="1" xfId="11" applyNumberFormat="1" applyFont="1" applyBorder="1" applyAlignment="1">
      <alignment horizontal="center" vertical="center" wrapText="1" readingOrder="1"/>
    </xf>
    <xf numFmtId="3" fontId="9" fillId="12" borderId="6" xfId="43" applyNumberFormat="1" applyFont="1" applyFill="1" applyBorder="1" applyAlignment="1">
      <alignment horizontal="center" vertical="center" wrapText="1" readingOrder="1"/>
    </xf>
    <xf numFmtId="3" fontId="107" fillId="0" borderId="1" xfId="11" applyNumberFormat="1" applyFont="1" applyBorder="1" applyAlignment="1">
      <alignment horizontal="center" vertical="center"/>
    </xf>
    <xf numFmtId="3" fontId="107" fillId="0" borderId="1" xfId="11" applyNumberFormat="1" applyFont="1" applyBorder="1" applyAlignment="1">
      <alignment horizontal="center" vertical="center" wrapText="1"/>
    </xf>
    <xf numFmtId="3" fontId="9" fillId="12" borderId="1" xfId="43" applyNumberFormat="1" applyFont="1" applyFill="1" applyBorder="1" applyAlignment="1">
      <alignment horizontal="center" vertical="center" wrapText="1" readingOrder="1"/>
    </xf>
    <xf numFmtId="3" fontId="102" fillId="7" borderId="28" xfId="43" applyNumberFormat="1" applyFont="1" applyFill="1" applyBorder="1" applyAlignment="1">
      <alignment horizontal="center" vertical="center" wrapText="1"/>
    </xf>
    <xf numFmtId="3" fontId="102" fillId="7" borderId="21" xfId="43" applyNumberFormat="1" applyFont="1" applyFill="1" applyBorder="1" applyAlignment="1">
      <alignment horizontal="center" vertical="center" wrapText="1"/>
    </xf>
    <xf numFmtId="3" fontId="102" fillId="12" borderId="20" xfId="43" applyNumberFormat="1" applyFont="1" applyFill="1" applyBorder="1" applyAlignment="1">
      <alignment horizontal="center" vertical="center" wrapText="1" readingOrder="1"/>
    </xf>
    <xf numFmtId="3" fontId="102" fillId="12" borderId="6" xfId="43" applyNumberFormat="1" applyFont="1" applyFill="1" applyBorder="1" applyAlignment="1">
      <alignment horizontal="center" vertical="center" wrapText="1" readingOrder="1"/>
    </xf>
    <xf numFmtId="3" fontId="102" fillId="12" borderId="1" xfId="43" applyNumberFormat="1" applyFont="1" applyFill="1" applyBorder="1" applyAlignment="1">
      <alignment horizontal="center" vertical="center" wrapText="1" readingOrder="1"/>
    </xf>
    <xf numFmtId="3" fontId="102" fillId="12" borderId="1" xfId="43" applyNumberFormat="1" applyFont="1" applyFill="1" applyBorder="1" applyAlignment="1">
      <alignment horizontal="center" vertical="center" wrapText="1"/>
    </xf>
    <xf numFmtId="3" fontId="102" fillId="12" borderId="6" xfId="43" applyNumberFormat="1" applyFont="1" applyFill="1" applyBorder="1" applyAlignment="1">
      <alignment horizontal="center" vertical="center" wrapText="1"/>
    </xf>
    <xf numFmtId="3" fontId="102" fillId="12" borderId="5" xfId="43" applyNumberFormat="1" applyFont="1" applyFill="1" applyBorder="1" applyAlignment="1">
      <alignment horizontal="center" vertical="center" wrapText="1" readingOrder="1"/>
    </xf>
    <xf numFmtId="3" fontId="102" fillId="12" borderId="30" xfId="43" applyNumberFormat="1" applyFont="1" applyFill="1" applyBorder="1" applyAlignment="1">
      <alignment horizontal="center" vertical="center" wrapText="1" readingOrder="1"/>
    </xf>
    <xf numFmtId="3" fontId="0" fillId="14" borderId="1" xfId="0" applyNumberFormat="1" applyFill="1" applyBorder="1" applyAlignment="1">
      <alignment vertical="center"/>
    </xf>
    <xf numFmtId="3" fontId="0" fillId="14" borderId="5" xfId="0" applyNumberFormat="1" applyFill="1" applyBorder="1" applyAlignment="1">
      <alignment vertical="center"/>
    </xf>
    <xf numFmtId="3" fontId="0" fillId="0" borderId="8" xfId="0" applyNumberFormat="1" applyBorder="1" applyAlignment="1">
      <alignment vertical="center"/>
    </xf>
    <xf numFmtId="3" fontId="0" fillId="0" borderId="1" xfId="0" applyNumberFormat="1" applyBorder="1" applyAlignment="1">
      <alignment vertical="center"/>
    </xf>
    <xf numFmtId="3" fontId="0" fillId="0" borderId="5" xfId="0" applyNumberFormat="1" applyBorder="1" applyAlignment="1">
      <alignment vertical="center"/>
    </xf>
    <xf numFmtId="3" fontId="0" fillId="5" borderId="1" xfId="0" applyNumberFormat="1" applyFill="1" applyBorder="1" applyAlignment="1">
      <alignment vertical="center"/>
    </xf>
    <xf numFmtId="3" fontId="0" fillId="5" borderId="5" xfId="0" applyNumberFormat="1" applyFill="1" applyBorder="1" applyAlignment="1">
      <alignment vertical="center"/>
    </xf>
    <xf numFmtId="3" fontId="107" fillId="0" borderId="8" xfId="11" applyNumberFormat="1" applyFont="1" applyBorder="1" applyAlignment="1">
      <alignment horizontal="center" vertical="center" wrapText="1" readingOrder="1"/>
    </xf>
    <xf numFmtId="3" fontId="0" fillId="12" borderId="8" xfId="0" applyNumberFormat="1" applyFill="1" applyBorder="1" applyAlignment="1">
      <alignment vertical="center"/>
    </xf>
    <xf numFmtId="3" fontId="0" fillId="12" borderId="1" xfId="0" applyNumberFormat="1" applyFill="1" applyBorder="1" applyAlignment="1">
      <alignment vertical="center"/>
    </xf>
    <xf numFmtId="3" fontId="0" fillId="0" borderId="0" xfId="0" applyNumberFormat="1" applyAlignment="1">
      <alignment vertical="center"/>
    </xf>
    <xf numFmtId="3" fontId="0" fillId="13" borderId="0" xfId="0" applyNumberFormat="1" applyFill="1"/>
    <xf numFmtId="3" fontId="0" fillId="11" borderId="0" xfId="0" applyNumberFormat="1" applyFill="1"/>
    <xf numFmtId="3" fontId="99" fillId="0" borderId="2" xfId="0" applyNumberFormat="1" applyFont="1" applyBorder="1" applyAlignment="1">
      <alignment horizontal="center" vertical="center" wrapText="1"/>
    </xf>
    <xf numFmtId="3" fontId="16" fillId="10" borderId="24" xfId="28" applyNumberFormat="1" applyFont="1" applyFill="1" applyBorder="1" applyAlignment="1">
      <alignment horizontal="center"/>
    </xf>
    <xf numFmtId="3" fontId="14" fillId="10" borderId="31" xfId="28" applyNumberFormat="1" applyFont="1" applyFill="1" applyBorder="1" applyAlignment="1">
      <alignment horizontal="center"/>
    </xf>
    <xf numFmtId="3" fontId="14" fillId="10" borderId="24" xfId="28" applyNumberFormat="1" applyFont="1" applyFill="1" applyBorder="1" applyAlignment="1">
      <alignment horizontal="center"/>
    </xf>
    <xf numFmtId="3" fontId="14" fillId="10" borderId="0" xfId="28" applyNumberFormat="1" applyFont="1" applyFill="1" applyAlignment="1">
      <alignment horizontal="center"/>
    </xf>
    <xf numFmtId="0" fontId="14" fillId="10" borderId="24" xfId="28" applyFont="1" applyFill="1" applyBorder="1" applyAlignment="1">
      <alignment horizontal="center"/>
    </xf>
    <xf numFmtId="3" fontId="14" fillId="10" borderId="32" xfId="28" applyNumberFormat="1" applyFont="1" applyFill="1" applyBorder="1" applyAlignment="1">
      <alignment horizontal="center"/>
    </xf>
    <xf numFmtId="3" fontId="14" fillId="10" borderId="26" xfId="28" applyNumberFormat="1" applyFont="1" applyFill="1" applyBorder="1" applyAlignment="1">
      <alignment horizontal="center"/>
    </xf>
    <xf numFmtId="0" fontId="14" fillId="0" borderId="33" xfId="28" applyFont="1" applyBorder="1" applyAlignment="1">
      <alignment horizontal="left" wrapText="1" indent="2"/>
    </xf>
    <xf numFmtId="0" fontId="14" fillId="0" borderId="34" xfId="28" applyFont="1" applyBorder="1" applyAlignment="1">
      <alignment horizontal="left" wrapText="1" indent="2"/>
    </xf>
    <xf numFmtId="0" fontId="14" fillId="0" borderId="10" xfId="28" quotePrefix="1" applyFont="1" applyBorder="1" applyAlignment="1">
      <alignment horizontal="right" wrapText="1"/>
    </xf>
    <xf numFmtId="0" fontId="14" fillId="0" borderId="10" xfId="28" applyFont="1" applyBorder="1" applyAlignment="1">
      <alignment horizontal="right" wrapText="1"/>
    </xf>
    <xf numFmtId="0" fontId="14" fillId="0" borderId="32" xfId="28" quotePrefix="1" applyFont="1" applyBorder="1" applyAlignment="1">
      <alignment horizontal="left" textRotation="90" wrapText="1"/>
    </xf>
    <xf numFmtId="3" fontId="14" fillId="10" borderId="35" xfId="28" applyNumberFormat="1" applyFont="1" applyFill="1" applyBorder="1" applyAlignment="1">
      <alignment horizontal="center"/>
    </xf>
    <xf numFmtId="0" fontId="14" fillId="0" borderId="34" xfId="28" applyFont="1" applyBorder="1" applyAlignment="1">
      <alignment horizontal="left" wrapText="1" indent="1"/>
    </xf>
    <xf numFmtId="3" fontId="14" fillId="10" borderId="34" xfId="28" applyNumberFormat="1" applyFont="1" applyFill="1" applyBorder="1" applyAlignment="1">
      <alignment horizontal="center"/>
    </xf>
    <xf numFmtId="0" fontId="14" fillId="0" borderId="36" xfId="28" applyFont="1" applyBorder="1" applyAlignment="1">
      <alignment horizontal="left" wrapText="1" indent="2"/>
    </xf>
    <xf numFmtId="0" fontId="14" fillId="0" borderId="24" xfId="28" applyFont="1" applyBorder="1" applyAlignment="1">
      <alignment horizontal="left" wrapText="1" indent="1"/>
    </xf>
    <xf numFmtId="0" fontId="14" fillId="0" borderId="36" xfId="28" applyFont="1" applyBorder="1" applyAlignment="1">
      <alignment horizontal="left" wrapText="1" indent="1"/>
    </xf>
    <xf numFmtId="3" fontId="16" fillId="10" borderId="31" xfId="28" applyNumberFormat="1" applyFont="1" applyFill="1" applyBorder="1" applyAlignment="1">
      <alignment horizontal="center"/>
    </xf>
    <xf numFmtId="0" fontId="14" fillId="0" borderId="24" xfId="28" applyFont="1" applyBorder="1" applyAlignment="1">
      <alignment horizontal="left" wrapText="1" indent="2"/>
    </xf>
    <xf numFmtId="3" fontId="16" fillId="10" borderId="37" xfId="28" applyNumberFormat="1" applyFont="1" applyFill="1" applyBorder="1" applyAlignment="1">
      <alignment horizontal="center"/>
    </xf>
    <xf numFmtId="3" fontId="16" fillId="10" borderId="26" xfId="28" applyNumberFormat="1" applyFont="1" applyFill="1" applyBorder="1" applyAlignment="1">
      <alignment horizontal="center"/>
    </xf>
    <xf numFmtId="3" fontId="16" fillId="10" borderId="38" xfId="28" applyNumberFormat="1" applyFont="1" applyFill="1" applyBorder="1" applyAlignment="1">
      <alignment horizontal="center"/>
    </xf>
    <xf numFmtId="0" fontId="14" fillId="9" borderId="10" xfId="0" applyFont="1" applyFill="1" applyBorder="1" applyAlignment="1">
      <alignment horizontal="center"/>
    </xf>
    <xf numFmtId="0" fontId="14" fillId="9" borderId="29" xfId="0" applyFont="1" applyFill="1" applyBorder="1" applyAlignment="1">
      <alignment horizontal="center"/>
    </xf>
    <xf numFmtId="3" fontId="14" fillId="9" borderId="10" xfId="28" applyNumberFormat="1" applyFont="1" applyFill="1" applyBorder="1" applyAlignment="1">
      <alignment horizontal="center"/>
    </xf>
    <xf numFmtId="3" fontId="14" fillId="9" borderId="25" xfId="28" applyNumberFormat="1" applyFont="1" applyFill="1" applyBorder="1" applyAlignment="1">
      <alignment horizontal="center"/>
    </xf>
    <xf numFmtId="3" fontId="14" fillId="9" borderId="29" xfId="28" applyNumberFormat="1" applyFont="1" applyFill="1" applyBorder="1" applyAlignment="1">
      <alignment horizontal="center"/>
    </xf>
    <xf numFmtId="0" fontId="14" fillId="0" borderId="10" xfId="28" applyFont="1" applyBorder="1" applyAlignment="1">
      <alignment horizontal="center" vertical="center" wrapText="1"/>
    </xf>
    <xf numFmtId="0" fontId="14" fillId="10" borderId="10" xfId="28" applyFont="1" applyFill="1" applyBorder="1" applyAlignment="1">
      <alignment horizontal="center" vertical="center" wrapText="1"/>
    </xf>
    <xf numFmtId="3" fontId="107" fillId="0" borderId="36" xfId="11" applyNumberFormat="1" applyFont="1" applyBorder="1" applyAlignment="1">
      <alignment horizontal="center"/>
    </xf>
    <xf numFmtId="3" fontId="107" fillId="0" borderId="34" xfId="11" applyNumberFormat="1" applyFont="1" applyBorder="1" applyAlignment="1">
      <alignment horizontal="center"/>
    </xf>
    <xf numFmtId="3" fontId="107" fillId="0" borderId="33" xfId="11" applyNumberFormat="1" applyFont="1" applyBorder="1" applyAlignment="1">
      <alignment horizontal="center"/>
    </xf>
    <xf numFmtId="3" fontId="107" fillId="0" borderId="24" xfId="11" applyNumberFormat="1" applyFont="1" applyBorder="1" applyAlignment="1">
      <alignment horizontal="center"/>
    </xf>
    <xf numFmtId="3" fontId="107" fillId="0" borderId="32" xfId="11" applyNumberFormat="1" applyFont="1" applyBorder="1" applyAlignment="1">
      <alignment horizontal="center"/>
    </xf>
    <xf numFmtId="3" fontId="107" fillId="0" borderId="35" xfId="11" applyNumberFormat="1" applyFont="1" applyBorder="1" applyAlignment="1">
      <alignment horizontal="center"/>
    </xf>
    <xf numFmtId="3" fontId="107" fillId="0" borderId="0" xfId="11" applyNumberFormat="1" applyFont="1" applyAlignment="1">
      <alignment horizontal="center"/>
    </xf>
    <xf numFmtId="3" fontId="107" fillId="0" borderId="31" xfId="11" applyNumberFormat="1" applyFont="1" applyBorder="1" applyAlignment="1">
      <alignment horizontal="center"/>
    </xf>
    <xf numFmtId="0" fontId="0" fillId="5" borderId="1" xfId="0" applyFill="1" applyBorder="1" applyAlignment="1">
      <alignment vertical="center" wrapText="1"/>
    </xf>
    <xf numFmtId="0" fontId="99" fillId="0" borderId="35" xfId="43" applyFont="1" applyBorder="1"/>
    <xf numFmtId="0" fontId="95" fillId="0" borderId="35" xfId="43" applyBorder="1"/>
    <xf numFmtId="165" fontId="95" fillId="0" borderId="0" xfId="43" applyNumberFormat="1"/>
    <xf numFmtId="167" fontId="95" fillId="0" borderId="0" xfId="1" applyNumberFormat="1"/>
    <xf numFmtId="2" fontId="95" fillId="4" borderId="0" xfId="43" applyNumberFormat="1" applyFill="1"/>
    <xf numFmtId="2" fontId="95" fillId="0" borderId="0" xfId="43" applyNumberFormat="1"/>
    <xf numFmtId="168" fontId="95" fillId="0" borderId="0" xfId="1" applyNumberFormat="1"/>
    <xf numFmtId="167" fontId="95" fillId="4" borderId="0" xfId="1" applyNumberFormat="1" applyFill="1"/>
    <xf numFmtId="167" fontId="95" fillId="0" borderId="35" xfId="1" applyNumberFormat="1" applyBorder="1"/>
    <xf numFmtId="3" fontId="95" fillId="0" borderId="0" xfId="43" applyNumberFormat="1"/>
    <xf numFmtId="0" fontId="100" fillId="4" borderId="0" xfId="43" applyFont="1" applyFill="1"/>
    <xf numFmtId="0" fontId="99" fillId="0" borderId="0" xfId="0" applyFont="1"/>
    <xf numFmtId="3" fontId="108" fillId="0" borderId="0" xfId="43" applyNumberFormat="1" applyFont="1" applyAlignment="1">
      <alignment wrapText="1"/>
    </xf>
    <xf numFmtId="10" fontId="100" fillId="0" borderId="0" xfId="53" applyNumberFormat="1" applyFont="1"/>
    <xf numFmtId="10" fontId="95" fillId="0" borderId="0" xfId="53" applyNumberFormat="1"/>
    <xf numFmtId="3" fontId="109" fillId="0" borderId="0" xfId="43" applyNumberFormat="1" applyFont="1" applyAlignment="1">
      <alignment horizontal="right" wrapText="1" readingOrder="1"/>
    </xf>
    <xf numFmtId="167" fontId="95" fillId="0" borderId="0" xfId="43" applyNumberFormat="1"/>
    <xf numFmtId="0" fontId="99" fillId="0" borderId="0" xfId="45" applyFont="1"/>
    <xf numFmtId="0" fontId="7" fillId="0" borderId="0" xfId="45"/>
    <xf numFmtId="169" fontId="110" fillId="0" borderId="0" xfId="52" applyNumberFormat="1" applyFont="1"/>
    <xf numFmtId="0" fontId="100" fillId="0" borderId="0" xfId="45" applyFont="1"/>
    <xf numFmtId="3" fontId="100" fillId="0" borderId="0" xfId="45" applyNumberFormat="1" applyFont="1"/>
    <xf numFmtId="0" fontId="21" fillId="0" borderId="0" xfId="45" applyFont="1"/>
    <xf numFmtId="2" fontId="99" fillId="0" borderId="0" xfId="45" applyNumberFormat="1" applyFont="1"/>
    <xf numFmtId="3" fontId="99" fillId="0" borderId="0" xfId="43" applyNumberFormat="1" applyFont="1"/>
    <xf numFmtId="3" fontId="100" fillId="0" borderId="0" xfId="45" quotePrefix="1" applyNumberFormat="1" applyFont="1"/>
    <xf numFmtId="0" fontId="100" fillId="0" borderId="0" xfId="45" applyFont="1" applyAlignment="1">
      <alignment wrapText="1"/>
    </xf>
    <xf numFmtId="0" fontId="100" fillId="0" borderId="0" xfId="45" applyFont="1" applyAlignment="1">
      <alignment horizontal="right"/>
    </xf>
    <xf numFmtId="3" fontId="111" fillId="0" borderId="0" xfId="45" applyNumberFormat="1" applyFont="1"/>
    <xf numFmtId="3" fontId="100" fillId="0" borderId="0" xfId="45" applyNumberFormat="1" applyFont="1" applyAlignment="1">
      <alignment wrapText="1"/>
    </xf>
    <xf numFmtId="165" fontId="100" fillId="0" borderId="0" xfId="45" applyNumberFormat="1" applyFont="1"/>
    <xf numFmtId="0" fontId="111" fillId="0" borderId="0" xfId="45" applyFont="1" applyAlignment="1">
      <alignment horizontal="right"/>
    </xf>
    <xf numFmtId="0" fontId="111" fillId="0" borderId="0" xfId="45" applyFont="1"/>
    <xf numFmtId="0" fontId="111" fillId="0" borderId="12" xfId="45" applyFont="1" applyBorder="1"/>
    <xf numFmtId="0" fontId="111" fillId="0" borderId="2" xfId="45" applyFont="1" applyBorder="1"/>
    <xf numFmtId="0" fontId="111" fillId="0" borderId="3" xfId="45" applyFont="1" applyBorder="1"/>
    <xf numFmtId="170" fontId="100" fillId="0" borderId="16" xfId="4" applyNumberFormat="1" applyFont="1" applyBorder="1"/>
    <xf numFmtId="165" fontId="100" fillId="0" borderId="29" xfId="4" applyFont="1" applyBorder="1"/>
    <xf numFmtId="0" fontId="100" fillId="0" borderId="20" xfId="45" applyFont="1" applyBorder="1"/>
    <xf numFmtId="170" fontId="100" fillId="0" borderId="14" xfId="4" applyNumberFormat="1" applyFont="1" applyBorder="1"/>
    <xf numFmtId="165" fontId="100" fillId="0" borderId="1" xfId="4" applyFont="1" applyBorder="1"/>
    <xf numFmtId="0" fontId="100" fillId="0" borderId="6" xfId="45" applyFont="1" applyBorder="1"/>
    <xf numFmtId="170" fontId="100" fillId="0" borderId="17" xfId="4" applyNumberFormat="1" applyFont="1" applyBorder="1"/>
    <xf numFmtId="165" fontId="100" fillId="0" borderId="10" xfId="4" applyFont="1" applyBorder="1"/>
    <xf numFmtId="0" fontId="100" fillId="0" borderId="11" xfId="45" applyFont="1" applyBorder="1"/>
    <xf numFmtId="170" fontId="111" fillId="0" borderId="12" xfId="4" applyNumberFormat="1" applyFont="1" applyBorder="1"/>
    <xf numFmtId="165" fontId="111" fillId="0" borderId="2" xfId="4" applyFont="1" applyBorder="1"/>
    <xf numFmtId="2" fontId="95" fillId="8" borderId="0" xfId="43" applyNumberFormat="1" applyFill="1"/>
    <xf numFmtId="0" fontId="99" fillId="0" borderId="0" xfId="43" applyFont="1"/>
    <xf numFmtId="43" fontId="95" fillId="0" borderId="0" xfId="1"/>
    <xf numFmtId="4" fontId="99" fillId="0" borderId="0" xfId="43" applyNumberFormat="1" applyFont="1"/>
    <xf numFmtId="4" fontId="95" fillId="0" borderId="0" xfId="43" applyNumberFormat="1"/>
    <xf numFmtId="167" fontId="95" fillId="15" borderId="0" xfId="1" applyNumberFormat="1" applyFill="1"/>
    <xf numFmtId="0" fontId="95" fillId="15" borderId="0" xfId="43" applyFill="1"/>
    <xf numFmtId="4" fontId="0" fillId="0" borderId="0" xfId="0" applyNumberFormat="1"/>
    <xf numFmtId="4" fontId="0" fillId="4" borderId="0" xfId="0" applyNumberFormat="1" applyFill="1"/>
    <xf numFmtId="0" fontId="0" fillId="4" borderId="0" xfId="0" applyFill="1"/>
    <xf numFmtId="0" fontId="95" fillId="4" borderId="0" xfId="43" applyFill="1"/>
    <xf numFmtId="4" fontId="0" fillId="4" borderId="35" xfId="0" applyNumberFormat="1" applyFill="1" applyBorder="1"/>
    <xf numFmtId="0" fontId="0" fillId="4" borderId="35" xfId="0" applyFill="1" applyBorder="1"/>
    <xf numFmtId="0" fontId="95" fillId="4" borderId="35" xfId="43" applyFill="1" applyBorder="1"/>
    <xf numFmtId="0" fontId="0" fillId="0" borderId="0" xfId="0" applyAlignment="1">
      <alignment horizontal="left" vertical="top"/>
    </xf>
    <xf numFmtId="0" fontId="112" fillId="0" borderId="0" xfId="0" applyFont="1" applyAlignment="1">
      <alignment horizontal="center"/>
    </xf>
    <xf numFmtId="0" fontId="112" fillId="0" borderId="0" xfId="0" applyFont="1"/>
    <xf numFmtId="4" fontId="113" fillId="0" borderId="0" xfId="0" applyNumberFormat="1" applyFont="1"/>
    <xf numFmtId="164" fontId="113" fillId="0" borderId="0" xfId="2" applyFont="1"/>
    <xf numFmtId="164" fontId="99" fillId="8" borderId="0" xfId="0" applyNumberFormat="1" applyFont="1" applyFill="1"/>
    <xf numFmtId="4" fontId="99" fillId="8" borderId="0" xfId="0" applyNumberFormat="1" applyFont="1" applyFill="1"/>
    <xf numFmtId="0" fontId="0" fillId="0" borderId="0" xfId="0" applyAlignment="1">
      <alignment horizontal="right"/>
    </xf>
    <xf numFmtId="3" fontId="99" fillId="8" borderId="0" xfId="0" applyNumberFormat="1" applyFont="1" applyFill="1"/>
    <xf numFmtId="4" fontId="99" fillId="4" borderId="0" xfId="0" applyNumberFormat="1" applyFont="1" applyFill="1"/>
    <xf numFmtId="0" fontId="99" fillId="4" borderId="0" xfId="0" applyFont="1" applyFill="1"/>
    <xf numFmtId="0" fontId="114" fillId="8" borderId="0" xfId="0" applyFont="1" applyFill="1"/>
    <xf numFmtId="164" fontId="114" fillId="8" borderId="0" xfId="0" applyNumberFormat="1" applyFont="1" applyFill="1"/>
    <xf numFmtId="0" fontId="114" fillId="0" borderId="0" xfId="0" applyFont="1"/>
    <xf numFmtId="0" fontId="115" fillId="0" borderId="0" xfId="0" applyFont="1" applyAlignment="1">
      <alignment vertical="center" wrapText="1"/>
    </xf>
    <xf numFmtId="3" fontId="115" fillId="0" borderId="0" xfId="0" applyNumberFormat="1" applyFont="1" applyAlignment="1">
      <alignment vertical="center" wrapText="1"/>
    </xf>
    <xf numFmtId="166" fontId="0" fillId="5" borderId="6" xfId="0" applyNumberFormat="1" applyFill="1" applyBorder="1" applyAlignment="1">
      <alignment vertical="center" wrapText="1"/>
    </xf>
    <xf numFmtId="3" fontId="107" fillId="16" borderId="1" xfId="11" applyNumberFormat="1" applyFont="1" applyFill="1" applyBorder="1" applyAlignment="1">
      <alignment horizontal="center" vertical="center" wrapText="1" readingOrder="1"/>
    </xf>
    <xf numFmtId="171" fontId="0" fillId="0" borderId="0" xfId="0" applyNumberFormat="1"/>
    <xf numFmtId="0" fontId="0" fillId="0" borderId="0" xfId="0" quotePrefix="1"/>
    <xf numFmtId="0" fontId="116" fillId="0" borderId="39" xfId="0" applyFont="1" applyBorder="1" applyAlignment="1">
      <alignment vertical="center" wrapText="1"/>
    </xf>
    <xf numFmtId="3" fontId="116" fillId="0" borderId="23" xfId="0" applyNumberFormat="1" applyFont="1" applyBorder="1" applyAlignment="1">
      <alignment vertical="center" wrapText="1"/>
    </xf>
    <xf numFmtId="0" fontId="116" fillId="0" borderId="40" xfId="0" applyFont="1" applyBorder="1" applyAlignment="1">
      <alignment vertical="center" wrapText="1"/>
    </xf>
    <xf numFmtId="3" fontId="116" fillId="0" borderId="41" xfId="0" applyNumberFormat="1" applyFont="1" applyBorder="1" applyAlignment="1">
      <alignment vertical="center" wrapText="1"/>
    </xf>
    <xf numFmtId="3" fontId="116" fillId="0" borderId="27" xfId="0" applyNumberFormat="1" applyFont="1" applyBorder="1" applyAlignment="1">
      <alignment vertical="center" wrapText="1"/>
    </xf>
    <xf numFmtId="0" fontId="115" fillId="17" borderId="0" xfId="0" applyFont="1" applyFill="1" applyAlignment="1">
      <alignment vertical="center" wrapText="1"/>
    </xf>
    <xf numFmtId="3" fontId="114" fillId="17" borderId="0" xfId="0" applyNumberFormat="1" applyFont="1" applyFill="1"/>
    <xf numFmtId="0" fontId="108" fillId="0" borderId="0" xfId="0" applyFont="1" applyAlignment="1">
      <alignment vertical="center" wrapText="1"/>
    </xf>
    <xf numFmtId="172" fontId="117" fillId="0" borderId="0" xfId="0" applyNumberFormat="1" applyFont="1"/>
    <xf numFmtId="0" fontId="0" fillId="0" borderId="0" xfId="0" applyAlignment="1">
      <alignment wrapText="1"/>
    </xf>
    <xf numFmtId="0" fontId="0" fillId="8" borderId="0" xfId="0" applyFill="1"/>
    <xf numFmtId="0" fontId="0" fillId="0" borderId="0" xfId="0" applyAlignment="1">
      <alignment vertical="top"/>
    </xf>
    <xf numFmtId="0" fontId="116" fillId="0" borderId="4" xfId="0" applyFont="1" applyBorder="1" applyAlignment="1">
      <alignment vertical="center" wrapText="1"/>
    </xf>
    <xf numFmtId="3" fontId="116" fillId="0" borderId="21" xfId="0" applyNumberFormat="1" applyFont="1" applyBorder="1" applyAlignment="1">
      <alignment vertical="center" wrapText="1"/>
    </xf>
    <xf numFmtId="3" fontId="116" fillId="0" borderId="4" xfId="0" applyNumberFormat="1" applyFont="1" applyBorder="1" applyAlignment="1">
      <alignment vertical="center" wrapText="1"/>
    </xf>
    <xf numFmtId="0" fontId="118" fillId="0" borderId="4" xfId="0" applyFont="1" applyBorder="1" applyAlignment="1">
      <alignment vertical="center" wrapText="1"/>
    </xf>
    <xf numFmtId="0" fontId="119" fillId="0" borderId="4" xfId="0" applyFont="1" applyBorder="1" applyAlignment="1">
      <alignment vertical="center" wrapText="1"/>
    </xf>
    <xf numFmtId="0" fontId="119" fillId="0" borderId="4" xfId="0" applyFont="1" applyBorder="1" applyAlignment="1">
      <alignment horizontal="center" vertical="center" wrapText="1"/>
    </xf>
    <xf numFmtId="0" fontId="0" fillId="18" borderId="0" xfId="0" applyFill="1"/>
    <xf numFmtId="0" fontId="114" fillId="18" borderId="28" xfId="43" applyFont="1" applyFill="1" applyBorder="1"/>
    <xf numFmtId="0" fontId="95" fillId="18" borderId="28" xfId="43" applyFill="1" applyBorder="1"/>
    <xf numFmtId="0" fontId="114" fillId="18" borderId="21" xfId="43" applyFont="1" applyFill="1" applyBorder="1"/>
    <xf numFmtId="0" fontId="95" fillId="18" borderId="19" xfId="43" applyFill="1" applyBorder="1"/>
    <xf numFmtId="3" fontId="116" fillId="4" borderId="4" xfId="0" applyNumberFormat="1" applyFont="1" applyFill="1" applyBorder="1" applyAlignment="1">
      <alignment vertical="center" wrapText="1"/>
    </xf>
    <xf numFmtId="0" fontId="113" fillId="0" borderId="0" xfId="0" applyFont="1"/>
    <xf numFmtId="0" fontId="113" fillId="0" borderId="0" xfId="0" applyFont="1" applyAlignment="1">
      <alignment wrapText="1"/>
    </xf>
    <xf numFmtId="0" fontId="113" fillId="0" borderId="0" xfId="0" applyFont="1" applyAlignment="1">
      <alignment horizontal="center"/>
    </xf>
    <xf numFmtId="9" fontId="95" fillId="17" borderId="0" xfId="52" applyFill="1"/>
    <xf numFmtId="0" fontId="116" fillId="18" borderId="0" xfId="0" applyFont="1" applyFill="1" applyAlignment="1">
      <alignment vertical="center" wrapText="1"/>
    </xf>
    <xf numFmtId="3" fontId="0" fillId="18" borderId="0" xfId="0" applyNumberFormat="1" applyFill="1"/>
    <xf numFmtId="0" fontId="120" fillId="18" borderId="0" xfId="0" applyFont="1" applyFill="1"/>
    <xf numFmtId="3" fontId="120" fillId="18" borderId="0" xfId="0" applyNumberFormat="1" applyFont="1" applyFill="1"/>
    <xf numFmtId="0" fontId="0" fillId="19" borderId="0" xfId="0" applyFill="1"/>
    <xf numFmtId="0" fontId="116" fillId="17" borderId="0" xfId="0" applyFont="1" applyFill="1" applyAlignment="1">
      <alignment vertical="center"/>
    </xf>
    <xf numFmtId="0" fontId="121" fillId="0" borderId="4" xfId="0" applyFont="1" applyBorder="1" applyAlignment="1">
      <alignment vertical="center" wrapText="1"/>
    </xf>
    <xf numFmtId="3" fontId="121" fillId="0" borderId="4" xfId="0" applyNumberFormat="1" applyFont="1" applyBorder="1" applyAlignment="1">
      <alignment horizontal="right" vertical="center" wrapText="1"/>
    </xf>
    <xf numFmtId="0" fontId="11" fillId="0" borderId="0" xfId="14"/>
    <xf numFmtId="43" fontId="99" fillId="0" borderId="0" xfId="1" applyFont="1"/>
    <xf numFmtId="0" fontId="0" fillId="0" borderId="35" xfId="0" applyBorder="1"/>
    <xf numFmtId="43" fontId="95" fillId="0" borderId="35" xfId="1" applyBorder="1"/>
    <xf numFmtId="0" fontId="0" fillId="0" borderId="31" xfId="0" applyBorder="1"/>
    <xf numFmtId="43" fontId="95" fillId="4" borderId="0" xfId="1" applyFill="1"/>
    <xf numFmtId="0" fontId="0" fillId="0" borderId="1" xfId="0" applyBorder="1"/>
    <xf numFmtId="0" fontId="0" fillId="0" borderId="1" xfId="0" applyBorder="1" applyAlignment="1">
      <alignment wrapText="1"/>
    </xf>
    <xf numFmtId="167" fontId="95" fillId="0" borderId="1" xfId="1" applyNumberFormat="1" applyBorder="1"/>
    <xf numFmtId="167" fontId="108" fillId="0" borderId="1" xfId="1" applyNumberFormat="1" applyFont="1" applyBorder="1"/>
    <xf numFmtId="173" fontId="0" fillId="0" borderId="0" xfId="0" applyNumberFormat="1"/>
    <xf numFmtId="174" fontId="95" fillId="0" borderId="0" xfId="1" applyNumberFormat="1"/>
    <xf numFmtId="2" fontId="0" fillId="0" borderId="1" xfId="0" applyNumberFormat="1" applyBorder="1"/>
    <xf numFmtId="0" fontId="14" fillId="0" borderId="31" xfId="28" applyFont="1" applyBorder="1" applyAlignment="1">
      <alignment horizontal="center" wrapText="1"/>
    </xf>
    <xf numFmtId="3" fontId="0" fillId="14" borderId="10" xfId="0" applyNumberFormat="1" applyFill="1" applyBorder="1" applyAlignment="1">
      <alignment vertical="center"/>
    </xf>
    <xf numFmtId="0" fontId="0" fillId="5" borderId="25" xfId="0" applyFill="1" applyBorder="1" applyAlignment="1">
      <alignment vertical="center"/>
    </xf>
    <xf numFmtId="9" fontId="95" fillId="0" borderId="0" xfId="52"/>
    <xf numFmtId="171" fontId="0" fillId="0" borderId="1" xfId="0" applyNumberFormat="1" applyBorder="1"/>
    <xf numFmtId="167" fontId="99" fillId="0" borderId="0" xfId="1" applyNumberFormat="1" applyFont="1"/>
    <xf numFmtId="43" fontId="95" fillId="8" borderId="0" xfId="1" applyFill="1"/>
    <xf numFmtId="167" fontId="95" fillId="8" borderId="35" xfId="1" applyNumberFormat="1" applyFill="1" applyBorder="1"/>
    <xf numFmtId="169" fontId="95" fillId="8" borderId="0" xfId="52" applyNumberFormat="1" applyFill="1"/>
    <xf numFmtId="164" fontId="95" fillId="0" borderId="0" xfId="1" applyNumberFormat="1"/>
    <xf numFmtId="0" fontId="100" fillId="0" borderId="0" xfId="0" applyFont="1"/>
    <xf numFmtId="0" fontId="122" fillId="0" borderId="0" xfId="0" applyFont="1"/>
    <xf numFmtId="0" fontId="123" fillId="0" borderId="0" xfId="0" applyFont="1"/>
    <xf numFmtId="0" fontId="25" fillId="3" borderId="0" xfId="56" applyFont="1" applyFill="1"/>
    <xf numFmtId="0" fontId="26" fillId="3" borderId="0" xfId="56" applyFont="1" applyFill="1"/>
    <xf numFmtId="0" fontId="26" fillId="0" borderId="0" xfId="56" applyFont="1"/>
    <xf numFmtId="0" fontId="96" fillId="0" borderId="0" xfId="11"/>
    <xf numFmtId="0" fontId="114" fillId="0" borderId="0" xfId="0" quotePrefix="1" applyFont="1" applyAlignment="1">
      <alignment horizontal="left"/>
    </xf>
    <xf numFmtId="3" fontId="0" fillId="14" borderId="1" xfId="0" applyNumberFormat="1" applyFill="1" applyBorder="1" applyAlignment="1">
      <alignment vertical="center" wrapText="1"/>
    </xf>
    <xf numFmtId="0" fontId="95" fillId="0" borderId="42" xfId="43" applyBorder="1"/>
    <xf numFmtId="166" fontId="102" fillId="0" borderId="12" xfId="43" applyNumberFormat="1" applyFont="1" applyBorder="1" applyAlignment="1">
      <alignment horizontal="center" vertical="center" wrapText="1" readingOrder="1"/>
    </xf>
    <xf numFmtId="166" fontId="102" fillId="0" borderId="4" xfId="43" applyNumberFormat="1" applyFont="1" applyBorder="1" applyAlignment="1">
      <alignment horizontal="center" vertical="center" wrapText="1" readingOrder="1"/>
    </xf>
    <xf numFmtId="43" fontId="100" fillId="0" borderId="0" xfId="1" applyFont="1"/>
    <xf numFmtId="167" fontId="124" fillId="0" borderId="0" xfId="1" applyNumberFormat="1" applyFont="1"/>
    <xf numFmtId="175" fontId="124" fillId="0" borderId="0" xfId="1" applyNumberFormat="1" applyFont="1"/>
    <xf numFmtId="167" fontId="100" fillId="0" borderId="0" xfId="1" applyNumberFormat="1" applyFont="1"/>
    <xf numFmtId="167" fontId="0" fillId="0" borderId="1" xfId="0" applyNumberFormat="1" applyBorder="1"/>
    <xf numFmtId="0" fontId="125" fillId="0" borderId="0" xfId="0" applyFont="1"/>
    <xf numFmtId="2" fontId="0" fillId="0" borderId="0" xfId="0" applyNumberFormat="1"/>
    <xf numFmtId="0" fontId="0" fillId="0" borderId="35" xfId="0" applyBorder="1" applyAlignment="1">
      <alignment wrapText="1"/>
    </xf>
    <xf numFmtId="0" fontId="0" fillId="4" borderId="0" xfId="0" applyFill="1" applyAlignment="1">
      <alignment wrapText="1"/>
    </xf>
    <xf numFmtId="0" fontId="0" fillId="0" borderId="35" xfId="0" applyBorder="1" applyAlignment="1">
      <alignment vertical="top" wrapText="1"/>
    </xf>
    <xf numFmtId="2" fontId="0" fillId="0" borderId="35" xfId="0" applyNumberFormat="1" applyBorder="1" applyAlignment="1">
      <alignment horizontal="right"/>
    </xf>
    <xf numFmtId="3" fontId="0" fillId="13" borderId="1" xfId="0" applyNumberFormat="1" applyFill="1" applyBorder="1" applyAlignment="1">
      <alignment vertical="center"/>
    </xf>
    <xf numFmtId="3" fontId="0" fillId="13" borderId="5" xfId="0" applyNumberFormat="1" applyFill="1" applyBorder="1" applyAlignment="1">
      <alignment vertical="center"/>
    </xf>
    <xf numFmtId="0" fontId="0" fillId="13" borderId="5" xfId="0" applyFill="1" applyBorder="1" applyAlignment="1">
      <alignment vertical="center"/>
    </xf>
    <xf numFmtId="0" fontId="0" fillId="13" borderId="1" xfId="0" applyFill="1" applyBorder="1" applyAlignment="1">
      <alignment vertical="center"/>
    </xf>
    <xf numFmtId="3" fontId="0" fillId="20" borderId="1" xfId="0" applyNumberFormat="1" applyFill="1" applyBorder="1" applyAlignment="1">
      <alignment vertical="center"/>
    </xf>
    <xf numFmtId="0" fontId="0" fillId="20" borderId="1" xfId="0" applyFill="1" applyBorder="1" applyAlignment="1">
      <alignment vertical="center"/>
    </xf>
    <xf numFmtId="3" fontId="0" fillId="20" borderId="8" xfId="0" applyNumberFormat="1" applyFill="1" applyBorder="1" applyAlignment="1">
      <alignment vertical="center"/>
    </xf>
    <xf numFmtId="0" fontId="0" fillId="20" borderId="8" xfId="0" applyFill="1" applyBorder="1" applyAlignment="1">
      <alignment vertical="center"/>
    </xf>
    <xf numFmtId="3" fontId="102" fillId="0" borderId="13" xfId="43" applyNumberFormat="1" applyFont="1" applyBorder="1" applyAlignment="1">
      <alignment horizontal="center" vertical="center" wrapText="1" readingOrder="1"/>
    </xf>
    <xf numFmtId="3" fontId="102" fillId="0" borderId="9" xfId="43" applyNumberFormat="1" applyFont="1" applyBorder="1" applyAlignment="1">
      <alignment horizontal="center" vertical="center" wrapText="1" readingOrder="1"/>
    </xf>
    <xf numFmtId="3" fontId="10" fillId="0" borderId="14" xfId="43" applyNumberFormat="1" applyFont="1" applyBorder="1" applyAlignment="1">
      <alignment horizontal="center" vertical="center" wrapText="1" readingOrder="1"/>
    </xf>
    <xf numFmtId="3" fontId="10" fillId="0" borderId="6" xfId="43" applyNumberFormat="1" applyFont="1" applyBorder="1" applyAlignment="1">
      <alignment horizontal="center" vertical="center" wrapText="1" readingOrder="1"/>
    </xf>
    <xf numFmtId="3" fontId="9" fillId="6" borderId="14" xfId="43" applyNumberFormat="1" applyFont="1" applyFill="1" applyBorder="1" applyAlignment="1">
      <alignment horizontal="center" vertical="center" wrapText="1" readingOrder="1"/>
    </xf>
    <xf numFmtId="3" fontId="9" fillId="6" borderId="6" xfId="43" applyNumberFormat="1" applyFont="1" applyFill="1" applyBorder="1" applyAlignment="1">
      <alignment horizontal="center" vertical="center" wrapText="1" readingOrder="1"/>
    </xf>
    <xf numFmtId="3" fontId="104" fillId="0" borderId="22" xfId="0" applyNumberFormat="1" applyFont="1" applyBorder="1" applyAlignment="1">
      <alignment horizontal="center" vertical="center"/>
    </xf>
    <xf numFmtId="3" fontId="104" fillId="0" borderId="23" xfId="0" applyNumberFormat="1" applyFont="1" applyBorder="1" applyAlignment="1">
      <alignment horizontal="center" vertical="center"/>
    </xf>
    <xf numFmtId="3" fontId="103" fillId="7" borderId="19" xfId="43" applyNumberFormat="1" applyFont="1" applyFill="1" applyBorder="1" applyAlignment="1">
      <alignment horizontal="center" vertical="center" wrapText="1"/>
    </xf>
    <xf numFmtId="3" fontId="103" fillId="7" borderId="21" xfId="43" applyNumberFormat="1" applyFont="1" applyFill="1" applyBorder="1" applyAlignment="1">
      <alignment horizontal="center" vertical="center" wrapText="1"/>
    </xf>
    <xf numFmtId="3" fontId="103" fillId="0" borderId="16" xfId="43" applyNumberFormat="1" applyFont="1" applyBorder="1" applyAlignment="1">
      <alignment horizontal="center" vertical="center" wrapText="1" readingOrder="1"/>
    </xf>
    <xf numFmtId="3" fontId="103" fillId="0" borderId="20" xfId="43" applyNumberFormat="1" applyFont="1" applyBorder="1" applyAlignment="1">
      <alignment horizontal="center" vertical="center" wrapText="1" readingOrder="1"/>
    </xf>
    <xf numFmtId="3" fontId="103" fillId="0" borderId="14" xfId="43" applyNumberFormat="1" applyFont="1" applyBorder="1" applyAlignment="1">
      <alignment horizontal="center" vertical="center" wrapText="1" readingOrder="1"/>
    </xf>
    <xf numFmtId="3" fontId="103" fillId="0" borderId="6" xfId="43" applyNumberFormat="1" applyFont="1" applyBorder="1" applyAlignment="1">
      <alignment horizontal="center" vertical="center" wrapText="1" readingOrder="1"/>
    </xf>
    <xf numFmtId="3" fontId="103" fillId="7" borderId="15" xfId="43" applyNumberFormat="1" applyFont="1" applyFill="1" applyBorder="1" applyAlignment="1">
      <alignment horizontal="center" vertical="center" wrapText="1"/>
    </xf>
    <xf numFmtId="3" fontId="103" fillId="7" borderId="7" xfId="43" applyNumberFormat="1" applyFont="1" applyFill="1" applyBorder="1" applyAlignment="1">
      <alignment horizontal="center" vertical="center" wrapText="1"/>
    </xf>
    <xf numFmtId="0" fontId="102" fillId="0" borderId="9" xfId="43" applyFont="1" applyBorder="1" applyAlignment="1">
      <alignment horizontal="center" vertical="center" wrapText="1" readingOrder="1"/>
    </xf>
    <xf numFmtId="0" fontId="0" fillId="0" borderId="0" xfId="0" applyAlignment="1">
      <alignment horizontal="center"/>
    </xf>
    <xf numFmtId="0" fontId="102" fillId="0" borderId="13" xfId="43" applyFont="1" applyBorder="1" applyAlignment="1">
      <alignment horizontal="center" vertical="center" wrapText="1" readingOrder="1"/>
    </xf>
    <xf numFmtId="0" fontId="102" fillId="0" borderId="8" xfId="43" applyFont="1" applyBorder="1" applyAlignment="1">
      <alignment horizontal="center" vertical="center" readingOrder="1"/>
    </xf>
    <xf numFmtId="0" fontId="102" fillId="0" borderId="8" xfId="43" applyFont="1" applyBorder="1" applyAlignment="1">
      <alignment horizontal="center" vertical="center" wrapText="1" readingOrder="1"/>
    </xf>
    <xf numFmtId="0" fontId="95" fillId="0" borderId="0" xfId="43" applyAlignment="1">
      <alignment horizontal="center"/>
    </xf>
    <xf numFmtId="0" fontId="102" fillId="0" borderId="15" xfId="43" applyFont="1" applyBorder="1" applyAlignment="1">
      <alignment horizontal="center" vertical="center" wrapText="1" readingOrder="1"/>
    </xf>
    <xf numFmtId="0" fontId="102" fillId="0" borderId="5" xfId="43" applyFont="1" applyBorder="1" applyAlignment="1">
      <alignment horizontal="center" vertical="center" wrapText="1" readingOrder="1"/>
    </xf>
    <xf numFmtId="0" fontId="102" fillId="0" borderId="5" xfId="43" applyFont="1" applyBorder="1" applyAlignment="1">
      <alignment horizontal="center" vertical="center" readingOrder="1"/>
    </xf>
    <xf numFmtId="0" fontId="102" fillId="0" borderId="7" xfId="43" applyFont="1" applyBorder="1" applyAlignment="1">
      <alignment horizontal="center" vertical="center" wrapText="1" readingOrder="1"/>
    </xf>
    <xf numFmtId="0" fontId="14" fillId="8" borderId="1" xfId="28" applyFont="1" applyFill="1" applyBorder="1" applyAlignment="1">
      <alignment horizontal="center" wrapText="1"/>
    </xf>
    <xf numFmtId="0" fontId="14" fillId="8" borderId="24" xfId="28" applyFont="1" applyFill="1" applyBorder="1" applyAlignment="1">
      <alignment horizontal="center" wrapText="1"/>
    </xf>
    <xf numFmtId="0" fontId="14" fillId="0" borderId="33" xfId="28" applyFont="1" applyBorder="1" applyAlignment="1">
      <alignment horizontal="left" wrapText="1" indent="1"/>
    </xf>
    <xf numFmtId="3" fontId="16" fillId="10" borderId="43" xfId="28" applyNumberFormat="1" applyFont="1" applyFill="1" applyBorder="1" applyAlignment="1">
      <alignment horizontal="center"/>
    </xf>
    <xf numFmtId="0" fontId="16" fillId="12" borderId="24" xfId="28" applyFont="1" applyFill="1" applyBorder="1" applyAlignment="1">
      <alignment horizontal="left" wrapText="1"/>
    </xf>
    <xf numFmtId="0" fontId="16" fillId="12" borderId="33" xfId="28" applyFont="1" applyFill="1" applyBorder="1" applyAlignment="1">
      <alignment horizontal="left" wrapText="1" indent="1"/>
    </xf>
    <xf numFmtId="0" fontId="14" fillId="12" borderId="24" xfId="28" applyFont="1" applyFill="1" applyBorder="1" applyAlignment="1">
      <alignment horizontal="left" wrapText="1" indent="2"/>
    </xf>
    <xf numFmtId="0" fontId="16" fillId="12" borderId="24" xfId="28" applyFont="1" applyFill="1" applyBorder="1" applyAlignment="1">
      <alignment horizontal="left" wrapText="1" indent="1"/>
    </xf>
    <xf numFmtId="0" fontId="14" fillId="12" borderId="24" xfId="28" applyFont="1" applyFill="1" applyBorder="1" applyAlignment="1">
      <alignment horizontal="left" wrapText="1" indent="1"/>
    </xf>
    <xf numFmtId="3" fontId="107" fillId="0" borderId="0" xfId="11" quotePrefix="1" applyNumberFormat="1" applyFont="1" applyAlignment="1">
      <alignment horizontal="center"/>
    </xf>
    <xf numFmtId="3" fontId="107" fillId="0" borderId="37" xfId="11" applyNumberFormat="1" applyFont="1" applyBorder="1" applyAlignment="1">
      <alignment horizontal="center"/>
    </xf>
    <xf numFmtId="3" fontId="126" fillId="0" borderId="16" xfId="43" applyNumberFormat="1" applyFont="1" applyBorder="1" applyAlignment="1">
      <alignment horizontal="center" vertical="center" wrapText="1" readingOrder="1"/>
    </xf>
    <xf numFmtId="3" fontId="126" fillId="0" borderId="20" xfId="43" applyNumberFormat="1" applyFont="1" applyBorder="1" applyAlignment="1">
      <alignment horizontal="center" vertical="center" wrapText="1" readingOrder="1"/>
    </xf>
    <xf numFmtId="3" fontId="126" fillId="0" borderId="14" xfId="43" applyNumberFormat="1" applyFont="1" applyBorder="1" applyAlignment="1">
      <alignment horizontal="center" vertical="center" wrapText="1" readingOrder="1"/>
    </xf>
    <xf numFmtId="3" fontId="126" fillId="0" borderId="6" xfId="43" applyNumberFormat="1" applyFont="1" applyBorder="1" applyAlignment="1">
      <alignment horizontal="center" vertical="center" wrapText="1" readingOrder="1"/>
    </xf>
    <xf numFmtId="3" fontId="102" fillId="21" borderId="9" xfId="43" applyNumberFormat="1" applyFont="1" applyFill="1" applyBorder="1" applyAlignment="1">
      <alignment horizontal="center" vertical="center" wrapText="1" readingOrder="1"/>
    </xf>
    <xf numFmtId="3" fontId="9" fillId="21" borderId="20" xfId="43" applyNumberFormat="1" applyFont="1" applyFill="1" applyBorder="1" applyAlignment="1">
      <alignment horizontal="center" vertical="center" wrapText="1" readingOrder="1"/>
    </xf>
    <xf numFmtId="3" fontId="9" fillId="21" borderId="6" xfId="43" applyNumberFormat="1" applyFont="1" applyFill="1" applyBorder="1" applyAlignment="1">
      <alignment horizontal="center" vertical="center" wrapText="1" readingOrder="1"/>
    </xf>
    <xf numFmtId="3" fontId="9" fillId="21" borderId="1" xfId="43" applyNumberFormat="1" applyFont="1" applyFill="1" applyBorder="1" applyAlignment="1">
      <alignment horizontal="center" vertical="center" wrapText="1" readingOrder="1"/>
    </xf>
    <xf numFmtId="3" fontId="126" fillId="21" borderId="14" xfId="43" applyNumberFormat="1" applyFont="1" applyFill="1" applyBorder="1" applyAlignment="1">
      <alignment horizontal="center" vertical="center" wrapText="1" readingOrder="1"/>
    </xf>
    <xf numFmtId="3" fontId="126" fillId="21" borderId="6" xfId="43" applyNumberFormat="1" applyFont="1" applyFill="1" applyBorder="1" applyAlignment="1">
      <alignment horizontal="center" vertical="center" wrapText="1" readingOrder="1"/>
    </xf>
    <xf numFmtId="3" fontId="107" fillId="21" borderId="6" xfId="11" applyNumberFormat="1" applyFont="1" applyFill="1" applyBorder="1" applyAlignment="1">
      <alignment horizontal="center" vertical="center" wrapText="1" readingOrder="1"/>
    </xf>
    <xf numFmtId="3" fontId="102" fillId="21" borderId="20" xfId="43" applyNumberFormat="1" applyFont="1" applyFill="1" applyBorder="1" applyAlignment="1">
      <alignment horizontal="center" vertical="center" wrapText="1" readingOrder="1"/>
    </xf>
    <xf numFmtId="3" fontId="102" fillId="21" borderId="6" xfId="43" applyNumberFormat="1" applyFont="1" applyFill="1" applyBorder="1" applyAlignment="1">
      <alignment horizontal="center" vertical="center" wrapText="1" readingOrder="1"/>
    </xf>
    <xf numFmtId="3" fontId="102" fillId="21" borderId="1" xfId="43" applyNumberFormat="1" applyFont="1" applyFill="1" applyBorder="1" applyAlignment="1">
      <alignment horizontal="center" vertical="center" wrapText="1" readingOrder="1"/>
    </xf>
    <xf numFmtId="3" fontId="102" fillId="21" borderId="1" xfId="43" applyNumberFormat="1" applyFont="1" applyFill="1" applyBorder="1" applyAlignment="1">
      <alignment horizontal="center" vertical="center" wrapText="1"/>
    </xf>
    <xf numFmtId="3" fontId="102" fillId="21" borderId="6" xfId="43" applyNumberFormat="1" applyFont="1" applyFill="1" applyBorder="1" applyAlignment="1">
      <alignment horizontal="center" vertical="center" wrapText="1"/>
    </xf>
    <xf numFmtId="169" fontId="95" fillId="21" borderId="0" xfId="52" applyNumberFormat="1" applyFill="1"/>
    <xf numFmtId="3" fontId="0" fillId="21" borderId="0" xfId="0" applyNumberFormat="1" applyFill="1"/>
    <xf numFmtId="177" fontId="0" fillId="21" borderId="0" xfId="0" applyNumberFormat="1" applyFill="1"/>
    <xf numFmtId="166" fontId="107" fillId="21" borderId="12" xfId="11" applyNumberFormat="1" applyFont="1" applyFill="1" applyBorder="1" applyAlignment="1">
      <alignment horizontal="center" vertical="center" wrapText="1" readingOrder="1"/>
    </xf>
    <xf numFmtId="166" fontId="107" fillId="21" borderId="3" xfId="11" applyNumberFormat="1" applyFont="1" applyFill="1" applyBorder="1" applyAlignment="1">
      <alignment horizontal="center" vertical="center" wrapText="1" readingOrder="1"/>
    </xf>
    <xf numFmtId="3" fontId="102" fillId="21" borderId="5" xfId="43" applyNumberFormat="1" applyFont="1" applyFill="1" applyBorder="1" applyAlignment="1">
      <alignment horizontal="center" vertical="center" wrapText="1"/>
    </xf>
    <xf numFmtId="3" fontId="109" fillId="0" borderId="1" xfId="43" applyNumberFormat="1" applyFont="1" applyBorder="1" applyAlignment="1">
      <alignment horizontal="left" wrapText="1" readingOrder="1"/>
    </xf>
    <xf numFmtId="3" fontId="109" fillId="0" borderId="36" xfId="43" applyNumberFormat="1" applyFont="1" applyBorder="1" applyAlignment="1">
      <alignment horizontal="left" wrapText="1" readingOrder="1"/>
    </xf>
    <xf numFmtId="0" fontId="127" fillId="0" borderId="1" xfId="43" applyFont="1" applyBorder="1" applyAlignment="1">
      <alignment horizontal="left" wrapText="1" readingOrder="1"/>
    </xf>
    <xf numFmtId="0" fontId="127" fillId="0" borderId="1" xfId="43" applyFont="1" applyBorder="1" applyAlignment="1">
      <alignment readingOrder="1"/>
    </xf>
    <xf numFmtId="0" fontId="127" fillId="0" borderId="1" xfId="43" applyFont="1" applyBorder="1" applyAlignment="1">
      <alignment wrapText="1" readingOrder="1"/>
    </xf>
    <xf numFmtId="0" fontId="0" fillId="0" borderId="25" xfId="0" applyBorder="1"/>
    <xf numFmtId="3" fontId="109" fillId="0" borderId="25" xfId="43" applyNumberFormat="1" applyFont="1" applyBorder="1" applyAlignment="1">
      <alignment horizontal="right" wrapText="1" readingOrder="1"/>
    </xf>
    <xf numFmtId="3" fontId="28" fillId="0" borderId="25" xfId="43" applyNumberFormat="1" applyFont="1" applyBorder="1" applyAlignment="1">
      <alignment horizontal="right" wrapText="1" readingOrder="1"/>
    </xf>
    <xf numFmtId="0" fontId="99" fillId="0" borderId="1" xfId="0" applyFont="1" applyBorder="1" applyAlignment="1">
      <alignment wrapText="1"/>
    </xf>
    <xf numFmtId="169" fontId="112" fillId="0" borderId="1" xfId="52" applyNumberFormat="1" applyFont="1" applyBorder="1"/>
    <xf numFmtId="0" fontId="113" fillId="0" borderId="10" xfId="0" applyFont="1" applyBorder="1"/>
    <xf numFmtId="166" fontId="128" fillId="0" borderId="10" xfId="43" applyNumberFormat="1" applyFont="1" applyBorder="1" applyAlignment="1">
      <alignment horizontal="right" wrapText="1" readingOrder="1"/>
    </xf>
    <xf numFmtId="0" fontId="113" fillId="0" borderId="25" xfId="0" applyFont="1" applyBorder="1"/>
    <xf numFmtId="166" fontId="129" fillId="0" borderId="25" xfId="43" applyNumberFormat="1" applyFont="1" applyBorder="1" applyAlignment="1">
      <alignment horizontal="right" wrapText="1" readingOrder="1"/>
    </xf>
    <xf numFmtId="0" fontId="112" fillId="0" borderId="1" xfId="0" applyFont="1" applyBorder="1" applyAlignment="1">
      <alignment wrapText="1"/>
    </xf>
    <xf numFmtId="166" fontId="129" fillId="4" borderId="25" xfId="43" applyNumberFormat="1" applyFont="1" applyFill="1" applyBorder="1" applyAlignment="1">
      <alignment horizontal="right" wrapText="1" readingOrder="1"/>
    </xf>
    <xf numFmtId="3" fontId="130" fillId="0" borderId="0" xfId="43" applyNumberFormat="1" applyFont="1"/>
    <xf numFmtId="3" fontId="100" fillId="0" borderId="0" xfId="43" applyNumberFormat="1" applyFont="1"/>
    <xf numFmtId="43" fontId="0" fillId="0" borderId="0" xfId="0" applyNumberFormat="1"/>
    <xf numFmtId="43" fontId="111" fillId="0" borderId="0" xfId="43" applyNumberFormat="1" applyFont="1"/>
    <xf numFmtId="3" fontId="100" fillId="0" borderId="0" xfId="43" applyNumberFormat="1" applyFont="1" applyAlignment="1">
      <alignment horizontal="center"/>
    </xf>
    <xf numFmtId="43" fontId="131" fillId="0" borderId="0" xfId="1" applyFont="1"/>
    <xf numFmtId="3" fontId="111" fillId="0" borderId="0" xfId="43" applyNumberFormat="1" applyFont="1" applyAlignment="1">
      <alignment horizontal="center"/>
    </xf>
    <xf numFmtId="43" fontId="95" fillId="0" borderId="0" xfId="43" applyNumberFormat="1"/>
    <xf numFmtId="178" fontId="132" fillId="0" borderId="0" xfId="43" applyNumberFormat="1" applyFont="1"/>
    <xf numFmtId="169" fontId="132" fillId="0" borderId="0" xfId="52" applyNumberFormat="1" applyFont="1"/>
    <xf numFmtId="172" fontId="100" fillId="0" borderId="0" xfId="43" applyNumberFormat="1" applyFont="1"/>
    <xf numFmtId="167" fontId="108" fillId="0" borderId="0" xfId="0" applyNumberFormat="1" applyFont="1"/>
    <xf numFmtId="3" fontId="30" fillId="0" borderId="0" xfId="28" applyNumberFormat="1" applyFont="1"/>
    <xf numFmtId="0" fontId="31" fillId="0" borderId="0" xfId="28" applyFont="1"/>
    <xf numFmtId="3" fontId="31" fillId="0" borderId="0" xfId="28" applyNumberFormat="1" applyFont="1"/>
    <xf numFmtId="3" fontId="0" fillId="11" borderId="1" xfId="0" applyNumberFormat="1" applyFill="1" applyBorder="1" applyAlignment="1">
      <alignment vertical="center"/>
    </xf>
    <xf numFmtId="3" fontId="0" fillId="8" borderId="1" xfId="0" applyNumberFormat="1" applyFill="1" applyBorder="1" applyAlignment="1">
      <alignment vertical="center"/>
    </xf>
    <xf numFmtId="0" fontId="124" fillId="0" borderId="0" xfId="0" applyFont="1"/>
    <xf numFmtId="0" fontId="124" fillId="0" borderId="0" xfId="0" applyFont="1" applyAlignment="1">
      <alignment horizontal="center"/>
    </xf>
    <xf numFmtId="0" fontId="124" fillId="0" borderId="0" xfId="43" applyFont="1"/>
    <xf numFmtId="0" fontId="124" fillId="0" borderId="44" xfId="43" applyFont="1" applyBorder="1"/>
    <xf numFmtId="176" fontId="133" fillId="21" borderId="1" xfId="43" applyNumberFormat="1" applyFont="1" applyFill="1" applyBorder="1"/>
    <xf numFmtId="0" fontId="124" fillId="0" borderId="1" xfId="43" applyFont="1" applyBorder="1"/>
    <xf numFmtId="0" fontId="133" fillId="0" borderId="0" xfId="0" applyFont="1"/>
    <xf numFmtId="43" fontId="133" fillId="0" borderId="0" xfId="1" applyFont="1"/>
    <xf numFmtId="169" fontId="133" fillId="0" borderId="0" xfId="52" applyNumberFormat="1" applyFont="1"/>
    <xf numFmtId="3" fontId="106" fillId="0" borderId="22" xfId="0" applyNumberFormat="1" applyFont="1" applyBorder="1" applyAlignment="1">
      <alignment horizontal="center" vertical="center"/>
    </xf>
    <xf numFmtId="3" fontId="106" fillId="0" borderId="23" xfId="0" applyNumberFormat="1" applyFont="1" applyBorder="1" applyAlignment="1">
      <alignment horizontal="center" vertical="center"/>
    </xf>
    <xf numFmtId="3" fontId="102" fillId="7" borderId="19" xfId="43" applyNumberFormat="1" applyFont="1" applyFill="1" applyBorder="1" applyAlignment="1">
      <alignment horizontal="center" vertical="center" wrapText="1"/>
    </xf>
    <xf numFmtId="3" fontId="102" fillId="0" borderId="14" xfId="43" applyNumberFormat="1" applyFont="1" applyBorder="1" applyAlignment="1">
      <alignment horizontal="center" vertical="center" wrapText="1" readingOrder="1"/>
    </xf>
    <xf numFmtId="3" fontId="102" fillId="0" borderId="6" xfId="43" applyNumberFormat="1" applyFont="1" applyBorder="1" applyAlignment="1">
      <alignment horizontal="center" vertical="center" wrapText="1" readingOrder="1"/>
    </xf>
    <xf numFmtId="3" fontId="112" fillId="5" borderId="1" xfId="0" applyNumberFormat="1" applyFont="1" applyFill="1" applyBorder="1" applyAlignment="1">
      <alignment vertical="center"/>
    </xf>
    <xf numFmtId="3" fontId="112" fillId="5" borderId="1" xfId="11" applyNumberFormat="1" applyFont="1" applyFill="1" applyBorder="1" applyAlignment="1">
      <alignment vertical="center"/>
    </xf>
    <xf numFmtId="3" fontId="112" fillId="5" borderId="5" xfId="11" applyNumberFormat="1" applyFont="1" applyFill="1" applyBorder="1" applyAlignment="1">
      <alignment vertical="center"/>
    </xf>
    <xf numFmtId="3" fontId="99" fillId="0" borderId="1" xfId="0" applyNumberFormat="1" applyFont="1" applyBorder="1" applyAlignment="1">
      <alignment vertical="center"/>
    </xf>
    <xf numFmtId="3" fontId="112" fillId="0" borderId="1" xfId="11" applyNumberFormat="1" applyFont="1" applyBorder="1" applyAlignment="1">
      <alignment vertical="center"/>
    </xf>
    <xf numFmtId="3" fontId="112" fillId="0" borderId="5" xfId="11" applyNumberFormat="1" applyFont="1" applyBorder="1" applyAlignment="1">
      <alignment vertical="center"/>
    </xf>
    <xf numFmtId="3" fontId="112" fillId="5" borderId="29" xfId="0" applyNumberFormat="1" applyFont="1" applyFill="1" applyBorder="1" applyAlignment="1">
      <alignment vertical="center"/>
    </xf>
    <xf numFmtId="3" fontId="112" fillId="0" borderId="1" xfId="0" applyNumberFormat="1" applyFont="1" applyBorder="1" applyAlignment="1">
      <alignment vertical="center"/>
    </xf>
    <xf numFmtId="3" fontId="112" fillId="5" borderId="8" xfId="0" applyNumberFormat="1" applyFont="1" applyFill="1" applyBorder="1" applyAlignment="1">
      <alignment vertical="center"/>
    </xf>
    <xf numFmtId="3" fontId="112" fillId="5" borderId="8" xfId="11" applyNumberFormat="1" applyFont="1" applyFill="1" applyBorder="1" applyAlignment="1">
      <alignment vertical="center"/>
    </xf>
    <xf numFmtId="0" fontId="99" fillId="0" borderId="0" xfId="0" applyFont="1" applyAlignment="1">
      <alignment wrapText="1"/>
    </xf>
    <xf numFmtId="3" fontId="130" fillId="0" borderId="1" xfId="0" applyNumberFormat="1" applyFont="1" applyBorder="1"/>
    <xf numFmtId="0" fontId="130" fillId="0" borderId="0" xfId="0" applyFont="1"/>
    <xf numFmtId="0" fontId="114" fillId="0" borderId="1" xfId="0" applyFont="1" applyBorder="1" applyAlignment="1">
      <alignment wrapText="1"/>
    </xf>
    <xf numFmtId="0" fontId="134" fillId="0" borderId="37" xfId="0" applyFont="1" applyBorder="1" applyAlignment="1">
      <alignment horizontal="left" wrapText="1"/>
    </xf>
    <xf numFmtId="0" fontId="134" fillId="0" borderId="1" xfId="0" applyFont="1" applyBorder="1" applyAlignment="1">
      <alignment horizontal="left" wrapText="1"/>
    </xf>
    <xf numFmtId="178" fontId="135" fillId="0" borderId="1" xfId="0" applyNumberFormat="1" applyFont="1" applyBorder="1" applyAlignment="1">
      <alignment wrapText="1"/>
    </xf>
    <xf numFmtId="178" fontId="136" fillId="0" borderId="1" xfId="0" applyNumberFormat="1" applyFont="1" applyBorder="1" applyAlignment="1">
      <alignment wrapText="1"/>
    </xf>
    <xf numFmtId="0" fontId="136" fillId="0" borderId="0" xfId="0" applyFont="1" applyAlignment="1">
      <alignment wrapText="1"/>
    </xf>
    <xf numFmtId="3" fontId="137" fillId="0" borderId="1" xfId="0" applyNumberFormat="1" applyFont="1" applyBorder="1" applyAlignment="1">
      <alignment horizontal="justify" wrapText="1"/>
    </xf>
    <xf numFmtId="0" fontId="130" fillId="0" borderId="0" xfId="0" applyFont="1" applyAlignment="1">
      <alignment wrapText="1"/>
    </xf>
    <xf numFmtId="0" fontId="138" fillId="0" borderId="0" xfId="0" applyFont="1" applyAlignment="1">
      <alignment horizontal="center" vertical="center" wrapText="1"/>
    </xf>
    <xf numFmtId="170" fontId="130" fillId="0" borderId="0" xfId="3" applyNumberFormat="1" applyFont="1" applyAlignment="1">
      <alignment wrapText="1"/>
    </xf>
    <xf numFmtId="0" fontId="134" fillId="0" borderId="1" xfId="0" applyFont="1" applyBorder="1" applyAlignment="1">
      <alignment horizontal="left"/>
    </xf>
    <xf numFmtId="3" fontId="139" fillId="0" borderId="1" xfId="0" applyNumberFormat="1" applyFont="1" applyBorder="1" applyAlignment="1">
      <alignment horizontal="right"/>
    </xf>
    <xf numFmtId="3" fontId="139" fillId="0" borderId="1" xfId="0" applyNumberFormat="1" applyFont="1" applyBorder="1" applyAlignment="1">
      <alignment horizontal="right" wrapText="1"/>
    </xf>
    <xf numFmtId="3" fontId="140" fillId="0" borderId="1" xfId="0" applyNumberFormat="1" applyFont="1" applyBorder="1" applyAlignment="1">
      <alignment horizontal="right"/>
    </xf>
    <xf numFmtId="3" fontId="140" fillId="0" borderId="24" xfId="0" applyNumberFormat="1" applyFont="1" applyBorder="1" applyAlignment="1">
      <alignment horizontal="right"/>
    </xf>
    <xf numFmtId="3" fontId="137" fillId="0" borderId="1" xfId="0" applyNumberFormat="1" applyFont="1" applyBorder="1" applyAlignment="1">
      <alignment horizontal="right" wrapText="1"/>
    </xf>
    <xf numFmtId="170" fontId="108" fillId="0" borderId="1" xfId="3" applyNumberFormat="1" applyFont="1" applyBorder="1" applyAlignment="1">
      <alignment horizontal="center" vertical="center"/>
    </xf>
    <xf numFmtId="0" fontId="136" fillId="0" borderId="0" xfId="0" applyFont="1"/>
    <xf numFmtId="170" fontId="130" fillId="0" borderId="0" xfId="3" applyNumberFormat="1" applyFont="1"/>
    <xf numFmtId="0" fontId="136" fillId="0" borderId="1" xfId="0" applyFont="1" applyBorder="1"/>
    <xf numFmtId="3" fontId="130" fillId="0" borderId="1" xfId="0" applyNumberFormat="1" applyFont="1" applyBorder="1" applyAlignment="1">
      <alignment horizontal="right"/>
    </xf>
    <xf numFmtId="0" fontId="130" fillId="0" borderId="1" xfId="0" applyFont="1" applyBorder="1"/>
    <xf numFmtId="3" fontId="114" fillId="0" borderId="1" xfId="0" applyNumberFormat="1" applyFont="1" applyBorder="1" applyAlignment="1">
      <alignment horizontal="right"/>
    </xf>
    <xf numFmtId="3" fontId="114" fillId="0" borderId="1" xfId="0" applyNumberFormat="1" applyFont="1" applyBorder="1"/>
    <xf numFmtId="3" fontId="130" fillId="0" borderId="0" xfId="0" applyNumberFormat="1" applyFont="1" applyAlignment="1">
      <alignment horizontal="right"/>
    </xf>
    <xf numFmtId="3" fontId="130" fillId="0" borderId="0" xfId="0" applyNumberFormat="1" applyFont="1"/>
    <xf numFmtId="0" fontId="99" fillId="0" borderId="1" xfId="0" applyFont="1" applyBorder="1"/>
    <xf numFmtId="1" fontId="114" fillId="0" borderId="1" xfId="0" applyNumberFormat="1" applyFont="1" applyBorder="1"/>
    <xf numFmtId="3" fontId="114" fillId="11" borderId="1" xfId="0" applyNumberFormat="1" applyFont="1" applyFill="1" applyBorder="1"/>
    <xf numFmtId="0" fontId="138" fillId="0" borderId="0" xfId="0" applyFont="1"/>
    <xf numFmtId="3" fontId="138" fillId="0" borderId="0" xfId="0" applyNumberFormat="1" applyFont="1"/>
    <xf numFmtId="0" fontId="120" fillId="0" borderId="0" xfId="0" applyFont="1"/>
    <xf numFmtId="0" fontId="134" fillId="0" borderId="1" xfId="0" applyFont="1" applyBorder="1" applyAlignment="1">
      <alignment horizontal="center" vertical="center" wrapText="1"/>
    </xf>
    <xf numFmtId="0" fontId="136" fillId="0" borderId="1" xfId="0" applyFont="1" applyBorder="1" applyAlignment="1">
      <alignment horizontal="center" vertical="center" wrapText="1"/>
    </xf>
    <xf numFmtId="0" fontId="136" fillId="0" borderId="1" xfId="0" applyFont="1" applyBorder="1" applyAlignment="1">
      <alignment horizontal="center" vertical="center"/>
    </xf>
    <xf numFmtId="0" fontId="134" fillId="0" borderId="37" xfId="0" applyFont="1" applyBorder="1" applyAlignment="1">
      <alignment horizontal="center" vertical="center" wrapText="1"/>
    </xf>
    <xf numFmtId="1" fontId="130" fillId="0" borderId="0" xfId="0" applyNumberFormat="1" applyFont="1"/>
    <xf numFmtId="0" fontId="134" fillId="0" borderId="0" xfId="0" applyFont="1" applyAlignment="1">
      <alignment horizontal="left"/>
    </xf>
    <xf numFmtId="0" fontId="108" fillId="0" borderId="0" xfId="0" applyFont="1" applyAlignment="1">
      <alignment horizontal="center" vertical="center"/>
    </xf>
    <xf numFmtId="0" fontId="138" fillId="4" borderId="1" xfId="0" applyFont="1" applyFill="1" applyBorder="1"/>
    <xf numFmtId="3" fontId="138" fillId="4" borderId="1" xfId="0" applyNumberFormat="1" applyFont="1" applyFill="1" applyBorder="1" applyAlignment="1">
      <alignment horizontal="right"/>
    </xf>
    <xf numFmtId="3" fontId="138" fillId="11" borderId="1" xfId="0" applyNumberFormat="1" applyFont="1" applyFill="1" applyBorder="1" applyAlignment="1">
      <alignment horizontal="right"/>
    </xf>
    <xf numFmtId="3" fontId="120" fillId="11" borderId="1" xfId="0" applyNumberFormat="1" applyFont="1" applyFill="1" applyBorder="1" applyAlignment="1">
      <alignment horizontal="right"/>
    </xf>
    <xf numFmtId="170" fontId="108" fillId="4" borderId="0" xfId="3" applyNumberFormat="1" applyFont="1" applyFill="1"/>
    <xf numFmtId="0" fontId="108" fillId="4" borderId="0" xfId="0" applyFont="1" applyFill="1"/>
    <xf numFmtId="3" fontId="108" fillId="4" borderId="0" xfId="0" applyNumberFormat="1" applyFont="1" applyFill="1"/>
    <xf numFmtId="3" fontId="138" fillId="11" borderId="0" xfId="0" applyNumberFormat="1" applyFont="1" applyFill="1"/>
    <xf numFmtId="4" fontId="130" fillId="0" borderId="0" xfId="0" applyNumberFormat="1" applyFont="1"/>
    <xf numFmtId="0" fontId="114" fillId="0" borderId="0" xfId="0" applyFont="1" applyAlignment="1">
      <alignment wrapText="1"/>
    </xf>
    <xf numFmtId="3" fontId="114" fillId="0" borderId="0" xfId="0" applyNumberFormat="1" applyFont="1"/>
    <xf numFmtId="169" fontId="130" fillId="0" borderId="10" xfId="52" applyNumberFormat="1" applyFont="1" applyBorder="1"/>
    <xf numFmtId="3" fontId="139" fillId="0" borderId="29" xfId="0" applyNumberFormat="1" applyFont="1" applyBorder="1" applyAlignment="1">
      <alignment horizontal="right"/>
    </xf>
    <xf numFmtId="169" fontId="130" fillId="0" borderId="0" xfId="52" applyNumberFormat="1" applyFont="1"/>
    <xf numFmtId="169" fontId="130" fillId="0" borderId="25" xfId="52" applyNumberFormat="1" applyFont="1" applyBorder="1"/>
    <xf numFmtId="169" fontId="130" fillId="0" borderId="29" xfId="52" applyNumberFormat="1" applyFont="1" applyBorder="1"/>
    <xf numFmtId="10" fontId="95" fillId="0" borderId="0" xfId="52" applyNumberFormat="1"/>
    <xf numFmtId="0" fontId="39" fillId="0" borderId="0" xfId="14" applyFont="1"/>
    <xf numFmtId="0" fontId="2" fillId="0" borderId="0" xfId="14" applyFont="1"/>
    <xf numFmtId="0" fontId="2" fillId="4" borderId="0" xfId="14" applyFont="1" applyFill="1"/>
    <xf numFmtId="180" fontId="31" fillId="4" borderId="0" xfId="14" applyNumberFormat="1" applyFont="1" applyFill="1"/>
    <xf numFmtId="0" fontId="31" fillId="4" borderId="0" xfId="14" applyFont="1" applyFill="1"/>
    <xf numFmtId="0" fontId="31" fillId="0" borderId="0" xfId="14" applyFont="1"/>
    <xf numFmtId="0" fontId="41" fillId="0" borderId="0" xfId="14" applyFont="1"/>
    <xf numFmtId="3" fontId="41" fillId="0" borderId="0" xfId="14" applyNumberFormat="1" applyFont="1"/>
    <xf numFmtId="0" fontId="141" fillId="0" borderId="0" xfId="14" applyFont="1"/>
    <xf numFmtId="3" fontId="42" fillId="0" borderId="0" xfId="14" applyNumberFormat="1" applyFont="1"/>
    <xf numFmtId="3" fontId="43" fillId="0" borderId="0" xfId="14" applyNumberFormat="1" applyFont="1"/>
    <xf numFmtId="3" fontId="142" fillId="0" borderId="0" xfId="14" applyNumberFormat="1" applyFont="1"/>
    <xf numFmtId="3" fontId="141" fillId="0" borderId="0" xfId="14" applyNumberFormat="1" applyFont="1"/>
    <xf numFmtId="3" fontId="143" fillId="0" borderId="0" xfId="14" applyNumberFormat="1" applyFont="1"/>
    <xf numFmtId="166" fontId="143" fillId="0" borderId="0" xfId="14" applyNumberFormat="1" applyFont="1"/>
    <xf numFmtId="0" fontId="144" fillId="0" borderId="0" xfId="14" applyFont="1"/>
    <xf numFmtId="3" fontId="144" fillId="0" borderId="0" xfId="14" applyNumberFormat="1" applyFont="1"/>
    <xf numFmtId="178" fontId="144" fillId="0" borderId="0" xfId="14" applyNumberFormat="1" applyFont="1"/>
    <xf numFmtId="169" fontId="144" fillId="0" borderId="0" xfId="52" applyNumberFormat="1" applyFont="1"/>
    <xf numFmtId="173" fontId="31" fillId="0" borderId="0" xfId="14" applyNumberFormat="1" applyFont="1"/>
    <xf numFmtId="173" fontId="2" fillId="0" borderId="0" xfId="14" applyNumberFormat="1" applyFont="1"/>
    <xf numFmtId="0" fontId="42" fillId="0" borderId="0" xfId="14" applyFont="1"/>
    <xf numFmtId="173" fontId="42" fillId="0" borderId="0" xfId="14" applyNumberFormat="1" applyFont="1"/>
    <xf numFmtId="3" fontId="2" fillId="0" borderId="0" xfId="14" applyNumberFormat="1" applyFont="1"/>
    <xf numFmtId="0" fontId="44" fillId="0" borderId="0" xfId="14" applyFont="1"/>
    <xf numFmtId="0" fontId="145" fillId="0" borderId="0" xfId="0" applyFont="1"/>
    <xf numFmtId="0" fontId="45" fillId="0" borderId="0" xfId="14" applyFont="1"/>
    <xf numFmtId="0" fontId="0" fillId="15" borderId="0" xfId="0" quotePrefix="1" applyFill="1"/>
    <xf numFmtId="0" fontId="99" fillId="15" borderId="0" xfId="0" applyFont="1" applyFill="1"/>
    <xf numFmtId="178" fontId="45" fillId="0" borderId="0" xfId="14" applyNumberFormat="1" applyFont="1"/>
    <xf numFmtId="2" fontId="41" fillId="0" borderId="0" xfId="14" applyNumberFormat="1" applyFont="1"/>
    <xf numFmtId="167" fontId="141" fillId="0" borderId="0" xfId="1" applyNumberFormat="1" applyFont="1"/>
    <xf numFmtId="43" fontId="2" fillId="0" borderId="0" xfId="1" applyFont="1"/>
    <xf numFmtId="4" fontId="117" fillId="0" borderId="0" xfId="0" applyNumberFormat="1" applyFont="1"/>
    <xf numFmtId="3" fontId="124" fillId="0" borderId="0" xfId="0" applyNumberFormat="1" applyFont="1"/>
    <xf numFmtId="3" fontId="108" fillId="0" borderId="0" xfId="43" applyNumberFormat="1" applyFont="1"/>
    <xf numFmtId="0" fontId="146" fillId="0" borderId="6" xfId="0" applyFont="1" applyBorder="1" applyAlignment="1">
      <alignment vertical="center" wrapText="1"/>
    </xf>
    <xf numFmtId="3" fontId="99" fillId="5" borderId="8" xfId="0" applyNumberFormat="1" applyFont="1" applyFill="1" applyBorder="1" applyAlignment="1">
      <alignment vertical="center"/>
    </xf>
    <xf numFmtId="0" fontId="0" fillId="0" borderId="29" xfId="0" applyBorder="1" applyAlignment="1">
      <alignment vertical="center"/>
    </xf>
    <xf numFmtId="3" fontId="112" fillId="0" borderId="29" xfId="11" applyNumberFormat="1" applyFont="1" applyBorder="1" applyAlignment="1">
      <alignment vertical="center"/>
    </xf>
    <xf numFmtId="0" fontId="0" fillId="0" borderId="20" xfId="0" applyBorder="1" applyAlignment="1">
      <alignment vertical="center" wrapText="1"/>
    </xf>
    <xf numFmtId="3" fontId="147" fillId="0" borderId="1" xfId="11" applyNumberFormat="1" applyFont="1" applyBorder="1" applyAlignment="1">
      <alignment vertical="center"/>
    </xf>
    <xf numFmtId="0" fontId="130" fillId="0" borderId="0" xfId="43" applyFont="1"/>
    <xf numFmtId="181" fontId="51" fillId="0" borderId="0" xfId="27" applyNumberFormat="1" applyFont="1"/>
    <xf numFmtId="181" fontId="52" fillId="0" borderId="0" xfId="27" applyNumberFormat="1" applyFont="1"/>
    <xf numFmtId="181" fontId="53" fillId="0" borderId="0" xfId="27" applyNumberFormat="1" applyFont="1" applyAlignment="1">
      <alignment horizontal="center"/>
    </xf>
    <xf numFmtId="181" fontId="53" fillId="0" borderId="0" xfId="27" applyNumberFormat="1" applyFont="1"/>
    <xf numFmtId="181" fontId="51" fillId="0" borderId="0" xfId="27" applyNumberFormat="1" applyFont="1" applyAlignment="1">
      <alignment vertical="center"/>
    </xf>
    <xf numFmtId="181" fontId="51" fillId="0" borderId="0" xfId="27" applyNumberFormat="1" applyFont="1" applyAlignment="1">
      <alignment horizontal="center" vertical="center"/>
    </xf>
    <xf numFmtId="181" fontId="54" fillId="0" borderId="0" xfId="27" applyNumberFormat="1" applyFont="1" applyAlignment="1">
      <alignment vertical="center"/>
    </xf>
    <xf numFmtId="181" fontId="51" fillId="0" borderId="0" xfId="27" applyNumberFormat="1" applyFont="1" applyAlignment="1">
      <alignment horizontal="center"/>
    </xf>
    <xf numFmtId="181" fontId="54" fillId="0" borderId="0" xfId="27" applyNumberFormat="1" applyFont="1"/>
    <xf numFmtId="181" fontId="55" fillId="0" borderId="0" xfId="27" applyNumberFormat="1" applyFont="1"/>
    <xf numFmtId="49" fontId="56" fillId="0" borderId="45" xfId="9" applyNumberFormat="1" applyFont="1" applyBorder="1" applyAlignment="1">
      <alignment horizontal="center" vertical="center" wrapText="1"/>
    </xf>
    <xf numFmtId="49" fontId="52" fillId="0" borderId="45" xfId="9" applyNumberFormat="1" applyFont="1" applyBorder="1" applyAlignment="1">
      <alignment horizontal="center" vertical="center" wrapText="1"/>
    </xf>
    <xf numFmtId="0" fontId="57" fillId="0" borderId="45" xfId="9" applyNumberFormat="1" applyFont="1" applyBorder="1" applyAlignment="1">
      <alignment horizontal="center" vertical="center" wrapText="1"/>
    </xf>
    <xf numFmtId="181" fontId="53" fillId="0" borderId="0" xfId="27" applyNumberFormat="1" applyFont="1" applyAlignment="1">
      <alignment vertical="center" wrapText="1"/>
    </xf>
    <xf numFmtId="181" fontId="52" fillId="0" borderId="0" xfId="27" applyNumberFormat="1" applyFont="1" applyAlignment="1">
      <alignment vertical="center" wrapText="1"/>
    </xf>
    <xf numFmtId="181" fontId="52" fillId="0" borderId="0" xfId="27" applyNumberFormat="1" applyFont="1" applyAlignment="1">
      <alignment horizontal="center" vertical="center" wrapText="1"/>
    </xf>
    <xf numFmtId="181" fontId="57" fillId="22" borderId="0" xfId="27" applyNumberFormat="1" applyFont="1" applyFill="1"/>
    <xf numFmtId="181" fontId="57" fillId="22" borderId="0" xfId="27" applyNumberFormat="1" applyFont="1" applyFill="1" applyAlignment="1">
      <alignment horizontal="center"/>
    </xf>
    <xf numFmtId="3" fontId="57" fillId="22" borderId="0" xfId="52" applyNumberFormat="1" applyFont="1" applyFill="1"/>
    <xf numFmtId="0" fontId="148" fillId="0" borderId="0" xfId="0" applyFont="1"/>
    <xf numFmtId="3" fontId="52" fillId="0" borderId="0" xfId="27" applyNumberFormat="1" applyFont="1" applyAlignment="1">
      <alignment horizontal="center" vertical="center" wrapText="1"/>
    </xf>
    <xf numFmtId="3" fontId="53" fillId="0" borderId="0" xfId="27" applyNumberFormat="1" applyFont="1"/>
    <xf numFmtId="181" fontId="57" fillId="0" borderId="0" xfId="27" applyNumberFormat="1" applyFont="1"/>
    <xf numFmtId="181" fontId="57" fillId="0" borderId="0" xfId="27" applyNumberFormat="1" applyFont="1" applyAlignment="1">
      <alignment horizontal="center"/>
    </xf>
    <xf numFmtId="3" fontId="57" fillId="0" borderId="0" xfId="52" applyNumberFormat="1" applyFont="1"/>
    <xf numFmtId="181" fontId="58" fillId="0" borderId="0" xfId="27" applyNumberFormat="1" applyFont="1"/>
    <xf numFmtId="181" fontId="58" fillId="0" borderId="0" xfId="27" applyNumberFormat="1" applyFont="1" applyAlignment="1">
      <alignment horizontal="left" indent="2"/>
    </xf>
    <xf numFmtId="181" fontId="59" fillId="0" borderId="0" xfId="27" applyNumberFormat="1" applyFont="1" applyAlignment="1">
      <alignment horizontal="center"/>
    </xf>
    <xf numFmtId="3" fontId="59" fillId="0" borderId="0" xfId="27" applyNumberFormat="1" applyFont="1"/>
    <xf numFmtId="0" fontId="149" fillId="0" borderId="0" xfId="0" applyFont="1"/>
    <xf numFmtId="3" fontId="51" fillId="0" borderId="0" xfId="27" applyNumberFormat="1" applyFont="1"/>
    <xf numFmtId="0" fontId="148" fillId="0" borderId="46" xfId="0" applyFont="1" applyBorder="1"/>
    <xf numFmtId="0" fontId="148" fillId="0" borderId="46" xfId="0" applyFont="1" applyBorder="1" applyAlignment="1">
      <alignment horizontal="center"/>
    </xf>
    <xf numFmtId="181" fontId="60" fillId="0" borderId="0" xfId="27" applyNumberFormat="1" applyFont="1"/>
    <xf numFmtId="181" fontId="61" fillId="0" borderId="0" xfId="27" applyNumberFormat="1" applyFont="1"/>
    <xf numFmtId="0" fontId="150" fillId="0" borderId="0" xfId="0" applyFont="1" applyAlignment="1">
      <alignment horizontal="center"/>
    </xf>
    <xf numFmtId="0" fontId="150" fillId="0" borderId="0" xfId="0" applyFont="1"/>
    <xf numFmtId="183" fontId="61" fillId="0" borderId="0" xfId="27" applyNumberFormat="1" applyFont="1" applyAlignment="1">
      <alignment horizontal="left"/>
    </xf>
    <xf numFmtId="0" fontId="148" fillId="0" borderId="0" xfId="0" applyFont="1" applyAlignment="1">
      <alignment horizontal="right"/>
    </xf>
    <xf numFmtId="0" fontId="148" fillId="0" borderId="0" xfId="0" applyFont="1" applyAlignment="1">
      <alignment horizontal="center"/>
    </xf>
    <xf numFmtId="181" fontId="148" fillId="0" borderId="0" xfId="0" applyNumberFormat="1" applyFont="1" applyAlignment="1">
      <alignment horizontal="center"/>
    </xf>
    <xf numFmtId="3" fontId="113" fillId="0" borderId="0" xfId="0" applyNumberFormat="1" applyFont="1"/>
    <xf numFmtId="3" fontId="113" fillId="4" borderId="0" xfId="0" applyNumberFormat="1" applyFont="1" applyFill="1"/>
    <xf numFmtId="0" fontId="151" fillId="23" borderId="64" xfId="0" applyFont="1" applyFill="1" applyBorder="1" applyAlignment="1">
      <alignment wrapText="1"/>
    </xf>
    <xf numFmtId="0" fontId="152" fillId="0" borderId="65" xfId="0" applyFont="1" applyBorder="1" applyAlignment="1">
      <alignment horizontal="center" vertical="center" wrapText="1"/>
    </xf>
    <xf numFmtId="0" fontId="152" fillId="0" borderId="64" xfId="0" applyFont="1" applyBorder="1" applyAlignment="1">
      <alignment vertical="center" wrapText="1"/>
    </xf>
    <xf numFmtId="0" fontId="152" fillId="0" borderId="64" xfId="0" applyFont="1" applyBorder="1" applyAlignment="1">
      <alignment horizontal="right" vertical="center" wrapText="1"/>
    </xf>
    <xf numFmtId="0" fontId="152" fillId="0" borderId="64" xfId="0" applyFont="1" applyBorder="1" applyAlignment="1">
      <alignment horizontal="center" vertical="center" wrapText="1"/>
    </xf>
    <xf numFmtId="0" fontId="152" fillId="0" borderId="66" xfId="0" applyFont="1" applyBorder="1" applyAlignment="1">
      <alignment vertical="center" wrapText="1"/>
    </xf>
    <xf numFmtId="0" fontId="0" fillId="0" borderId="66" xfId="0" applyBorder="1" applyAlignment="1">
      <alignment vertical="top" wrapText="1"/>
    </xf>
    <xf numFmtId="0" fontId="0" fillId="0" borderId="64" xfId="0" applyBorder="1" applyAlignment="1">
      <alignment vertical="top" wrapText="1"/>
    </xf>
    <xf numFmtId="0" fontId="152" fillId="4" borderId="64" xfId="0" applyFont="1" applyFill="1" applyBorder="1" applyAlignment="1">
      <alignment vertical="center" wrapText="1"/>
    </xf>
    <xf numFmtId="17" fontId="152" fillId="4" borderId="64" xfId="0" applyNumberFormat="1" applyFont="1" applyFill="1" applyBorder="1" applyAlignment="1">
      <alignment vertical="center" wrapText="1"/>
    </xf>
    <xf numFmtId="0" fontId="153" fillId="0" borderId="67" xfId="0" applyFont="1" applyBorder="1" applyAlignment="1">
      <alignment vertical="center" wrapText="1"/>
    </xf>
    <xf numFmtId="0" fontId="153" fillId="0" borderId="68" xfId="0" applyFont="1" applyBorder="1" applyAlignment="1">
      <alignment vertical="center" wrapText="1"/>
    </xf>
    <xf numFmtId="0" fontId="151" fillId="0" borderId="68" xfId="0" applyFont="1" applyBorder="1" applyAlignment="1">
      <alignment vertical="center" wrapText="1"/>
    </xf>
    <xf numFmtId="0" fontId="153" fillId="0" borderId="68" xfId="0" applyFont="1" applyBorder="1" applyAlignment="1">
      <alignment horizontal="center" vertical="center" wrapText="1"/>
    </xf>
    <xf numFmtId="0" fontId="154" fillId="0" borderId="65" xfId="0" applyFont="1" applyBorder="1" applyAlignment="1">
      <alignment horizontal="center" vertical="center" wrapText="1"/>
    </xf>
    <xf numFmtId="0" fontId="154" fillId="0" borderId="64" xfId="0" applyFont="1" applyBorder="1" applyAlignment="1">
      <alignment vertical="center" wrapText="1"/>
    </xf>
    <xf numFmtId="0" fontId="151" fillId="0" borderId="66" xfId="0" applyFont="1" applyBorder="1" applyAlignment="1">
      <alignment horizontal="center" vertical="center" wrapText="1"/>
    </xf>
    <xf numFmtId="0" fontId="154" fillId="0" borderId="64" xfId="0" applyFont="1" applyBorder="1" applyAlignment="1">
      <alignment horizontal="center" vertical="center" wrapText="1"/>
    </xf>
    <xf numFmtId="0" fontId="151" fillId="0" borderId="66" xfId="0" applyFont="1" applyBorder="1" applyAlignment="1">
      <alignment vertical="center" wrapText="1"/>
    </xf>
    <xf numFmtId="0" fontId="153" fillId="0" borderId="66" xfId="0" applyFont="1" applyBorder="1" applyAlignment="1">
      <alignment vertical="center" wrapText="1"/>
    </xf>
    <xf numFmtId="17" fontId="154" fillId="4" borderId="64" xfId="0" applyNumberFormat="1" applyFont="1" applyFill="1" applyBorder="1" applyAlignment="1">
      <alignment vertical="center" wrapText="1"/>
    </xf>
    <xf numFmtId="0" fontId="154" fillId="4" borderId="64" xfId="0" applyFont="1" applyFill="1" applyBorder="1" applyAlignment="1">
      <alignment vertical="center" wrapText="1"/>
    </xf>
    <xf numFmtId="0" fontId="154" fillId="0" borderId="65" xfId="0" applyFont="1" applyBorder="1" applyAlignment="1">
      <alignment vertical="center" wrapText="1"/>
    </xf>
    <xf numFmtId="0" fontId="154" fillId="0" borderId="64" xfId="0" applyFont="1" applyBorder="1" applyAlignment="1">
      <alignment horizontal="right" vertical="center" wrapText="1"/>
    </xf>
    <xf numFmtId="0" fontId="153" fillId="12" borderId="68" xfId="0" applyFont="1" applyFill="1" applyBorder="1" applyAlignment="1">
      <alignment horizontal="center" vertical="center" wrapText="1"/>
    </xf>
    <xf numFmtId="0" fontId="113" fillId="4" borderId="0" xfId="0" applyFont="1" applyFill="1"/>
    <xf numFmtId="0" fontId="151" fillId="0" borderId="0" xfId="0" applyFont="1" applyAlignment="1">
      <alignment vertical="center" wrapText="1"/>
    </xf>
    <xf numFmtId="0" fontId="154" fillId="0" borderId="0" xfId="0" applyFont="1" applyAlignment="1">
      <alignment vertical="center" wrapText="1"/>
    </xf>
    <xf numFmtId="167" fontId="155" fillId="0" borderId="0" xfId="1" applyNumberFormat="1" applyFont="1" applyAlignment="1">
      <alignment horizontal="center" vertical="center" wrapText="1"/>
    </xf>
    <xf numFmtId="164" fontId="155" fillId="0" borderId="0" xfId="1" applyNumberFormat="1" applyFont="1" applyAlignment="1">
      <alignment horizontal="center" vertical="center" wrapText="1"/>
    </xf>
    <xf numFmtId="167" fontId="155" fillId="4" borderId="0" xfId="1" applyNumberFormat="1" applyFont="1" applyFill="1" applyAlignment="1">
      <alignment horizontal="center" vertical="center" wrapText="1"/>
    </xf>
    <xf numFmtId="167" fontId="155" fillId="12" borderId="0" xfId="1" applyNumberFormat="1" applyFont="1" applyFill="1" applyAlignment="1">
      <alignment horizontal="center" vertical="center" wrapText="1"/>
    </xf>
    <xf numFmtId="0" fontId="151" fillId="12" borderId="0" xfId="0" applyFont="1" applyFill="1" applyAlignment="1">
      <alignment horizontal="center" wrapText="1"/>
    </xf>
    <xf numFmtId="167" fontId="155" fillId="12" borderId="64" xfId="0" applyNumberFormat="1" applyFont="1" applyFill="1" applyBorder="1" applyAlignment="1">
      <alignment vertical="center" wrapText="1"/>
    </xf>
    <xf numFmtId="3" fontId="121" fillId="12" borderId="4" xfId="0" applyNumberFormat="1" applyFont="1" applyFill="1" applyBorder="1" applyAlignment="1">
      <alignment vertical="center" wrapText="1"/>
    </xf>
    <xf numFmtId="0" fontId="113" fillId="0" borderId="0" xfId="0" quotePrefix="1" applyFont="1"/>
    <xf numFmtId="176" fontId="113" fillId="0" borderId="0" xfId="2" applyNumberFormat="1" applyFont="1"/>
    <xf numFmtId="9" fontId="113" fillId="4" borderId="0" xfId="52" applyFont="1" applyFill="1"/>
    <xf numFmtId="10" fontId="113" fillId="4" borderId="0" xfId="52" applyNumberFormat="1" applyFont="1" applyFill="1"/>
    <xf numFmtId="9" fontId="113" fillId="0" borderId="0" xfId="52" applyFont="1"/>
    <xf numFmtId="176" fontId="113" fillId="24" borderId="0" xfId="2" applyNumberFormat="1" applyFont="1" applyFill="1"/>
    <xf numFmtId="3" fontId="102" fillId="0" borderId="47" xfId="43" applyNumberFormat="1" applyFont="1" applyBorder="1" applyAlignment="1">
      <alignment horizontal="right" wrapText="1" readingOrder="1"/>
    </xf>
    <xf numFmtId="3" fontId="107" fillId="25" borderId="5" xfId="11" applyNumberFormat="1" applyFont="1" applyFill="1" applyBorder="1" applyAlignment="1">
      <alignment horizontal="center" vertical="center" wrapText="1" readingOrder="1"/>
    </xf>
    <xf numFmtId="0" fontId="67" fillId="0" borderId="0" xfId="15"/>
    <xf numFmtId="0" fontId="31" fillId="0" borderId="0" xfId="15" applyFont="1"/>
    <xf numFmtId="0" fontId="2" fillId="0" borderId="0" xfId="15" applyFont="1"/>
    <xf numFmtId="43" fontId="2" fillId="0" borderId="0" xfId="10" applyFont="1"/>
    <xf numFmtId="0" fontId="67" fillId="0" borderId="0" xfId="15" quotePrefix="1"/>
    <xf numFmtId="0" fontId="2" fillId="0" borderId="69" xfId="15" applyFont="1" applyBorder="1"/>
    <xf numFmtId="0" fontId="2" fillId="0" borderId="70" xfId="15" applyFont="1" applyBorder="1"/>
    <xf numFmtId="0" fontId="2" fillId="0" borderId="71" xfId="15" applyFont="1" applyBorder="1"/>
    <xf numFmtId="0" fontId="67" fillId="0" borderId="31" xfId="15" applyBorder="1"/>
    <xf numFmtId="0" fontId="156" fillId="0" borderId="31" xfId="15" applyFont="1" applyBorder="1"/>
    <xf numFmtId="0" fontId="68" fillId="0" borderId="31" xfId="15" applyFont="1" applyBorder="1"/>
    <xf numFmtId="0" fontId="68" fillId="0" borderId="0" xfId="15" applyFont="1"/>
    <xf numFmtId="43" fontId="144" fillId="0" borderId="31" xfId="10" applyFont="1" applyBorder="1"/>
    <xf numFmtId="0" fontId="157" fillId="0" borderId="0" xfId="15" applyFont="1"/>
    <xf numFmtId="0" fontId="157" fillId="0" borderId="0" xfId="15" applyFont="1" applyAlignment="1">
      <alignment horizontal="center"/>
    </xf>
    <xf numFmtId="167" fontId="2" fillId="0" borderId="69" xfId="15" applyNumberFormat="1" applyFont="1" applyBorder="1"/>
    <xf numFmtId="167" fontId="2" fillId="0" borderId="72" xfId="15" applyNumberFormat="1" applyFont="1" applyBorder="1"/>
    <xf numFmtId="167" fontId="2" fillId="0" borderId="73" xfId="15" applyNumberFormat="1" applyFont="1" applyBorder="1"/>
    <xf numFmtId="43" fontId="141" fillId="8" borderId="32" xfId="10" applyFont="1" applyFill="1" applyBorder="1"/>
    <xf numFmtId="43" fontId="141" fillId="0" borderId="32" xfId="10" applyFont="1" applyBorder="1"/>
    <xf numFmtId="0" fontId="2" fillId="0" borderId="74" xfId="15" applyFont="1" applyBorder="1"/>
    <xf numFmtId="167" fontId="2" fillId="0" borderId="74" xfId="15" applyNumberFormat="1" applyFont="1" applyBorder="1"/>
    <xf numFmtId="167" fontId="2" fillId="0" borderId="0" xfId="15" applyNumberFormat="1" applyFont="1"/>
    <xf numFmtId="167" fontId="2" fillId="0" borderId="75" xfId="15" applyNumberFormat="1" applyFont="1" applyBorder="1"/>
    <xf numFmtId="43" fontId="141" fillId="0" borderId="0" xfId="10" applyFont="1"/>
    <xf numFmtId="43" fontId="141" fillId="4" borderId="0" xfId="10" applyFont="1" applyFill="1"/>
    <xf numFmtId="43" fontId="141" fillId="8" borderId="0" xfId="10" applyFont="1" applyFill="1"/>
    <xf numFmtId="0" fontId="157" fillId="0" borderId="31" xfId="15" applyFont="1" applyBorder="1"/>
    <xf numFmtId="0" fontId="157" fillId="0" borderId="31" xfId="15" applyFont="1" applyBorder="1" applyAlignment="1">
      <alignment horizontal="center"/>
    </xf>
    <xf numFmtId="0" fontId="2" fillId="0" borderId="76" xfId="15" applyFont="1" applyBorder="1"/>
    <xf numFmtId="167" fontId="2" fillId="0" borderId="76" xfId="15" applyNumberFormat="1" applyFont="1" applyBorder="1"/>
    <xf numFmtId="167" fontId="2" fillId="0" borderId="77" xfId="15" applyNumberFormat="1" applyFont="1" applyBorder="1"/>
    <xf numFmtId="167" fontId="2" fillId="0" borderId="78" xfId="15" applyNumberFormat="1" applyFont="1" applyBorder="1"/>
    <xf numFmtId="43" fontId="141" fillId="0" borderId="31" xfId="10" applyFont="1" applyBorder="1"/>
    <xf numFmtId="43" fontId="95" fillId="0" borderId="0" xfId="10" applyFont="1"/>
    <xf numFmtId="0" fontId="68" fillId="0" borderId="0" xfId="15" applyFont="1" applyAlignment="1">
      <alignment wrapText="1"/>
    </xf>
    <xf numFmtId="0" fontId="31" fillId="0" borderId="69" xfId="15" applyFont="1" applyBorder="1" applyAlignment="1">
      <alignment wrapText="1"/>
    </xf>
    <xf numFmtId="0" fontId="31" fillId="0" borderId="72" xfId="15" applyFont="1" applyBorder="1" applyAlignment="1">
      <alignment wrapText="1"/>
    </xf>
    <xf numFmtId="0" fontId="31" fillId="0" borderId="73" xfId="15" applyFont="1" applyBorder="1" applyAlignment="1">
      <alignment wrapText="1"/>
    </xf>
    <xf numFmtId="181" fontId="71" fillId="0" borderId="0" xfId="27" applyNumberFormat="1" applyFont="1"/>
    <xf numFmtId="0" fontId="158" fillId="0" borderId="0" xfId="0" applyFont="1"/>
    <xf numFmtId="3" fontId="57" fillId="22" borderId="0" xfId="27" applyNumberFormat="1" applyFont="1" applyFill="1" applyAlignment="1">
      <alignment horizontal="right"/>
    </xf>
    <xf numFmtId="3" fontId="57" fillId="22" borderId="0" xfId="52" applyNumberFormat="1" applyFont="1" applyFill="1" applyAlignment="1">
      <alignment horizontal="right"/>
    </xf>
    <xf numFmtId="3" fontId="57" fillId="0" borderId="0" xfId="27" applyNumberFormat="1" applyFont="1" applyAlignment="1">
      <alignment horizontal="right"/>
    </xf>
    <xf numFmtId="3" fontId="57" fillId="0" borderId="0" xfId="52" applyNumberFormat="1" applyFont="1" applyAlignment="1">
      <alignment horizontal="right"/>
    </xf>
    <xf numFmtId="3" fontId="51" fillId="0" borderId="0" xfId="27" applyNumberFormat="1" applyFont="1" applyAlignment="1">
      <alignment horizontal="right"/>
    </xf>
    <xf numFmtId="0" fontId="57" fillId="4" borderId="45" xfId="9" applyNumberFormat="1" applyFont="1" applyFill="1" applyBorder="1" applyAlignment="1">
      <alignment horizontal="center" vertical="center" wrapText="1"/>
    </xf>
    <xf numFmtId="0" fontId="159" fillId="0" borderId="0" xfId="0" applyFont="1"/>
    <xf numFmtId="0" fontId="108" fillId="16" borderId="0" xfId="0" applyFont="1" applyFill="1" applyAlignment="1">
      <alignment horizontal="center"/>
    </xf>
    <xf numFmtId="0" fontId="108" fillId="0" borderId="0" xfId="0" applyFont="1"/>
    <xf numFmtId="0" fontId="0" fillId="16" borderId="0" xfId="0" applyFill="1" applyAlignment="1">
      <alignment horizontal="center"/>
    </xf>
    <xf numFmtId="167" fontId="160" fillId="0" borderId="0" xfId="1" applyNumberFormat="1" applyFont="1" applyAlignment="1">
      <alignment horizontal="right" vertical="top"/>
    </xf>
    <xf numFmtId="0" fontId="0" fillId="26" borderId="0" xfId="0" applyFill="1"/>
    <xf numFmtId="167" fontId="95" fillId="26" borderId="0" xfId="1" applyNumberFormat="1" applyFill="1"/>
    <xf numFmtId="167" fontId="160" fillId="26" borderId="0" xfId="1" applyNumberFormat="1" applyFont="1" applyFill="1" applyAlignment="1">
      <alignment horizontal="right" vertical="top"/>
    </xf>
    <xf numFmtId="0" fontId="0" fillId="2" borderId="0" xfId="0" applyFill="1"/>
    <xf numFmtId="0" fontId="72" fillId="0" borderId="26" xfId="0" applyFont="1" applyBorder="1" applyAlignment="1">
      <alignment horizontal="left" vertical="center"/>
    </xf>
    <xf numFmtId="0" fontId="108" fillId="2" borderId="0" xfId="0" applyFont="1" applyFill="1" applyAlignment="1">
      <alignment horizontal="center"/>
    </xf>
    <xf numFmtId="0" fontId="108" fillId="4" borderId="35" xfId="0" applyFont="1" applyFill="1" applyBorder="1" applyAlignment="1">
      <alignment horizontal="center"/>
    </xf>
    <xf numFmtId="0" fontId="108" fillId="2" borderId="35" xfId="0" applyFont="1" applyFill="1" applyBorder="1" applyAlignment="1">
      <alignment horizontal="center"/>
    </xf>
    <xf numFmtId="0" fontId="161" fillId="2" borderId="0" xfId="0" applyFont="1" applyFill="1" applyAlignment="1">
      <alignment horizontal="center"/>
    </xf>
    <xf numFmtId="168" fontId="73" fillId="0" borderId="0" xfId="1" applyNumberFormat="1" applyFont="1" applyAlignment="1">
      <alignment horizontal="right" vertical="top"/>
    </xf>
    <xf numFmtId="184" fontId="73" fillId="0" borderId="0" xfId="51" applyNumberFormat="1" applyFont="1" applyAlignment="1">
      <alignment horizontal="right" vertical="top"/>
    </xf>
    <xf numFmtId="169" fontId="113" fillId="0" borderId="0" xfId="52" applyNumberFormat="1" applyFont="1"/>
    <xf numFmtId="168" fontId="113" fillId="0" borderId="0" xfId="0" applyNumberFormat="1" applyFont="1"/>
    <xf numFmtId="0" fontId="108" fillId="2" borderId="31" xfId="0" applyFont="1" applyFill="1" applyBorder="1" applyAlignment="1">
      <alignment horizontal="center"/>
    </xf>
    <xf numFmtId="0" fontId="0" fillId="0" borderId="31" xfId="0" applyBorder="1" applyAlignment="1">
      <alignment wrapText="1"/>
    </xf>
    <xf numFmtId="0" fontId="0" fillId="2" borderId="31" xfId="0" applyFill="1" applyBorder="1" applyAlignment="1">
      <alignment wrapText="1"/>
    </xf>
    <xf numFmtId="168" fontId="73" fillId="0" borderId="35" xfId="1" applyNumberFormat="1" applyFont="1" applyBorder="1" applyAlignment="1">
      <alignment horizontal="right" vertical="top"/>
    </xf>
    <xf numFmtId="0" fontId="0" fillId="2" borderId="35" xfId="0" applyFill="1" applyBorder="1"/>
    <xf numFmtId="2" fontId="124" fillId="0" borderId="0" xfId="43" applyNumberFormat="1" applyFont="1"/>
    <xf numFmtId="0" fontId="116" fillId="18" borderId="0" xfId="0" applyFont="1" applyFill="1" applyAlignment="1">
      <alignment vertical="center"/>
    </xf>
    <xf numFmtId="0" fontId="116" fillId="8" borderId="0" xfId="0" applyFont="1" applyFill="1" applyAlignment="1">
      <alignment vertical="center"/>
    </xf>
    <xf numFmtId="3" fontId="0" fillId="8" borderId="0" xfId="0" applyNumberFormat="1" applyFill="1"/>
    <xf numFmtId="9" fontId="95" fillId="8" borderId="0" xfId="52" applyFill="1"/>
    <xf numFmtId="3" fontId="0" fillId="8" borderId="0" xfId="0" applyNumberFormat="1" applyFill="1" applyAlignment="1">
      <alignment horizontal="right"/>
    </xf>
    <xf numFmtId="0" fontId="120" fillId="8" borderId="0" xfId="0" applyFont="1" applyFill="1"/>
    <xf numFmtId="3" fontId="120" fillId="8" borderId="0" xfId="0" applyNumberFormat="1" applyFont="1" applyFill="1"/>
    <xf numFmtId="0" fontId="116" fillId="8" borderId="0" xfId="0" applyFont="1" applyFill="1" applyAlignment="1">
      <alignment vertical="center" wrapText="1"/>
    </xf>
    <xf numFmtId="169" fontId="95" fillId="0" borderId="0" xfId="52" applyNumberFormat="1"/>
    <xf numFmtId="0" fontId="0" fillId="27" borderId="1" xfId="0" applyFill="1" applyBorder="1" applyAlignment="1">
      <alignment vertical="center"/>
    </xf>
    <xf numFmtId="3" fontId="112" fillId="27" borderId="8" xfId="11" applyNumberFormat="1" applyFont="1" applyFill="1" applyBorder="1" applyAlignment="1">
      <alignment vertical="center"/>
    </xf>
    <xf numFmtId="3" fontId="0" fillId="27" borderId="1" xfId="0" applyNumberFormat="1" applyFill="1" applyBorder="1" applyAlignment="1">
      <alignment vertical="center"/>
    </xf>
    <xf numFmtId="3" fontId="0" fillId="15" borderId="1" xfId="0" applyNumberFormat="1" applyFill="1" applyBorder="1" applyAlignment="1">
      <alignment vertical="center"/>
    </xf>
    <xf numFmtId="3" fontId="112" fillId="15" borderId="5" xfId="11" applyNumberFormat="1" applyFont="1" applyFill="1" applyBorder="1" applyAlignment="1">
      <alignment vertical="center"/>
    </xf>
    <xf numFmtId="3" fontId="162" fillId="25" borderId="5" xfId="11" applyNumberFormat="1" applyFont="1" applyFill="1" applyBorder="1" applyAlignment="1">
      <alignment horizontal="center" vertical="center" wrapText="1"/>
    </xf>
    <xf numFmtId="3" fontId="162" fillId="21" borderId="5" xfId="11" applyNumberFormat="1" applyFont="1" applyFill="1" applyBorder="1" applyAlignment="1">
      <alignment horizontal="center" vertical="center" wrapText="1"/>
    </xf>
    <xf numFmtId="181" fontId="57" fillId="22" borderId="0" xfId="27" applyNumberFormat="1" applyFont="1" applyFill="1" applyAlignment="1">
      <alignment wrapText="1"/>
    </xf>
    <xf numFmtId="181" fontId="53" fillId="0" borderId="0" xfId="27" applyNumberFormat="1" applyFont="1" applyAlignment="1">
      <alignment wrapText="1"/>
    </xf>
    <xf numFmtId="181" fontId="57" fillId="0" borderId="0" xfId="27" applyNumberFormat="1" applyFont="1" applyAlignment="1">
      <alignment wrapText="1"/>
    </xf>
    <xf numFmtId="181" fontId="58" fillId="0" borderId="0" xfId="27" applyNumberFormat="1" applyFont="1" applyAlignment="1">
      <alignment horizontal="left" wrapText="1"/>
    </xf>
    <xf numFmtId="181" fontId="51" fillId="0" borderId="0" xfId="27" applyNumberFormat="1" applyFont="1" applyAlignment="1">
      <alignment wrapText="1"/>
    </xf>
    <xf numFmtId="0" fontId="148" fillId="0" borderId="46" xfId="0" applyFont="1" applyBorder="1" applyAlignment="1">
      <alignment wrapText="1"/>
    </xf>
    <xf numFmtId="181" fontId="61" fillId="0" borderId="0" xfId="27" applyNumberFormat="1" applyFont="1" applyAlignment="1">
      <alignment wrapText="1"/>
    </xf>
    <xf numFmtId="43" fontId="141" fillId="0" borderId="32" xfId="10" applyFont="1" applyBorder="1" applyAlignment="1">
      <alignment wrapText="1"/>
    </xf>
    <xf numFmtId="43" fontId="141" fillId="0" borderId="0" xfId="10" applyFont="1" applyAlignment="1">
      <alignment wrapText="1"/>
    </xf>
    <xf numFmtId="3" fontId="113" fillId="0" borderId="1" xfId="11" applyNumberFormat="1" applyFont="1" applyBorder="1" applyAlignment="1">
      <alignment vertical="center"/>
    </xf>
    <xf numFmtId="0" fontId="144" fillId="0" borderId="31" xfId="1" applyNumberFormat="1" applyFont="1" applyBorder="1"/>
    <xf numFmtId="0" fontId="75" fillId="0" borderId="38" xfId="28" applyFont="1" applyBorder="1" applyAlignment="1">
      <alignment vertical="center" wrapText="1"/>
    </xf>
    <xf numFmtId="0" fontId="19" fillId="0" borderId="24" xfId="28" applyFont="1" applyBorder="1" applyAlignment="1">
      <alignment vertical="center" wrapText="1"/>
    </xf>
    <xf numFmtId="43" fontId="141" fillId="28" borderId="0" xfId="10" applyFont="1" applyFill="1"/>
    <xf numFmtId="43" fontId="95" fillId="28" borderId="0" xfId="10" applyFont="1" applyFill="1"/>
    <xf numFmtId="0" fontId="67" fillId="28" borderId="0" xfId="15" applyFill="1"/>
    <xf numFmtId="43" fontId="144" fillId="28" borderId="31" xfId="10" applyFont="1" applyFill="1" applyBorder="1"/>
    <xf numFmtId="0" fontId="144" fillId="28" borderId="31" xfId="1" applyNumberFormat="1" applyFont="1" applyFill="1" applyBorder="1"/>
    <xf numFmtId="43" fontId="141" fillId="28" borderId="32" xfId="10" applyFont="1" applyFill="1" applyBorder="1" applyAlignment="1">
      <alignment wrapText="1"/>
    </xf>
    <xf numFmtId="43" fontId="141" fillId="28" borderId="32" xfId="10" applyFont="1" applyFill="1" applyBorder="1"/>
    <xf numFmtId="43" fontId="141" fillId="28" borderId="0" xfId="10" applyFont="1" applyFill="1" applyAlignment="1">
      <alignment wrapText="1"/>
    </xf>
    <xf numFmtId="43" fontId="141" fillId="28" borderId="31" xfId="10" applyFont="1" applyFill="1" applyBorder="1"/>
    <xf numFmtId="0" fontId="41" fillId="0" borderId="0" xfId="0" applyFont="1" applyAlignment="1">
      <alignment vertical="center"/>
    </xf>
    <xf numFmtId="0" fontId="31" fillId="0" borderId="0" xfId="0" applyFont="1" applyAlignment="1">
      <alignment vertical="center"/>
    </xf>
    <xf numFmtId="0" fontId="29" fillId="0" borderId="0" xfId="0" applyFont="1" applyAlignment="1">
      <alignment horizontal="right" vertical="center"/>
    </xf>
    <xf numFmtId="1" fontId="0" fillId="0" borderId="0" xfId="0" applyNumberFormat="1" applyAlignment="1">
      <alignment vertical="center"/>
    </xf>
    <xf numFmtId="185" fontId="29" fillId="0" borderId="0" xfId="0" applyNumberFormat="1" applyFont="1" applyAlignment="1">
      <alignment horizontal="left" vertical="center"/>
    </xf>
    <xf numFmtId="185" fontId="29" fillId="0" borderId="0" xfId="0" applyNumberFormat="1" applyFont="1" applyAlignment="1">
      <alignment horizontal="right" vertical="center"/>
    </xf>
    <xf numFmtId="0" fontId="42" fillId="0" borderId="0" xfId="0" quotePrefix="1" applyFont="1" applyAlignment="1">
      <alignment horizontal="left" vertical="center"/>
    </xf>
    <xf numFmtId="0" fontId="41" fillId="0" borderId="0" xfId="0" quotePrefix="1" applyFont="1" applyAlignment="1">
      <alignment horizontal="left" vertical="center"/>
    </xf>
    <xf numFmtId="0" fontId="42" fillId="0" borderId="0" xfId="0" applyFont="1" applyAlignment="1">
      <alignment horizontal="left" vertical="center"/>
    </xf>
    <xf numFmtId="0" fontId="44" fillId="0" borderId="0" xfId="0" applyFont="1" applyAlignment="1">
      <alignment vertical="center"/>
    </xf>
    <xf numFmtId="1" fontId="78" fillId="0" borderId="0" xfId="0" applyNumberFormat="1" applyFont="1" applyAlignment="1">
      <alignment vertical="center"/>
    </xf>
    <xf numFmtId="186" fontId="79" fillId="0" borderId="0" xfId="0" applyNumberFormat="1" applyFont="1" applyAlignment="1">
      <alignment horizontal="right" vertical="center"/>
    </xf>
    <xf numFmtId="185" fontId="79" fillId="0" borderId="0" xfId="0" applyNumberFormat="1" applyFont="1" applyAlignment="1">
      <alignment horizontal="right" vertical="center"/>
    </xf>
    <xf numFmtId="0" fontId="41" fillId="0" borderId="0" xfId="0" applyFont="1" applyAlignment="1">
      <alignment horizontal="left" vertical="center"/>
    </xf>
    <xf numFmtId="0" fontId="31" fillId="0" borderId="48" xfId="0" applyFont="1" applyBorder="1" applyAlignment="1">
      <alignment vertical="center"/>
    </xf>
    <xf numFmtId="0" fontId="31" fillId="0" borderId="49" xfId="0" applyFont="1" applyBorder="1" applyAlignment="1">
      <alignment vertical="center"/>
    </xf>
    <xf numFmtId="0" fontId="29" fillId="0" borderId="49" xfId="0" quotePrefix="1" applyFont="1" applyBorder="1" applyAlignment="1">
      <alignment horizontal="right" vertical="center"/>
    </xf>
    <xf numFmtId="1" fontId="0" fillId="0" borderId="49" xfId="0" applyNumberFormat="1" applyBorder="1" applyAlignment="1">
      <alignment vertical="center"/>
    </xf>
    <xf numFmtId="185" fontId="31" fillId="0" borderId="49" xfId="0" applyNumberFormat="1" applyFont="1" applyBorder="1" applyAlignment="1">
      <alignment horizontal="center" vertical="center"/>
    </xf>
    <xf numFmtId="185" fontId="144" fillId="4" borderId="49" xfId="0" applyNumberFormat="1" applyFont="1" applyFill="1" applyBorder="1" applyAlignment="1">
      <alignment horizontal="center" vertical="center"/>
    </xf>
    <xf numFmtId="185" fontId="31" fillId="0" borderId="50" xfId="0" applyNumberFormat="1" applyFont="1" applyBorder="1" applyAlignment="1">
      <alignment horizontal="center" vertical="center"/>
    </xf>
    <xf numFmtId="0" fontId="99" fillId="0" borderId="0" xfId="0" applyFont="1" applyAlignment="1">
      <alignment vertical="center"/>
    </xf>
    <xf numFmtId="0" fontId="113" fillId="4" borderId="0" xfId="0" applyFont="1" applyFill="1" applyAlignment="1">
      <alignment vertical="center"/>
    </xf>
    <xf numFmtId="0" fontId="31" fillId="0" borderId="51" xfId="0" applyFont="1" applyBorder="1" applyAlignment="1">
      <alignment vertical="center"/>
    </xf>
    <xf numFmtId="1" fontId="29" fillId="0" borderId="0" xfId="0" applyNumberFormat="1" applyFont="1" applyAlignment="1">
      <alignment vertical="center"/>
    </xf>
    <xf numFmtId="185" fontId="163" fillId="4" borderId="0" xfId="0" applyNumberFormat="1" applyFont="1" applyFill="1" applyAlignment="1">
      <alignment horizontal="center" vertical="center"/>
    </xf>
    <xf numFmtId="185" fontId="29" fillId="0" borderId="52" xfId="0" applyNumberFormat="1" applyFont="1" applyBorder="1" applyAlignment="1">
      <alignment horizontal="left" vertical="center"/>
    </xf>
    <xf numFmtId="170" fontId="95" fillId="0" borderId="0" xfId="3" applyNumberFormat="1" applyAlignment="1">
      <alignment vertical="center"/>
    </xf>
    <xf numFmtId="0" fontId="113" fillId="0" borderId="0" xfId="0" applyFont="1" applyAlignment="1">
      <alignment horizontal="center" vertical="center"/>
    </xf>
    <xf numFmtId="0" fontId="113" fillId="0" borderId="0" xfId="0" applyFont="1" applyAlignment="1">
      <alignment vertical="center"/>
    </xf>
    <xf numFmtId="0" fontId="80" fillId="0" borderId="0" xfId="0" applyFont="1" applyAlignment="1">
      <alignment horizontal="left" vertical="center"/>
    </xf>
    <xf numFmtId="0" fontId="31" fillId="0" borderId="0" xfId="0" applyFont="1" applyAlignment="1">
      <alignment horizontal="right" vertical="center"/>
    </xf>
    <xf numFmtId="171" fontId="2" fillId="0" borderId="53" xfId="0" quotePrefix="1" applyNumberFormat="1" applyFont="1" applyBorder="1" applyAlignment="1">
      <alignment horizontal="right" vertical="center"/>
    </xf>
    <xf numFmtId="0" fontId="81" fillId="0" borderId="0" xfId="0" applyFont="1" applyAlignment="1">
      <alignment horizontal="left" vertical="center"/>
    </xf>
    <xf numFmtId="171" fontId="2" fillId="0" borderId="79" xfId="0" applyNumberFormat="1" applyFont="1" applyBorder="1" applyAlignment="1" applyProtection="1">
      <alignment horizontal="right" vertical="center"/>
      <protection hidden="1"/>
    </xf>
    <xf numFmtId="185" fontId="29" fillId="0" borderId="52" xfId="0" quotePrefix="1" applyNumberFormat="1" applyFont="1" applyBorder="1" applyAlignment="1">
      <alignment horizontal="left" vertical="center"/>
    </xf>
    <xf numFmtId="171" fontId="0" fillId="0" borderId="0" xfId="0" applyNumberFormat="1" applyAlignment="1">
      <alignment vertical="center"/>
    </xf>
    <xf numFmtId="0" fontId="82" fillId="0" borderId="51" xfId="0" applyFont="1" applyBorder="1" applyAlignment="1">
      <alignment vertical="center"/>
    </xf>
    <xf numFmtId="0" fontId="82" fillId="0" borderId="0" xfId="0" applyFont="1" applyAlignment="1">
      <alignment vertical="center"/>
    </xf>
    <xf numFmtId="171" fontId="29" fillId="0" borderId="0" xfId="0" applyNumberFormat="1" applyFont="1" applyAlignment="1">
      <alignment horizontal="right" vertical="center"/>
    </xf>
    <xf numFmtId="170" fontId="2" fillId="0" borderId="53" xfId="3" quotePrefix="1" applyNumberFormat="1" applyFont="1" applyBorder="1" applyAlignment="1">
      <alignment horizontal="right" vertical="center"/>
    </xf>
    <xf numFmtId="185" fontId="29" fillId="4" borderId="0" xfId="0" applyNumberFormat="1" applyFont="1" applyFill="1" applyAlignment="1">
      <alignment horizontal="left" vertical="center"/>
    </xf>
    <xf numFmtId="185" fontId="163" fillId="4" borderId="0" xfId="0" applyNumberFormat="1" applyFont="1" applyFill="1" applyAlignment="1">
      <alignment horizontal="center" vertical="center" wrapText="1"/>
    </xf>
    <xf numFmtId="169" fontId="29" fillId="0" borderId="52" xfId="52" applyNumberFormat="1" applyFont="1" applyBorder="1" applyAlignment="1">
      <alignment horizontal="left" vertical="center"/>
    </xf>
    <xf numFmtId="0" fontId="29" fillId="0" borderId="0" xfId="0" applyFont="1" applyAlignment="1">
      <alignment vertical="center"/>
    </xf>
    <xf numFmtId="0" fontId="163" fillId="0" borderId="0" xfId="0" applyFont="1" applyAlignment="1">
      <alignment horizontal="center" vertical="center"/>
    </xf>
    <xf numFmtId="46" fontId="29" fillId="0" borderId="0" xfId="0" quotePrefix="1" applyNumberFormat="1" applyFont="1" applyAlignment="1">
      <alignment vertical="center" wrapText="1"/>
    </xf>
    <xf numFmtId="0" fontId="0" fillId="0" borderId="51" xfId="0" applyBorder="1" applyAlignment="1">
      <alignment vertical="center"/>
    </xf>
    <xf numFmtId="0" fontId="29" fillId="0" borderId="0" xfId="0" quotePrefix="1" applyFont="1" applyAlignment="1">
      <alignment horizontal="right" vertical="center"/>
    </xf>
    <xf numFmtId="171" fontId="2" fillId="0" borderId="79" xfId="0" applyNumberFormat="1" applyFont="1" applyBorder="1" applyAlignment="1">
      <alignment horizontal="right" vertical="center"/>
    </xf>
    <xf numFmtId="1" fontId="0" fillId="0" borderId="0" xfId="0" applyNumberFormat="1" applyAlignment="1">
      <alignment horizontal="center" vertical="center"/>
    </xf>
    <xf numFmtId="169" fontId="95" fillId="0" borderId="0" xfId="52" applyNumberFormat="1" applyAlignment="1">
      <alignment vertical="center"/>
    </xf>
    <xf numFmtId="165" fontId="2" fillId="0" borderId="53" xfId="3" quotePrefix="1" applyFont="1" applyBorder="1" applyAlignment="1">
      <alignment horizontal="right" vertical="center"/>
    </xf>
    <xf numFmtId="0" fontId="29" fillId="0" borderId="0" xfId="0" quotePrefix="1" applyFont="1" applyAlignment="1">
      <alignment horizontal="left" vertical="center"/>
    </xf>
    <xf numFmtId="1" fontId="2" fillId="0" borderId="0" xfId="0" applyNumberFormat="1" applyFont="1" applyAlignment="1">
      <alignment horizontal="center" vertical="center"/>
    </xf>
    <xf numFmtId="165" fontId="0" fillId="0" borderId="0" xfId="0" applyNumberFormat="1" applyAlignment="1">
      <alignment vertical="center"/>
    </xf>
    <xf numFmtId="185" fontId="29" fillId="0" borderId="0" xfId="0" quotePrefix="1" applyNumberFormat="1" applyFont="1" applyAlignment="1">
      <alignment horizontal="left" vertical="center"/>
    </xf>
    <xf numFmtId="0" fontId="84" fillId="0" borderId="0" xfId="0" quotePrefix="1" applyFont="1" applyAlignment="1">
      <alignment horizontal="left" vertical="center"/>
    </xf>
    <xf numFmtId="171" fontId="31" fillId="8" borderId="79" xfId="0" applyNumberFormat="1" applyFont="1" applyFill="1" applyBorder="1" applyAlignment="1">
      <alignment horizontal="right" vertical="center"/>
    </xf>
    <xf numFmtId="185" fontId="31" fillId="0" borderId="0" xfId="0" quotePrefix="1" applyNumberFormat="1" applyFont="1" applyAlignment="1">
      <alignment horizontal="left" vertical="center"/>
    </xf>
    <xf numFmtId="185" fontId="163" fillId="4" borderId="0" xfId="0" quotePrefix="1" applyNumberFormat="1" applyFont="1" applyFill="1" applyAlignment="1">
      <alignment horizontal="center" vertical="center"/>
    </xf>
    <xf numFmtId="0" fontId="86" fillId="0" borderId="54" xfId="0" applyFont="1" applyBorder="1" applyAlignment="1">
      <alignment horizontal="center" vertical="center"/>
    </xf>
    <xf numFmtId="0" fontId="86" fillId="0" borderId="55" xfId="0" applyFont="1" applyBorder="1" applyAlignment="1">
      <alignment horizontal="center" vertical="center"/>
    </xf>
    <xf numFmtId="171" fontId="29" fillId="0" borderId="55" xfId="0" applyNumberFormat="1" applyFont="1" applyBorder="1" applyAlignment="1">
      <alignment horizontal="right" vertical="center"/>
    </xf>
    <xf numFmtId="1" fontId="87" fillId="0" borderId="55" xfId="0" quotePrefix="1" applyNumberFormat="1" applyFont="1" applyBorder="1" applyAlignment="1">
      <alignment horizontal="center" vertical="center"/>
    </xf>
    <xf numFmtId="185" fontId="29" fillId="0" borderId="55" xfId="0" applyNumberFormat="1" applyFont="1" applyBorder="1" applyAlignment="1">
      <alignment horizontal="left" vertical="center"/>
    </xf>
    <xf numFmtId="185" fontId="163" fillId="4" borderId="55" xfId="0" applyNumberFormat="1" applyFont="1" applyFill="1" applyBorder="1" applyAlignment="1">
      <alignment horizontal="center" vertical="center"/>
    </xf>
    <xf numFmtId="185" fontId="29" fillId="0" borderId="56" xfId="0" applyNumberFormat="1" applyFont="1" applyBorder="1" applyAlignment="1">
      <alignment horizontal="left" vertical="center"/>
    </xf>
    <xf numFmtId="0" fontId="87" fillId="0" borderId="0" xfId="0" applyFont="1" applyAlignment="1">
      <alignment horizontal="center" vertical="center"/>
    </xf>
    <xf numFmtId="0" fontId="31" fillId="0" borderId="48" xfId="0" quotePrefix="1" applyFont="1" applyBorder="1" applyAlignment="1">
      <alignment horizontal="left" vertical="center"/>
    </xf>
    <xf numFmtId="171" fontId="29" fillId="0" borderId="49" xfId="0" applyNumberFormat="1" applyFont="1" applyBorder="1" applyAlignment="1">
      <alignment horizontal="right" vertical="center"/>
    </xf>
    <xf numFmtId="1" fontId="31" fillId="0" borderId="49" xfId="0" applyNumberFormat="1" applyFont="1" applyBorder="1" applyAlignment="1">
      <alignment horizontal="center" vertical="center"/>
    </xf>
    <xf numFmtId="185" fontId="164" fillId="4" borderId="49" xfId="0" applyNumberFormat="1" applyFont="1" applyFill="1" applyBorder="1" applyAlignment="1">
      <alignment horizontal="center" vertical="center"/>
    </xf>
    <xf numFmtId="185" fontId="82" fillId="0" borderId="50" xfId="0" applyNumberFormat="1" applyFont="1" applyBorder="1" applyAlignment="1">
      <alignment horizontal="left" vertical="center"/>
    </xf>
    <xf numFmtId="0" fontId="31" fillId="0" borderId="51" xfId="0" quotePrefix="1" applyFont="1" applyBorder="1" applyAlignment="1">
      <alignment horizontal="left" vertical="center"/>
    </xf>
    <xf numFmtId="0" fontId="2" fillId="0" borderId="0" xfId="0" applyFont="1" applyAlignment="1">
      <alignment vertical="center"/>
    </xf>
    <xf numFmtId="1" fontId="2" fillId="0" borderId="57" xfId="0" applyNumberFormat="1" applyFont="1" applyBorder="1" applyAlignment="1">
      <alignment horizontal="right" vertical="center"/>
    </xf>
    <xf numFmtId="0" fontId="29" fillId="0" borderId="0" xfId="0" applyFont="1" applyAlignment="1">
      <alignment horizontal="left" vertical="center"/>
    </xf>
    <xf numFmtId="1" fontId="29" fillId="0" borderId="0" xfId="0" applyNumberFormat="1" applyFont="1" applyAlignment="1">
      <alignment horizontal="center" vertical="center"/>
    </xf>
    <xf numFmtId="171" fontId="113" fillId="4" borderId="0" xfId="0" applyNumberFormat="1" applyFont="1" applyFill="1" applyAlignment="1">
      <alignment vertical="center"/>
    </xf>
    <xf numFmtId="0" fontId="2" fillId="0" borderId="0" xfId="0" quotePrefix="1" applyFont="1" applyAlignment="1">
      <alignment horizontal="left" vertical="center"/>
    </xf>
    <xf numFmtId="0" fontId="163" fillId="4" borderId="0" xfId="0" applyFont="1" applyFill="1" applyAlignment="1">
      <alignment horizontal="center" vertical="center"/>
    </xf>
    <xf numFmtId="0" fontId="0" fillId="0" borderId="49" xfId="0" applyBorder="1" applyAlignment="1">
      <alignment vertical="center"/>
    </xf>
    <xf numFmtId="185" fontId="29" fillId="0" borderId="49" xfId="0" applyNumberFormat="1" applyFont="1" applyBorder="1" applyAlignment="1">
      <alignment horizontal="left" vertical="center"/>
    </xf>
    <xf numFmtId="185" fontId="163" fillId="4" borderId="49" xfId="0" applyNumberFormat="1" applyFont="1" applyFill="1" applyBorder="1" applyAlignment="1">
      <alignment horizontal="center" vertical="center"/>
    </xf>
    <xf numFmtId="185" fontId="29" fillId="0" borderId="50" xfId="0" applyNumberFormat="1" applyFont="1" applyBorder="1" applyAlignment="1">
      <alignment horizontal="left" vertical="center"/>
    </xf>
    <xf numFmtId="0" fontId="86" fillId="0" borderId="51" xfId="0" applyFont="1" applyBorder="1" applyAlignment="1">
      <alignment vertical="center"/>
    </xf>
    <xf numFmtId="0" fontId="87" fillId="0" borderId="0" xfId="0" applyFont="1" applyAlignment="1">
      <alignment vertical="center"/>
    </xf>
    <xf numFmtId="1" fontId="87" fillId="0" borderId="0" xfId="0" applyNumberFormat="1" applyFont="1" applyAlignment="1">
      <alignment vertical="center"/>
    </xf>
    <xf numFmtId="0" fontId="165" fillId="4" borderId="0" xfId="0" applyFont="1" applyFill="1" applyAlignment="1">
      <alignment vertical="center"/>
    </xf>
    <xf numFmtId="0" fontId="2" fillId="0" borderId="0" xfId="0" applyFont="1" applyAlignment="1">
      <alignment horizontal="left" vertical="center"/>
    </xf>
    <xf numFmtId="1" fontId="18" fillId="0" borderId="0" xfId="0" applyNumberFormat="1" applyFont="1" applyAlignment="1">
      <alignment vertical="center"/>
    </xf>
    <xf numFmtId="0" fontId="82" fillId="0" borderId="51" xfId="0" applyFont="1" applyBorder="1" applyAlignment="1">
      <alignment horizontal="center" vertical="center"/>
    </xf>
    <xf numFmtId="0" fontId="29" fillId="0" borderId="0" xfId="0" applyFont="1" applyAlignment="1">
      <alignment horizontal="center" vertical="center"/>
    </xf>
    <xf numFmtId="0" fontId="2" fillId="0" borderId="51" xfId="0" applyFont="1" applyBorder="1" applyAlignment="1">
      <alignment vertical="center"/>
    </xf>
    <xf numFmtId="1" fontId="31" fillId="0" borderId="0" xfId="0" applyNumberFormat="1" applyFont="1" applyAlignment="1">
      <alignment horizontal="center" vertical="center"/>
    </xf>
    <xf numFmtId="1" fontId="113" fillId="4" borderId="0" xfId="0" applyNumberFormat="1" applyFont="1" applyFill="1" applyAlignment="1">
      <alignment vertical="center"/>
    </xf>
    <xf numFmtId="171" fontId="31" fillId="0" borderId="79" xfId="0" applyNumberFormat="1" applyFont="1" applyBorder="1" applyAlignment="1">
      <alignment horizontal="right" vertical="center"/>
    </xf>
    <xf numFmtId="171" fontId="31" fillId="0" borderId="0" xfId="0" applyNumberFormat="1" applyFont="1" applyAlignment="1">
      <alignment horizontal="center" vertical="center"/>
    </xf>
    <xf numFmtId="2" fontId="31" fillId="8" borderId="79" xfId="0" applyNumberFormat="1" applyFont="1" applyFill="1" applyBorder="1" applyAlignment="1">
      <alignment horizontal="right" vertical="center"/>
    </xf>
    <xf numFmtId="0" fontId="2" fillId="0" borderId="54" xfId="0" applyFont="1" applyBorder="1" applyAlignment="1">
      <alignment vertical="center"/>
    </xf>
    <xf numFmtId="0" fontId="2" fillId="0" borderId="55" xfId="0" applyFont="1" applyBorder="1" applyAlignment="1">
      <alignment vertical="center"/>
    </xf>
    <xf numFmtId="0" fontId="29" fillId="0" borderId="55" xfId="0" applyFont="1" applyBorder="1" applyAlignment="1">
      <alignment horizontal="right" vertical="center"/>
    </xf>
    <xf numFmtId="1" fontId="0" fillId="0" borderId="55" xfId="0" applyNumberFormat="1" applyBorder="1" applyAlignment="1">
      <alignment vertical="center"/>
    </xf>
    <xf numFmtId="185" fontId="82" fillId="0" borderId="56" xfId="0" applyNumberFormat="1" applyFont="1" applyBorder="1" applyAlignment="1">
      <alignment horizontal="left" vertical="center"/>
    </xf>
    <xf numFmtId="0" fontId="30" fillId="0" borderId="0" xfId="0" applyFont="1" applyAlignment="1">
      <alignment vertical="center"/>
    </xf>
    <xf numFmtId="0" fontId="15" fillId="0" borderId="0" xfId="0" applyFont="1" applyAlignment="1">
      <alignment vertical="center"/>
    </xf>
    <xf numFmtId="1" fontId="15" fillId="0" borderId="0" xfId="0" applyNumberFormat="1" applyFont="1" applyAlignment="1">
      <alignment vertical="center"/>
    </xf>
    <xf numFmtId="0" fontId="41" fillId="0" borderId="0" xfId="27" applyFont="1" applyAlignment="1">
      <alignment vertical="center"/>
    </xf>
    <xf numFmtId="0" fontId="31" fillId="0" borderId="0" xfId="27" applyFont="1" applyAlignment="1">
      <alignment vertical="center"/>
    </xf>
    <xf numFmtId="0" fontId="2" fillId="0" borderId="0" xfId="27"/>
    <xf numFmtId="0" fontId="42" fillId="0" borderId="0" xfId="27" quotePrefix="1" applyFont="1" applyAlignment="1">
      <alignment horizontal="left" vertical="center"/>
    </xf>
    <xf numFmtId="0" fontId="41" fillId="0" borderId="0" xfId="27" quotePrefix="1" applyFont="1" applyAlignment="1">
      <alignment horizontal="left" vertical="center"/>
    </xf>
    <xf numFmtId="0" fontId="42" fillId="0" borderId="0" xfId="27" applyFont="1" applyAlignment="1">
      <alignment horizontal="left" vertical="center"/>
    </xf>
    <xf numFmtId="0" fontId="44" fillId="0" borderId="0" xfId="27" applyFont="1" applyAlignment="1">
      <alignment vertical="center"/>
    </xf>
    <xf numFmtId="0" fontId="78" fillId="0" borderId="0" xfId="27" applyFont="1" applyAlignment="1">
      <alignment vertical="center"/>
    </xf>
    <xf numFmtId="185" fontId="79" fillId="0" borderId="0" xfId="27" applyNumberFormat="1" applyFont="1" applyAlignment="1">
      <alignment horizontal="right" vertical="center"/>
    </xf>
    <xf numFmtId="0" fontId="41" fillId="0" borderId="0" xfId="27" applyFont="1" applyAlignment="1">
      <alignment horizontal="left" vertical="center"/>
    </xf>
    <xf numFmtId="185" fontId="29" fillId="0" borderId="0" xfId="27" applyNumberFormat="1" applyFont="1" applyAlignment="1">
      <alignment horizontal="right" vertical="center"/>
    </xf>
    <xf numFmtId="0" fontId="31" fillId="0" borderId="48" xfId="27" applyFont="1" applyBorder="1" applyAlignment="1">
      <alignment vertical="center"/>
    </xf>
    <xf numFmtId="0" fontId="31" fillId="0" borderId="49" xfId="27" applyFont="1" applyBorder="1" applyAlignment="1">
      <alignment vertical="center"/>
    </xf>
    <xf numFmtId="0" fontId="29" fillId="0" borderId="49" xfId="27" quotePrefix="1" applyFont="1" applyBorder="1" applyAlignment="1">
      <alignment horizontal="right" vertical="center"/>
    </xf>
    <xf numFmtId="185" fontId="2" fillId="0" borderId="49" xfId="27" applyNumberFormat="1" applyBorder="1" applyAlignment="1">
      <alignment vertical="center"/>
    </xf>
    <xf numFmtId="185" fontId="29" fillId="0" borderId="49" xfId="27" applyNumberFormat="1" applyFont="1" applyBorder="1" applyAlignment="1">
      <alignment horizontal="left" vertical="center"/>
    </xf>
    <xf numFmtId="185" fontId="29" fillId="0" borderId="49" xfId="27" applyNumberFormat="1" applyFont="1" applyBorder="1" applyAlignment="1">
      <alignment horizontal="right" vertical="center"/>
    </xf>
    <xf numFmtId="185" fontId="18" fillId="0" borderId="49" xfId="27" applyNumberFormat="1" applyFont="1" applyBorder="1" applyAlignment="1">
      <alignment vertical="center"/>
    </xf>
    <xf numFmtId="185" fontId="29" fillId="0" borderId="50" xfId="27" applyNumberFormat="1" applyFont="1" applyBorder="1" applyAlignment="1">
      <alignment horizontal="left" vertical="center"/>
    </xf>
    <xf numFmtId="0" fontId="31" fillId="0" borderId="51" xfId="27" applyFont="1" applyBorder="1" applyAlignment="1">
      <alignment vertical="center"/>
    </xf>
    <xf numFmtId="0" fontId="29" fillId="0" borderId="0" xfId="27" applyFont="1" applyAlignment="1">
      <alignment horizontal="right" vertical="center"/>
    </xf>
    <xf numFmtId="185" fontId="29" fillId="0" borderId="0" xfId="27" applyNumberFormat="1" applyFont="1" applyAlignment="1">
      <alignment vertical="center"/>
    </xf>
    <xf numFmtId="185" fontId="29" fillId="0" borderId="0" xfId="27" applyNumberFormat="1" applyFont="1" applyAlignment="1">
      <alignment horizontal="left" vertical="center"/>
    </xf>
    <xf numFmtId="185" fontId="29" fillId="0" borderId="0" xfId="27" applyNumberFormat="1" applyFont="1" applyAlignment="1">
      <alignment horizontal="center" vertical="center"/>
    </xf>
    <xf numFmtId="185" fontId="29" fillId="0" borderId="52" xfId="27" applyNumberFormat="1" applyFont="1" applyBorder="1" applyAlignment="1">
      <alignment horizontal="left" vertical="center"/>
    </xf>
    <xf numFmtId="0" fontId="88" fillId="0" borderId="0" xfId="27" applyFont="1" applyAlignment="1">
      <alignment vertical="center"/>
    </xf>
    <xf numFmtId="0" fontId="31" fillId="0" borderId="0" xfId="27" applyFont="1" applyAlignment="1">
      <alignment horizontal="right" vertical="center"/>
    </xf>
    <xf numFmtId="1" fontId="166" fillId="0" borderId="53" xfId="27" quotePrefix="1" applyNumberFormat="1" applyFont="1" applyBorder="1" applyAlignment="1">
      <alignment horizontal="right" vertical="center"/>
    </xf>
    <xf numFmtId="185" fontId="78" fillId="0" borderId="0" xfId="27" quotePrefix="1" applyNumberFormat="1" applyFont="1" applyAlignment="1">
      <alignment horizontal="right" vertical="center"/>
    </xf>
    <xf numFmtId="187" fontId="166" fillId="0" borderId="53" xfId="27" quotePrefix="1" applyNumberFormat="1" applyFont="1" applyBorder="1" applyAlignment="1">
      <alignment horizontal="right" vertical="center"/>
    </xf>
    <xf numFmtId="171" fontId="31" fillId="0" borderId="79" xfId="0" applyNumberFormat="1" applyFont="1" applyBorder="1" applyAlignment="1" applyProtection="1">
      <alignment horizontal="right" vertical="center"/>
      <protection hidden="1"/>
    </xf>
    <xf numFmtId="185" fontId="29" fillId="0" borderId="0" xfId="27" quotePrefix="1" applyNumberFormat="1" applyFont="1" applyAlignment="1">
      <alignment horizontal="left" vertical="center"/>
    </xf>
    <xf numFmtId="0" fontId="31" fillId="0" borderId="0" xfId="27" applyFont="1" applyAlignment="1">
      <alignment horizontal="left" vertical="center"/>
    </xf>
    <xf numFmtId="171" fontId="29" fillId="0" borderId="0" xfId="27" applyNumberFormat="1" applyFont="1" applyAlignment="1">
      <alignment horizontal="right" vertical="center"/>
    </xf>
    <xf numFmtId="0" fontId="2" fillId="0" borderId="51" xfId="27" applyBorder="1" applyAlignment="1">
      <alignment vertical="center"/>
    </xf>
    <xf numFmtId="0" fontId="29" fillId="0" borderId="0" xfId="27" quotePrefix="1" applyFont="1" applyAlignment="1">
      <alignment horizontal="right" vertical="center"/>
    </xf>
    <xf numFmtId="185" fontId="166" fillId="29" borderId="53" xfId="27" applyNumberFormat="1" applyFont="1" applyFill="1" applyBorder="1" applyAlignment="1">
      <alignment horizontal="right" vertical="center"/>
    </xf>
    <xf numFmtId="0" fontId="113" fillId="4" borderId="0" xfId="0" quotePrefix="1" applyFont="1" applyFill="1"/>
    <xf numFmtId="185" fontId="2" fillId="0" borderId="0" xfId="27" applyNumberFormat="1" applyAlignment="1">
      <alignment horizontal="center" vertical="center"/>
    </xf>
    <xf numFmtId="185" fontId="166" fillId="29" borderId="53" xfId="27" quotePrefix="1" applyNumberFormat="1" applyFont="1" applyFill="1" applyBorder="1" applyAlignment="1">
      <alignment horizontal="right" vertical="center"/>
    </xf>
    <xf numFmtId="185" fontId="31" fillId="0" borderId="0" xfId="27" applyNumberFormat="1" applyFont="1" applyAlignment="1">
      <alignment horizontal="center" vertical="center"/>
    </xf>
    <xf numFmtId="185" fontId="29" fillId="0" borderId="0" xfId="27" quotePrefix="1" applyNumberFormat="1" applyFont="1" applyAlignment="1">
      <alignment vertical="center"/>
    </xf>
    <xf numFmtId="185" fontId="29" fillId="0" borderId="52" xfId="27" quotePrefix="1" applyNumberFormat="1" applyFont="1" applyBorder="1" applyAlignment="1">
      <alignment horizontal="left" vertical="center"/>
    </xf>
    <xf numFmtId="0" fontId="31" fillId="0" borderId="0" xfId="27" quotePrefix="1" applyFont="1" applyAlignment="1">
      <alignment horizontal="left" vertical="center"/>
    </xf>
    <xf numFmtId="185" fontId="29" fillId="0" borderId="0" xfId="27" quotePrefix="1" applyNumberFormat="1" applyFont="1" applyAlignment="1">
      <alignment horizontal="right" vertical="center"/>
    </xf>
    <xf numFmtId="0" fontId="86" fillId="0" borderId="54" xfId="27" applyFont="1" applyBorder="1" applyAlignment="1">
      <alignment horizontal="center" vertical="center"/>
    </xf>
    <xf numFmtId="0" fontId="86" fillId="0" borderId="55" xfId="27" applyFont="1" applyBorder="1" applyAlignment="1">
      <alignment horizontal="center" vertical="center"/>
    </xf>
    <xf numFmtId="171" fontId="29" fillId="0" borderId="55" xfId="27" applyNumberFormat="1" applyFont="1" applyBorder="1" applyAlignment="1">
      <alignment horizontal="right" vertical="center"/>
    </xf>
    <xf numFmtId="185" fontId="87" fillId="0" borderId="55" xfId="27" quotePrefix="1" applyNumberFormat="1" applyFont="1" applyBorder="1" applyAlignment="1">
      <alignment horizontal="center" vertical="center"/>
    </xf>
    <xf numFmtId="185" fontId="29" fillId="0" borderId="55" xfId="27" applyNumberFormat="1" applyFont="1" applyBorder="1" applyAlignment="1">
      <alignment horizontal="left" vertical="center"/>
    </xf>
    <xf numFmtId="185" fontId="29" fillId="0" borderId="55" xfId="27" applyNumberFormat="1" applyFont="1" applyBorder="1" applyAlignment="1">
      <alignment horizontal="right" vertical="center"/>
    </xf>
    <xf numFmtId="185" fontId="87" fillId="0" borderId="55" xfId="27" applyNumberFormat="1" applyFont="1" applyBorder="1" applyAlignment="1">
      <alignment horizontal="center" vertical="center"/>
    </xf>
    <xf numFmtId="185" fontId="29" fillId="0" borderId="56" xfId="27" applyNumberFormat="1" applyFont="1" applyBorder="1" applyAlignment="1">
      <alignment horizontal="left" vertical="center"/>
    </xf>
    <xf numFmtId="0" fontId="31" fillId="0" borderId="48" xfId="27" quotePrefix="1" applyFont="1" applyBorder="1" applyAlignment="1">
      <alignment horizontal="left" vertical="center"/>
    </xf>
    <xf numFmtId="171" fontId="29" fillId="0" borderId="49" xfId="27" applyNumberFormat="1" applyFont="1" applyBorder="1" applyAlignment="1">
      <alignment horizontal="right" vertical="center"/>
    </xf>
    <xf numFmtId="185" fontId="31" fillId="0" borderId="49" xfId="27" applyNumberFormat="1" applyFont="1" applyBorder="1" applyAlignment="1">
      <alignment horizontal="center" vertical="center"/>
    </xf>
    <xf numFmtId="185" fontId="82" fillId="0" borderId="49" xfId="27" applyNumberFormat="1" applyFont="1" applyBorder="1" applyAlignment="1">
      <alignment horizontal="left" vertical="center"/>
    </xf>
    <xf numFmtId="185" fontId="82" fillId="0" borderId="49" xfId="27" applyNumberFormat="1" applyFont="1" applyBorder="1" applyAlignment="1">
      <alignment horizontal="right" vertical="center"/>
    </xf>
    <xf numFmtId="185" fontId="82" fillId="0" borderId="50" xfId="27" applyNumberFormat="1" applyFont="1" applyBorder="1" applyAlignment="1">
      <alignment horizontal="left" vertical="center"/>
    </xf>
    <xf numFmtId="0" fontId="31" fillId="0" borderId="51" xfId="27" quotePrefix="1" applyFont="1" applyBorder="1" applyAlignment="1">
      <alignment horizontal="left" vertical="center"/>
    </xf>
    <xf numFmtId="185" fontId="2" fillId="0" borderId="0" xfId="27" applyNumberFormat="1" applyAlignment="1">
      <alignment vertical="center"/>
    </xf>
    <xf numFmtId="0" fontId="84" fillId="0" borderId="51" xfId="27" applyFont="1" applyBorder="1" applyAlignment="1">
      <alignment vertical="center"/>
    </xf>
    <xf numFmtId="0" fontId="88" fillId="0" borderId="0" xfId="27" applyFont="1" applyAlignment="1">
      <alignment horizontal="left" vertical="center"/>
    </xf>
    <xf numFmtId="185" fontId="166" fillId="0" borderId="53" xfId="27" quotePrefix="1" applyNumberFormat="1" applyFont="1" applyBorder="1" applyAlignment="1">
      <alignment horizontal="right" vertical="center"/>
    </xf>
    <xf numFmtId="0" fontId="29" fillId="0" borderId="58" xfId="27" quotePrefix="1" applyFont="1" applyBorder="1" applyAlignment="1">
      <alignment horizontal="left" vertical="center"/>
    </xf>
    <xf numFmtId="0" fontId="2" fillId="0" borderId="0" xfId="27" applyAlignment="1">
      <alignment vertical="center"/>
    </xf>
    <xf numFmtId="185" fontId="2" fillId="0" borderId="57" xfId="27" applyNumberFormat="1" applyBorder="1" applyAlignment="1">
      <alignment horizontal="right" vertical="center"/>
    </xf>
    <xf numFmtId="0" fontId="29" fillId="0" borderId="0" xfId="27" applyFont="1" applyAlignment="1">
      <alignment horizontal="left" vertical="center"/>
    </xf>
    <xf numFmtId="0" fontId="29" fillId="0" borderId="52" xfId="27" applyFont="1" applyBorder="1" applyAlignment="1">
      <alignment horizontal="left" vertical="center"/>
    </xf>
    <xf numFmtId="185" fontId="78" fillId="0" borderId="53" xfId="27" quotePrefix="1" applyNumberFormat="1" applyFont="1" applyBorder="1" applyAlignment="1">
      <alignment horizontal="right" vertical="center"/>
    </xf>
    <xf numFmtId="0" fontId="29" fillId="0" borderId="52" xfId="27" quotePrefix="1" applyFont="1" applyBorder="1" applyAlignment="1">
      <alignment horizontal="left" vertical="center"/>
    </xf>
    <xf numFmtId="185" fontId="78" fillId="29" borderId="53" xfId="27" quotePrefix="1" applyNumberFormat="1" applyFont="1" applyFill="1" applyBorder="1" applyAlignment="1">
      <alignment horizontal="right" vertical="center"/>
    </xf>
    <xf numFmtId="185" fontId="78" fillId="0" borderId="0" xfId="27" applyNumberFormat="1" applyFont="1" applyAlignment="1">
      <alignment horizontal="right" vertical="center"/>
    </xf>
    <xf numFmtId="0" fontId="82" fillId="0" borderId="51" xfId="27" applyFont="1" applyBorder="1" applyAlignment="1">
      <alignment vertical="center"/>
    </xf>
    <xf numFmtId="0" fontId="29" fillId="0" borderId="0" xfId="27" applyFont="1" applyAlignment="1">
      <alignment vertical="center"/>
    </xf>
    <xf numFmtId="0" fontId="82" fillId="0" borderId="0" xfId="27" applyFont="1" applyAlignment="1">
      <alignment vertical="center"/>
    </xf>
    <xf numFmtId="185" fontId="2" fillId="0" borderId="0" xfId="27" quotePrefix="1" applyNumberFormat="1" applyAlignment="1">
      <alignment vertical="center"/>
    </xf>
    <xf numFmtId="185" fontId="18" fillId="0" borderId="0" xfId="27" applyNumberFormat="1" applyFont="1" applyAlignment="1">
      <alignment vertical="center"/>
    </xf>
    <xf numFmtId="185" fontId="89" fillId="0" borderId="0" xfId="27" quotePrefix="1" applyNumberFormat="1" applyFont="1" applyAlignment="1">
      <alignment horizontal="right" vertical="center"/>
    </xf>
    <xf numFmtId="0" fontId="86" fillId="0" borderId="51" xfId="27" applyFont="1" applyBorder="1" applyAlignment="1">
      <alignment vertical="center"/>
    </xf>
    <xf numFmtId="0" fontId="87" fillId="0" borderId="0" xfId="27" applyFont="1" applyAlignment="1">
      <alignment vertical="center"/>
    </xf>
    <xf numFmtId="185" fontId="87" fillId="0" borderId="0" xfId="27" applyNumberFormat="1" applyFont="1" applyAlignment="1">
      <alignment vertical="center"/>
    </xf>
    <xf numFmtId="0" fontId="82" fillId="0" borderId="51" xfId="27" applyFont="1" applyBorder="1" applyAlignment="1">
      <alignment horizontal="center" vertical="center"/>
    </xf>
    <xf numFmtId="0" fontId="29" fillId="0" borderId="0" xfId="27" applyFont="1" applyAlignment="1">
      <alignment horizontal="center" vertical="center"/>
    </xf>
    <xf numFmtId="0" fontId="2" fillId="0" borderId="49" xfId="27" applyBorder="1" applyAlignment="1">
      <alignment vertical="center"/>
    </xf>
    <xf numFmtId="1" fontId="29" fillId="0" borderId="52" xfId="27" applyNumberFormat="1" applyFont="1" applyBorder="1" applyAlignment="1">
      <alignment horizontal="left" vertical="center"/>
    </xf>
    <xf numFmtId="0" fontId="2" fillId="0" borderId="0" xfId="27" quotePrefix="1" applyAlignment="1">
      <alignment horizontal="left" vertical="center"/>
    </xf>
    <xf numFmtId="1" fontId="87" fillId="0" borderId="0" xfId="27" applyNumberFormat="1" applyFont="1" applyAlignment="1">
      <alignment vertical="center"/>
    </xf>
    <xf numFmtId="1" fontId="29" fillId="0" borderId="0" xfId="27" applyNumberFormat="1" applyFont="1" applyAlignment="1">
      <alignment horizontal="right" vertical="center"/>
    </xf>
    <xf numFmtId="0" fontId="2" fillId="0" borderId="54" xfId="27" applyBorder="1" applyAlignment="1">
      <alignment vertical="center"/>
    </xf>
    <xf numFmtId="0" fontId="2" fillId="0" borderId="55" xfId="27" applyBorder="1" applyAlignment="1">
      <alignment vertical="center"/>
    </xf>
    <xf numFmtId="0" fontId="29" fillId="0" borderId="55" xfId="27" applyFont="1" applyBorder="1" applyAlignment="1">
      <alignment horizontal="right" vertical="center"/>
    </xf>
    <xf numFmtId="185" fontId="2" fillId="0" borderId="55" xfId="27" applyNumberFormat="1" applyBorder="1" applyAlignment="1">
      <alignment vertical="center"/>
    </xf>
    <xf numFmtId="2" fontId="31" fillId="0" borderId="55" xfId="27" quotePrefix="1" applyNumberFormat="1" applyFont="1" applyBorder="1" applyAlignment="1">
      <alignment horizontal="center" vertical="center"/>
    </xf>
    <xf numFmtId="185" fontId="82" fillId="0" borderId="56" xfId="27" applyNumberFormat="1" applyFont="1" applyBorder="1" applyAlignment="1">
      <alignment horizontal="left" vertical="center"/>
    </xf>
    <xf numFmtId="0" fontId="30" fillId="0" borderId="0" xfId="27" applyFont="1" applyAlignment="1">
      <alignment vertical="center"/>
    </xf>
    <xf numFmtId="0" fontId="15" fillId="0" borderId="0" xfId="27" applyFont="1" applyAlignment="1">
      <alignment vertical="center"/>
    </xf>
    <xf numFmtId="185" fontId="15" fillId="0" borderId="0" xfId="27" applyNumberFormat="1" applyFont="1" applyAlignment="1">
      <alignment vertical="center"/>
    </xf>
    <xf numFmtId="0" fontId="15" fillId="0" borderId="0" xfId="27" applyFont="1" applyAlignment="1">
      <alignment horizontal="center" vertical="center"/>
    </xf>
    <xf numFmtId="0" fontId="15" fillId="0" borderId="0" xfId="27" quotePrefix="1" applyFont="1" applyAlignment="1">
      <alignment horizontal="center" vertical="center"/>
    </xf>
    <xf numFmtId="0" fontId="2" fillId="0" borderId="0" xfId="27" quotePrefix="1" applyAlignment="1">
      <alignment horizontal="center" vertical="center"/>
    </xf>
    <xf numFmtId="0" fontId="15" fillId="0" borderId="0" xfId="27" applyFont="1"/>
    <xf numFmtId="185" fontId="29" fillId="0" borderId="49" xfId="0" applyNumberFormat="1" applyFont="1" applyBorder="1" applyAlignment="1">
      <alignment horizontal="right" vertical="center"/>
    </xf>
    <xf numFmtId="0" fontId="82" fillId="0" borderId="0" xfId="0" applyFont="1" applyAlignment="1">
      <alignment horizontal="left" vertical="center"/>
    </xf>
    <xf numFmtId="0" fontId="29" fillId="4" borderId="0" xfId="0" applyFont="1" applyFill="1" applyAlignment="1">
      <alignment vertical="center"/>
    </xf>
    <xf numFmtId="0" fontId="80" fillId="0" borderId="0" xfId="0" applyFont="1" applyAlignment="1">
      <alignment vertical="center"/>
    </xf>
    <xf numFmtId="185" fontId="31" fillId="0" borderId="0" xfId="0" applyNumberFormat="1" applyFont="1" applyAlignment="1">
      <alignment horizontal="right" vertical="center"/>
    </xf>
    <xf numFmtId="0" fontId="88" fillId="0" borderId="0" xfId="0" applyFont="1" applyAlignment="1">
      <alignment vertical="center"/>
    </xf>
    <xf numFmtId="178" fontId="2" fillId="0" borderId="53" xfId="0" quotePrefix="1" applyNumberFormat="1" applyFont="1" applyBorder="1" applyAlignment="1">
      <alignment horizontal="right" vertical="center"/>
    </xf>
    <xf numFmtId="171" fontId="31" fillId="0" borderId="0" xfId="0" applyNumberFormat="1" applyFont="1" applyAlignment="1">
      <alignment horizontal="right" vertical="center"/>
    </xf>
    <xf numFmtId="0" fontId="31" fillId="0" borderId="0" xfId="0" quotePrefix="1" applyFont="1" applyAlignment="1">
      <alignment horizontal="left" vertical="center"/>
    </xf>
    <xf numFmtId="185" fontId="29" fillId="0" borderId="0" xfId="0" quotePrefix="1" applyNumberFormat="1" applyFont="1" applyAlignment="1">
      <alignment horizontal="right" vertical="center"/>
    </xf>
    <xf numFmtId="185" fontId="29" fillId="0" borderId="55" xfId="0" applyNumberFormat="1" applyFont="1" applyBorder="1" applyAlignment="1">
      <alignment horizontal="right" vertical="center"/>
    </xf>
    <xf numFmtId="0" fontId="108" fillId="30" borderId="41" xfId="0" applyFont="1" applyFill="1" applyBorder="1" applyAlignment="1">
      <alignment vertical="center" wrapText="1"/>
    </xf>
    <xf numFmtId="0" fontId="108" fillId="0" borderId="39" xfId="0" applyFont="1" applyBorder="1" applyAlignment="1">
      <alignment vertical="center"/>
    </xf>
    <xf numFmtId="0" fontId="138" fillId="0" borderId="4" xfId="0" applyFont="1" applyBorder="1" applyAlignment="1">
      <alignment horizontal="center" vertical="center" wrapText="1"/>
    </xf>
    <xf numFmtId="0" fontId="138" fillId="0" borderId="40" xfId="0" applyFont="1" applyBorder="1" applyAlignment="1">
      <alignment horizontal="center" vertical="center" wrapText="1"/>
    </xf>
    <xf numFmtId="0" fontId="138" fillId="0" borderId="41" xfId="0" applyFont="1" applyBorder="1" applyAlignment="1">
      <alignment horizontal="center" vertical="center" wrapText="1"/>
    </xf>
    <xf numFmtId="0" fontId="138" fillId="30" borderId="40" xfId="0" applyFont="1" applyFill="1" applyBorder="1" applyAlignment="1">
      <alignment horizontal="center" vertical="center" wrapText="1"/>
    </xf>
    <xf numFmtId="0" fontId="108" fillId="0" borderId="40" xfId="0" applyFont="1" applyBorder="1" applyAlignment="1">
      <alignment vertical="center" wrapText="1"/>
    </xf>
    <xf numFmtId="0" fontId="138" fillId="31" borderId="4" xfId="0" applyFont="1" applyFill="1" applyBorder="1" applyAlignment="1">
      <alignment horizontal="center" vertical="center" wrapText="1"/>
    </xf>
    <xf numFmtId="0" fontId="138" fillId="31" borderId="40" xfId="0" applyFont="1" applyFill="1" applyBorder="1" applyAlignment="1">
      <alignment horizontal="center" vertical="center" wrapText="1"/>
    </xf>
    <xf numFmtId="0" fontId="108" fillId="0" borderId="41" xfId="0" applyFont="1" applyBorder="1" applyAlignment="1">
      <alignment horizontal="right" vertical="center" wrapText="1"/>
    </xf>
    <xf numFmtId="0" fontId="108" fillId="32" borderId="41" xfId="0" applyFont="1" applyFill="1" applyBorder="1" applyAlignment="1">
      <alignment horizontal="right" vertical="center" wrapText="1"/>
    </xf>
    <xf numFmtId="0" fontId="108" fillId="30" borderId="41" xfId="0" applyFont="1" applyFill="1" applyBorder="1" applyAlignment="1">
      <alignment horizontal="right" vertical="center" wrapText="1"/>
    </xf>
    <xf numFmtId="0" fontId="108" fillId="0" borderId="23" xfId="0" applyFont="1" applyBorder="1" applyAlignment="1">
      <alignment horizontal="right" vertical="center"/>
    </xf>
    <xf numFmtId="0" fontId="108" fillId="0" borderId="23" xfId="0" applyFont="1" applyBorder="1" applyAlignment="1">
      <alignment horizontal="right" vertical="center" wrapText="1"/>
    </xf>
    <xf numFmtId="0" fontId="108" fillId="31" borderId="21" xfId="0" applyFont="1" applyFill="1" applyBorder="1" applyAlignment="1">
      <alignment horizontal="right" vertical="center" wrapText="1"/>
    </xf>
    <xf numFmtId="0" fontId="108" fillId="31" borderId="41" xfId="0" applyFont="1" applyFill="1" applyBorder="1" applyAlignment="1">
      <alignment horizontal="right" vertical="center" wrapText="1"/>
    </xf>
    <xf numFmtId="0" fontId="108" fillId="32" borderId="21" xfId="0" applyFont="1" applyFill="1" applyBorder="1" applyAlignment="1">
      <alignment horizontal="right" vertical="center" wrapText="1"/>
    </xf>
    <xf numFmtId="168" fontId="108" fillId="0" borderId="41" xfId="1" applyNumberFormat="1" applyFont="1" applyBorder="1" applyAlignment="1">
      <alignment horizontal="right" vertical="center" wrapText="1"/>
    </xf>
    <xf numFmtId="168" fontId="108" fillId="32" borderId="41" xfId="1" applyNumberFormat="1" applyFont="1" applyFill="1" applyBorder="1" applyAlignment="1">
      <alignment horizontal="right" vertical="center" wrapText="1"/>
    </xf>
    <xf numFmtId="168" fontId="108" fillId="30" borderId="41" xfId="1" applyNumberFormat="1" applyFont="1" applyFill="1" applyBorder="1" applyAlignment="1">
      <alignment horizontal="right" vertical="center" wrapText="1"/>
    </xf>
    <xf numFmtId="168" fontId="108" fillId="0" borderId="23" xfId="1" applyNumberFormat="1" applyFont="1" applyBorder="1" applyAlignment="1">
      <alignment horizontal="right" vertical="center"/>
    </xf>
    <xf numFmtId="168" fontId="108" fillId="31" borderId="21" xfId="1" applyNumberFormat="1" applyFont="1" applyFill="1" applyBorder="1" applyAlignment="1">
      <alignment horizontal="right" vertical="center" wrapText="1"/>
    </xf>
    <xf numFmtId="168" fontId="108" fillId="31" borderId="41" xfId="1" applyNumberFormat="1" applyFont="1" applyFill="1" applyBorder="1" applyAlignment="1">
      <alignment horizontal="right" vertical="center" wrapText="1"/>
    </xf>
    <xf numFmtId="168" fontId="108" fillId="32" borderId="21" xfId="1" applyNumberFormat="1" applyFont="1" applyFill="1" applyBorder="1" applyAlignment="1">
      <alignment horizontal="right" vertical="center" wrapText="1"/>
    </xf>
    <xf numFmtId="0" fontId="0" fillId="0" borderId="59" xfId="0" applyBorder="1"/>
    <xf numFmtId="168" fontId="167" fillId="0" borderId="0" xfId="1" applyNumberFormat="1" applyFont="1" applyAlignment="1">
      <alignment horizontal="center"/>
    </xf>
    <xf numFmtId="0" fontId="168" fillId="0" borderId="80" xfId="0" applyFont="1" applyBorder="1" applyAlignment="1">
      <alignment wrapText="1"/>
    </xf>
    <xf numFmtId="0" fontId="168" fillId="0" borderId="81" xfId="0" applyFont="1" applyBorder="1" applyAlignment="1">
      <alignment wrapText="1"/>
    </xf>
    <xf numFmtId="0" fontId="169" fillId="0" borderId="82" xfId="0" applyFont="1" applyBorder="1" applyAlignment="1">
      <alignment vertical="center" wrapText="1"/>
    </xf>
    <xf numFmtId="0" fontId="169" fillId="0" borderId="83" xfId="0" applyFont="1" applyBorder="1" applyAlignment="1">
      <alignment vertical="center"/>
    </xf>
    <xf numFmtId="0" fontId="170" fillId="0" borderId="82" xfId="0" applyFont="1" applyBorder="1" applyAlignment="1">
      <alignment vertical="center" wrapText="1"/>
    </xf>
    <xf numFmtId="0" fontId="168" fillId="0" borderId="84" xfId="0" applyFont="1" applyBorder="1" applyAlignment="1">
      <alignment vertical="center" wrapText="1"/>
    </xf>
    <xf numFmtId="168" fontId="170" fillId="0" borderId="85" xfId="1" applyNumberFormat="1" applyFont="1" applyBorder="1" applyAlignment="1">
      <alignment horizontal="center"/>
    </xf>
    <xf numFmtId="0" fontId="168" fillId="0" borderId="86" xfId="0" applyFont="1" applyBorder="1" applyAlignment="1">
      <alignment vertical="center" wrapText="1"/>
    </xf>
    <xf numFmtId="168" fontId="170" fillId="0" borderId="87" xfId="1" applyNumberFormat="1" applyFont="1" applyBorder="1" applyAlignment="1">
      <alignment horizontal="center"/>
    </xf>
    <xf numFmtId="168" fontId="168" fillId="0" borderId="87" xfId="1" applyNumberFormat="1" applyFont="1" applyBorder="1" applyAlignment="1">
      <alignment horizontal="center"/>
    </xf>
    <xf numFmtId="0" fontId="171" fillId="0" borderId="0" xfId="0" applyFont="1" applyAlignment="1">
      <alignment vertical="center" wrapText="1"/>
    </xf>
    <xf numFmtId="168" fontId="168" fillId="0" borderId="85" xfId="1" applyNumberFormat="1" applyFont="1" applyBorder="1" applyAlignment="1">
      <alignment horizontal="center"/>
    </xf>
    <xf numFmtId="169" fontId="168" fillId="0" borderId="85" xfId="0" applyNumberFormat="1" applyFont="1" applyBorder="1" applyAlignment="1">
      <alignment horizontal="center" vertical="center" wrapText="1"/>
    </xf>
    <xf numFmtId="0" fontId="114" fillId="18" borderId="0" xfId="0" applyFont="1" applyFill="1"/>
    <xf numFmtId="183" fontId="60" fillId="0" borderId="0" xfId="27" applyNumberFormat="1" applyFont="1" applyAlignment="1">
      <alignment horizontal="left" wrapText="1"/>
    </xf>
    <xf numFmtId="183" fontId="60" fillId="0" borderId="0" xfId="27" applyNumberFormat="1" applyFont="1" applyAlignment="1">
      <alignment horizontal="left"/>
    </xf>
    <xf numFmtId="181" fontId="52" fillId="4" borderId="0" xfId="27" applyNumberFormat="1" applyFont="1" applyFill="1"/>
    <xf numFmtId="0" fontId="172" fillId="0" borderId="0" xfId="0" applyFont="1"/>
    <xf numFmtId="3" fontId="172" fillId="0" borderId="0" xfId="0" applyNumberFormat="1" applyFont="1"/>
    <xf numFmtId="0" fontId="173" fillId="0" borderId="0" xfId="0" applyFont="1"/>
    <xf numFmtId="181" fontId="53" fillId="0" borderId="31" xfId="27" applyNumberFormat="1" applyFont="1" applyBorder="1"/>
    <xf numFmtId="3" fontId="172" fillId="0" borderId="35" xfId="0" applyNumberFormat="1" applyFont="1" applyBorder="1"/>
    <xf numFmtId="0" fontId="0" fillId="0" borderId="32" xfId="0" applyBorder="1"/>
    <xf numFmtId="3" fontId="172" fillId="0" borderId="32" xfId="0" applyNumberFormat="1" applyFont="1" applyBorder="1"/>
    <xf numFmtId="1" fontId="172" fillId="0" borderId="31" xfId="0" applyNumberFormat="1" applyFont="1" applyBorder="1"/>
    <xf numFmtId="1" fontId="172" fillId="4" borderId="31" xfId="0" applyNumberFormat="1" applyFont="1" applyFill="1" applyBorder="1"/>
    <xf numFmtId="0" fontId="174" fillId="0" borderId="0" xfId="11" applyFont="1"/>
    <xf numFmtId="3" fontId="0" fillId="4" borderId="1" xfId="0" applyNumberFormat="1" applyFill="1" applyBorder="1" applyAlignment="1">
      <alignment vertical="center"/>
    </xf>
    <xf numFmtId="3" fontId="113" fillId="4" borderId="1" xfId="11" applyNumberFormat="1" applyFont="1" applyFill="1" applyBorder="1" applyAlignment="1">
      <alignment vertical="center"/>
    </xf>
    <xf numFmtId="3" fontId="0" fillId="33" borderId="1" xfId="0" applyNumberFormat="1" applyFill="1" applyBorder="1" applyAlignment="1">
      <alignment vertical="center"/>
    </xf>
    <xf numFmtId="3" fontId="113" fillId="12" borderId="1" xfId="11" applyNumberFormat="1" applyFont="1" applyFill="1" applyBorder="1" applyAlignment="1">
      <alignment vertical="center"/>
    </xf>
    <xf numFmtId="3" fontId="175" fillId="0" borderId="0" xfId="0" applyNumberFormat="1" applyFont="1"/>
    <xf numFmtId="0" fontId="0" fillId="4" borderId="25" xfId="0" applyFill="1" applyBorder="1"/>
    <xf numFmtId="0" fontId="99" fillId="0" borderId="35" xfId="0" applyFont="1" applyBorder="1"/>
    <xf numFmtId="0" fontId="99" fillId="0" borderId="59" xfId="0" applyFont="1" applyBorder="1"/>
    <xf numFmtId="0" fontId="14" fillId="33" borderId="24" xfId="28" applyFont="1" applyFill="1" applyBorder="1" applyAlignment="1">
      <alignment horizontal="left" wrapText="1" indent="2"/>
    </xf>
    <xf numFmtId="0" fontId="0" fillId="33" borderId="14" xfId="0" applyFill="1" applyBorder="1" applyAlignment="1">
      <alignment vertical="center"/>
    </xf>
    <xf numFmtId="0" fontId="0" fillId="33" borderId="1" xfId="0" applyFill="1" applyBorder="1" applyAlignment="1">
      <alignment vertical="center"/>
    </xf>
    <xf numFmtId="0" fontId="0" fillId="33" borderId="6" xfId="0" applyFill="1" applyBorder="1" applyAlignment="1">
      <alignment vertical="center" wrapText="1"/>
    </xf>
    <xf numFmtId="0" fontId="16" fillId="33" borderId="26" xfId="28" applyFont="1" applyFill="1" applyBorder="1" applyAlignment="1">
      <alignment horizontal="left" wrapText="1"/>
    </xf>
    <xf numFmtId="0" fontId="0" fillId="33" borderId="15" xfId="0" applyFill="1" applyBorder="1" applyAlignment="1">
      <alignment vertical="center"/>
    </xf>
    <xf numFmtId="3" fontId="0" fillId="33" borderId="5" xfId="0" applyNumberFormat="1" applyFill="1" applyBorder="1" applyAlignment="1">
      <alignment vertical="center"/>
    </xf>
    <xf numFmtId="0" fontId="0" fillId="33" borderId="5" xfId="0" applyFill="1" applyBorder="1" applyAlignment="1">
      <alignment vertical="center"/>
    </xf>
    <xf numFmtId="0" fontId="0" fillId="33" borderId="7" xfId="0" applyFill="1" applyBorder="1" applyAlignment="1">
      <alignment vertical="center" wrapText="1"/>
    </xf>
    <xf numFmtId="3" fontId="113" fillId="0" borderId="8" xfId="11" applyNumberFormat="1" applyFont="1" applyBorder="1" applyAlignment="1">
      <alignment vertical="center"/>
    </xf>
    <xf numFmtId="3" fontId="113" fillId="0" borderId="5" xfId="11" applyNumberFormat="1" applyFont="1" applyBorder="1" applyAlignment="1">
      <alignment vertical="center"/>
    </xf>
    <xf numFmtId="171" fontId="100" fillId="0" borderId="0" xfId="0" applyNumberFormat="1" applyFont="1"/>
    <xf numFmtId="3" fontId="172" fillId="4" borderId="0" xfId="0" applyNumberFormat="1" applyFont="1" applyFill="1"/>
    <xf numFmtId="172" fontId="113" fillId="0" borderId="0" xfId="0" applyNumberFormat="1" applyFont="1" applyAlignment="1">
      <alignment vertical="center"/>
    </xf>
    <xf numFmtId="179" fontId="113" fillId="0" borderId="0" xfId="0" applyNumberFormat="1" applyFont="1" applyAlignment="1">
      <alignment vertical="center"/>
    </xf>
    <xf numFmtId="0" fontId="113" fillId="0" borderId="0" xfId="0" applyFont="1" applyAlignment="1">
      <alignment horizontal="right" vertical="center"/>
    </xf>
    <xf numFmtId="170" fontId="0" fillId="0" borderId="0" xfId="0" applyNumberFormat="1" applyAlignment="1">
      <alignment vertical="center"/>
    </xf>
    <xf numFmtId="3" fontId="113" fillId="0" borderId="0" xfId="0" applyNumberFormat="1" applyFont="1" applyAlignment="1">
      <alignment horizontal="right" vertical="center"/>
    </xf>
    <xf numFmtId="0" fontId="176" fillId="0" borderId="0" xfId="0" applyFont="1" applyAlignment="1">
      <alignment horizontal="right" vertical="center"/>
    </xf>
    <xf numFmtId="179" fontId="113" fillId="4" borderId="0" xfId="0" applyNumberFormat="1" applyFont="1" applyFill="1" applyAlignment="1">
      <alignment vertical="center"/>
    </xf>
    <xf numFmtId="1" fontId="113" fillId="0" borderId="49" xfId="0" applyNumberFormat="1" applyFont="1" applyBorder="1" applyAlignment="1">
      <alignment vertical="center"/>
    </xf>
    <xf numFmtId="188" fontId="29" fillId="0" borderId="0" xfId="0" applyNumberFormat="1" applyFont="1" applyAlignment="1">
      <alignment vertical="center"/>
    </xf>
    <xf numFmtId="172" fontId="0" fillId="0" borderId="0" xfId="0" applyNumberFormat="1"/>
    <xf numFmtId="174" fontId="31" fillId="0" borderId="79" xfId="1" applyNumberFormat="1" applyFont="1" applyBorder="1" applyAlignment="1" applyProtection="1">
      <alignment horizontal="right" vertical="center"/>
      <protection hidden="1"/>
    </xf>
    <xf numFmtId="1" fontId="15" fillId="4" borderId="0" xfId="0" applyNumberFormat="1" applyFont="1" applyFill="1" applyAlignment="1">
      <alignment vertical="center"/>
    </xf>
    <xf numFmtId="3" fontId="162" fillId="0" borderId="8" xfId="11" applyNumberFormat="1" applyFont="1" applyBorder="1" applyAlignment="1">
      <alignment horizontal="center" vertical="center" wrapText="1" readingOrder="1"/>
    </xf>
    <xf numFmtId="3" fontId="162" fillId="0" borderId="1" xfId="11" applyNumberFormat="1" applyFont="1" applyBorder="1" applyAlignment="1">
      <alignment horizontal="center" vertical="center" wrapText="1" readingOrder="1"/>
    </xf>
    <xf numFmtId="3" fontId="162" fillId="0" borderId="1" xfId="11" applyNumberFormat="1" applyFont="1" applyBorder="1" applyAlignment="1">
      <alignment horizontal="center" vertical="center"/>
    </xf>
    <xf numFmtId="3" fontId="162" fillId="0" borderId="1" xfId="11" applyNumberFormat="1" applyFont="1" applyBorder="1" applyAlignment="1">
      <alignment horizontal="center" vertical="center" wrapText="1"/>
    </xf>
    <xf numFmtId="3" fontId="162" fillId="25" borderId="5" xfId="11" applyNumberFormat="1" applyFont="1" applyFill="1" applyBorder="1" applyAlignment="1">
      <alignment horizontal="center" vertical="center" wrapText="1" readingOrder="1"/>
    </xf>
    <xf numFmtId="3" fontId="162" fillId="21" borderId="14" xfId="11" applyNumberFormat="1" applyFont="1" applyFill="1" applyBorder="1" applyAlignment="1">
      <alignment horizontal="center" vertical="center" wrapText="1" readingOrder="1"/>
    </xf>
    <xf numFmtId="3" fontId="162" fillId="21" borderId="6" xfId="11" applyNumberFormat="1" applyFont="1" applyFill="1" applyBorder="1" applyAlignment="1">
      <alignment horizontal="center" vertical="center" wrapText="1" readingOrder="1"/>
    </xf>
    <xf numFmtId="3" fontId="102" fillId="0" borderId="16" xfId="43" applyNumberFormat="1" applyFont="1" applyBorder="1" applyAlignment="1">
      <alignment horizontal="center" vertical="center" wrapText="1" readingOrder="1"/>
    </xf>
    <xf numFmtId="3" fontId="102" fillId="0" borderId="20" xfId="43" applyNumberFormat="1" applyFont="1" applyBorder="1" applyAlignment="1">
      <alignment horizontal="center" vertical="center" wrapText="1" readingOrder="1"/>
    </xf>
    <xf numFmtId="3" fontId="102" fillId="7" borderId="15" xfId="43" applyNumberFormat="1" applyFont="1" applyFill="1" applyBorder="1" applyAlignment="1">
      <alignment horizontal="center" vertical="center" wrapText="1"/>
    </xf>
    <xf numFmtId="3" fontId="102" fillId="7" borderId="7" xfId="43" applyNumberFormat="1" applyFont="1" applyFill="1" applyBorder="1" applyAlignment="1">
      <alignment horizontal="center" vertical="center" wrapText="1"/>
    </xf>
    <xf numFmtId="0" fontId="133" fillId="0" borderId="0" xfId="43" applyFont="1"/>
    <xf numFmtId="43" fontId="99" fillId="0" borderId="0" xfId="43" applyNumberFormat="1" applyFont="1"/>
    <xf numFmtId="3" fontId="96" fillId="0" borderId="1" xfId="11" applyNumberFormat="1" applyBorder="1" applyAlignment="1">
      <alignment vertical="center"/>
    </xf>
    <xf numFmtId="0" fontId="105" fillId="0" borderId="0" xfId="0" applyFont="1"/>
    <xf numFmtId="43" fontId="67" fillId="0" borderId="0" xfId="15" applyNumberFormat="1"/>
    <xf numFmtId="3" fontId="95" fillId="0" borderId="0" xfId="43" applyNumberFormat="1" applyAlignment="1">
      <alignment horizontal="right"/>
    </xf>
    <xf numFmtId="0" fontId="95" fillId="0" borderId="0" xfId="43" applyAlignment="1">
      <alignment horizontal="right"/>
    </xf>
    <xf numFmtId="189" fontId="112" fillId="0" borderId="1" xfId="52" applyNumberFormat="1" applyFont="1" applyBorder="1"/>
    <xf numFmtId="3" fontId="113" fillId="5" borderId="1" xfId="11" applyNumberFormat="1" applyFont="1" applyFill="1" applyBorder="1" applyAlignment="1">
      <alignment vertical="center"/>
    </xf>
    <xf numFmtId="3" fontId="112" fillId="0" borderId="8" xfId="11" applyNumberFormat="1" applyFont="1" applyBorder="1" applyAlignment="1">
      <alignment vertical="center"/>
    </xf>
    <xf numFmtId="0" fontId="177" fillId="0" borderId="13" xfId="43" applyFont="1" applyBorder="1" applyAlignment="1">
      <alignment horizontal="left" vertical="center" wrapText="1" readingOrder="1"/>
    </xf>
    <xf numFmtId="0" fontId="177" fillId="0" borderId="8" xfId="43" applyFont="1" applyBorder="1" applyAlignment="1">
      <alignment horizontal="center" vertical="center" readingOrder="1"/>
    </xf>
    <xf numFmtId="0" fontId="177" fillId="0" borderId="8" xfId="43" applyFont="1" applyBorder="1" applyAlignment="1">
      <alignment horizontal="center" vertical="center" wrapText="1" readingOrder="1"/>
    </xf>
    <xf numFmtId="0" fontId="177" fillId="0" borderId="9" xfId="43" applyFont="1" applyBorder="1" applyAlignment="1">
      <alignment horizontal="center" vertical="center" wrapText="1" readingOrder="1"/>
    </xf>
    <xf numFmtId="0" fontId="177" fillId="0" borderId="15" xfId="43" applyFont="1" applyBorder="1" applyAlignment="1">
      <alignment horizontal="center" vertical="center" wrapText="1" readingOrder="1"/>
    </xf>
    <xf numFmtId="0" fontId="177" fillId="0" borderId="5" xfId="43" applyFont="1" applyBorder="1" applyAlignment="1">
      <alignment horizontal="center" vertical="center" wrapText="1" readingOrder="1"/>
    </xf>
    <xf numFmtId="0" fontId="177" fillId="0" borderId="5" xfId="43" applyFont="1" applyBorder="1" applyAlignment="1">
      <alignment horizontal="center" vertical="center" readingOrder="1"/>
    </xf>
    <xf numFmtId="0" fontId="177" fillId="0" borderId="7" xfId="43" applyFont="1" applyBorder="1" applyAlignment="1">
      <alignment horizontal="center" vertical="center" wrapText="1" readingOrder="1"/>
    </xf>
    <xf numFmtId="3" fontId="177" fillId="0" borderId="15" xfId="43" applyNumberFormat="1" applyFont="1" applyBorder="1" applyAlignment="1">
      <alignment horizontal="left" vertical="center" wrapText="1" readingOrder="1"/>
    </xf>
    <xf numFmtId="3" fontId="108" fillId="0" borderId="0" xfId="0" applyNumberFormat="1" applyFont="1"/>
    <xf numFmtId="3" fontId="108" fillId="0" borderId="23" xfId="0" applyNumberFormat="1" applyFont="1" applyBorder="1"/>
    <xf numFmtId="0" fontId="108" fillId="0" borderId="59" xfId="0" applyFont="1" applyBorder="1"/>
    <xf numFmtId="0" fontId="108" fillId="0" borderId="41" xfId="0" applyFont="1" applyBorder="1"/>
    <xf numFmtId="3" fontId="178" fillId="0" borderId="0" xfId="43" applyNumberFormat="1" applyFont="1" applyAlignment="1">
      <alignment horizontal="left" vertical="center" wrapText="1" readingOrder="1"/>
    </xf>
    <xf numFmtId="0" fontId="2" fillId="0" borderId="69" xfId="15" pivotButton="1" applyFont="1" applyBorder="1"/>
    <xf numFmtId="0" fontId="138" fillId="0" borderId="35" xfId="0" applyFont="1" applyBorder="1" applyAlignment="1">
      <alignment horizontal="center" vertical="center" wrapText="1"/>
    </xf>
    <xf numFmtId="0" fontId="138" fillId="0" borderId="32" xfId="0" applyFont="1" applyBorder="1" applyAlignment="1">
      <alignment horizontal="center" vertical="center" wrapText="1"/>
    </xf>
    <xf numFmtId="0" fontId="138" fillId="30" borderId="31" xfId="0" applyFont="1" applyFill="1" applyBorder="1" applyAlignment="1">
      <alignment horizontal="center" vertical="center" wrapText="1"/>
    </xf>
    <xf numFmtId="0" fontId="108" fillId="30" borderId="31" xfId="0" applyFont="1" applyFill="1" applyBorder="1" applyAlignment="1">
      <alignment horizontal="right" vertical="center" wrapText="1"/>
    </xf>
    <xf numFmtId="0" fontId="108" fillId="32" borderId="31" xfId="0" applyFont="1" applyFill="1" applyBorder="1" applyAlignment="1">
      <alignment horizontal="right" vertical="center" wrapText="1"/>
    </xf>
    <xf numFmtId="0" fontId="138" fillId="31" borderId="31" xfId="0" applyFont="1" applyFill="1" applyBorder="1" applyAlignment="1">
      <alignment horizontal="center" vertical="center" wrapText="1"/>
    </xf>
    <xf numFmtId="0" fontId="108" fillId="31" borderId="31" xfId="0" applyFont="1" applyFill="1" applyBorder="1" applyAlignment="1">
      <alignment horizontal="right" vertical="center" wrapText="1"/>
    </xf>
    <xf numFmtId="0" fontId="138" fillId="0" borderId="31" xfId="0" applyFont="1" applyBorder="1" applyAlignment="1">
      <alignment horizontal="center" vertical="center" wrapText="1"/>
    </xf>
    <xf numFmtId="0" fontId="108" fillId="0" borderId="32" xfId="0" applyFont="1" applyBorder="1" applyAlignment="1">
      <alignment vertical="center" wrapText="1"/>
    </xf>
    <xf numFmtId="0" fontId="108" fillId="0" borderId="32" xfId="0" applyFont="1" applyBorder="1" applyAlignment="1">
      <alignment horizontal="right" vertical="center" wrapText="1"/>
    </xf>
    <xf numFmtId="0" fontId="108" fillId="32" borderId="0" xfId="0" applyFont="1" applyFill="1" applyAlignment="1">
      <alignment horizontal="right" vertical="center" wrapText="1"/>
    </xf>
    <xf numFmtId="0" fontId="108" fillId="0" borderId="35" xfId="0" applyFont="1" applyBorder="1" applyAlignment="1">
      <alignment vertical="center" wrapText="1"/>
    </xf>
    <xf numFmtId="0" fontId="108" fillId="0" borderId="35" xfId="0" applyFont="1" applyBorder="1" applyAlignment="1">
      <alignment horizontal="right" vertical="center" wrapText="1"/>
    </xf>
    <xf numFmtId="0" fontId="108" fillId="0" borderId="0" xfId="0" applyFont="1" applyAlignment="1">
      <alignment horizontal="right" vertical="center" wrapText="1"/>
    </xf>
    <xf numFmtId="3" fontId="103" fillId="0" borderId="60" xfId="43" applyNumberFormat="1" applyFont="1" applyBorder="1" applyAlignment="1">
      <alignment horizontal="left" vertical="center" wrapText="1" readingOrder="1"/>
    </xf>
    <xf numFmtId="3" fontId="107" fillId="0" borderId="60" xfId="11" applyNumberFormat="1" applyFont="1" applyBorder="1" applyAlignment="1">
      <alignment horizontal="center" vertical="center" wrapText="1" readingOrder="1"/>
    </xf>
    <xf numFmtId="3" fontId="102" fillId="12" borderId="60" xfId="43" applyNumberFormat="1" applyFont="1" applyFill="1" applyBorder="1" applyAlignment="1">
      <alignment horizontal="center" vertical="center" wrapText="1" readingOrder="1"/>
    </xf>
    <xf numFmtId="166" fontId="102" fillId="0" borderId="60" xfId="43" applyNumberFormat="1" applyFont="1" applyBorder="1" applyAlignment="1">
      <alignment horizontal="center" vertical="center" wrapText="1" readingOrder="1"/>
    </xf>
    <xf numFmtId="3" fontId="102" fillId="6" borderId="28" xfId="43" applyNumberFormat="1" applyFont="1" applyFill="1" applyBorder="1" applyAlignment="1">
      <alignment horizontal="left" vertical="center" wrapText="1" readingOrder="1"/>
    </xf>
    <xf numFmtId="166" fontId="9" fillId="6" borderId="28" xfId="43" applyNumberFormat="1" applyFont="1" applyFill="1" applyBorder="1" applyAlignment="1">
      <alignment horizontal="center" vertical="center" wrapText="1" readingOrder="1"/>
    </xf>
    <xf numFmtId="3" fontId="10" fillId="0" borderId="35" xfId="43" applyNumberFormat="1" applyFont="1" applyBorder="1" applyAlignment="1">
      <alignment horizontal="left" vertical="center" wrapText="1" readingOrder="1"/>
    </xf>
    <xf numFmtId="3" fontId="107" fillId="0" borderId="35" xfId="11" applyNumberFormat="1" applyFont="1" applyBorder="1" applyAlignment="1">
      <alignment horizontal="center" vertical="center" wrapText="1" readingOrder="1"/>
    </xf>
    <xf numFmtId="3" fontId="9" fillId="12" borderId="35" xfId="43" applyNumberFormat="1" applyFont="1" applyFill="1" applyBorder="1" applyAlignment="1">
      <alignment horizontal="center" vertical="center" wrapText="1" readingOrder="1"/>
    </xf>
    <xf numFmtId="3" fontId="126" fillId="0" borderId="35" xfId="43" applyNumberFormat="1" applyFont="1" applyBorder="1" applyAlignment="1">
      <alignment horizontal="center" vertical="center" wrapText="1" readingOrder="1"/>
    </xf>
    <xf numFmtId="3" fontId="9" fillId="12" borderId="31" xfId="43" applyNumberFormat="1" applyFont="1" applyFill="1" applyBorder="1" applyAlignment="1">
      <alignment horizontal="center" vertical="center" wrapText="1" readingOrder="1"/>
    </xf>
    <xf numFmtId="3" fontId="9" fillId="6" borderId="31" xfId="43" applyNumberFormat="1" applyFont="1" applyFill="1" applyBorder="1" applyAlignment="1">
      <alignment horizontal="left" vertical="center" wrapText="1" readingOrder="1"/>
    </xf>
    <xf numFmtId="3" fontId="9" fillId="6" borderId="31" xfId="43" applyNumberFormat="1" applyFont="1" applyFill="1" applyBorder="1" applyAlignment="1">
      <alignment horizontal="center" vertical="center" wrapText="1" readingOrder="1"/>
    </xf>
    <xf numFmtId="3" fontId="102" fillId="7" borderId="28" xfId="43" applyNumberFormat="1" applyFont="1" applyFill="1" applyBorder="1" applyAlignment="1">
      <alignment horizontal="left" vertical="center" wrapText="1" readingOrder="1"/>
    </xf>
    <xf numFmtId="3" fontId="103" fillId="7" borderId="28" xfId="43" applyNumberFormat="1" applyFont="1" applyFill="1" applyBorder="1" applyAlignment="1">
      <alignment horizontal="center" vertical="center" wrapText="1"/>
    </xf>
    <xf numFmtId="3" fontId="102" fillId="12" borderId="31" xfId="43" applyNumberFormat="1" applyFont="1" applyFill="1" applyBorder="1" applyAlignment="1">
      <alignment horizontal="center" vertical="center" wrapText="1" readingOrder="1"/>
    </xf>
    <xf numFmtId="3" fontId="102" fillId="7" borderId="31" xfId="43" applyNumberFormat="1" applyFont="1" applyFill="1" applyBorder="1" applyAlignment="1">
      <alignment horizontal="left" vertical="center" wrapText="1" readingOrder="1"/>
    </xf>
    <xf numFmtId="0" fontId="102" fillId="0" borderId="47" xfId="43" applyFont="1" applyBorder="1" applyAlignment="1">
      <alignment horizontal="left" vertical="center" wrapText="1" readingOrder="1"/>
    </xf>
    <xf numFmtId="0" fontId="102" fillId="0" borderId="47" xfId="43" applyFont="1" applyBorder="1" applyAlignment="1">
      <alignment horizontal="center" vertical="center" readingOrder="1"/>
    </xf>
    <xf numFmtId="0" fontId="102" fillId="0" borderId="47" xfId="43" applyFont="1" applyBorder="1" applyAlignment="1">
      <alignment horizontal="center" vertical="center" wrapText="1" readingOrder="1"/>
    </xf>
    <xf numFmtId="0" fontId="102" fillId="0" borderId="59" xfId="43" applyFont="1" applyBorder="1" applyAlignment="1">
      <alignment horizontal="left" vertical="center" wrapText="1" readingOrder="1"/>
    </xf>
    <xf numFmtId="0" fontId="102" fillId="0" borderId="59" xfId="43" applyFont="1" applyBorder="1" applyAlignment="1">
      <alignment horizontal="center" vertical="center" wrapText="1" readingOrder="1"/>
    </xf>
    <xf numFmtId="0" fontId="102" fillId="0" borderId="59" xfId="43" applyFont="1" applyBorder="1" applyAlignment="1">
      <alignment vertical="center" readingOrder="1"/>
    </xf>
    <xf numFmtId="0" fontId="102" fillId="0" borderId="59" xfId="43" applyFont="1" applyBorder="1" applyAlignment="1">
      <alignment vertical="center" wrapText="1" readingOrder="1"/>
    </xf>
    <xf numFmtId="3" fontId="10" fillId="0" borderId="0" xfId="43" applyNumberFormat="1" applyFont="1" applyAlignment="1">
      <alignment horizontal="left" vertical="center" wrapText="1" readingOrder="1"/>
    </xf>
    <xf numFmtId="3" fontId="107" fillId="0" borderId="0" xfId="11" applyNumberFormat="1" applyFont="1" applyAlignment="1">
      <alignment horizontal="center" vertical="center" wrapText="1" readingOrder="1"/>
    </xf>
    <xf numFmtId="3" fontId="9" fillId="12" borderId="0" xfId="43" applyNumberFormat="1" applyFont="1" applyFill="1" applyAlignment="1">
      <alignment horizontal="center" vertical="center" wrapText="1" readingOrder="1"/>
    </xf>
    <xf numFmtId="3" fontId="126" fillId="0" borderId="0" xfId="43" applyNumberFormat="1" applyFont="1" applyAlignment="1">
      <alignment horizontal="center" vertical="center" wrapText="1" readingOrder="1"/>
    </xf>
    <xf numFmtId="3" fontId="107" fillId="16" borderId="0" xfId="11" applyNumberFormat="1" applyFont="1" applyFill="1" applyAlignment="1">
      <alignment horizontal="center" vertical="center" wrapText="1" readingOrder="1"/>
    </xf>
    <xf numFmtId="3" fontId="126" fillId="21" borderId="0" xfId="43" applyNumberFormat="1" applyFont="1" applyFill="1" applyAlignment="1">
      <alignment horizontal="center" vertical="center" wrapText="1" readingOrder="1"/>
    </xf>
    <xf numFmtId="3" fontId="10" fillId="0" borderId="0" xfId="43" applyNumberFormat="1" applyFont="1" applyAlignment="1">
      <alignment vertical="center" wrapText="1" readingOrder="1"/>
    </xf>
    <xf numFmtId="3" fontId="107" fillId="0" borderId="0" xfId="11" applyNumberFormat="1" applyFont="1" applyAlignment="1">
      <alignment horizontal="center" vertical="center"/>
    </xf>
    <xf numFmtId="3" fontId="107" fillId="0" borderId="35" xfId="11" applyNumberFormat="1" applyFont="1" applyBorder="1" applyAlignment="1">
      <alignment horizontal="center" vertical="center" wrapText="1"/>
    </xf>
    <xf numFmtId="3" fontId="103" fillId="0" borderId="0" xfId="43" applyNumberFormat="1" applyFont="1" applyAlignment="1">
      <alignment horizontal="left" vertical="center" wrapText="1" readingOrder="1"/>
    </xf>
    <xf numFmtId="3" fontId="107" fillId="0" borderId="32" xfId="11" applyNumberFormat="1" applyFont="1" applyBorder="1" applyAlignment="1">
      <alignment horizontal="center" vertical="center" wrapText="1" readingOrder="1"/>
    </xf>
    <xf numFmtId="3" fontId="102" fillId="12" borderId="0" xfId="43" applyNumberFormat="1" applyFont="1" applyFill="1" applyAlignment="1">
      <alignment horizontal="center" vertical="center" wrapText="1" readingOrder="1"/>
    </xf>
    <xf numFmtId="3" fontId="103" fillId="0" borderId="0" xfId="43" applyNumberFormat="1" applyFont="1" applyAlignment="1">
      <alignment horizontal="center" vertical="center" wrapText="1" readingOrder="1"/>
    </xf>
    <xf numFmtId="3" fontId="107" fillId="21" borderId="0" xfId="11" applyNumberFormat="1" applyFont="1" applyFill="1" applyAlignment="1">
      <alignment horizontal="center" vertical="center" wrapText="1" readingOrder="1"/>
    </xf>
    <xf numFmtId="168" fontId="133" fillId="0" borderId="59" xfId="1" applyNumberFormat="1" applyFont="1" applyBorder="1"/>
    <xf numFmtId="3" fontId="102" fillId="0" borderId="59" xfId="43" applyNumberFormat="1" applyFont="1" applyBorder="1" applyAlignment="1">
      <alignment horizontal="left" vertical="center" wrapText="1" readingOrder="1"/>
    </xf>
    <xf numFmtId="3" fontId="102" fillId="12" borderId="59" xfId="43" applyNumberFormat="1" applyFont="1" applyFill="1" applyBorder="1" applyAlignment="1">
      <alignment horizontal="center" vertical="center" wrapText="1" readingOrder="1"/>
    </xf>
    <xf numFmtId="3" fontId="103" fillId="7" borderId="31" xfId="43" applyNumberFormat="1" applyFont="1" applyFill="1" applyBorder="1" applyAlignment="1">
      <alignment horizontal="center" vertical="center" wrapText="1"/>
    </xf>
    <xf numFmtId="10" fontId="138" fillId="0" borderId="28" xfId="52" applyNumberFormat="1" applyFont="1" applyBorder="1"/>
    <xf numFmtId="0" fontId="177" fillId="0" borderId="32" xfId="43" applyFont="1" applyBorder="1" applyAlignment="1">
      <alignment horizontal="center" vertical="center" readingOrder="1"/>
    </xf>
    <xf numFmtId="0" fontId="177" fillId="0" borderId="32" xfId="43" applyFont="1" applyBorder="1" applyAlignment="1">
      <alignment horizontal="center" vertical="center" wrapText="1" readingOrder="1"/>
    </xf>
    <xf numFmtId="0" fontId="177" fillId="0" borderId="35" xfId="43" applyFont="1" applyBorder="1" applyAlignment="1">
      <alignment horizontal="center" vertical="center" wrapText="1" readingOrder="1"/>
    </xf>
    <xf numFmtId="0" fontId="177" fillId="0" borderId="35" xfId="43" applyFont="1" applyBorder="1" applyAlignment="1">
      <alignment horizontal="center" vertical="center" readingOrder="1"/>
    </xf>
    <xf numFmtId="0" fontId="177" fillId="0" borderId="32" xfId="43" applyFont="1" applyBorder="1" applyAlignment="1">
      <alignment horizontal="left" vertical="center" wrapText="1" readingOrder="1"/>
    </xf>
    <xf numFmtId="3" fontId="177" fillId="0" borderId="61" xfId="43" applyNumberFormat="1" applyFont="1" applyBorder="1" applyAlignment="1">
      <alignment horizontal="left" vertical="center" wrapText="1" readingOrder="1"/>
    </xf>
    <xf numFmtId="3" fontId="179" fillId="0" borderId="26" xfId="43" applyNumberFormat="1" applyFont="1" applyBorder="1" applyAlignment="1">
      <alignment horizontal="left" vertical="center" wrapText="1" readingOrder="1"/>
    </xf>
    <xf numFmtId="0" fontId="76" fillId="0" borderId="32" xfId="0" applyFont="1" applyBorder="1" applyAlignment="1">
      <alignment wrapText="1"/>
    </xf>
    <xf numFmtId="168" fontId="75" fillId="34" borderId="0" xfId="1" applyNumberFormat="1" applyFont="1" applyFill="1" applyAlignment="1">
      <alignment horizontal="center" vertical="center"/>
    </xf>
    <xf numFmtId="168" fontId="75" fillId="34" borderId="0" xfId="1" applyNumberFormat="1" applyFont="1" applyFill="1" applyAlignment="1">
      <alignment horizontal="center"/>
    </xf>
    <xf numFmtId="178" fontId="75" fillId="34" borderId="0" xfId="0" applyNumberFormat="1" applyFont="1" applyFill="1" applyAlignment="1">
      <alignment horizontal="center"/>
    </xf>
    <xf numFmtId="178" fontId="75" fillId="34" borderId="0" xfId="0" applyNumberFormat="1" applyFont="1" applyFill="1" applyAlignment="1">
      <alignment horizontal="center" vertical="center"/>
    </xf>
    <xf numFmtId="169" fontId="75" fillId="34" borderId="0" xfId="52" applyNumberFormat="1" applyFont="1" applyFill="1" applyAlignment="1">
      <alignment horizontal="center" vertical="center" wrapText="1"/>
    </xf>
    <xf numFmtId="168" fontId="75" fillId="0" borderId="0" xfId="1" applyNumberFormat="1" applyFont="1" applyAlignment="1">
      <alignment horizontal="center" vertical="center"/>
    </xf>
    <xf numFmtId="168" fontId="75" fillId="0" borderId="0" xfId="1" applyNumberFormat="1" applyFont="1" applyAlignment="1">
      <alignment horizontal="center"/>
    </xf>
    <xf numFmtId="178" fontId="75" fillId="0" borderId="0" xfId="0" applyNumberFormat="1" applyFont="1" applyAlignment="1">
      <alignment horizontal="center"/>
    </xf>
    <xf numFmtId="178" fontId="75" fillId="0" borderId="0" xfId="0" applyNumberFormat="1" applyFont="1" applyAlignment="1">
      <alignment horizontal="center" vertical="center"/>
    </xf>
    <xf numFmtId="169" fontId="75" fillId="0" borderId="0" xfId="52" applyNumberFormat="1" applyFont="1" applyAlignment="1">
      <alignment horizontal="center" vertical="center" wrapText="1"/>
    </xf>
    <xf numFmtId="168" fontId="75" fillId="0" borderId="35" xfId="1" applyNumberFormat="1" applyFont="1" applyBorder="1" applyAlignment="1">
      <alignment horizontal="center" vertical="center"/>
    </xf>
    <xf numFmtId="168" fontId="75" fillId="0" borderId="35" xfId="1" applyNumberFormat="1" applyFont="1" applyBorder="1" applyAlignment="1">
      <alignment horizontal="center"/>
    </xf>
    <xf numFmtId="178" fontId="76" fillId="0" borderId="35" xfId="0" applyNumberFormat="1" applyFont="1" applyBorder="1" applyAlignment="1">
      <alignment horizontal="center"/>
    </xf>
    <xf numFmtId="178" fontId="75" fillId="0" borderId="35" xfId="0" applyNumberFormat="1" applyFont="1" applyBorder="1" applyAlignment="1">
      <alignment horizontal="center" vertical="center"/>
    </xf>
    <xf numFmtId="169" fontId="75" fillId="0" borderId="35" xfId="52" applyNumberFormat="1" applyFont="1" applyBorder="1" applyAlignment="1">
      <alignment horizontal="center" vertical="center" wrapText="1"/>
    </xf>
    <xf numFmtId="0" fontId="93" fillId="0" borderId="35" xfId="0" applyFont="1" applyBorder="1" applyAlignment="1">
      <alignment vertical="center" wrapText="1"/>
    </xf>
    <xf numFmtId="0" fontId="93" fillId="0" borderId="35" xfId="0" applyFont="1" applyBorder="1" applyAlignment="1">
      <alignment vertical="center"/>
    </xf>
    <xf numFmtId="0" fontId="75" fillId="0" borderId="35" xfId="0" applyFont="1" applyBorder="1" applyAlignment="1">
      <alignment vertical="center" wrapText="1"/>
    </xf>
    <xf numFmtId="0" fontId="76" fillId="34" borderId="0" xfId="0" applyFont="1" applyFill="1" applyAlignment="1">
      <alignment horizontal="center" vertical="center" wrapText="1"/>
    </xf>
    <xf numFmtId="0" fontId="76" fillId="0" borderId="0" xfId="0" applyFont="1" applyAlignment="1">
      <alignment horizontal="center" vertical="center" wrapText="1"/>
    </xf>
    <xf numFmtId="0" fontId="76" fillId="0" borderId="35" xfId="0" applyFont="1" applyBorder="1" applyAlignment="1">
      <alignment horizontal="center" vertical="center" wrapText="1"/>
    </xf>
    <xf numFmtId="0" fontId="76" fillId="0" borderId="32" xfId="0" applyFont="1" applyBorder="1" applyAlignment="1">
      <alignment horizontal="center" wrapText="1"/>
    </xf>
    <xf numFmtId="1" fontId="172" fillId="8" borderId="31" xfId="0" applyNumberFormat="1" applyFont="1" applyFill="1" applyBorder="1"/>
    <xf numFmtId="0" fontId="0" fillId="8" borderId="31" xfId="0" applyFill="1" applyBorder="1"/>
    <xf numFmtId="0" fontId="0" fillId="4" borderId="31" xfId="0" applyFill="1" applyBorder="1"/>
    <xf numFmtId="0" fontId="0" fillId="4" borderId="32" xfId="0" applyFill="1" applyBorder="1"/>
    <xf numFmtId="3" fontId="172" fillId="4" borderId="32" xfId="0" applyNumberFormat="1" applyFont="1" applyFill="1" applyBorder="1"/>
    <xf numFmtId="3" fontId="172" fillId="4" borderId="35" xfId="0" applyNumberFormat="1" applyFont="1" applyFill="1" applyBorder="1"/>
    <xf numFmtId="0" fontId="0" fillId="8" borderId="32" xfId="0" applyFill="1" applyBorder="1"/>
    <xf numFmtId="3" fontId="172" fillId="8" borderId="32" xfId="0" applyNumberFormat="1" applyFont="1" applyFill="1" applyBorder="1"/>
    <xf numFmtId="3" fontId="172" fillId="8" borderId="0" xfId="0" applyNumberFormat="1" applyFont="1" applyFill="1"/>
    <xf numFmtId="0" fontId="0" fillId="8" borderId="35" xfId="0" applyFill="1" applyBorder="1"/>
    <xf numFmtId="3" fontId="172" fillId="8" borderId="35" xfId="0" applyNumberFormat="1" applyFont="1" applyFill="1" applyBorder="1"/>
    <xf numFmtId="181" fontId="53" fillId="4" borderId="31" xfId="27" applyNumberFormat="1" applyFont="1" applyFill="1" applyBorder="1"/>
    <xf numFmtId="0" fontId="172" fillId="4" borderId="0" xfId="0" applyFont="1" applyFill="1"/>
    <xf numFmtId="181" fontId="53" fillId="8" borderId="31" xfId="27" applyNumberFormat="1" applyFont="1" applyFill="1" applyBorder="1"/>
    <xf numFmtId="0" fontId="172" fillId="8" borderId="0" xfId="0" applyFont="1" applyFill="1"/>
    <xf numFmtId="0" fontId="57" fillId="8" borderId="45" xfId="9" applyNumberFormat="1" applyFont="1" applyFill="1" applyBorder="1" applyAlignment="1">
      <alignment horizontal="center" vertical="center" wrapText="1"/>
    </xf>
    <xf numFmtId="181" fontId="53" fillId="39" borderId="31" xfId="27" applyNumberFormat="1" applyFont="1" applyFill="1" applyBorder="1"/>
    <xf numFmtId="0" fontId="0" fillId="39" borderId="31" xfId="0" applyFill="1" applyBorder="1"/>
    <xf numFmtId="3" fontId="172" fillId="39" borderId="0" xfId="0" applyNumberFormat="1" applyFont="1" applyFill="1"/>
    <xf numFmtId="0" fontId="172" fillId="39" borderId="0" xfId="0" applyFont="1" applyFill="1"/>
    <xf numFmtId="0" fontId="0" fillId="39" borderId="0" xfId="0" applyFill="1"/>
    <xf numFmtId="0" fontId="0" fillId="39" borderId="35" xfId="0" applyFill="1" applyBorder="1"/>
    <xf numFmtId="3" fontId="172" fillId="39" borderId="35" xfId="0" applyNumberFormat="1" applyFont="1" applyFill="1" applyBorder="1"/>
    <xf numFmtId="1" fontId="172" fillId="39" borderId="31" xfId="0" applyNumberFormat="1" applyFont="1" applyFill="1" applyBorder="1"/>
    <xf numFmtId="0" fontId="0" fillId="39" borderId="32" xfId="0" applyFill="1" applyBorder="1"/>
    <xf numFmtId="3" fontId="172" fillId="39" borderId="32" xfId="0" applyNumberFormat="1" applyFont="1" applyFill="1" applyBorder="1"/>
    <xf numFmtId="0" fontId="57" fillId="39" borderId="45" xfId="9" applyNumberFormat="1" applyFont="1" applyFill="1" applyBorder="1" applyAlignment="1">
      <alignment horizontal="center" vertical="center" wrapText="1"/>
    </xf>
    <xf numFmtId="0" fontId="57" fillId="40" borderId="45" xfId="9" applyNumberFormat="1" applyFont="1" applyFill="1" applyBorder="1" applyAlignment="1">
      <alignment horizontal="center" vertical="center" wrapText="1"/>
    </xf>
    <xf numFmtId="181" fontId="53" fillId="40" borderId="31" xfId="27" applyNumberFormat="1" applyFont="1" applyFill="1" applyBorder="1"/>
    <xf numFmtId="0" fontId="0" fillId="40" borderId="31" xfId="0" applyFill="1" applyBorder="1"/>
    <xf numFmtId="3" fontId="172" fillId="40" borderId="0" xfId="0" applyNumberFormat="1" applyFont="1" applyFill="1"/>
    <xf numFmtId="0" fontId="172" fillId="40" borderId="0" xfId="0" applyFont="1" applyFill="1"/>
    <xf numFmtId="0" fontId="0" fillId="40" borderId="0" xfId="0" applyFill="1"/>
    <xf numFmtId="0" fontId="0" fillId="40" borderId="35" xfId="0" applyFill="1" applyBorder="1"/>
    <xf numFmtId="3" fontId="172" fillId="40" borderId="35" xfId="0" applyNumberFormat="1" applyFont="1" applyFill="1" applyBorder="1"/>
    <xf numFmtId="1" fontId="172" fillId="40" borderId="31" xfId="0" applyNumberFormat="1" applyFont="1" applyFill="1" applyBorder="1"/>
    <xf numFmtId="0" fontId="0" fillId="40" borderId="32" xfId="0" applyFill="1" applyBorder="1"/>
    <xf numFmtId="3" fontId="172" fillId="40" borderId="32" xfId="0" applyNumberFormat="1" applyFont="1" applyFill="1" applyBorder="1"/>
    <xf numFmtId="0" fontId="0" fillId="4" borderId="31" xfId="0" applyFill="1" applyBorder="1" applyAlignment="1">
      <alignment wrapText="1"/>
    </xf>
    <xf numFmtId="0" fontId="0" fillId="8" borderId="31" xfId="0" applyFill="1" applyBorder="1" applyAlignment="1">
      <alignment wrapText="1"/>
    </xf>
    <xf numFmtId="0" fontId="0" fillId="39" borderId="31" xfId="0" applyFill="1" applyBorder="1" applyAlignment="1">
      <alignment wrapText="1"/>
    </xf>
    <xf numFmtId="0" fontId="0" fillId="40" borderId="31" xfId="0" applyFill="1" applyBorder="1" applyAlignment="1">
      <alignment wrapText="1"/>
    </xf>
    <xf numFmtId="0" fontId="108" fillId="4" borderId="32" xfId="0" applyFont="1" applyFill="1" applyBorder="1"/>
    <xf numFmtId="0" fontId="108" fillId="4" borderId="35" xfId="0" applyFont="1" applyFill="1" applyBorder="1"/>
    <xf numFmtId="0" fontId="108" fillId="8" borderId="32" xfId="0" applyFont="1" applyFill="1" applyBorder="1"/>
    <xf numFmtId="0" fontId="108" fillId="8" borderId="0" xfId="0" applyFont="1" applyFill="1"/>
    <xf numFmtId="0" fontId="108" fillId="8" borderId="35" xfId="0" applyFont="1" applyFill="1" applyBorder="1"/>
    <xf numFmtId="0" fontId="108" fillId="39" borderId="32" xfId="0" applyFont="1" applyFill="1" applyBorder="1"/>
    <xf numFmtId="0" fontId="108" fillId="39" borderId="0" xfId="0" applyFont="1" applyFill="1"/>
    <xf numFmtId="0" fontId="108" fillId="39" borderId="35" xfId="0" applyFont="1" applyFill="1" applyBorder="1"/>
    <xf numFmtId="0" fontId="108" fillId="40" borderId="32" xfId="0" applyFont="1" applyFill="1" applyBorder="1"/>
    <xf numFmtId="0" fontId="108" fillId="40" borderId="0" xfId="0" applyFont="1" applyFill="1"/>
    <xf numFmtId="0" fontId="108" fillId="40" borderId="35" xfId="0" applyFont="1" applyFill="1" applyBorder="1"/>
    <xf numFmtId="1" fontId="172" fillId="0" borderId="32" xfId="0" applyNumberFormat="1" applyFont="1" applyBorder="1"/>
    <xf numFmtId="3" fontId="103" fillId="0" borderId="92" xfId="43" applyNumberFormat="1" applyFont="1" applyBorder="1" applyAlignment="1">
      <alignment horizontal="left" vertical="center" wrapText="1" readingOrder="1"/>
    </xf>
    <xf numFmtId="3" fontId="162" fillId="0" borderId="47" xfId="11" applyNumberFormat="1" applyFont="1" applyBorder="1" applyAlignment="1">
      <alignment horizontal="center" vertical="center" wrapText="1" readingOrder="1"/>
    </xf>
    <xf numFmtId="3" fontId="102" fillId="21" borderId="44" xfId="43" applyNumberFormat="1" applyFont="1" applyFill="1" applyBorder="1" applyAlignment="1">
      <alignment horizontal="center" vertical="center" wrapText="1" readingOrder="1"/>
    </xf>
    <xf numFmtId="166" fontId="102" fillId="0" borderId="92" xfId="43" applyNumberFormat="1" applyFont="1" applyBorder="1" applyAlignment="1">
      <alignment horizontal="center" vertical="center" wrapText="1" readingOrder="1"/>
    </xf>
    <xf numFmtId="166" fontId="102" fillId="0" borderId="44" xfId="43" applyNumberFormat="1" applyFont="1" applyBorder="1" applyAlignment="1">
      <alignment horizontal="center" vertical="center" wrapText="1" readingOrder="1"/>
    </xf>
    <xf numFmtId="3" fontId="9" fillId="0" borderId="22" xfId="43" applyNumberFormat="1" applyFont="1" applyBorder="1" applyAlignment="1">
      <alignment horizontal="left" vertical="center" wrapText="1" readingOrder="1"/>
    </xf>
    <xf numFmtId="3" fontId="9" fillId="0" borderId="0" xfId="43" applyNumberFormat="1" applyFont="1" applyAlignment="1">
      <alignment horizontal="center" vertical="center" wrapText="1" readingOrder="1"/>
    </xf>
    <xf numFmtId="3" fontId="9" fillId="0" borderId="23" xfId="43" applyNumberFormat="1" applyFont="1" applyBorder="1" applyAlignment="1">
      <alignment horizontal="center" vertical="center" wrapText="1" readingOrder="1"/>
    </xf>
    <xf numFmtId="3" fontId="9" fillId="0" borderId="22" xfId="43" applyNumberFormat="1" applyFont="1" applyBorder="1" applyAlignment="1">
      <alignment horizontal="center" vertical="center" wrapText="1" readingOrder="1"/>
    </xf>
    <xf numFmtId="3" fontId="102" fillId="7" borderId="0" xfId="43" applyNumberFormat="1" applyFont="1" applyFill="1" applyAlignment="1">
      <alignment horizontal="center" vertical="center" wrapText="1"/>
    </xf>
    <xf numFmtId="3" fontId="103" fillId="0" borderId="17" xfId="43" applyNumberFormat="1" applyFont="1" applyBorder="1" applyAlignment="1">
      <alignment vertical="center" wrapText="1"/>
    </xf>
    <xf numFmtId="3" fontId="102" fillId="0" borderId="10" xfId="43" applyNumberFormat="1" applyFont="1" applyBorder="1" applyAlignment="1">
      <alignment horizontal="center" vertical="center" wrapText="1"/>
    </xf>
    <xf numFmtId="3" fontId="102" fillId="0" borderId="36" xfId="43" applyNumberFormat="1" applyFont="1" applyBorder="1" applyAlignment="1">
      <alignment horizontal="center" vertical="center" wrapText="1"/>
    </xf>
    <xf numFmtId="168" fontId="108" fillId="32" borderId="0" xfId="1" applyNumberFormat="1" applyFont="1" applyFill="1" applyAlignment="1">
      <alignment horizontal="right" vertical="center" wrapText="1"/>
    </xf>
    <xf numFmtId="168" fontId="108" fillId="0" borderId="35" xfId="1" applyNumberFormat="1" applyFont="1" applyBorder="1" applyAlignment="1">
      <alignment horizontal="right" vertical="center" wrapText="1"/>
    </xf>
    <xf numFmtId="168" fontId="108" fillId="30" borderId="31" xfId="1" applyNumberFormat="1" applyFont="1" applyFill="1" applyBorder="1" applyAlignment="1">
      <alignment horizontal="right" vertical="center" wrapText="1"/>
    </xf>
    <xf numFmtId="168" fontId="108" fillId="31" borderId="31" xfId="1" applyNumberFormat="1" applyFont="1" applyFill="1" applyBorder="1" applyAlignment="1">
      <alignment horizontal="right" vertical="center" wrapText="1"/>
    </xf>
    <xf numFmtId="168" fontId="108" fillId="32" borderId="31" xfId="1" applyNumberFormat="1" applyFont="1" applyFill="1" applyBorder="1" applyAlignment="1">
      <alignment horizontal="right" vertical="center" wrapText="1"/>
    </xf>
    <xf numFmtId="168" fontId="170" fillId="4" borderId="87" xfId="1" applyNumberFormat="1" applyFont="1" applyFill="1" applyBorder="1" applyAlignment="1">
      <alignment horizontal="center"/>
    </xf>
    <xf numFmtId="168" fontId="170" fillId="0" borderId="0" xfId="1" applyNumberFormat="1" applyFont="1" applyAlignment="1">
      <alignment horizontal="center"/>
    </xf>
    <xf numFmtId="168" fontId="170" fillId="0" borderId="0" xfId="1" applyNumberFormat="1" applyFont="1" applyAlignment="1">
      <alignment horizontal="left"/>
    </xf>
    <xf numFmtId="0" fontId="138" fillId="4" borderId="41" xfId="0" applyFont="1" applyFill="1" applyBorder="1" applyAlignment="1">
      <alignment horizontal="center" vertical="center" wrapText="1"/>
    </xf>
    <xf numFmtId="171" fontId="2" fillId="4" borderId="53" xfId="0" quotePrefix="1" applyNumberFormat="1" applyFont="1" applyFill="1" applyBorder="1" applyAlignment="1">
      <alignment horizontal="right" vertical="center"/>
    </xf>
    <xf numFmtId="171" fontId="31" fillId="4" borderId="79" xfId="0" applyNumberFormat="1" applyFont="1" applyFill="1" applyBorder="1" applyAlignment="1" applyProtection="1">
      <alignment horizontal="right" vertical="center"/>
      <protection hidden="1"/>
    </xf>
    <xf numFmtId="1" fontId="141" fillId="4" borderId="49" xfId="0" quotePrefix="1" applyNumberFormat="1" applyFont="1" applyFill="1" applyBorder="1" applyAlignment="1">
      <alignment vertical="center"/>
    </xf>
    <xf numFmtId="4" fontId="172" fillId="0" borderId="0" xfId="0" applyNumberFormat="1" applyFont="1"/>
    <xf numFmtId="4" fontId="172" fillId="0" borderId="35" xfId="0" applyNumberFormat="1" applyFont="1" applyBorder="1"/>
    <xf numFmtId="0" fontId="0" fillId="4" borderId="31" xfId="0" applyFill="1" applyBorder="1" applyAlignment="1">
      <alignment horizontal="center" wrapText="1"/>
    </xf>
    <xf numFmtId="0" fontId="0" fillId="8" borderId="31" xfId="0" applyFill="1" applyBorder="1" applyAlignment="1">
      <alignment horizontal="center" wrapText="1"/>
    </xf>
    <xf numFmtId="0" fontId="0" fillId="39" borderId="31" xfId="0" applyFill="1" applyBorder="1" applyAlignment="1">
      <alignment horizontal="center" wrapText="1"/>
    </xf>
    <xf numFmtId="0" fontId="0" fillId="40" borderId="31" xfId="0" applyFill="1" applyBorder="1" applyAlignment="1">
      <alignment horizontal="center" wrapText="1"/>
    </xf>
    <xf numFmtId="3" fontId="172" fillId="40" borderId="0" xfId="0" applyNumberFormat="1" applyFont="1" applyFill="1" applyAlignment="1">
      <alignment horizontal="center" vertical="center"/>
    </xf>
    <xf numFmtId="181" fontId="53" fillId="22" borderId="0" xfId="27" applyNumberFormat="1" applyFont="1" applyFill="1" applyAlignment="1">
      <alignment wrapText="1"/>
    </xf>
    <xf numFmtId="3" fontId="53" fillId="22" borderId="0" xfId="52" applyNumberFormat="1" applyFont="1" applyFill="1"/>
    <xf numFmtId="178" fontId="0" fillId="0" borderId="0" xfId="0" applyNumberFormat="1"/>
    <xf numFmtId="178" fontId="99" fillId="0" borderId="0" xfId="0" applyNumberFormat="1" applyFont="1"/>
    <xf numFmtId="3" fontId="0" fillId="0" borderId="35" xfId="0" applyNumberFormat="1" applyBorder="1"/>
    <xf numFmtId="178" fontId="0" fillId="4" borderId="0" xfId="0" applyNumberFormat="1" applyFill="1"/>
    <xf numFmtId="178" fontId="0" fillId="15" borderId="0" xfId="0" applyNumberFormat="1" applyFill="1"/>
    <xf numFmtId="171" fontId="0" fillId="15" borderId="0" xfId="0" applyNumberFormat="1" applyFill="1"/>
    <xf numFmtId="3" fontId="0" fillId="15" borderId="0" xfId="0" applyNumberFormat="1" applyFill="1"/>
    <xf numFmtId="178" fontId="99" fillId="15" borderId="0" xfId="0" applyNumberFormat="1" applyFont="1" applyFill="1"/>
    <xf numFmtId="178" fontId="0" fillId="39" borderId="0" xfId="0" applyNumberFormat="1" applyFill="1"/>
    <xf numFmtId="171" fontId="0" fillId="39" borderId="0" xfId="0" applyNumberFormat="1" applyFill="1"/>
    <xf numFmtId="183" fontId="183" fillId="0" borderId="0" xfId="27" applyNumberFormat="1" applyFont="1" applyAlignment="1">
      <alignment horizontal="left" wrapText="1"/>
    </xf>
    <xf numFmtId="170" fontId="2" fillId="15" borderId="53" xfId="3" quotePrefix="1" applyNumberFormat="1" applyFont="1" applyFill="1" applyBorder="1" applyAlignment="1">
      <alignment horizontal="right" vertical="center"/>
    </xf>
    <xf numFmtId="165" fontId="2" fillId="15" borderId="53" xfId="3" quotePrefix="1" applyFont="1" applyFill="1" applyBorder="1" applyAlignment="1">
      <alignment horizontal="right" vertical="center"/>
    </xf>
    <xf numFmtId="43" fontId="31" fillId="8" borderId="79" xfId="1" applyFont="1" applyFill="1" applyBorder="1" applyAlignment="1">
      <alignment horizontal="right" vertical="center"/>
    </xf>
    <xf numFmtId="0" fontId="84" fillId="0" borderId="35" xfId="0" quotePrefix="1" applyFont="1" applyBorder="1" applyAlignment="1">
      <alignment horizontal="left" vertical="center"/>
    </xf>
    <xf numFmtId="171" fontId="2" fillId="4" borderId="79" xfId="0" applyNumberFormat="1" applyFont="1" applyFill="1" applyBorder="1" applyAlignment="1" applyProtection="1">
      <alignment horizontal="right" vertical="center"/>
      <protection hidden="1"/>
    </xf>
    <xf numFmtId="170" fontId="2" fillId="4" borderId="53" xfId="3" quotePrefix="1" applyNumberFormat="1" applyFont="1" applyFill="1" applyBorder="1" applyAlignment="1">
      <alignment horizontal="right" vertical="center"/>
    </xf>
    <xf numFmtId="3" fontId="53" fillId="0" borderId="0" xfId="27" applyNumberFormat="1" applyFont="1" applyAlignment="1">
      <alignment vertical="center" wrapText="1"/>
    </xf>
    <xf numFmtId="170" fontId="2" fillId="0" borderId="0" xfId="0" quotePrefix="1" applyNumberFormat="1" applyFont="1" applyAlignment="1">
      <alignment horizontal="center" vertical="center"/>
    </xf>
    <xf numFmtId="165" fontId="2" fillId="0" borderId="0" xfId="0" quotePrefix="1" applyNumberFormat="1" applyFont="1" applyAlignment="1">
      <alignment horizontal="center" vertical="center"/>
    </xf>
    <xf numFmtId="0" fontId="78" fillId="0" borderId="0" xfId="0" applyFont="1" applyAlignment="1">
      <alignment vertical="center"/>
    </xf>
    <xf numFmtId="0" fontId="2" fillId="15" borderId="0" xfId="0" quotePrefix="1" applyFont="1" applyFill="1" applyAlignment="1">
      <alignment horizontal="left" vertical="center"/>
    </xf>
    <xf numFmtId="185" fontId="2" fillId="0" borderId="0" xfId="0" applyNumberFormat="1" applyFont="1" applyAlignment="1">
      <alignment horizontal="left" vertical="center"/>
    </xf>
    <xf numFmtId="185" fontId="2" fillId="0" borderId="0" xfId="0" quotePrefix="1" applyNumberFormat="1" applyFont="1" applyAlignment="1">
      <alignment horizontal="left" vertical="center"/>
    </xf>
    <xf numFmtId="185" fontId="2" fillId="0" borderId="55" xfId="0" applyNumberFormat="1" applyFont="1" applyBorder="1" applyAlignment="1">
      <alignment horizontal="left" vertical="center"/>
    </xf>
    <xf numFmtId="185" fontId="2" fillId="0" borderId="49" xfId="0" applyNumberFormat="1" applyFont="1" applyBorder="1" applyAlignment="1">
      <alignment horizontal="left" vertical="center"/>
    </xf>
    <xf numFmtId="0" fontId="80" fillId="15" borderId="0" xfId="0" applyFont="1" applyFill="1" applyAlignment="1">
      <alignment horizontal="left" vertical="center"/>
    </xf>
    <xf numFmtId="0" fontId="82" fillId="15" borderId="0" xfId="0" applyFont="1" applyFill="1" applyAlignment="1">
      <alignment vertical="center"/>
    </xf>
    <xf numFmtId="0" fontId="108" fillId="0" borderId="0" xfId="0" applyFont="1" applyAlignment="1">
      <alignment vertical="center"/>
    </xf>
    <xf numFmtId="185" fontId="141" fillId="4" borderId="0" xfId="0" applyNumberFormat="1" applyFont="1" applyFill="1" applyAlignment="1">
      <alignment horizontal="center" vertical="center"/>
    </xf>
    <xf numFmtId="185" fontId="2" fillId="0" borderId="52" xfId="0" applyNumberFormat="1" applyFont="1" applyBorder="1" applyAlignment="1">
      <alignment horizontal="left" vertical="center"/>
    </xf>
    <xf numFmtId="185" fontId="2" fillId="0" borderId="52" xfId="0" quotePrefix="1" applyNumberFormat="1" applyFont="1" applyBorder="1" applyAlignment="1">
      <alignment horizontal="left" vertical="center"/>
    </xf>
    <xf numFmtId="185" fontId="141" fillId="4" borderId="0" xfId="0" applyNumberFormat="1" applyFont="1" applyFill="1" applyAlignment="1">
      <alignment horizontal="center" vertical="center" wrapText="1"/>
    </xf>
    <xf numFmtId="169" fontId="2" fillId="0" borderId="52" xfId="52" applyNumberFormat="1" applyFont="1" applyBorder="1" applyAlignment="1">
      <alignment horizontal="left" vertical="center"/>
    </xf>
    <xf numFmtId="46" fontId="2" fillId="0" borderId="0" xfId="0" quotePrefix="1" applyNumberFormat="1" applyFont="1" applyAlignment="1">
      <alignment vertical="center" wrapText="1"/>
    </xf>
    <xf numFmtId="172" fontId="161" fillId="0" borderId="0" xfId="0" applyNumberFormat="1" applyFont="1" applyAlignment="1">
      <alignment vertical="center"/>
    </xf>
    <xf numFmtId="3" fontId="161" fillId="0" borderId="0" xfId="0" applyNumberFormat="1" applyFont="1" applyAlignment="1">
      <alignment horizontal="right" vertical="center"/>
    </xf>
    <xf numFmtId="185" fontId="2" fillId="0" borderId="0" xfId="0" applyNumberFormat="1" applyFont="1" applyAlignment="1">
      <alignment horizontal="right" vertical="center"/>
    </xf>
    <xf numFmtId="185" fontId="141" fillId="4" borderId="0" xfId="0" quotePrefix="1" applyNumberFormat="1" applyFont="1" applyFill="1" applyAlignment="1">
      <alignment horizontal="center" vertical="center"/>
    </xf>
    <xf numFmtId="179" fontId="161" fillId="4" borderId="0" xfId="0" applyNumberFormat="1" applyFont="1" applyFill="1" applyAlignment="1">
      <alignment vertical="center"/>
    </xf>
    <xf numFmtId="185" fontId="141" fillId="4" borderId="55" xfId="0" applyNumberFormat="1" applyFont="1" applyFill="1" applyBorder="1" applyAlignment="1">
      <alignment horizontal="center" vertical="center"/>
    </xf>
    <xf numFmtId="185" fontId="2" fillId="0" borderId="56" xfId="0" applyNumberFormat="1" applyFont="1" applyBorder="1" applyAlignment="1">
      <alignment horizontal="left" vertical="center"/>
    </xf>
    <xf numFmtId="0" fontId="2" fillId="0" borderId="0" xfId="0" applyFont="1" applyAlignment="1">
      <alignment horizontal="center" vertical="center"/>
    </xf>
    <xf numFmtId="185" fontId="31" fillId="0" borderId="50" xfId="0" applyNumberFormat="1" applyFont="1" applyBorder="1" applyAlignment="1">
      <alignment horizontal="left" vertical="center"/>
    </xf>
    <xf numFmtId="0" fontId="141" fillId="4" borderId="0" xfId="0" applyFont="1" applyFill="1" applyAlignment="1">
      <alignment horizontal="center" vertical="center"/>
    </xf>
    <xf numFmtId="185" fontId="141" fillId="4" borderId="49" xfId="0" applyNumberFormat="1" applyFont="1" applyFill="1" applyBorder="1" applyAlignment="1">
      <alignment horizontal="center" vertical="center"/>
    </xf>
    <xf numFmtId="185" fontId="2" fillId="0" borderId="50" xfId="0" applyNumberFormat="1" applyFont="1" applyBorder="1" applyAlignment="1">
      <alignment horizontal="left" vertical="center"/>
    </xf>
    <xf numFmtId="1" fontId="108" fillId="0" borderId="0" xfId="0" applyNumberFormat="1" applyFont="1" applyAlignment="1">
      <alignment vertical="center"/>
    </xf>
    <xf numFmtId="185" fontId="2" fillId="15" borderId="0" xfId="0" applyNumberFormat="1" applyFont="1" applyFill="1" applyAlignment="1">
      <alignment horizontal="right" vertical="center"/>
    </xf>
    <xf numFmtId="0" fontId="2" fillId="0" borderId="0" xfId="0" applyFont="1" applyAlignment="1">
      <alignment horizontal="right" vertical="center"/>
    </xf>
    <xf numFmtId="1" fontId="2" fillId="0" borderId="0" xfId="0" applyNumberFormat="1" applyFont="1" applyAlignment="1">
      <alignment vertical="center"/>
    </xf>
    <xf numFmtId="0" fontId="2" fillId="0" borderId="32" xfId="0" applyFont="1" applyBorder="1" applyAlignment="1">
      <alignment vertical="center"/>
    </xf>
    <xf numFmtId="0" fontId="2" fillId="0" borderId="32" xfId="0" applyFont="1" applyBorder="1" applyAlignment="1">
      <alignment horizontal="right" vertical="center"/>
    </xf>
    <xf numFmtId="1" fontId="108" fillId="0" borderId="32" xfId="0" applyNumberFormat="1" applyFont="1" applyBorder="1" applyAlignment="1">
      <alignment vertical="center"/>
    </xf>
    <xf numFmtId="1" fontId="2" fillId="0" borderId="32" xfId="0" applyNumberFormat="1" applyFont="1" applyBorder="1" applyAlignment="1">
      <alignment vertical="center"/>
    </xf>
    <xf numFmtId="185" fontId="2" fillId="0" borderId="32" xfId="0" applyNumberFormat="1" applyFont="1" applyBorder="1" applyAlignment="1">
      <alignment horizontal="left" vertical="center"/>
    </xf>
    <xf numFmtId="0" fontId="2" fillId="0" borderId="35" xfId="0" applyFont="1" applyBorder="1" applyAlignment="1">
      <alignment vertical="center"/>
    </xf>
    <xf numFmtId="0" fontId="2" fillId="0" borderId="35" xfId="0" applyFont="1" applyBorder="1" applyAlignment="1">
      <alignment horizontal="right" vertical="center"/>
    </xf>
    <xf numFmtId="1" fontId="184" fillId="0" borderId="35" xfId="0" applyNumberFormat="1" applyFont="1" applyBorder="1" applyAlignment="1">
      <alignment vertical="center"/>
    </xf>
    <xf numFmtId="1" fontId="2" fillId="0" borderId="35" xfId="0" applyNumberFormat="1" applyFont="1" applyBorder="1" applyAlignment="1">
      <alignment vertical="center"/>
    </xf>
    <xf numFmtId="185" fontId="2" fillId="0" borderId="35" xfId="0" applyNumberFormat="1" applyFont="1" applyBorder="1" applyAlignment="1">
      <alignment horizontal="left" vertical="center"/>
    </xf>
    <xf numFmtId="178" fontId="2" fillId="0" borderId="0" xfId="0" applyNumberFormat="1" applyFont="1" applyAlignment="1">
      <alignment vertical="center"/>
    </xf>
    <xf numFmtId="178" fontId="2" fillId="0" borderId="35" xfId="0" applyNumberFormat="1" applyFont="1" applyBorder="1" applyAlignment="1">
      <alignment vertical="center"/>
    </xf>
    <xf numFmtId="174" fontId="2" fillId="0" borderId="0" xfId="1" applyNumberFormat="1" applyFont="1" applyAlignment="1">
      <alignment vertical="center"/>
    </xf>
    <xf numFmtId="1" fontId="2" fillId="0" borderId="0" xfId="0" quotePrefix="1" applyNumberFormat="1" applyFont="1" applyAlignment="1">
      <alignment horizontal="center" vertical="center"/>
    </xf>
    <xf numFmtId="185" fontId="141" fillId="0" borderId="0" xfId="0" applyNumberFormat="1" applyFont="1" applyAlignment="1">
      <alignment horizontal="center" vertical="center"/>
    </xf>
    <xf numFmtId="0" fontId="2" fillId="0" borderId="31" xfId="0" applyFont="1" applyBorder="1" applyAlignment="1">
      <alignment vertical="center"/>
    </xf>
    <xf numFmtId="0" fontId="2" fillId="0" borderId="31" xfId="0" applyFont="1" applyBorder="1" applyAlignment="1">
      <alignment horizontal="right" vertical="center"/>
    </xf>
    <xf numFmtId="1" fontId="184" fillId="0" borderId="31" xfId="0" applyNumberFormat="1" applyFont="1" applyBorder="1" applyAlignment="1">
      <alignment vertical="center"/>
    </xf>
    <xf numFmtId="1" fontId="108" fillId="0" borderId="31" xfId="0" applyNumberFormat="1" applyFont="1" applyBorder="1" applyAlignment="1">
      <alignment vertical="center"/>
    </xf>
    <xf numFmtId="1" fontId="2" fillId="0" borderId="31" xfId="0" applyNumberFormat="1" applyFont="1" applyBorder="1" applyAlignment="1">
      <alignment vertical="center"/>
    </xf>
    <xf numFmtId="185" fontId="2" fillId="0" borderId="31" xfId="0" applyNumberFormat="1" applyFont="1" applyBorder="1" applyAlignment="1">
      <alignment horizontal="left" vertical="center"/>
    </xf>
    <xf numFmtId="185" fontId="2" fillId="4" borderId="0" xfId="0" applyNumberFormat="1" applyFont="1" applyFill="1" applyAlignment="1">
      <alignment horizontal="left" vertical="center"/>
    </xf>
    <xf numFmtId="0" fontId="2" fillId="0" borderId="49" xfId="0" quotePrefix="1" applyFont="1" applyBorder="1" applyAlignment="1">
      <alignment horizontal="right" vertical="center"/>
    </xf>
    <xf numFmtId="171" fontId="2" fillId="0" borderId="0" xfId="0" applyNumberFormat="1" applyFont="1" applyAlignment="1">
      <alignment horizontal="right" vertical="center"/>
    </xf>
    <xf numFmtId="0" fontId="2" fillId="0" borderId="0" xfId="0" quotePrefix="1" applyFont="1" applyAlignment="1">
      <alignment horizontal="right" vertical="center"/>
    </xf>
    <xf numFmtId="171" fontId="2" fillId="0" borderId="55" xfId="0" applyNumberFormat="1" applyFont="1" applyBorder="1" applyAlignment="1">
      <alignment horizontal="right" vertical="center"/>
    </xf>
    <xf numFmtId="171" fontId="2" fillId="0" borderId="49" xfId="0" applyNumberFormat="1" applyFont="1" applyBorder="1" applyAlignment="1">
      <alignment horizontal="right" vertical="center"/>
    </xf>
    <xf numFmtId="0" fontId="2" fillId="0" borderId="55" xfId="0" applyFont="1" applyBorder="1" applyAlignment="1">
      <alignment horizontal="right" vertical="center"/>
    </xf>
    <xf numFmtId="43" fontId="2" fillId="0" borderId="0" xfId="1" applyFont="1" applyAlignment="1">
      <alignment vertical="center"/>
    </xf>
    <xf numFmtId="0" fontId="0" fillId="0" borderId="1" xfId="0" applyBorder="1" applyAlignment="1">
      <alignment horizontal="center"/>
    </xf>
    <xf numFmtId="43" fontId="67" fillId="4" borderId="0" xfId="1" applyFont="1" applyFill="1"/>
    <xf numFmtId="0" fontId="67" fillId="4" borderId="0" xfId="15" applyFill="1"/>
    <xf numFmtId="0" fontId="186" fillId="0" borderId="0" xfId="0" applyFont="1"/>
    <xf numFmtId="0" fontId="186" fillId="0" borderId="0" xfId="0" applyFont="1" applyAlignment="1">
      <alignment vertical="top" wrapText="1"/>
    </xf>
    <xf numFmtId="0" fontId="186" fillId="0" borderId="0" xfId="0" applyFont="1" applyAlignment="1">
      <alignment horizontal="center"/>
    </xf>
    <xf numFmtId="3" fontId="99" fillId="0" borderId="59" xfId="0" applyNumberFormat="1" applyFont="1" applyBorder="1"/>
    <xf numFmtId="0" fontId="0" fillId="0" borderId="59" xfId="0" applyBorder="1" applyAlignment="1">
      <alignment vertical="top" wrapText="1"/>
    </xf>
    <xf numFmtId="0" fontId="0" fillId="0" borderId="59" xfId="0" applyBorder="1" applyAlignment="1">
      <alignment horizontal="center"/>
    </xf>
    <xf numFmtId="0" fontId="99" fillId="0" borderId="2" xfId="0" applyFont="1" applyBorder="1"/>
    <xf numFmtId="3" fontId="99" fillId="0" borderId="2" xfId="0" applyNumberFormat="1" applyFont="1" applyBorder="1" applyAlignment="1">
      <alignment vertical="top" wrapText="1"/>
    </xf>
    <xf numFmtId="0" fontId="99" fillId="0" borderId="2" xfId="0" applyFont="1" applyBorder="1" applyAlignment="1">
      <alignment vertical="top" wrapText="1"/>
    </xf>
    <xf numFmtId="0" fontId="99" fillId="0" borderId="2" xfId="0" applyFont="1" applyBorder="1" applyAlignment="1">
      <alignment horizontal="center"/>
    </xf>
    <xf numFmtId="0" fontId="0" fillId="0" borderId="29" xfId="0" applyBorder="1"/>
    <xf numFmtId="3" fontId="99" fillId="0" borderId="29" xfId="0" applyNumberFormat="1" applyFont="1" applyBorder="1"/>
    <xf numFmtId="3" fontId="0" fillId="0" borderId="29" xfId="0" applyNumberFormat="1" applyBorder="1" applyAlignment="1">
      <alignment horizontal="center" vertical="top" wrapText="1"/>
    </xf>
    <xf numFmtId="3" fontId="0" fillId="0" borderId="29" xfId="0" applyNumberFormat="1" applyBorder="1" applyAlignment="1">
      <alignment horizontal="center"/>
    </xf>
    <xf numFmtId="0" fontId="0" fillId="0" borderId="29" xfId="0" applyBorder="1" applyAlignment="1">
      <alignment horizontal="center"/>
    </xf>
    <xf numFmtId="3" fontId="99" fillId="0" borderId="1" xfId="0" applyNumberFormat="1" applyFont="1" applyBorder="1"/>
    <xf numFmtId="3" fontId="0" fillId="0" borderId="1" xfId="0" applyNumberFormat="1" applyBorder="1" applyAlignment="1">
      <alignment horizontal="center" vertical="top" wrapText="1"/>
    </xf>
    <xf numFmtId="3" fontId="0" fillId="0" borderId="1" xfId="0" applyNumberFormat="1" applyBorder="1" applyAlignment="1">
      <alignment horizontal="center"/>
    </xf>
    <xf numFmtId="0" fontId="0" fillId="0" borderId="5" xfId="0" applyBorder="1"/>
    <xf numFmtId="3" fontId="99" fillId="0" borderId="5" xfId="0" applyNumberFormat="1" applyFont="1" applyBorder="1"/>
    <xf numFmtId="3" fontId="99" fillId="0" borderId="5" xfId="0" applyNumberFormat="1" applyFont="1" applyBorder="1" applyAlignment="1">
      <alignment horizontal="center"/>
    </xf>
    <xf numFmtId="0" fontId="99" fillId="0" borderId="5" xfId="0" applyFont="1" applyBorder="1" applyAlignment="1">
      <alignment horizontal="center"/>
    </xf>
    <xf numFmtId="169" fontId="0" fillId="0" borderId="5" xfId="52" applyNumberFormat="1" applyFont="1" applyBorder="1" applyAlignment="1">
      <alignment horizontal="center"/>
    </xf>
    <xf numFmtId="9" fontId="0" fillId="0" borderId="0" xfId="0" applyNumberFormat="1"/>
    <xf numFmtId="0" fontId="99" fillId="0" borderId="29" xfId="0" applyFont="1" applyBorder="1"/>
    <xf numFmtId="0" fontId="99" fillId="0" borderId="29" xfId="0" applyFont="1" applyBorder="1" applyAlignment="1">
      <alignment vertical="top" wrapText="1"/>
    </xf>
    <xf numFmtId="0" fontId="0" fillId="0" borderId="29" xfId="0" applyBorder="1" applyAlignment="1">
      <alignment vertical="top" wrapText="1"/>
    </xf>
    <xf numFmtId="169" fontId="0" fillId="0" borderId="29" xfId="0" applyNumberFormat="1" applyBorder="1" applyAlignment="1">
      <alignment horizontal="center"/>
    </xf>
    <xf numFmtId="3" fontId="0" fillId="0" borderId="1" xfId="0" applyNumberFormat="1" applyBorder="1" applyAlignment="1">
      <alignment vertical="top" wrapText="1"/>
    </xf>
    <xf numFmtId="3" fontId="0" fillId="0" borderId="1" xfId="0" applyNumberFormat="1" applyBorder="1"/>
    <xf numFmtId="169" fontId="0" fillId="0" borderId="1" xfId="0" applyNumberFormat="1" applyBorder="1" applyAlignment="1">
      <alignment horizontal="center"/>
    </xf>
    <xf numFmtId="3" fontId="99" fillId="0" borderId="5" xfId="0" applyNumberFormat="1" applyFont="1" applyBorder="1" applyAlignment="1">
      <alignment horizontal="center" vertical="center"/>
    </xf>
    <xf numFmtId="0" fontId="99" fillId="0" borderId="5" xfId="0" applyFont="1" applyBorder="1" applyAlignment="1">
      <alignment horizontal="center" vertical="center"/>
    </xf>
    <xf numFmtId="3" fontId="99" fillId="0" borderId="5" xfId="0" applyNumberFormat="1" applyFont="1" applyBorder="1" applyAlignment="1">
      <alignment vertical="top" wrapText="1"/>
    </xf>
    <xf numFmtId="0" fontId="99" fillId="0" borderId="5" xfId="0" applyFont="1" applyBorder="1"/>
    <xf numFmtId="3" fontId="99" fillId="0" borderId="93" xfId="0" applyNumberFormat="1" applyFont="1" applyBorder="1" applyAlignment="1">
      <alignment horizontal="center"/>
    </xf>
    <xf numFmtId="3" fontId="99" fillId="0" borderId="94" xfId="0" applyNumberFormat="1" applyFont="1" applyBorder="1" applyAlignment="1">
      <alignment horizontal="center"/>
    </xf>
    <xf numFmtId="0" fontId="99" fillId="0" borderId="95" xfId="0" applyFont="1" applyBorder="1" applyAlignment="1">
      <alignment horizontal="center"/>
    </xf>
    <xf numFmtId="17" fontId="99" fillId="0" borderId="29" xfId="0" applyNumberFormat="1" applyFont="1" applyBorder="1"/>
    <xf numFmtId="0" fontId="0" fillId="0" borderId="0" xfId="0" applyAlignment="1">
      <alignment vertical="top" wrapText="1"/>
    </xf>
    <xf numFmtId="0" fontId="0" fillId="41" borderId="0" xfId="0" applyFill="1"/>
    <xf numFmtId="169" fontId="113" fillId="0" borderId="0" xfId="52" quotePrefix="1" applyNumberFormat="1" applyFont="1"/>
    <xf numFmtId="1" fontId="187" fillId="0" borderId="0" xfId="0" applyNumberFormat="1" applyFont="1"/>
    <xf numFmtId="167" fontId="113" fillId="0" borderId="0" xfId="1" applyNumberFormat="1" applyFont="1"/>
    <xf numFmtId="0" fontId="117" fillId="0" borderId="1" xfId="0" applyFont="1" applyBorder="1"/>
    <xf numFmtId="3" fontId="117" fillId="0" borderId="1" xfId="0" applyNumberFormat="1" applyFont="1" applyBorder="1"/>
    <xf numFmtId="169" fontId="113" fillId="0" borderId="0" xfId="52" applyNumberFormat="1" applyFont="1" applyAlignment="1">
      <alignment horizontal="right"/>
    </xf>
    <xf numFmtId="0" fontId="117" fillId="0" borderId="1" xfId="0" applyFont="1" applyBorder="1" applyAlignment="1">
      <alignment wrapText="1"/>
    </xf>
    <xf numFmtId="0" fontId="117" fillId="0" borderId="0" xfId="0" applyFont="1"/>
    <xf numFmtId="3" fontId="117" fillId="0" borderId="0" xfId="0" applyNumberFormat="1" applyFont="1"/>
    <xf numFmtId="0" fontId="188" fillId="0" borderId="0" xfId="0" applyFont="1"/>
    <xf numFmtId="0" fontId="130" fillId="0" borderId="1" xfId="0" applyFont="1" applyBorder="1" applyAlignment="1">
      <alignment horizontal="center" vertical="top" wrapText="1"/>
    </xf>
    <xf numFmtId="0" fontId="130" fillId="0" borderId="1" xfId="0" applyFont="1" applyBorder="1" applyAlignment="1">
      <alignment horizontal="center"/>
    </xf>
    <xf numFmtId="3" fontId="130" fillId="0" borderId="1" xfId="0" applyNumberFormat="1" applyFont="1" applyBorder="1" applyAlignment="1">
      <alignment horizontal="center"/>
    </xf>
    <xf numFmtId="3" fontId="130" fillId="0" borderId="1" xfId="0" applyNumberFormat="1" applyFont="1" applyBorder="1" applyAlignment="1">
      <alignment horizontal="center" vertical="top" wrapText="1"/>
    </xf>
    <xf numFmtId="169" fontId="112" fillId="0" borderId="0" xfId="52" applyNumberFormat="1" applyFont="1"/>
    <xf numFmtId="167" fontId="113" fillId="0" borderId="0" xfId="2" applyNumberFormat="1" applyFont="1"/>
    <xf numFmtId="0" fontId="117" fillId="4" borderId="1" xfId="0" applyFont="1" applyFill="1" applyBorder="1"/>
    <xf numFmtId="1" fontId="187" fillId="4" borderId="0" xfId="0" applyNumberFormat="1" applyFont="1" applyFill="1"/>
    <xf numFmtId="3" fontId="117" fillId="4" borderId="1" xfId="0" applyNumberFormat="1" applyFont="1" applyFill="1" applyBorder="1"/>
    <xf numFmtId="0" fontId="0" fillId="0" borderId="36" xfId="0" applyBorder="1"/>
    <xf numFmtId="3" fontId="99" fillId="0" borderId="32" xfId="0" applyNumberFormat="1" applyFont="1" applyBorder="1"/>
    <xf numFmtId="0" fontId="0" fillId="0" borderId="33" xfId="0" applyBorder="1"/>
    <xf numFmtId="0" fontId="0" fillId="0" borderId="34" xfId="0" applyBorder="1"/>
    <xf numFmtId="3" fontId="99" fillId="0" borderId="35" xfId="0" applyNumberFormat="1" applyFont="1" applyBorder="1"/>
    <xf numFmtId="0" fontId="0" fillId="0" borderId="38" xfId="0" applyBorder="1" applyAlignment="1">
      <alignment vertical="top" wrapText="1"/>
    </xf>
    <xf numFmtId="167" fontId="0" fillId="0" borderId="32" xfId="1" applyNumberFormat="1" applyFont="1" applyBorder="1"/>
    <xf numFmtId="167" fontId="0" fillId="0" borderId="0" xfId="1" applyNumberFormat="1" applyFont="1"/>
    <xf numFmtId="167" fontId="0" fillId="0" borderId="35" xfId="1" applyNumberFormat="1" applyFont="1" applyBorder="1"/>
    <xf numFmtId="3" fontId="99" fillId="4" borderId="32" xfId="0" applyNumberFormat="1" applyFont="1" applyFill="1" applyBorder="1"/>
    <xf numFmtId="3" fontId="99" fillId="4" borderId="0" xfId="0" applyNumberFormat="1" applyFont="1" applyFill="1"/>
    <xf numFmtId="3" fontId="99" fillId="4" borderId="35" xfId="0" applyNumberFormat="1" applyFont="1" applyFill="1" applyBorder="1"/>
    <xf numFmtId="3" fontId="99" fillId="4" borderId="5" xfId="0" applyNumberFormat="1" applyFont="1" applyFill="1" applyBorder="1"/>
    <xf numFmtId="3" fontId="99" fillId="4" borderId="93" xfId="0" applyNumberFormat="1" applyFont="1" applyFill="1" applyBorder="1"/>
    <xf numFmtId="167" fontId="0" fillId="4" borderId="0" xfId="1" applyNumberFormat="1" applyFont="1" applyFill="1"/>
    <xf numFmtId="3" fontId="99" fillId="4" borderId="5" xfId="0" applyNumberFormat="1" applyFont="1" applyFill="1" applyBorder="1" applyAlignment="1">
      <alignment horizontal="center" vertical="center"/>
    </xf>
    <xf numFmtId="0" fontId="0" fillId="0" borderId="43" xfId="0" quotePrefix="1" applyBorder="1" applyAlignment="1">
      <alignment vertical="top" wrapText="1"/>
    </xf>
    <xf numFmtId="3" fontId="99" fillId="4" borderId="5" xfId="0" applyNumberFormat="1" applyFont="1" applyFill="1" applyBorder="1" applyAlignment="1">
      <alignment horizontal="center" vertical="top" wrapText="1"/>
    </xf>
    <xf numFmtId="3" fontId="99" fillId="4" borderId="5" xfId="0" applyNumberFormat="1" applyFont="1" applyFill="1" applyBorder="1" applyAlignment="1">
      <alignment vertical="top" wrapText="1"/>
    </xf>
    <xf numFmtId="167" fontId="0" fillId="4" borderId="43" xfId="1" applyNumberFormat="1" applyFont="1" applyFill="1" applyBorder="1" applyAlignment="1">
      <alignment vertical="top" wrapText="1"/>
    </xf>
    <xf numFmtId="167" fontId="0" fillId="4" borderId="26" xfId="1" applyNumberFormat="1" applyFont="1" applyFill="1" applyBorder="1" applyAlignment="1">
      <alignment vertical="top" wrapText="1"/>
    </xf>
    <xf numFmtId="167" fontId="0" fillId="4" borderId="38" xfId="1" applyNumberFormat="1" applyFont="1" applyFill="1" applyBorder="1" applyAlignment="1">
      <alignment vertical="top" wrapText="1"/>
    </xf>
    <xf numFmtId="0" fontId="190" fillId="0" borderId="1" xfId="0" applyFont="1" applyBorder="1"/>
    <xf numFmtId="0" fontId="191" fillId="0" borderId="1" xfId="0" applyFont="1" applyBorder="1" applyAlignment="1">
      <alignment horizontal="left" wrapText="1"/>
    </xf>
    <xf numFmtId="0" fontId="191" fillId="0" borderId="1" xfId="0" applyFont="1" applyBorder="1" applyAlignment="1">
      <alignment horizontal="left"/>
    </xf>
    <xf numFmtId="0" fontId="191" fillId="0" borderId="1" xfId="0" applyFont="1" applyBorder="1" applyAlignment="1">
      <alignment horizontal="right"/>
    </xf>
    <xf numFmtId="0" fontId="192" fillId="0" borderId="1" xfId="0" applyFont="1" applyBorder="1" applyAlignment="1">
      <alignment horizontal="left"/>
    </xf>
    <xf numFmtId="3" fontId="192" fillId="0" borderId="1" xfId="0" applyNumberFormat="1" applyFont="1" applyBorder="1" applyAlignment="1">
      <alignment horizontal="right"/>
    </xf>
    <xf numFmtId="0" fontId="192" fillId="0" borderId="1" xfId="0" applyFont="1" applyBorder="1" applyAlignment="1">
      <alignment horizontal="right"/>
    </xf>
    <xf numFmtId="3" fontId="191" fillId="0" borderId="10" xfId="0" applyNumberFormat="1" applyFont="1" applyBorder="1" applyAlignment="1">
      <alignment horizontal="right"/>
    </xf>
    <xf numFmtId="0" fontId="193" fillId="0" borderId="32" xfId="0" applyFont="1" applyBorder="1"/>
    <xf numFmtId="3" fontId="191" fillId="15" borderId="10" xfId="0" applyNumberFormat="1" applyFont="1" applyFill="1" applyBorder="1" applyAlignment="1">
      <alignment horizontal="right"/>
    </xf>
    <xf numFmtId="3" fontId="117" fillId="15" borderId="1" xfId="0" applyNumberFormat="1" applyFont="1" applyFill="1" applyBorder="1"/>
    <xf numFmtId="167" fontId="0" fillId="15" borderId="0" xfId="1" applyNumberFormat="1" applyFont="1" applyFill="1"/>
    <xf numFmtId="167" fontId="0" fillId="15" borderId="35" xfId="1" applyNumberFormat="1" applyFont="1" applyFill="1" applyBorder="1"/>
    <xf numFmtId="0" fontId="194" fillId="0" borderId="0" xfId="0" applyFont="1" applyAlignment="1">
      <alignment horizontal="left" vertical="center" indent="6"/>
    </xf>
    <xf numFmtId="0" fontId="119" fillId="0" borderId="4" xfId="0" applyFont="1" applyBorder="1" applyAlignment="1">
      <alignment vertical="center"/>
    </xf>
    <xf numFmtId="0" fontId="119" fillId="0" borderId="21" xfId="0" applyFont="1" applyBorder="1" applyAlignment="1">
      <alignment vertical="center"/>
    </xf>
    <xf numFmtId="0" fontId="119" fillId="0" borderId="21" xfId="0" applyFont="1" applyBorder="1" applyAlignment="1">
      <alignment horizontal="right" vertical="center"/>
    </xf>
    <xf numFmtId="0" fontId="119" fillId="42" borderId="21" xfId="0" applyFont="1" applyFill="1" applyBorder="1" applyAlignment="1">
      <alignment horizontal="right" vertical="center"/>
    </xf>
    <xf numFmtId="0" fontId="116" fillId="0" borderId="40" xfId="0" applyFont="1" applyBorder="1" applyAlignment="1">
      <alignment vertical="center"/>
    </xf>
    <xf numFmtId="0" fontId="116" fillId="0" borderId="41" xfId="0" applyFont="1" applyBorder="1" applyAlignment="1">
      <alignment vertical="center"/>
    </xf>
    <xf numFmtId="3" fontId="116" fillId="0" borderId="41" xfId="0" applyNumberFormat="1" applyFont="1" applyBorder="1" applyAlignment="1">
      <alignment horizontal="right" vertical="center"/>
    </xf>
    <xf numFmtId="3" fontId="116" fillId="42" borderId="41" xfId="0" applyNumberFormat="1" applyFont="1" applyFill="1" applyBorder="1" applyAlignment="1">
      <alignment horizontal="right" vertical="center"/>
    </xf>
    <xf numFmtId="0" fontId="116" fillId="0" borderId="41" xfId="0" applyFont="1" applyBorder="1" applyAlignment="1">
      <alignment horizontal="right" vertical="center"/>
    </xf>
    <xf numFmtId="0" fontId="119" fillId="0" borderId="40" xfId="0" applyFont="1" applyBorder="1" applyAlignment="1">
      <alignment vertical="center"/>
    </xf>
    <xf numFmtId="0" fontId="119" fillId="0" borderId="41" xfId="0" applyFont="1" applyBorder="1" applyAlignment="1">
      <alignment vertical="center"/>
    </xf>
    <xf numFmtId="3" fontId="119" fillId="0" borderId="41" xfId="0" applyNumberFormat="1" applyFont="1" applyBorder="1" applyAlignment="1">
      <alignment horizontal="right" vertical="center"/>
    </xf>
    <xf numFmtId="3" fontId="119" fillId="42" borderId="41" xfId="0" applyNumberFormat="1" applyFont="1" applyFill="1" applyBorder="1" applyAlignment="1">
      <alignment horizontal="right" vertical="center"/>
    </xf>
    <xf numFmtId="0" fontId="195" fillId="0" borderId="0" xfId="0" applyFont="1" applyAlignment="1">
      <alignment horizontal="center" vertical="center"/>
    </xf>
    <xf numFmtId="3" fontId="119" fillId="15" borderId="41" xfId="0" applyNumberFormat="1" applyFont="1" applyFill="1" applyBorder="1" applyAlignment="1">
      <alignment horizontal="right" vertical="center"/>
    </xf>
    <xf numFmtId="176" fontId="0" fillId="0" borderId="35" xfId="2" applyNumberFormat="1" applyFont="1" applyBorder="1" applyAlignment="1">
      <alignment horizontal="right"/>
    </xf>
    <xf numFmtId="176" fontId="0" fillId="0" borderId="0" xfId="2" applyNumberFormat="1" applyFont="1" applyAlignment="1">
      <alignment horizontal="right"/>
    </xf>
    <xf numFmtId="0" fontId="0" fillId="0" borderId="96" xfId="0" applyBorder="1"/>
    <xf numFmtId="0" fontId="0" fillId="0" borderId="96" xfId="0" applyBorder="1" applyAlignment="1">
      <alignment wrapText="1"/>
    </xf>
    <xf numFmtId="0" fontId="196" fillId="0" borderId="96" xfId="0" applyFont="1" applyBorder="1" applyAlignment="1">
      <alignment wrapText="1"/>
    </xf>
    <xf numFmtId="0" fontId="0" fillId="0" borderId="96" xfId="0" applyBorder="1" applyAlignment="1">
      <alignment horizontal="right"/>
    </xf>
    <xf numFmtId="176" fontId="0" fillId="0" borderId="96" xfId="2" applyNumberFormat="1" applyFont="1" applyBorder="1" applyAlignment="1">
      <alignment horizontal="right"/>
    </xf>
    <xf numFmtId="177" fontId="0" fillId="0" borderId="96" xfId="2" applyNumberFormat="1" applyFont="1" applyBorder="1" applyAlignment="1">
      <alignment horizontal="right"/>
    </xf>
    <xf numFmtId="0" fontId="0" fillId="0" borderId="98" xfId="0" applyBorder="1"/>
    <xf numFmtId="0" fontId="0" fillId="0" borderId="98" xfId="0" applyBorder="1" applyAlignment="1">
      <alignment wrapText="1"/>
    </xf>
    <xf numFmtId="0" fontId="0" fillId="0" borderId="97" xfId="0" applyBorder="1"/>
    <xf numFmtId="0" fontId="0" fillId="0" borderId="100" xfId="0" applyBorder="1"/>
    <xf numFmtId="0" fontId="0" fillId="0" borderId="99" xfId="0" applyBorder="1"/>
    <xf numFmtId="0" fontId="0" fillId="0" borderId="99" xfId="0" applyBorder="1" applyAlignment="1">
      <alignment wrapText="1"/>
    </xf>
    <xf numFmtId="0" fontId="196" fillId="0" borderId="98" xfId="0" applyFont="1" applyBorder="1" applyAlignment="1">
      <alignment wrapText="1"/>
    </xf>
    <xf numFmtId="176" fontId="0" fillId="0" borderId="98" xfId="2" applyNumberFormat="1" applyFont="1" applyBorder="1" applyAlignment="1">
      <alignment horizontal="right"/>
    </xf>
    <xf numFmtId="176" fontId="0" fillId="0" borderId="97" xfId="2" applyNumberFormat="1" applyFont="1" applyBorder="1" applyAlignment="1">
      <alignment horizontal="right"/>
    </xf>
    <xf numFmtId="177" fontId="0" fillId="0" borderId="97" xfId="2" applyNumberFormat="1" applyFont="1" applyBorder="1" applyAlignment="1">
      <alignment horizontal="right"/>
    </xf>
    <xf numFmtId="3" fontId="172" fillId="4" borderId="0" xfId="0" applyNumberFormat="1" applyFont="1" applyFill="1" applyAlignment="1">
      <alignment horizontal="center" vertical="center"/>
    </xf>
    <xf numFmtId="3" fontId="172" fillId="8" borderId="0" xfId="0" applyNumberFormat="1" applyFont="1" applyFill="1" applyAlignment="1">
      <alignment horizontal="center" vertical="center"/>
    </xf>
    <xf numFmtId="3" fontId="172" fillId="39" borderId="0" xfId="0" applyNumberFormat="1" applyFont="1" applyFill="1" applyAlignment="1">
      <alignment horizontal="center" vertical="center"/>
    </xf>
    <xf numFmtId="0" fontId="14" fillId="0" borderId="1" xfId="28" applyFont="1" applyBorder="1" applyAlignment="1">
      <alignment horizontal="center" textRotation="90" wrapText="1"/>
    </xf>
    <xf numFmtId="0" fontId="14" fillId="0" borderId="31" xfId="28" applyFont="1" applyBorder="1" applyAlignment="1">
      <alignment horizontal="center"/>
    </xf>
    <xf numFmtId="0" fontId="14" fillId="37" borderId="37" xfId="28" applyFont="1" applyFill="1" applyBorder="1" applyAlignment="1">
      <alignment horizontal="left" wrapText="1"/>
    </xf>
    <xf numFmtId="0" fontId="5" fillId="0" borderId="0" xfId="28" applyFont="1" applyAlignment="1">
      <alignment horizontal="left" wrapText="1"/>
    </xf>
    <xf numFmtId="0" fontId="3" fillId="0" borderId="0" xfId="28" applyFont="1" applyAlignment="1">
      <alignment wrapText="1"/>
    </xf>
    <xf numFmtId="0" fontId="5" fillId="0" borderId="35" xfId="28" applyFont="1" applyBorder="1" applyAlignment="1">
      <alignment wrapText="1"/>
    </xf>
    <xf numFmtId="0" fontId="3" fillId="0" borderId="35" xfId="28" applyFont="1" applyBorder="1" applyAlignment="1">
      <alignment wrapText="1"/>
    </xf>
    <xf numFmtId="0" fontId="76" fillId="0" borderId="0" xfId="28" applyFont="1" applyAlignment="1">
      <alignment wrapText="1"/>
    </xf>
    <xf numFmtId="0" fontId="57" fillId="4" borderId="31" xfId="27" applyFont="1" applyFill="1" applyBorder="1"/>
    <xf numFmtId="0" fontId="57" fillId="8" borderId="31" xfId="27" applyFont="1" applyFill="1" applyBorder="1"/>
    <xf numFmtId="0" fontId="57" fillId="39" borderId="31" xfId="27" applyFont="1" applyFill="1" applyBorder="1"/>
    <xf numFmtId="0" fontId="57" fillId="40" borderId="31" xfId="1" applyNumberFormat="1" applyFont="1" applyFill="1" applyBorder="1"/>
    <xf numFmtId="167" fontId="95" fillId="8" borderId="0" xfId="1" applyNumberFormat="1" applyFill="1"/>
    <xf numFmtId="167" fontId="95" fillId="39" borderId="0" xfId="1" applyNumberFormat="1" applyFill="1"/>
    <xf numFmtId="167" fontId="95" fillId="40" borderId="0" xfId="1" applyNumberFormat="1" applyFill="1"/>
    <xf numFmtId="3" fontId="100" fillId="0" borderId="0" xfId="0" applyNumberFormat="1" applyFont="1"/>
    <xf numFmtId="2" fontId="99" fillId="0" borderId="0" xfId="0" applyNumberFormat="1" applyFont="1"/>
    <xf numFmtId="2" fontId="99" fillId="0" borderId="0" xfId="43" applyNumberFormat="1" applyFont="1"/>
    <xf numFmtId="3" fontId="100" fillId="0" borderId="0" xfId="0" quotePrefix="1" applyNumberFormat="1" applyFont="1"/>
    <xf numFmtId="0" fontId="100" fillId="0" borderId="0" xfId="0" applyFont="1" applyAlignment="1">
      <alignment wrapText="1"/>
    </xf>
    <xf numFmtId="0" fontId="100" fillId="0" borderId="0" xfId="0" applyFont="1" applyAlignment="1">
      <alignment horizontal="right"/>
    </xf>
    <xf numFmtId="3" fontId="111" fillId="0" borderId="0" xfId="0" applyNumberFormat="1" applyFont="1"/>
    <xf numFmtId="3" fontId="100" fillId="0" borderId="0" xfId="0" applyNumberFormat="1" applyFont="1" applyAlignment="1">
      <alignment wrapText="1"/>
    </xf>
    <xf numFmtId="10" fontId="100" fillId="0" borderId="0" xfId="52" applyNumberFormat="1" applyFont="1"/>
    <xf numFmtId="0" fontId="131" fillId="0" borderId="0" xfId="0" applyFont="1"/>
    <xf numFmtId="0" fontId="111" fillId="0" borderId="0" xfId="0" applyFont="1" applyAlignment="1">
      <alignment horizontal="right"/>
    </xf>
    <xf numFmtId="0" fontId="111" fillId="0" borderId="0" xfId="0" applyFont="1"/>
    <xf numFmtId="0" fontId="111" fillId="0" borderId="0" xfId="43" applyFont="1"/>
    <xf numFmtId="3" fontId="197" fillId="0" borderId="0" xfId="0" applyNumberFormat="1" applyFont="1"/>
    <xf numFmtId="0" fontId="99" fillId="0" borderId="12" xfId="0" applyFont="1" applyBorder="1"/>
    <xf numFmtId="0" fontId="99" fillId="0" borderId="3" xfId="0" applyFont="1" applyBorder="1"/>
    <xf numFmtId="170" fontId="100" fillId="0" borderId="16" xfId="3" applyNumberFormat="1" applyFont="1" applyBorder="1"/>
    <xf numFmtId="165" fontId="100" fillId="0" borderId="29" xfId="3" applyFont="1" applyBorder="1"/>
    <xf numFmtId="0" fontId="100" fillId="0" borderId="20" xfId="0" applyFont="1" applyBorder="1"/>
    <xf numFmtId="170" fontId="100" fillId="0" borderId="14" xfId="3" applyNumberFormat="1" applyFont="1" applyBorder="1"/>
    <xf numFmtId="165" fontId="100" fillId="0" borderId="1" xfId="3" applyFont="1" applyBorder="1"/>
    <xf numFmtId="0" fontId="100" fillId="0" borderId="6" xfId="0" applyFont="1" applyBorder="1"/>
    <xf numFmtId="170" fontId="100" fillId="0" borderId="17" xfId="3" applyNumberFormat="1" applyFont="1" applyBorder="1"/>
    <xf numFmtId="165" fontId="100" fillId="0" borderId="10" xfId="3" applyFont="1" applyBorder="1"/>
    <xf numFmtId="0" fontId="100" fillId="0" borderId="11" xfId="0" applyFont="1" applyBorder="1"/>
    <xf numFmtId="170" fontId="111" fillId="0" borderId="12" xfId="3" applyNumberFormat="1" applyFont="1" applyBorder="1"/>
    <xf numFmtId="165" fontId="111" fillId="0" borderId="2" xfId="3" applyFont="1" applyBorder="1"/>
    <xf numFmtId="0" fontId="111" fillId="0" borderId="3" xfId="0" applyFont="1" applyBorder="1"/>
    <xf numFmtId="0" fontId="100" fillId="8" borderId="0" xfId="43" applyFont="1" applyFill="1"/>
    <xf numFmtId="0" fontId="95" fillId="8" borderId="0" xfId="43" applyFill="1"/>
    <xf numFmtId="167" fontId="100" fillId="0" borderId="16" xfId="2" applyNumberFormat="1" applyFont="1" applyBorder="1"/>
    <xf numFmtId="43" fontId="100" fillId="0" borderId="29" xfId="2" applyNumberFormat="1" applyFont="1" applyBorder="1"/>
    <xf numFmtId="167" fontId="100" fillId="0" borderId="14" xfId="2" applyNumberFormat="1" applyFont="1" applyBorder="1"/>
    <xf numFmtId="43" fontId="100" fillId="0" borderId="1" xfId="2" applyNumberFormat="1" applyFont="1" applyBorder="1"/>
    <xf numFmtId="167" fontId="100" fillId="0" borderId="17" xfId="2" applyNumberFormat="1" applyFont="1" applyBorder="1"/>
    <xf numFmtId="43" fontId="100" fillId="0" borderId="10" xfId="2" applyNumberFormat="1" applyFont="1" applyBorder="1"/>
    <xf numFmtId="167" fontId="111" fillId="0" borderId="12" xfId="2" applyNumberFormat="1" applyFont="1" applyBorder="1"/>
    <xf numFmtId="43" fontId="111" fillId="0" borderId="2" xfId="2" applyNumberFormat="1" applyFont="1" applyBorder="1"/>
    <xf numFmtId="0" fontId="95" fillId="39" borderId="0" xfId="43" applyFill="1"/>
    <xf numFmtId="167" fontId="100" fillId="0" borderId="13" xfId="2" applyNumberFormat="1" applyFont="1" applyBorder="1"/>
    <xf numFmtId="164" fontId="100" fillId="0" borderId="8" xfId="2" applyFont="1" applyBorder="1"/>
    <xf numFmtId="0" fontId="100" fillId="0" borderId="9" xfId="0" applyFont="1" applyBorder="1"/>
    <xf numFmtId="164" fontId="100" fillId="0" borderId="1" xfId="2" applyFont="1" applyBorder="1"/>
    <xf numFmtId="167" fontId="100" fillId="0" borderId="15" xfId="2" applyNumberFormat="1" applyFont="1" applyBorder="1"/>
    <xf numFmtId="164" fontId="100" fillId="0" borderId="5" xfId="2" applyFont="1" applyBorder="1"/>
    <xf numFmtId="0" fontId="100" fillId="0" borderId="7" xfId="0" applyFont="1" applyBorder="1"/>
    <xf numFmtId="167" fontId="111" fillId="0" borderId="42" xfId="2" applyNumberFormat="1" applyFont="1" applyBorder="1"/>
    <xf numFmtId="164" fontId="111" fillId="0" borderId="59" xfId="2" applyFont="1" applyBorder="1"/>
    <xf numFmtId="0" fontId="111" fillId="0" borderId="41" xfId="0" applyFont="1" applyBorder="1"/>
    <xf numFmtId="3" fontId="111" fillId="39" borderId="0" xfId="0" applyNumberFormat="1" applyFont="1" applyFill="1"/>
    <xf numFmtId="3" fontId="111" fillId="4" borderId="0" xfId="45" applyNumberFormat="1" applyFont="1" applyFill="1"/>
    <xf numFmtId="0" fontId="111" fillId="4" borderId="0" xfId="45" quotePrefix="1" applyFont="1" applyFill="1"/>
    <xf numFmtId="0" fontId="95" fillId="40" borderId="0" xfId="43" applyFill="1"/>
    <xf numFmtId="3" fontId="111" fillId="40" borderId="0" xfId="0" applyNumberFormat="1" applyFont="1" applyFill="1"/>
    <xf numFmtId="0" fontId="111" fillId="40" borderId="0" xfId="0" quotePrefix="1" applyFont="1" applyFill="1"/>
    <xf numFmtId="0" fontId="111" fillId="39" borderId="0" xfId="0" quotePrefix="1" applyFont="1" applyFill="1"/>
    <xf numFmtId="3" fontId="111" fillId="8" borderId="0" xfId="0" applyNumberFormat="1" applyFont="1" applyFill="1"/>
    <xf numFmtId="0" fontId="111" fillId="8" borderId="0" xfId="0" quotePrefix="1" applyFont="1" applyFill="1"/>
    <xf numFmtId="3" fontId="198" fillId="33" borderId="1" xfId="11" applyNumberFormat="1" applyFont="1" applyFill="1" applyBorder="1" applyAlignment="1">
      <alignment vertical="center"/>
    </xf>
    <xf numFmtId="3" fontId="16" fillId="10" borderId="32" xfId="28" applyNumberFormat="1" applyFont="1" applyFill="1" applyBorder="1" applyAlignment="1">
      <alignment horizontal="center"/>
    </xf>
    <xf numFmtId="0" fontId="14" fillId="10" borderId="1" xfId="28" applyFont="1" applyFill="1" applyBorder="1" applyAlignment="1">
      <alignment textRotation="90" wrapText="1"/>
    </xf>
    <xf numFmtId="3" fontId="16" fillId="0" borderId="31" xfId="28" applyNumberFormat="1" applyFont="1" applyBorder="1" applyAlignment="1">
      <alignment horizontal="center"/>
    </xf>
    <xf numFmtId="3" fontId="14" fillId="0" borderId="32" xfId="28" applyNumberFormat="1" applyFont="1" applyBorder="1" applyAlignment="1">
      <alignment horizontal="center"/>
    </xf>
    <xf numFmtId="3" fontId="14" fillId="0" borderId="35" xfId="28" applyNumberFormat="1" applyFont="1" applyBorder="1" applyAlignment="1">
      <alignment horizontal="center"/>
    </xf>
    <xf numFmtId="3" fontId="16" fillId="0" borderId="0" xfId="28" applyNumberFormat="1" applyFont="1" applyAlignment="1">
      <alignment horizontal="center"/>
    </xf>
    <xf numFmtId="3" fontId="14" fillId="0" borderId="31" xfId="28" applyNumberFormat="1" applyFont="1" applyBorder="1" applyAlignment="1">
      <alignment horizontal="center"/>
    </xf>
    <xf numFmtId="3" fontId="16" fillId="10" borderId="35" xfId="28" applyNumberFormat="1" applyFont="1" applyFill="1" applyBorder="1" applyAlignment="1">
      <alignment horizontal="center"/>
    </xf>
    <xf numFmtId="3" fontId="16" fillId="10" borderId="1" xfId="28" applyNumberFormat="1" applyFont="1" applyFill="1" applyBorder="1" applyAlignment="1">
      <alignment horizontal="center"/>
    </xf>
    <xf numFmtId="3" fontId="16" fillId="0" borderId="37" xfId="28" applyNumberFormat="1" applyFont="1" applyBorder="1" applyAlignment="1">
      <alignment horizontal="center"/>
    </xf>
    <xf numFmtId="3" fontId="16" fillId="0" borderId="26" xfId="28" applyNumberFormat="1" applyFont="1" applyBorder="1" applyAlignment="1">
      <alignment horizontal="center"/>
    </xf>
    <xf numFmtId="3" fontId="14" fillId="0" borderId="37" xfId="28" applyNumberFormat="1" applyFont="1" applyBorder="1" applyAlignment="1">
      <alignment horizontal="center"/>
    </xf>
    <xf numFmtId="3" fontId="14" fillId="0" borderId="43" xfId="28" applyNumberFormat="1" applyFont="1" applyBorder="1" applyAlignment="1">
      <alignment horizontal="center"/>
    </xf>
    <xf numFmtId="3" fontId="14" fillId="0" borderId="26" xfId="28" applyNumberFormat="1" applyFont="1" applyBorder="1" applyAlignment="1">
      <alignment horizontal="center"/>
    </xf>
    <xf numFmtId="3" fontId="14" fillId="0" borderId="38" xfId="28" applyNumberFormat="1" applyFont="1" applyBorder="1" applyAlignment="1">
      <alignment horizontal="center"/>
    </xf>
    <xf numFmtId="3" fontId="16" fillId="0" borderId="38" xfId="28" applyNumberFormat="1" applyFont="1" applyBorder="1" applyAlignment="1">
      <alignment horizontal="center"/>
    </xf>
    <xf numFmtId="3" fontId="14" fillId="10" borderId="38" xfId="28" applyNumberFormat="1" applyFont="1" applyFill="1" applyBorder="1" applyAlignment="1">
      <alignment horizontal="center"/>
    </xf>
    <xf numFmtId="3" fontId="14" fillId="10" borderId="37" xfId="28" applyNumberFormat="1" applyFont="1" applyFill="1" applyBorder="1" applyAlignment="1">
      <alignment horizontal="center"/>
    </xf>
    <xf numFmtId="3" fontId="14" fillId="10" borderId="1" xfId="28" applyNumberFormat="1" applyFont="1" applyFill="1" applyBorder="1" applyAlignment="1">
      <alignment horizontal="center"/>
    </xf>
    <xf numFmtId="3" fontId="14" fillId="10" borderId="29" xfId="28" applyNumberFormat="1" applyFont="1" applyFill="1" applyBorder="1" applyAlignment="1">
      <alignment horizontal="center"/>
    </xf>
    <xf numFmtId="3" fontId="16" fillId="10" borderId="29" xfId="28" applyNumberFormat="1" applyFont="1" applyFill="1" applyBorder="1" applyAlignment="1">
      <alignment horizontal="center"/>
    </xf>
    <xf numFmtId="0" fontId="14" fillId="0" borderId="1" xfId="28" applyFont="1" applyBorder="1" applyAlignment="1">
      <alignment horizontal="left" wrapText="1" indent="1"/>
    </xf>
    <xf numFmtId="0" fontId="14" fillId="0" borderId="25" xfId="28" applyFont="1" applyBorder="1" applyAlignment="1">
      <alignment horizontal="left" wrapText="1" indent="1"/>
    </xf>
    <xf numFmtId="0" fontId="16" fillId="12" borderId="1" xfId="28" applyFont="1" applyFill="1" applyBorder="1" applyAlignment="1">
      <alignment horizontal="left" wrapText="1"/>
    </xf>
    <xf numFmtId="0" fontId="14" fillId="12" borderId="1" xfId="28" applyFont="1" applyFill="1" applyBorder="1" applyAlignment="1">
      <alignment horizontal="left" wrapText="1" indent="1"/>
    </xf>
    <xf numFmtId="0" fontId="14" fillId="0" borderId="25" xfId="28" applyFont="1" applyBorder="1" applyAlignment="1">
      <alignment horizontal="left" wrapText="1" indent="2"/>
    </xf>
    <xf numFmtId="0" fontId="14" fillId="0" borderId="29" xfId="28" applyFont="1" applyBorder="1" applyAlignment="1">
      <alignment horizontal="left" wrapText="1" indent="2"/>
    </xf>
    <xf numFmtId="0" fontId="14" fillId="0" borderId="10" xfId="28" applyFont="1" applyBorder="1" applyAlignment="1">
      <alignment horizontal="left" wrapText="1" indent="1"/>
    </xf>
    <xf numFmtId="0" fontId="14" fillId="0" borderId="29" xfId="28" applyFont="1" applyBorder="1" applyAlignment="1">
      <alignment horizontal="left" wrapText="1" indent="1"/>
    </xf>
    <xf numFmtId="0" fontId="16" fillId="12" borderId="25" xfId="28" applyFont="1" applyFill="1" applyBorder="1" applyAlignment="1">
      <alignment horizontal="left" wrapText="1" indent="1"/>
    </xf>
    <xf numFmtId="0" fontId="14" fillId="12" borderId="1" xfId="28" applyFont="1" applyFill="1" applyBorder="1" applyAlignment="1">
      <alignment horizontal="left" wrapText="1" indent="2"/>
    </xf>
    <xf numFmtId="0" fontId="14" fillId="0" borderId="10" xfId="28" applyFont="1" applyBorder="1" applyAlignment="1">
      <alignment horizontal="left" wrapText="1" indent="2"/>
    </xf>
    <xf numFmtId="0" fontId="14" fillId="33" borderId="1" xfId="28" applyFont="1" applyFill="1" applyBorder="1" applyAlignment="1">
      <alignment horizontal="left" wrapText="1" indent="2"/>
    </xf>
    <xf numFmtId="0" fontId="16" fillId="12" borderId="1" xfId="28" applyFont="1" applyFill="1" applyBorder="1" applyAlignment="1">
      <alignment horizontal="left" wrapText="1" indent="1"/>
    </xf>
    <xf numFmtId="0" fontId="3" fillId="0" borderId="26" xfId="28" applyFont="1" applyBorder="1" applyAlignment="1">
      <alignment wrapText="1"/>
    </xf>
    <xf numFmtId="0" fontId="3" fillId="0" borderId="38" xfId="28" applyFont="1" applyBorder="1" applyAlignment="1">
      <alignment wrapText="1"/>
    </xf>
    <xf numFmtId="0" fontId="0" fillId="0" borderId="37" xfId="0" applyBorder="1"/>
    <xf numFmtId="0" fontId="16" fillId="33" borderId="38" xfId="28" applyFont="1" applyFill="1" applyBorder="1" applyAlignment="1">
      <alignment horizontal="left" wrapText="1"/>
    </xf>
    <xf numFmtId="0" fontId="0" fillId="11" borderId="43" xfId="0" applyFill="1" applyBorder="1"/>
    <xf numFmtId="0" fontId="14" fillId="0" borderId="1" xfId="28" quotePrefix="1" applyFont="1" applyBorder="1" applyAlignment="1">
      <alignment horizontal="right" wrapText="1"/>
    </xf>
    <xf numFmtId="3" fontId="16" fillId="0" borderId="35" xfId="28" applyNumberFormat="1" applyFont="1" applyBorder="1" applyAlignment="1">
      <alignment horizontal="center"/>
    </xf>
    <xf numFmtId="0" fontId="14" fillId="0" borderId="37" xfId="28" quotePrefix="1" applyFont="1" applyBorder="1" applyAlignment="1">
      <alignment horizontal="right" wrapText="1"/>
    </xf>
    <xf numFmtId="0" fontId="14" fillId="37" borderId="24" xfId="28" applyFont="1" applyFill="1" applyBorder="1" applyAlignment="1">
      <alignment horizontal="left"/>
    </xf>
    <xf numFmtId="0" fontId="29" fillId="0" borderId="0" xfId="28" applyFont="1"/>
    <xf numFmtId="0" fontId="148" fillId="4" borderId="46" xfId="0" applyFont="1" applyFill="1" applyBorder="1" applyAlignment="1">
      <alignment wrapText="1"/>
    </xf>
    <xf numFmtId="0" fontId="0" fillId="39" borderId="0" xfId="43" applyFont="1" applyFill="1"/>
    <xf numFmtId="0" fontId="0" fillId="40" borderId="0" xfId="43" applyFont="1" applyFill="1"/>
    <xf numFmtId="0" fontId="2" fillId="15" borderId="0" xfId="0" applyFont="1" applyFill="1" applyAlignment="1">
      <alignment vertical="center"/>
    </xf>
    <xf numFmtId="0" fontId="29" fillId="15" borderId="0" xfId="0" applyFont="1" applyFill="1" applyAlignment="1">
      <alignment vertical="center"/>
    </xf>
    <xf numFmtId="171" fontId="2" fillId="0" borderId="0" xfId="0" quotePrefix="1" applyNumberFormat="1" applyFont="1" applyAlignment="1">
      <alignment horizontal="right" vertical="center"/>
    </xf>
    <xf numFmtId="171" fontId="2" fillId="0" borderId="0" xfId="0" applyNumberFormat="1" applyFont="1" applyAlignment="1" applyProtection="1">
      <alignment horizontal="right" vertical="center"/>
      <protection hidden="1"/>
    </xf>
    <xf numFmtId="170" fontId="2" fillId="15" borderId="0" xfId="3" quotePrefix="1" applyNumberFormat="1" applyFont="1" applyFill="1" applyAlignment="1">
      <alignment horizontal="right" vertical="center"/>
    </xf>
    <xf numFmtId="165" fontId="2" fillId="15" borderId="0" xfId="3" quotePrefix="1" applyFont="1" applyFill="1" applyAlignment="1">
      <alignment horizontal="right" vertical="center"/>
    </xf>
    <xf numFmtId="170" fontId="2" fillId="0" borderId="0" xfId="3" quotePrefix="1" applyNumberFormat="1" applyFont="1" applyAlignment="1">
      <alignment horizontal="right" vertical="center"/>
    </xf>
    <xf numFmtId="2" fontId="31" fillId="8" borderId="0" xfId="0" applyNumberFormat="1" applyFont="1" applyFill="1" applyAlignment="1">
      <alignment horizontal="right" vertical="center"/>
    </xf>
    <xf numFmtId="1" fontId="2" fillId="0" borderId="0" xfId="0" applyNumberFormat="1" applyFont="1" applyAlignment="1">
      <alignment horizontal="right" vertical="center"/>
    </xf>
    <xf numFmtId="43" fontId="31" fillId="8" borderId="0" xfId="1" applyFont="1" applyFill="1" applyAlignment="1">
      <alignment horizontal="right" vertical="center"/>
    </xf>
    <xf numFmtId="167" fontId="31" fillId="15" borderId="0" xfId="1" applyNumberFormat="1" applyFont="1" applyFill="1" applyAlignment="1">
      <alignment vertical="center"/>
    </xf>
    <xf numFmtId="170" fontId="31" fillId="0" borderId="53" xfId="3" quotePrefix="1" applyNumberFormat="1" applyFont="1" applyBorder="1" applyAlignment="1">
      <alignment horizontal="right" vertical="center"/>
    </xf>
    <xf numFmtId="170" fontId="2" fillId="36" borderId="53" xfId="3" quotePrefix="1" applyNumberFormat="1" applyFont="1" applyFill="1" applyBorder="1" applyAlignment="1">
      <alignment horizontal="right" vertical="center"/>
    </xf>
    <xf numFmtId="0" fontId="80" fillId="36" borderId="0" xfId="0" applyFont="1" applyFill="1" applyAlignment="1">
      <alignment horizontal="left" vertical="center"/>
    </xf>
    <xf numFmtId="0" fontId="82" fillId="36" borderId="0" xfId="0" applyFont="1" applyFill="1" applyAlignment="1">
      <alignment vertical="center"/>
    </xf>
    <xf numFmtId="0" fontId="200" fillId="0" borderId="0" xfId="0" applyFont="1" applyAlignment="1">
      <alignment vertical="center"/>
    </xf>
    <xf numFmtId="191" fontId="200" fillId="0" borderId="0" xfId="0" applyNumberFormat="1" applyFont="1" applyAlignment="1">
      <alignment vertical="center"/>
    </xf>
    <xf numFmtId="169" fontId="200" fillId="0" borderId="0" xfId="52" applyNumberFormat="1" applyFont="1" applyAlignment="1">
      <alignment vertical="center"/>
    </xf>
    <xf numFmtId="165" fontId="2" fillId="36" borderId="53" xfId="3" quotePrefix="1" applyFont="1" applyFill="1" applyBorder="1" applyAlignment="1">
      <alignment horizontal="right" vertical="center"/>
    </xf>
    <xf numFmtId="165" fontId="2" fillId="36" borderId="0" xfId="3" quotePrefix="1" applyFont="1" applyFill="1" applyAlignment="1">
      <alignment horizontal="right" vertical="center"/>
    </xf>
    <xf numFmtId="1" fontId="199" fillId="0" borderId="0" xfId="0" applyNumberFormat="1" applyFont="1" applyAlignment="1">
      <alignment vertical="center"/>
    </xf>
    <xf numFmtId="168" fontId="2" fillId="0" borderId="0" xfId="1" applyNumberFormat="1" applyFont="1" applyAlignment="1">
      <alignment vertical="center"/>
    </xf>
    <xf numFmtId="167" fontId="2" fillId="0" borderId="0" xfId="1" applyNumberFormat="1" applyFont="1" applyAlignment="1">
      <alignment vertical="center"/>
    </xf>
    <xf numFmtId="192" fontId="2" fillId="0" borderId="0" xfId="3" quotePrefix="1" applyNumberFormat="1" applyFont="1" applyAlignment="1">
      <alignment horizontal="right" vertical="center"/>
    </xf>
    <xf numFmtId="3" fontId="107" fillId="43" borderId="0" xfId="11" applyNumberFormat="1" applyFont="1" applyFill="1" applyAlignment="1">
      <alignment horizontal="center"/>
    </xf>
    <xf numFmtId="0" fontId="0" fillId="43" borderId="6" xfId="0" applyFill="1" applyBorder="1" applyAlignment="1">
      <alignment vertical="center" wrapText="1"/>
    </xf>
    <xf numFmtId="3" fontId="0" fillId="36" borderId="1" xfId="0" applyNumberFormat="1" applyFill="1" applyBorder="1" applyAlignment="1">
      <alignment vertical="center"/>
    </xf>
    <xf numFmtId="0" fontId="0" fillId="36" borderId="6" xfId="0" applyFill="1" applyBorder="1" applyAlignment="1">
      <alignment vertical="center" wrapText="1"/>
    </xf>
    <xf numFmtId="171" fontId="199" fillId="0" borderId="0" xfId="0" applyNumberFormat="1" applyFont="1" applyAlignment="1">
      <alignment vertical="center"/>
    </xf>
    <xf numFmtId="174" fontId="31" fillId="0" borderId="0" xfId="1" applyNumberFormat="1" applyFont="1" applyAlignment="1" applyProtection="1">
      <alignment horizontal="right" vertical="center"/>
      <protection hidden="1"/>
    </xf>
    <xf numFmtId="169" fontId="31" fillId="0" borderId="0" xfId="52" applyNumberFormat="1" applyFont="1" applyAlignment="1" applyProtection="1">
      <alignment horizontal="right" vertical="center"/>
      <protection hidden="1"/>
    </xf>
    <xf numFmtId="168" fontId="95" fillId="0" borderId="1" xfId="1" applyNumberFormat="1" applyBorder="1"/>
    <xf numFmtId="173" fontId="2" fillId="4" borderId="53" xfId="0" quotePrefix="1" applyNumberFormat="1" applyFont="1" applyFill="1" applyBorder="1" applyAlignment="1">
      <alignment horizontal="right" vertical="center"/>
    </xf>
    <xf numFmtId="173" fontId="2" fillId="0" borderId="53" xfId="0" quotePrefix="1" applyNumberFormat="1" applyFont="1" applyBorder="1" applyAlignment="1">
      <alignment horizontal="right" vertical="center"/>
    </xf>
    <xf numFmtId="168" fontId="0" fillId="0" borderId="0" xfId="0" applyNumberFormat="1"/>
    <xf numFmtId="0" fontId="170" fillId="0" borderId="0" xfId="0" applyFont="1" applyAlignment="1">
      <alignment vertical="center"/>
    </xf>
    <xf numFmtId="0" fontId="170" fillId="0" borderId="0" xfId="0" applyFont="1" applyAlignment="1">
      <alignment horizontal="right" vertical="center"/>
    </xf>
    <xf numFmtId="0" fontId="170" fillId="0" borderId="0" xfId="0" applyFont="1" applyAlignment="1">
      <alignment horizontal="right" vertical="center" wrapText="1"/>
    </xf>
    <xf numFmtId="0" fontId="170" fillId="0" borderId="59" xfId="0" applyFont="1" applyBorder="1" applyAlignment="1">
      <alignment vertical="center"/>
    </xf>
    <xf numFmtId="0" fontId="170" fillId="0" borderId="59" xfId="0" applyFont="1" applyBorder="1" applyAlignment="1">
      <alignment horizontal="right" vertical="center"/>
    </xf>
    <xf numFmtId="0" fontId="170" fillId="0" borderId="59" xfId="0" applyFont="1" applyBorder="1" applyAlignment="1">
      <alignment horizontal="right" vertical="center" wrapText="1"/>
    </xf>
    <xf numFmtId="0" fontId="168" fillId="0" borderId="41" xfId="0" applyFont="1" applyBorder="1" applyAlignment="1">
      <alignment vertical="center"/>
    </xf>
    <xf numFmtId="0" fontId="168" fillId="0" borderId="19" xfId="0" applyFont="1" applyBorder="1" applyAlignment="1">
      <alignment vertical="center"/>
    </xf>
    <xf numFmtId="0" fontId="168" fillId="0" borderId="28" xfId="0" applyFont="1" applyBorder="1" applyAlignment="1">
      <alignment vertical="center"/>
    </xf>
    <xf numFmtId="0" fontId="170" fillId="0" borderId="0" xfId="0" applyFont="1" applyAlignment="1">
      <alignment horizontal="left" vertical="center"/>
    </xf>
    <xf numFmtId="166" fontId="57" fillId="22" borderId="0" xfId="52" applyNumberFormat="1" applyFont="1" applyFill="1"/>
    <xf numFmtId="166" fontId="53" fillId="0" borderId="0" xfId="27" applyNumberFormat="1" applyFont="1"/>
    <xf numFmtId="166" fontId="57" fillId="0" borderId="0" xfId="52" applyNumberFormat="1" applyFont="1"/>
    <xf numFmtId="166" fontId="53" fillId="22" borderId="0" xfId="52" applyNumberFormat="1" applyFont="1" applyFill="1"/>
    <xf numFmtId="168" fontId="0" fillId="0" borderId="0" xfId="1" applyNumberFormat="1" applyFont="1"/>
    <xf numFmtId="10" fontId="99" fillId="0" borderId="0" xfId="52" applyNumberFormat="1" applyFont="1"/>
    <xf numFmtId="0" fontId="168" fillId="0" borderId="28" xfId="0" applyFont="1" applyBorder="1" applyAlignment="1">
      <alignment horizontal="center" vertical="center" wrapText="1"/>
    </xf>
    <xf numFmtId="0" fontId="168" fillId="0" borderId="28" xfId="0" applyFont="1" applyBorder="1" applyAlignment="1">
      <alignment vertical="center" wrapText="1"/>
    </xf>
    <xf numFmtId="10" fontId="170" fillId="0" borderId="0" xfId="52" applyNumberFormat="1" applyFont="1" applyAlignment="1">
      <alignment horizontal="right" vertical="center" wrapText="1"/>
    </xf>
    <xf numFmtId="189" fontId="170" fillId="0" borderId="0" xfId="52" applyNumberFormat="1" applyFont="1" applyAlignment="1">
      <alignment horizontal="right" vertical="center" wrapText="1"/>
    </xf>
    <xf numFmtId="193" fontId="170" fillId="0" borderId="0" xfId="52" applyNumberFormat="1" applyFont="1" applyAlignment="1">
      <alignment horizontal="right" vertical="center" wrapText="1"/>
    </xf>
    <xf numFmtId="168" fontId="170" fillId="0" borderId="0" xfId="1" applyNumberFormat="1" applyFont="1" applyAlignment="1">
      <alignment horizontal="right" vertical="center"/>
    </xf>
    <xf numFmtId="172" fontId="57" fillId="22" borderId="0" xfId="52" applyNumberFormat="1" applyFont="1" applyFill="1"/>
    <xf numFmtId="168" fontId="0" fillId="4" borderId="0" xfId="1" applyNumberFormat="1" applyFont="1" applyFill="1"/>
    <xf numFmtId="171" fontId="99" fillId="0" borderId="0" xfId="0" applyNumberFormat="1" applyFont="1"/>
    <xf numFmtId="194" fontId="99" fillId="0" borderId="0" xfId="0" applyNumberFormat="1" applyFont="1"/>
    <xf numFmtId="10" fontId="0" fillId="0" borderId="0" xfId="52" applyNumberFormat="1" applyFont="1"/>
    <xf numFmtId="0" fontId="168" fillId="0" borderId="28" xfId="0" applyFont="1" applyBorder="1" applyAlignment="1">
      <alignment horizontal="right" vertical="center"/>
    </xf>
    <xf numFmtId="3" fontId="168" fillId="4" borderId="28" xfId="0" applyNumberFormat="1" applyFont="1" applyFill="1" applyBorder="1" applyAlignment="1">
      <alignment vertical="center"/>
    </xf>
    <xf numFmtId="169" fontId="108" fillId="0" borderId="0" xfId="52" applyNumberFormat="1" applyFont="1"/>
    <xf numFmtId="168" fontId="108" fillId="0" borderId="0" xfId="0" applyNumberFormat="1" applyFont="1"/>
    <xf numFmtId="169" fontId="0" fillId="0" borderId="0" xfId="52" applyNumberFormat="1" applyFont="1"/>
    <xf numFmtId="169" fontId="202" fillId="0" borderId="0" xfId="0" applyNumberFormat="1" applyFont="1" applyAlignment="1">
      <alignment horizontal="center" vertical="center" wrapText="1"/>
    </xf>
    <xf numFmtId="169" fontId="168" fillId="4" borderId="87" xfId="0" applyNumberFormat="1" applyFont="1" applyFill="1" applyBorder="1" applyAlignment="1">
      <alignment horizontal="center" vertical="center" wrapText="1"/>
    </xf>
    <xf numFmtId="168" fontId="170" fillId="4" borderId="0" xfId="1" applyNumberFormat="1" applyFont="1" applyFill="1" applyAlignment="1">
      <alignment horizontal="left"/>
    </xf>
    <xf numFmtId="168" fontId="116" fillId="0" borderId="0" xfId="0" applyNumberFormat="1" applyFont="1"/>
    <xf numFmtId="169" fontId="119" fillId="0" borderId="0" xfId="52" applyNumberFormat="1" applyFont="1" applyAlignment="1">
      <alignment horizontal="center" vertical="center"/>
    </xf>
    <xf numFmtId="0" fontId="0" fillId="0" borderId="0" xfId="0" applyAlignment="1">
      <alignment horizontal="center" vertical="center"/>
    </xf>
    <xf numFmtId="0" fontId="0" fillId="4" borderId="0" xfId="0" quotePrefix="1" applyFill="1"/>
    <xf numFmtId="169" fontId="172" fillId="0" borderId="0" xfId="52" applyNumberFormat="1" applyFont="1"/>
    <xf numFmtId="0" fontId="134" fillId="0" borderId="24" xfId="0" applyFont="1" applyBorder="1" applyAlignment="1">
      <alignment horizontal="center" vertical="center" wrapText="1"/>
    </xf>
    <xf numFmtId="0" fontId="134" fillId="0" borderId="37" xfId="0" applyFont="1" applyBorder="1" applyAlignment="1">
      <alignment horizontal="center" vertical="center" wrapText="1"/>
    </xf>
    <xf numFmtId="0" fontId="99" fillId="0" borderId="24" xfId="0" applyFont="1" applyBorder="1" applyAlignment="1">
      <alignment horizontal="center" vertical="center"/>
    </xf>
    <xf numFmtId="0" fontId="99" fillId="0" borderId="31" xfId="0" applyFont="1" applyBorder="1" applyAlignment="1">
      <alignment horizontal="center" vertical="center"/>
    </xf>
    <xf numFmtId="0" fontId="99" fillId="0" borderId="37" xfId="0" applyFont="1" applyBorder="1" applyAlignment="1">
      <alignment horizontal="center" vertical="center"/>
    </xf>
    <xf numFmtId="0" fontId="171" fillId="0" borderId="24" xfId="0" applyFont="1" applyBorder="1" applyAlignment="1">
      <alignment horizontal="center" vertical="center"/>
    </xf>
    <xf numFmtId="0" fontId="171" fillId="0" borderId="31" xfId="0" applyFont="1" applyBorder="1" applyAlignment="1">
      <alignment horizontal="center" vertical="center"/>
    </xf>
    <xf numFmtId="0" fontId="171" fillId="0" borderId="37" xfId="0" applyFont="1" applyBorder="1" applyAlignment="1">
      <alignment horizontal="center" vertical="center"/>
    </xf>
    <xf numFmtId="0" fontId="99" fillId="0" borderId="1" xfId="0" applyFont="1" applyBorder="1" applyAlignment="1">
      <alignment horizontal="center"/>
    </xf>
    <xf numFmtId="0" fontId="134" fillId="8" borderId="24" xfId="0" applyFont="1" applyFill="1" applyBorder="1" applyAlignment="1">
      <alignment horizontal="center" vertical="center" wrapText="1"/>
    </xf>
    <xf numFmtId="0" fontId="134" fillId="8" borderId="37" xfId="0" applyFont="1" applyFill="1" applyBorder="1" applyAlignment="1">
      <alignment horizontal="center" vertical="center" wrapText="1"/>
    </xf>
    <xf numFmtId="0" fontId="153" fillId="0" borderId="90" xfId="0" applyFont="1" applyBorder="1" applyAlignment="1">
      <alignment horizontal="center" vertical="center" wrapText="1"/>
    </xf>
    <xf numFmtId="0" fontId="153" fillId="0" borderId="68" xfId="0" applyFont="1" applyBorder="1" applyAlignment="1">
      <alignment horizontal="center" vertical="center" wrapText="1"/>
    </xf>
    <xf numFmtId="0" fontId="151" fillId="0" borderId="88" xfId="0" applyFont="1" applyBorder="1" applyAlignment="1">
      <alignment horizontal="center" wrapText="1"/>
    </xf>
    <xf numFmtId="0" fontId="151" fillId="0" borderId="65" xfId="0" applyFont="1" applyBorder="1" applyAlignment="1">
      <alignment horizontal="center" wrapText="1"/>
    </xf>
    <xf numFmtId="0" fontId="151" fillId="23" borderId="88" xfId="0" applyFont="1" applyFill="1" applyBorder="1" applyAlignment="1">
      <alignment horizontal="center" wrapText="1"/>
    </xf>
    <xf numFmtId="0" fontId="151" fillId="23" borderId="65" xfId="0" applyFont="1" applyFill="1" applyBorder="1" applyAlignment="1">
      <alignment horizontal="center" wrapText="1"/>
    </xf>
    <xf numFmtId="0" fontId="151" fillId="23" borderId="90" xfId="0" applyFont="1" applyFill="1" applyBorder="1" applyAlignment="1">
      <alignment wrapText="1"/>
    </xf>
    <xf numFmtId="0" fontId="151" fillId="23" borderId="68" xfId="0" applyFont="1" applyFill="1" applyBorder="1" applyAlignment="1">
      <alignment wrapText="1"/>
    </xf>
    <xf numFmtId="0" fontId="151" fillId="23" borderId="88" xfId="0" applyFont="1" applyFill="1" applyBorder="1" applyAlignment="1">
      <alignment wrapText="1"/>
    </xf>
    <xf numFmtId="0" fontId="151" fillId="23" borderId="65" xfId="0" applyFont="1" applyFill="1" applyBorder="1" applyAlignment="1">
      <alignment wrapText="1"/>
    </xf>
    <xf numFmtId="0" fontId="151" fillId="12" borderId="88" xfId="0" applyFont="1" applyFill="1" applyBorder="1" applyAlignment="1">
      <alignment horizontal="center" wrapText="1"/>
    </xf>
    <xf numFmtId="0" fontId="151" fillId="12" borderId="65" xfId="0" applyFont="1" applyFill="1" applyBorder="1" applyAlignment="1">
      <alignment horizontal="center" wrapText="1"/>
    </xf>
    <xf numFmtId="0" fontId="152" fillId="0" borderId="88" xfId="0" applyFont="1" applyBorder="1" applyAlignment="1">
      <alignment vertical="center" wrapText="1"/>
    </xf>
    <xf numFmtId="0" fontId="152" fillId="0" borderId="89" xfId="0" applyFont="1" applyBorder="1" applyAlignment="1">
      <alignment vertical="center" wrapText="1"/>
    </xf>
    <xf numFmtId="0" fontId="152" fillId="0" borderId="65" xfId="0" applyFont="1" applyBorder="1" applyAlignment="1">
      <alignment vertical="center" wrapText="1"/>
    </xf>
    <xf numFmtId="0" fontId="180" fillId="0" borderId="91" xfId="43" applyFont="1" applyBorder="1" applyAlignment="1">
      <alignment horizontal="left" wrapText="1"/>
    </xf>
    <xf numFmtId="0" fontId="0" fillId="0" borderId="24" xfId="0" applyBorder="1" applyAlignment="1">
      <alignment horizontal="center"/>
    </xf>
    <xf numFmtId="0" fontId="0" fillId="0" borderId="31" xfId="0" applyBorder="1" applyAlignment="1">
      <alignment horizontal="center"/>
    </xf>
    <xf numFmtId="0" fontId="0" fillId="0" borderId="37" xfId="0" applyBorder="1" applyAlignment="1">
      <alignment horizontal="center"/>
    </xf>
    <xf numFmtId="0" fontId="0" fillId="0" borderId="1" xfId="0" applyBorder="1" applyAlignment="1">
      <alignment horizontal="center"/>
    </xf>
    <xf numFmtId="0" fontId="0" fillId="0" borderId="24" xfId="0" applyBorder="1" applyAlignment="1">
      <alignment horizontal="center" wrapText="1"/>
    </xf>
    <xf numFmtId="0" fontId="0" fillId="0" borderId="37" xfId="0" applyBorder="1" applyAlignment="1">
      <alignment horizontal="center" wrapText="1"/>
    </xf>
    <xf numFmtId="0" fontId="177" fillId="0" borderId="32" xfId="43" applyFont="1" applyBorder="1" applyAlignment="1">
      <alignment horizontal="center" vertical="center" wrapText="1" readingOrder="1"/>
    </xf>
    <xf numFmtId="0" fontId="177" fillId="0" borderId="62" xfId="43" applyFont="1" applyBorder="1" applyAlignment="1">
      <alignment horizontal="center" vertical="center" wrapText="1" readingOrder="1"/>
    </xf>
    <xf numFmtId="0" fontId="177" fillId="0" borderId="60" xfId="43" applyFont="1" applyBorder="1" applyAlignment="1">
      <alignment horizontal="center" vertical="center" wrapText="1" readingOrder="1"/>
    </xf>
    <xf numFmtId="0" fontId="177" fillId="0" borderId="63" xfId="43" applyFont="1" applyBorder="1" applyAlignment="1">
      <alignment horizontal="center" vertical="center" wrapText="1" readingOrder="1"/>
    </xf>
    <xf numFmtId="0" fontId="102" fillId="0" borderId="62" xfId="43" applyFont="1" applyBorder="1" applyAlignment="1">
      <alignment horizontal="center" vertical="center" wrapText="1" readingOrder="1"/>
    </xf>
    <xf numFmtId="0" fontId="102" fillId="0" borderId="60" xfId="43" applyFont="1" applyBorder="1" applyAlignment="1">
      <alignment horizontal="center" vertical="center" wrapText="1" readingOrder="1"/>
    </xf>
    <xf numFmtId="0" fontId="102" fillId="0" borderId="63" xfId="43" applyFont="1" applyBorder="1" applyAlignment="1">
      <alignment horizontal="center" vertical="center" wrapText="1" readingOrder="1"/>
    </xf>
    <xf numFmtId="0" fontId="0" fillId="10" borderId="27" xfId="0" applyFill="1" applyBorder="1" applyAlignment="1">
      <alignment horizontal="center" vertical="center" wrapText="1"/>
    </xf>
    <xf numFmtId="0" fontId="0" fillId="10" borderId="39" xfId="0" applyFill="1" applyBorder="1" applyAlignment="1">
      <alignment horizontal="center" vertical="center" wrapText="1"/>
    </xf>
    <xf numFmtId="0" fontId="0" fillId="10" borderId="40" xfId="0" applyFill="1" applyBorder="1" applyAlignment="1">
      <alignment horizontal="center" vertical="center" wrapText="1"/>
    </xf>
    <xf numFmtId="0" fontId="0" fillId="35" borderId="27" xfId="0" applyFill="1" applyBorder="1" applyAlignment="1">
      <alignment horizontal="center" vertical="center" wrapText="1"/>
    </xf>
    <xf numFmtId="0" fontId="0" fillId="35" borderId="39" xfId="0" applyFill="1" applyBorder="1" applyAlignment="1">
      <alignment horizontal="center" vertical="center" wrapText="1"/>
    </xf>
    <xf numFmtId="0" fontId="0" fillId="35" borderId="40" xfId="0" applyFill="1" applyBorder="1" applyAlignment="1">
      <alignment horizontal="center" vertical="center" wrapText="1"/>
    </xf>
    <xf numFmtId="0" fontId="0" fillId="0" borderId="27"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102" fillId="0" borderId="47" xfId="43" applyFont="1" applyBorder="1" applyAlignment="1">
      <alignment horizontal="center" vertical="center" wrapText="1" readingOrder="1"/>
    </xf>
    <xf numFmtId="0" fontId="0" fillId="0" borderId="27" xfId="0" quotePrefix="1" applyBorder="1" applyAlignment="1">
      <alignment horizontal="center" vertical="center" textRotation="90"/>
    </xf>
    <xf numFmtId="0" fontId="0" fillId="0" borderId="39" xfId="0" applyBorder="1" applyAlignment="1">
      <alignment horizontal="center" vertical="center" textRotation="90"/>
    </xf>
    <xf numFmtId="0" fontId="0" fillId="0" borderId="40" xfId="0" applyBorder="1" applyAlignment="1">
      <alignment horizontal="center" vertical="center" textRotation="90"/>
    </xf>
    <xf numFmtId="0" fontId="0" fillId="8" borderId="27" xfId="0" applyFill="1" applyBorder="1" applyAlignment="1">
      <alignment horizontal="center" vertical="center" textRotation="90" wrapText="1"/>
    </xf>
    <xf numFmtId="0" fontId="0" fillId="8" borderId="39" xfId="0" applyFill="1" applyBorder="1" applyAlignment="1">
      <alignment horizontal="center" vertical="center" textRotation="90" wrapText="1"/>
    </xf>
    <xf numFmtId="0" fontId="0" fillId="8" borderId="40" xfId="0" applyFill="1" applyBorder="1" applyAlignment="1">
      <alignment horizontal="center" vertical="center" textRotation="90" wrapText="1"/>
    </xf>
    <xf numFmtId="16" fontId="0" fillId="0" borderId="27" xfId="0" quotePrefix="1" applyNumberFormat="1" applyBorder="1" applyAlignment="1">
      <alignment horizontal="center" vertical="center" textRotation="90"/>
    </xf>
    <xf numFmtId="0" fontId="0" fillId="0" borderId="27" xfId="0" applyBorder="1" applyAlignment="1">
      <alignment horizontal="center" vertical="center" textRotation="90" wrapText="1"/>
    </xf>
    <xf numFmtId="0" fontId="0" fillId="0" borderId="39" xfId="0" applyBorder="1" applyAlignment="1">
      <alignment horizontal="center" vertical="center" textRotation="90" wrapText="1"/>
    </xf>
    <xf numFmtId="0" fontId="0" fillId="0" borderId="40" xfId="0" applyBorder="1" applyAlignment="1">
      <alignment horizontal="center" vertical="center" textRotation="90" wrapText="1"/>
    </xf>
    <xf numFmtId="0" fontId="105" fillId="0" borderId="27" xfId="0" applyFont="1" applyBorder="1" applyAlignment="1">
      <alignment horizontal="center" vertical="top" textRotation="90"/>
    </xf>
    <xf numFmtId="0" fontId="105" fillId="0" borderId="39" xfId="0" applyFont="1" applyBorder="1" applyAlignment="1">
      <alignment horizontal="center" vertical="top" textRotation="90"/>
    </xf>
    <xf numFmtId="0" fontId="105" fillId="0" borderId="40" xfId="0" applyFont="1" applyBorder="1" applyAlignment="1">
      <alignment horizontal="center" vertical="top" textRotation="90"/>
    </xf>
    <xf numFmtId="0" fontId="19" fillId="0" borderId="36" xfId="28" quotePrefix="1" applyFont="1" applyBorder="1" applyAlignment="1">
      <alignment horizontal="center" vertical="center" wrapText="1"/>
    </xf>
    <xf numFmtId="0" fontId="19" fillId="0" borderId="43" xfId="28" quotePrefix="1" applyFont="1" applyBorder="1" applyAlignment="1">
      <alignment horizontal="center" vertical="center" wrapText="1"/>
    </xf>
    <xf numFmtId="0" fontId="19" fillId="0" borderId="34" xfId="28" quotePrefix="1" applyFont="1" applyBorder="1" applyAlignment="1">
      <alignment horizontal="center" vertical="center" wrapText="1"/>
    </xf>
    <xf numFmtId="0" fontId="19" fillId="0" borderId="38" xfId="28" quotePrefix="1" applyFont="1" applyBorder="1" applyAlignment="1">
      <alignment horizontal="center" vertical="center" wrapText="1"/>
    </xf>
    <xf numFmtId="0" fontId="3" fillId="0" borderId="0" xfId="28" applyFont="1" applyAlignment="1">
      <alignment horizontal="center" wrapText="1"/>
    </xf>
    <xf numFmtId="0" fontId="5" fillId="0" borderId="35" xfId="28" applyFont="1" applyBorder="1" applyAlignment="1">
      <alignment horizontal="center" wrapText="1"/>
    </xf>
    <xf numFmtId="0" fontId="14" fillId="0" borderId="24" xfId="28" applyFont="1" applyBorder="1" applyAlignment="1">
      <alignment horizontal="center" wrapText="1"/>
    </xf>
    <xf numFmtId="0" fontId="14" fillId="0" borderId="31" xfId="28" applyFont="1" applyBorder="1" applyAlignment="1">
      <alignment horizontal="center" wrapText="1"/>
    </xf>
    <xf numFmtId="0" fontId="14" fillId="0" borderId="1" xfId="28" applyFont="1" applyBorder="1" applyAlignment="1">
      <alignment horizontal="center" wrapText="1"/>
    </xf>
    <xf numFmtId="0" fontId="14" fillId="0" borderId="1" xfId="28" applyFont="1" applyBorder="1" applyAlignment="1">
      <alignment horizontal="center" textRotation="90" wrapText="1"/>
    </xf>
    <xf numFmtId="0" fontId="14" fillId="0" borderId="36" xfId="28" applyFont="1" applyBorder="1" applyAlignment="1">
      <alignment horizontal="left" vertical="center" wrapText="1"/>
    </xf>
    <xf numFmtId="0" fontId="14" fillId="0" borderId="33" xfId="28" applyFont="1" applyBorder="1" applyAlignment="1">
      <alignment horizontal="left" vertical="center" wrapText="1"/>
    </xf>
    <xf numFmtId="0" fontId="14" fillId="0" borderId="34" xfId="28" applyFont="1" applyBorder="1" applyAlignment="1">
      <alignment horizontal="left" vertical="center" wrapText="1"/>
    </xf>
    <xf numFmtId="0" fontId="19" fillId="0" borderId="43" xfId="28" applyFont="1" applyBorder="1" applyAlignment="1">
      <alignment horizontal="center" vertical="center" wrapText="1"/>
    </xf>
    <xf numFmtId="0" fontId="19" fillId="0" borderId="33" xfId="28" applyFont="1" applyBorder="1" applyAlignment="1">
      <alignment horizontal="center" vertical="center" wrapText="1"/>
    </xf>
    <xf numFmtId="0" fontId="19" fillId="0" borderId="26" xfId="28" applyFont="1" applyBorder="1" applyAlignment="1">
      <alignment horizontal="center" vertical="center" wrapText="1"/>
    </xf>
    <xf numFmtId="0" fontId="19" fillId="0" borderId="34" xfId="28" applyFont="1" applyBorder="1" applyAlignment="1">
      <alignment horizontal="center" vertical="center" wrapText="1"/>
    </xf>
    <xf numFmtId="0" fontId="14" fillId="0" borderId="24" xfId="28" applyFont="1" applyBorder="1" applyAlignment="1">
      <alignment horizontal="center"/>
    </xf>
    <xf numFmtId="0" fontId="14" fillId="0" borderId="31" xfId="28" applyFont="1" applyBorder="1" applyAlignment="1">
      <alignment horizontal="center"/>
    </xf>
    <xf numFmtId="0" fontId="14" fillId="0" borderId="10" xfId="28" applyFont="1" applyBorder="1" applyAlignment="1">
      <alignment horizontal="center" textRotation="90" wrapText="1"/>
    </xf>
    <xf numFmtId="0" fontId="14" fillId="0" borderId="29" xfId="28" applyFont="1" applyBorder="1" applyAlignment="1">
      <alignment horizontal="center" textRotation="90" wrapText="1"/>
    </xf>
    <xf numFmtId="0" fontId="14" fillId="10" borderId="1" xfId="28" applyFont="1" applyFill="1" applyBorder="1" applyAlignment="1">
      <alignment horizontal="center" textRotation="90" wrapText="1"/>
    </xf>
    <xf numFmtId="0" fontId="14" fillId="37" borderId="24" xfId="28" applyFont="1" applyFill="1" applyBorder="1" applyAlignment="1">
      <alignment horizontal="left" wrapText="1"/>
    </xf>
    <xf numFmtId="0" fontId="14" fillId="37" borderId="37" xfId="28" applyFont="1" applyFill="1" applyBorder="1" applyAlignment="1">
      <alignment horizontal="left" wrapText="1"/>
    </xf>
    <xf numFmtId="0" fontId="4" fillId="9" borderId="1" xfId="0" applyFont="1" applyFill="1" applyBorder="1" applyAlignment="1">
      <alignment horizontal="justify"/>
    </xf>
    <xf numFmtId="0" fontId="4" fillId="10" borderId="24" xfId="28" applyFont="1" applyFill="1" applyBorder="1" applyAlignment="1">
      <alignment horizontal="left" wrapText="1"/>
    </xf>
    <xf numFmtId="0" fontId="4" fillId="10" borderId="37" xfId="28" applyFont="1" applyFill="1" applyBorder="1" applyAlignment="1">
      <alignment horizontal="left" wrapText="1"/>
    </xf>
    <xf numFmtId="0" fontId="4" fillId="36" borderId="1" xfId="28" applyFont="1" applyFill="1" applyBorder="1" applyAlignment="1">
      <alignment horizontal="left" wrapText="1"/>
    </xf>
    <xf numFmtId="0" fontId="14" fillId="0" borderId="10" xfId="28" applyFont="1" applyBorder="1" applyAlignment="1">
      <alignment horizontal="left" vertical="center" wrapText="1"/>
    </xf>
    <xf numFmtId="0" fontId="14" fillId="0" borderId="25" xfId="28" applyFont="1" applyBorder="1" applyAlignment="1">
      <alignment horizontal="left" vertical="center" wrapText="1"/>
    </xf>
    <xf numFmtId="0" fontId="14" fillId="0" borderId="29" xfId="28" applyFont="1" applyBorder="1" applyAlignment="1">
      <alignment horizontal="left" vertical="center" wrapText="1"/>
    </xf>
    <xf numFmtId="0" fontId="16" fillId="37" borderId="24" xfId="28" applyFont="1" applyFill="1" applyBorder="1" applyAlignment="1">
      <alignment horizontal="left" wrapText="1"/>
    </xf>
    <xf numFmtId="0" fontId="14" fillId="37" borderId="38" xfId="28" applyFont="1" applyFill="1" applyBorder="1" applyAlignment="1">
      <alignment horizontal="left" wrapText="1"/>
    </xf>
    <xf numFmtId="0" fontId="16" fillId="38" borderId="1" xfId="28" applyFont="1" applyFill="1" applyBorder="1" applyAlignment="1">
      <alignment horizontal="left" wrapText="1"/>
    </xf>
    <xf numFmtId="16" fontId="0" fillId="0" borderId="39" xfId="0" quotePrefix="1" applyNumberFormat="1" applyBorder="1" applyAlignment="1">
      <alignment horizontal="center" vertical="center" textRotation="90"/>
    </xf>
    <xf numFmtId="16" fontId="0" fillId="0" borderId="40" xfId="0" quotePrefix="1" applyNumberFormat="1" applyBorder="1" applyAlignment="1">
      <alignment horizontal="center" vertical="center" textRotation="90"/>
    </xf>
    <xf numFmtId="0" fontId="0" fillId="0" borderId="39" xfId="0" quotePrefix="1" applyBorder="1" applyAlignment="1">
      <alignment horizontal="center" vertical="center" textRotation="90"/>
    </xf>
    <xf numFmtId="0" fontId="0" fillId="0" borderId="40" xfId="0" quotePrefix="1" applyBorder="1" applyAlignment="1">
      <alignment horizontal="center" vertical="center" textRotation="90"/>
    </xf>
    <xf numFmtId="0" fontId="99" fillId="0" borderId="10" xfId="0" applyFont="1" applyBorder="1" applyAlignment="1">
      <alignment horizontal="center" wrapText="1"/>
    </xf>
    <xf numFmtId="0" fontId="99" fillId="0" borderId="29" xfId="0" applyFont="1" applyBorder="1" applyAlignment="1">
      <alignment horizontal="center" wrapText="1"/>
    </xf>
    <xf numFmtId="0" fontId="127" fillId="0" borderId="1" xfId="43" applyFont="1" applyBorder="1" applyAlignment="1">
      <alignment horizontal="center" wrapText="1" readingOrder="1"/>
    </xf>
    <xf numFmtId="190" fontId="14" fillId="0" borderId="10" xfId="28" applyNumberFormat="1" applyFont="1" applyBorder="1" applyAlignment="1">
      <alignment horizontal="center" wrapText="1"/>
    </xf>
    <xf numFmtId="190" fontId="14" fillId="0" borderId="29" xfId="28" applyNumberFormat="1" applyFont="1" applyBorder="1" applyAlignment="1">
      <alignment horizontal="center" wrapText="1"/>
    </xf>
    <xf numFmtId="0" fontId="14" fillId="0" borderId="10" xfId="28" applyFont="1" applyBorder="1" applyAlignment="1">
      <alignment horizontal="center" wrapText="1"/>
    </xf>
    <xf numFmtId="0" fontId="14" fillId="0" borderId="29" xfId="28" applyFont="1" applyBorder="1" applyAlignment="1">
      <alignment horizontal="center" wrapText="1"/>
    </xf>
    <xf numFmtId="0" fontId="108" fillId="2" borderId="35" xfId="0" applyFont="1" applyFill="1" applyBorder="1" applyAlignment="1">
      <alignment horizontal="center"/>
    </xf>
    <xf numFmtId="0" fontId="108" fillId="0" borderId="35" xfId="0" applyFont="1" applyBorder="1" applyAlignment="1">
      <alignment horizontal="center"/>
    </xf>
    <xf numFmtId="0" fontId="181" fillId="0" borderId="28" xfId="0" applyFont="1" applyBorder="1" applyAlignment="1">
      <alignment horizontal="center" vertical="center" wrapText="1"/>
    </xf>
    <xf numFmtId="0" fontId="181" fillId="0" borderId="21" xfId="0" applyFont="1" applyBorder="1" applyAlignment="1">
      <alignment horizontal="center" vertical="center" wrapText="1"/>
    </xf>
    <xf numFmtId="0" fontId="181" fillId="0" borderId="32" xfId="0" applyFont="1" applyBorder="1" applyAlignment="1">
      <alignment horizontal="center" vertical="center" wrapText="1"/>
    </xf>
    <xf numFmtId="3" fontId="172" fillId="4" borderId="0" xfId="0" applyNumberFormat="1" applyFont="1" applyFill="1" applyAlignment="1">
      <alignment horizontal="center" vertical="center"/>
    </xf>
    <xf numFmtId="3" fontId="172" fillId="8" borderId="0" xfId="0" applyNumberFormat="1" applyFont="1" applyFill="1" applyAlignment="1">
      <alignment horizontal="center" vertical="center"/>
    </xf>
    <xf numFmtId="3" fontId="172" fillId="39" borderId="0" xfId="0" applyNumberFormat="1" applyFont="1" applyFill="1" applyAlignment="1">
      <alignment horizontal="center" vertical="center"/>
    </xf>
    <xf numFmtId="3" fontId="172" fillId="40" borderId="0" xfId="0" applyNumberFormat="1" applyFont="1" applyFill="1" applyAlignment="1">
      <alignment horizontal="center" vertical="center"/>
    </xf>
    <xf numFmtId="3" fontId="172" fillId="0" borderId="0" xfId="0" applyNumberFormat="1" applyFont="1" applyAlignment="1">
      <alignment horizontal="center" vertical="center"/>
    </xf>
    <xf numFmtId="0" fontId="120" fillId="4" borderId="1" xfId="0" applyFont="1" applyFill="1" applyBorder="1" applyAlignment="1">
      <alignment horizontal="center"/>
    </xf>
    <xf numFmtId="0" fontId="191" fillId="0" borderId="10" xfId="0" applyFont="1" applyBorder="1" applyAlignment="1">
      <alignment horizontal="left"/>
    </xf>
  </cellXfs>
  <cellStyles count="57">
    <cellStyle name="Comma" xfId="1" builtinId="3"/>
    <cellStyle name="Comma 2" xfId="2"/>
    <cellStyle name="Comma 2 2" xfId="3"/>
    <cellStyle name="Comma 2 2 2" xfId="4"/>
    <cellStyle name="Comma 2 2 3" xfId="5"/>
    <cellStyle name="Comma 2 3" xfId="6"/>
    <cellStyle name="Comma 3" xfId="7"/>
    <cellStyle name="Comma 3 2" xfId="8"/>
    <cellStyle name="Comma 4" xfId="9"/>
    <cellStyle name="Comma 5" xfId="10"/>
    <cellStyle name="Hyperlink" xfId="11" builtinId="8"/>
    <cellStyle name="Normal" xfId="0" builtinId="0"/>
    <cellStyle name="Normal 10" xfId="12"/>
    <cellStyle name="Normal 11" xfId="13"/>
    <cellStyle name="Normal 12" xfId="14"/>
    <cellStyle name="Normal 13" xfId="15"/>
    <cellStyle name="Normal 2" xfId="16"/>
    <cellStyle name="Normal 2 10" xfId="17"/>
    <cellStyle name="Normal 2 10 2" xfId="18"/>
    <cellStyle name="Normal 2 11" xfId="19"/>
    <cellStyle name="Normal 2 11 2" xfId="20"/>
    <cellStyle name="Normal 2 12" xfId="21"/>
    <cellStyle name="Normal 2 12 2" xfId="22"/>
    <cellStyle name="Normal 2 13" xfId="23"/>
    <cellStyle name="Normal 2 13 2" xfId="24"/>
    <cellStyle name="Normal 2 14" xfId="25"/>
    <cellStyle name="Normal 2 14 2" xfId="26"/>
    <cellStyle name="Normal 2 15" xfId="27"/>
    <cellStyle name="Normal 2 2" xfId="28"/>
    <cellStyle name="Normal 2 3" xfId="29"/>
    <cellStyle name="Normal 2 3 2" xfId="30"/>
    <cellStyle name="Normal 2 4" xfId="31"/>
    <cellStyle name="Normal 2 4 2" xfId="32"/>
    <cellStyle name="Normal 2 5" xfId="33"/>
    <cellStyle name="Normal 2 5 2" xfId="34"/>
    <cellStyle name="Normal 2 6" xfId="35"/>
    <cellStyle name="Normal 2 6 2" xfId="36"/>
    <cellStyle name="Normal 2 7" xfId="37"/>
    <cellStyle name="Normal 2 7 2" xfId="38"/>
    <cellStyle name="Normal 2 8" xfId="39"/>
    <cellStyle name="Normal 2 8 2" xfId="40"/>
    <cellStyle name="Normal 2 9" xfId="41"/>
    <cellStyle name="Normal 2 9 2" xfId="42"/>
    <cellStyle name="Normal 3" xfId="43"/>
    <cellStyle name="Normal 3 2" xfId="44"/>
    <cellStyle name="Normal 4" xfId="45"/>
    <cellStyle name="Normal 5" xfId="46"/>
    <cellStyle name="Normal 6" xfId="47"/>
    <cellStyle name="Normal 7" xfId="48"/>
    <cellStyle name="Normal 8" xfId="49"/>
    <cellStyle name="Normal 9" xfId="50"/>
    <cellStyle name="Normal_Table 31" xfId="51"/>
    <cellStyle name="Percent" xfId="52" builtinId="5"/>
    <cellStyle name="Percent 2" xfId="53"/>
    <cellStyle name="Percent 3" xfId="54"/>
    <cellStyle name="Standaard 2" xfId="55"/>
    <cellStyle name="Standaard 3" xfId="56"/>
  </cellStyles>
  <dxfs count="130">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wrapText="1"/>
    </dxf>
    <dxf>
      <alignment wrapText="1"/>
    </dxf>
    <dxf>
      <alignment wrapText="1"/>
    </dxf>
    <dxf>
      <font>
        <b/>
      </font>
    </dxf>
    <dxf>
      <font>
        <b/>
      </font>
    </dxf>
    <dxf>
      <font>
        <b/>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7" formatCode="_(* #,##0_);_(* \(#,##0\);_(* &quot;-&quot;??_);_(@_)"/>
    </dxf>
    <dxf>
      <numFmt numFmtId="168" formatCode="_(* #,##0.0_);_(* \(#,##0.0\);_(* &quot;-&quot;??_);_(@_)"/>
    </dxf>
    <dxf>
      <numFmt numFmtId="35" formatCode="_(* #,##0.00_);_(* \(#,##0.00\);_(* &quot;-&quot;??_);_(@_)"/>
    </dxf>
  </dxfs>
  <tableStyles count="0" defaultTableStyle="TableStyleMedium2" defaultPivotStyle="PivotStyleLight16"/>
  <colors>
    <mruColors>
      <color rgb="FF4472C4"/>
      <color rgb="FFFF99FF"/>
      <color rgb="FFFF0066"/>
      <color rgb="FFFF00FF"/>
      <color rgb="FF0000FF"/>
      <color rgb="FFFFC000"/>
      <color rgb="FFA5A5A5"/>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pivotCacheDefinition" Target="pivotCache/pivotCacheDefinition1.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harts/_rels/chart1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5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4.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6.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8.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9.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0.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1.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2.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73.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nl-NL" sz="1400" b="0" i="0" u="none" strike="noStrike" kern="1200" spc="0" baseline="0">
                <a:solidFill>
                  <a:schemeClr val="tx1">
                    <a:lumMod val="65000"/>
                    <a:lumOff val="35000"/>
                  </a:schemeClr>
                </a:solidFill>
                <a:latin typeface="+mn-lt"/>
                <a:ea typeface="+mn-ea"/>
                <a:cs typeface="+mn-cs"/>
              </a:defRPr>
            </a:pPr>
            <a:r>
              <a:rPr lang="nl-NL"/>
              <a:t>2012NWRMP:</a:t>
            </a:r>
            <a:r>
              <a:rPr lang="nl-NL" baseline="0"/>
              <a:t> </a:t>
            </a:r>
            <a:r>
              <a:rPr lang="nl-NL"/>
              <a:t>Internal Renewable Water Resources (IRWR) </a:t>
            </a:r>
          </a:p>
        </c:rich>
      </c:tx>
      <c:layout>
        <c:manualLayout>
          <c:xMode val="edge"/>
          <c:yMode val="edge"/>
          <c:x val="0.24424823009883406"/>
          <c:y val="2.0408163265306121E-2"/>
        </c:manualLayout>
      </c:layout>
      <c:overlay val="0"/>
      <c:spPr>
        <a:noFill/>
        <a:ln w="25400">
          <a:noFill/>
        </a:ln>
      </c:spPr>
    </c:title>
    <c:autoTitleDeleted val="0"/>
    <c:plotArea>
      <c:layout>
        <c:manualLayout>
          <c:layoutTarget val="inner"/>
          <c:xMode val="edge"/>
          <c:yMode val="edge"/>
          <c:x val="7.7369253175697303E-2"/>
          <c:y val="0.13612535858231345"/>
          <c:w val="0.90005794527909544"/>
          <c:h val="0.60140296711045926"/>
        </c:manualLayout>
      </c:layout>
      <c:barChart>
        <c:barDir val="col"/>
        <c:grouping val="stacked"/>
        <c:varyColors val="0"/>
        <c:ser>
          <c:idx val="1"/>
          <c:order val="0"/>
          <c:tx>
            <c:strRef>
              <c:f>'2012NWRMP'!$E$21:$E$22</c:f>
              <c:strCache>
                <c:ptCount val="2"/>
                <c:pt idx="0">
                  <c:v>Evaporation loss</c:v>
                </c:pt>
                <c:pt idx="1">
                  <c:v>(MCM)</c:v>
                </c:pt>
              </c:strCache>
            </c:strRef>
          </c:tx>
          <c:spPr>
            <a:solidFill>
              <a:srgbClr val="ED7D31"/>
            </a:solidFill>
            <a:ln w="25400">
              <a:noFill/>
            </a:ln>
          </c:spPr>
          <c:invertIfNegative val="0"/>
          <c:cat>
            <c:strRef>
              <c:f>'2012NWRMP'!$A$23:$A$31</c:f>
              <c:strCache>
                <c:ptCount val="9"/>
                <c:pt idx="0">
                  <c:v>CKIV (Lake Kivu, 2,425 km²)</c:v>
                </c:pt>
                <c:pt idx="1">
                  <c:v>CRUS (Rusizi, 1.005 km²)</c:v>
                </c:pt>
                <c:pt idx="2">
                  <c:v>NNYU (Upper Nyabarongo, 3,348 km²)</c:v>
                </c:pt>
                <c:pt idx="3">
                  <c:v>NMUK (Mukungwa, 1,949 km²)</c:v>
                </c:pt>
                <c:pt idx="4">
                  <c:v>NNYL (Lower Nyabarongo, 3.304 km²)</c:v>
                </c:pt>
                <c:pt idx="5">
                  <c:v>NAKN (Akanyaru, 3,402 km²)</c:v>
                </c:pt>
                <c:pt idx="6">
                  <c:v>NAKU (Upper Akagera, 3.053 km²)</c:v>
                </c:pt>
                <c:pt idx="7">
                  <c:v>NAKL (Lower Akagera, 4.288 km²)</c:v>
                </c:pt>
                <c:pt idx="8">
                  <c:v>NMUV (Muvumba, 1,568 km²)</c:v>
                </c:pt>
              </c:strCache>
            </c:strRef>
          </c:cat>
          <c:val>
            <c:numRef>
              <c:f>'2012NWRMP'!$E$23:$E$31</c:f>
              <c:numCache>
                <c:formatCode>#,##0</c:formatCode>
                <c:ptCount val="9"/>
                <c:pt idx="0">
                  <c:v>2109</c:v>
                </c:pt>
                <c:pt idx="1">
                  <c:v>869</c:v>
                </c:pt>
                <c:pt idx="2">
                  <c:v>3281</c:v>
                </c:pt>
                <c:pt idx="3">
                  <c:v>1659</c:v>
                </c:pt>
                <c:pt idx="4">
                  <c:v>3036</c:v>
                </c:pt>
                <c:pt idx="5">
                  <c:v>3369</c:v>
                </c:pt>
                <c:pt idx="6">
                  <c:v>2320</c:v>
                </c:pt>
                <c:pt idx="7">
                  <c:v>2676</c:v>
                </c:pt>
                <c:pt idx="8">
                  <c:v>1367</c:v>
                </c:pt>
              </c:numCache>
            </c:numRef>
          </c:val>
          <c:extLst xmlns:c16r2="http://schemas.microsoft.com/office/drawing/2015/06/chart">
            <c:ext xmlns:c16="http://schemas.microsoft.com/office/drawing/2014/chart" uri="{C3380CC4-5D6E-409C-BE32-E72D297353CC}">
              <c16:uniqueId val="{00000000-9CA4-4105-BFFE-1601B71A6F2A}"/>
            </c:ext>
          </c:extLst>
        </c:ser>
        <c:ser>
          <c:idx val="2"/>
          <c:order val="1"/>
          <c:tx>
            <c:v>'Internal Renewable Water Resources (IRWR)</c:v>
          </c:tx>
          <c:invertIfNegative val="0"/>
          <c:cat>
            <c:strRef>
              <c:f>'2012NWRMP'!$A$23:$A$31</c:f>
              <c:strCache>
                <c:ptCount val="9"/>
                <c:pt idx="0">
                  <c:v>CKIV (Lake Kivu, 2,425 km²)</c:v>
                </c:pt>
                <c:pt idx="1">
                  <c:v>CRUS (Rusizi, 1.005 km²)</c:v>
                </c:pt>
                <c:pt idx="2">
                  <c:v>NNYU (Upper Nyabarongo, 3,348 km²)</c:v>
                </c:pt>
                <c:pt idx="3">
                  <c:v>NMUK (Mukungwa, 1,949 km²)</c:v>
                </c:pt>
                <c:pt idx="4">
                  <c:v>NNYL (Lower Nyabarongo, 3.304 km²)</c:v>
                </c:pt>
                <c:pt idx="5">
                  <c:v>NAKN (Akanyaru, 3,402 km²)</c:v>
                </c:pt>
                <c:pt idx="6">
                  <c:v>NAKU (Upper Akagera, 3.053 km²)</c:v>
                </c:pt>
                <c:pt idx="7">
                  <c:v>NAKL (Lower Akagera, 4.288 km²)</c:v>
                </c:pt>
                <c:pt idx="8">
                  <c:v>NMUV (Muvumba, 1,568 km²)</c:v>
                </c:pt>
              </c:strCache>
            </c:strRef>
          </c:cat>
          <c:val>
            <c:numRef>
              <c:f>'2012NWRMP'!$G$23:$G$31</c:f>
              <c:numCache>
                <c:formatCode>#,##0</c:formatCode>
                <c:ptCount val="9"/>
                <c:pt idx="0">
                  <c:v>898</c:v>
                </c:pt>
                <c:pt idx="1">
                  <c:v>432</c:v>
                </c:pt>
                <c:pt idx="2">
                  <c:v>1289</c:v>
                </c:pt>
                <c:pt idx="3">
                  <c:v>904</c:v>
                </c:pt>
                <c:pt idx="4">
                  <c:v>899</c:v>
                </c:pt>
                <c:pt idx="5">
                  <c:v>798</c:v>
                </c:pt>
                <c:pt idx="6">
                  <c:v>504</c:v>
                </c:pt>
                <c:pt idx="7">
                  <c:v>905</c:v>
                </c:pt>
                <c:pt idx="8">
                  <c:v>193</c:v>
                </c:pt>
              </c:numCache>
            </c:numRef>
          </c:val>
          <c:extLst xmlns:c16r2="http://schemas.microsoft.com/office/drawing/2015/06/chart">
            <c:ext xmlns:c16="http://schemas.microsoft.com/office/drawing/2014/chart" uri="{C3380CC4-5D6E-409C-BE32-E72D297353CC}">
              <c16:uniqueId val="{00000001-9CA4-4105-BFFE-1601B71A6F2A}"/>
            </c:ext>
          </c:extLst>
        </c:ser>
        <c:dLbls>
          <c:showLegendKey val="0"/>
          <c:showVal val="0"/>
          <c:showCatName val="0"/>
          <c:showSerName val="0"/>
          <c:showPercent val="0"/>
          <c:showBubbleSize val="0"/>
        </c:dLbls>
        <c:gapWidth val="219"/>
        <c:overlap val="100"/>
        <c:axId val="-1003242352"/>
        <c:axId val="-1003238544"/>
      </c:barChart>
      <c:catAx>
        <c:axId val="-100324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nl-NL" sz="900" b="0" i="0" u="none" strike="noStrike" kern="1200" baseline="0">
                <a:solidFill>
                  <a:schemeClr val="tx1">
                    <a:lumMod val="65000"/>
                    <a:lumOff val="35000"/>
                  </a:schemeClr>
                </a:solidFill>
                <a:latin typeface="+mn-lt"/>
                <a:ea typeface="+mn-ea"/>
                <a:cs typeface="+mn-cs"/>
              </a:defRPr>
            </a:pPr>
            <a:endParaRPr lang="en-US"/>
          </a:p>
        </c:txPr>
        <c:crossAx val="-1003238544"/>
        <c:crosses val="autoZero"/>
        <c:auto val="1"/>
        <c:lblAlgn val="ctr"/>
        <c:lblOffset val="100"/>
        <c:noMultiLvlLbl val="0"/>
      </c:catAx>
      <c:valAx>
        <c:axId val="-1003238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6350">
            <a:noFill/>
          </a:ln>
        </c:spPr>
        <c:txPr>
          <a:bodyPr rot="-60000000" spcFirstLastPara="1" vertOverflow="ellipsis" vert="horz" wrap="square" anchor="ctr" anchorCtr="1"/>
          <a:lstStyle/>
          <a:p>
            <a:pPr>
              <a:defRPr lang="nl-NL" sz="1000" b="0" i="0" u="none" strike="noStrike" kern="1200" baseline="0">
                <a:solidFill>
                  <a:schemeClr val="tx1">
                    <a:lumMod val="65000"/>
                    <a:lumOff val="35000"/>
                  </a:schemeClr>
                </a:solidFill>
                <a:latin typeface="+mn-lt"/>
                <a:ea typeface="+mn-ea"/>
                <a:cs typeface="+mn-cs"/>
              </a:defRPr>
            </a:pPr>
            <a:endParaRPr lang="en-US"/>
          </a:p>
        </c:txPr>
        <c:crossAx val="-1003242352"/>
        <c:crosses val="autoZero"/>
        <c:crossBetween val="between"/>
      </c:valAx>
      <c:spPr>
        <a:noFill/>
        <a:ln w="25400">
          <a:noFill/>
        </a:ln>
      </c:spPr>
    </c:plotArea>
    <c:legend>
      <c:legendPos val="r"/>
      <c:layout>
        <c:manualLayout>
          <c:xMode val="edge"/>
          <c:yMode val="edge"/>
          <c:x val="7.3460439106832712E-2"/>
          <c:y val="0.8856320638491616"/>
          <c:w val="0.82376348357048834"/>
          <c:h val="0.10416385451818522"/>
        </c:manualLayout>
      </c:layout>
      <c:overlay val="0"/>
      <c:spPr>
        <a:noFill/>
        <a:ln w="25400">
          <a:noFill/>
        </a:ln>
      </c:spPr>
      <c:txPr>
        <a:bodyPr rot="0" spcFirstLastPara="1" vertOverflow="ellipsis" vert="horz" wrap="square" anchor="ctr" anchorCtr="1"/>
        <a:lstStyle/>
        <a:p>
          <a:pPr>
            <a:defRPr lang="nl-NL"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22" l="0.70000000000000062" r="0.70000000000000062" t="0.7500000000000012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nl-NL" sz="1400" b="0" i="0" u="none" strike="noStrike" kern="1200" spc="0" baseline="0">
                <a:solidFill>
                  <a:schemeClr val="tx1">
                    <a:lumMod val="65000"/>
                    <a:lumOff val="35000"/>
                  </a:schemeClr>
                </a:solidFill>
                <a:latin typeface="+mn-lt"/>
                <a:ea typeface="+mn-ea"/>
                <a:cs typeface="+mn-cs"/>
              </a:defRPr>
            </a:pPr>
            <a:r>
              <a:rPr lang="nl-NL" sz="1400" b="0" i="0" u="none" strike="noStrike" baseline="0">
                <a:effectLst/>
              </a:rPr>
              <a:t>2012NWRMP: </a:t>
            </a:r>
            <a:r>
              <a:rPr lang="nl-NL"/>
              <a:t>Internal</a:t>
            </a:r>
            <a:r>
              <a:rPr lang="nl-NL" baseline="0"/>
              <a:t> Flow </a:t>
            </a:r>
          </a:p>
        </c:rich>
      </c:tx>
      <c:overlay val="0"/>
      <c:spPr>
        <a:noFill/>
        <a:ln w="25400">
          <a:noFill/>
        </a:ln>
      </c:spPr>
    </c:title>
    <c:autoTitleDeleted val="0"/>
    <c:plotArea>
      <c:layout>
        <c:manualLayout>
          <c:layoutTarget val="inner"/>
          <c:xMode val="edge"/>
          <c:yMode val="edge"/>
          <c:x val="5.1047120418848166E-2"/>
          <c:y val="0.15885947046843177"/>
          <c:w val="0.93324607329842935"/>
          <c:h val="0.55600814663951115"/>
        </c:manualLayout>
      </c:layout>
      <c:barChart>
        <c:barDir val="col"/>
        <c:grouping val="clustered"/>
        <c:varyColors val="0"/>
        <c:ser>
          <c:idx val="0"/>
          <c:order val="0"/>
          <c:tx>
            <c:strRef>
              <c:f>'2012NWRMP'!$C$21:$C$22</c:f>
              <c:strCache>
                <c:ptCount val="2"/>
                <c:pt idx="0">
                  <c:v>Rainfall</c:v>
                </c:pt>
                <c:pt idx="1">
                  <c:v>(MCM)</c:v>
                </c:pt>
              </c:strCache>
            </c:strRef>
          </c:tx>
          <c:spPr>
            <a:solidFill>
              <a:srgbClr val="5B9BD5"/>
            </a:solidFill>
            <a:ln w="25400">
              <a:noFill/>
            </a:ln>
          </c:spPr>
          <c:invertIfNegative val="0"/>
          <c:cat>
            <c:strRef>
              <c:f>'2012NWRMP'!$A$23:$A$31</c:f>
              <c:strCache>
                <c:ptCount val="9"/>
                <c:pt idx="0">
                  <c:v>CKIV (Lake Kivu, 2,425 km²)</c:v>
                </c:pt>
                <c:pt idx="1">
                  <c:v>CRUS (Rusizi, 1.005 km²)</c:v>
                </c:pt>
                <c:pt idx="2">
                  <c:v>NNYU (Upper Nyabarongo, 3,348 km²)</c:v>
                </c:pt>
                <c:pt idx="3">
                  <c:v>NMUK (Mukungwa, 1,949 km²)</c:v>
                </c:pt>
                <c:pt idx="4">
                  <c:v>NNYL (Lower Nyabarongo, 3.304 km²)</c:v>
                </c:pt>
                <c:pt idx="5">
                  <c:v>NAKN (Akanyaru, 3,402 km²)</c:v>
                </c:pt>
                <c:pt idx="6">
                  <c:v>NAKU (Upper Akagera, 3.053 km²)</c:v>
                </c:pt>
                <c:pt idx="7">
                  <c:v>NAKL (Lower Akagera, 4.288 km²)</c:v>
                </c:pt>
                <c:pt idx="8">
                  <c:v>NMUV (Muvumba, 1,568 km²)</c:v>
                </c:pt>
              </c:strCache>
            </c:strRef>
          </c:cat>
          <c:val>
            <c:numRef>
              <c:f>'2012NWRMP'!$C$23:$C$31</c:f>
              <c:numCache>
                <c:formatCode>#,##0</c:formatCode>
                <c:ptCount val="9"/>
                <c:pt idx="0">
                  <c:v>3007</c:v>
                </c:pt>
                <c:pt idx="1">
                  <c:v>1301</c:v>
                </c:pt>
                <c:pt idx="2">
                  <c:v>4570</c:v>
                </c:pt>
                <c:pt idx="3">
                  <c:v>2563</c:v>
                </c:pt>
                <c:pt idx="4">
                  <c:v>3935</c:v>
                </c:pt>
                <c:pt idx="5">
                  <c:v>4167</c:v>
                </c:pt>
                <c:pt idx="6">
                  <c:v>2824</c:v>
                </c:pt>
                <c:pt idx="7">
                  <c:v>3580</c:v>
                </c:pt>
                <c:pt idx="8">
                  <c:v>1560</c:v>
                </c:pt>
              </c:numCache>
            </c:numRef>
          </c:val>
          <c:extLst xmlns:c16r2="http://schemas.microsoft.com/office/drawing/2015/06/chart">
            <c:ext xmlns:c16="http://schemas.microsoft.com/office/drawing/2014/chart" uri="{C3380CC4-5D6E-409C-BE32-E72D297353CC}">
              <c16:uniqueId val="{00000000-32C7-4C83-B919-89528DBF7660}"/>
            </c:ext>
          </c:extLst>
        </c:ser>
        <c:ser>
          <c:idx val="1"/>
          <c:order val="1"/>
          <c:tx>
            <c:strRef>
              <c:f>'2012NWRMP'!$E$21:$E$22</c:f>
              <c:strCache>
                <c:ptCount val="2"/>
                <c:pt idx="0">
                  <c:v>Evaporation loss</c:v>
                </c:pt>
                <c:pt idx="1">
                  <c:v>(MCM)</c:v>
                </c:pt>
              </c:strCache>
            </c:strRef>
          </c:tx>
          <c:spPr>
            <a:solidFill>
              <a:srgbClr val="ED7D31"/>
            </a:solidFill>
            <a:ln w="25400">
              <a:noFill/>
            </a:ln>
          </c:spPr>
          <c:invertIfNegative val="0"/>
          <c:cat>
            <c:strRef>
              <c:f>'2012NWRMP'!$A$23:$A$31</c:f>
              <c:strCache>
                <c:ptCount val="9"/>
                <c:pt idx="0">
                  <c:v>CKIV (Lake Kivu, 2,425 km²)</c:v>
                </c:pt>
                <c:pt idx="1">
                  <c:v>CRUS (Rusizi, 1.005 km²)</c:v>
                </c:pt>
                <c:pt idx="2">
                  <c:v>NNYU (Upper Nyabarongo, 3,348 km²)</c:v>
                </c:pt>
                <c:pt idx="3">
                  <c:v>NMUK (Mukungwa, 1,949 km²)</c:v>
                </c:pt>
                <c:pt idx="4">
                  <c:v>NNYL (Lower Nyabarongo, 3.304 km²)</c:v>
                </c:pt>
                <c:pt idx="5">
                  <c:v>NAKN (Akanyaru, 3,402 km²)</c:v>
                </c:pt>
                <c:pt idx="6">
                  <c:v>NAKU (Upper Akagera, 3.053 km²)</c:v>
                </c:pt>
                <c:pt idx="7">
                  <c:v>NAKL (Lower Akagera, 4.288 km²)</c:v>
                </c:pt>
                <c:pt idx="8">
                  <c:v>NMUV (Muvumba, 1,568 km²)</c:v>
                </c:pt>
              </c:strCache>
            </c:strRef>
          </c:cat>
          <c:val>
            <c:numRef>
              <c:f>'2012NWRMP'!$E$23:$E$31</c:f>
              <c:numCache>
                <c:formatCode>#,##0</c:formatCode>
                <c:ptCount val="9"/>
                <c:pt idx="0">
                  <c:v>2109</c:v>
                </c:pt>
                <c:pt idx="1">
                  <c:v>869</c:v>
                </c:pt>
                <c:pt idx="2">
                  <c:v>3281</c:v>
                </c:pt>
                <c:pt idx="3">
                  <c:v>1659</c:v>
                </c:pt>
                <c:pt idx="4">
                  <c:v>3036</c:v>
                </c:pt>
                <c:pt idx="5">
                  <c:v>3369</c:v>
                </c:pt>
                <c:pt idx="6">
                  <c:v>2320</c:v>
                </c:pt>
                <c:pt idx="7">
                  <c:v>2676</c:v>
                </c:pt>
                <c:pt idx="8">
                  <c:v>1367</c:v>
                </c:pt>
              </c:numCache>
            </c:numRef>
          </c:val>
          <c:extLst xmlns:c16r2="http://schemas.microsoft.com/office/drawing/2015/06/chart">
            <c:ext xmlns:c16="http://schemas.microsoft.com/office/drawing/2014/chart" uri="{C3380CC4-5D6E-409C-BE32-E72D297353CC}">
              <c16:uniqueId val="{00000001-32C7-4C83-B919-89528DBF7660}"/>
            </c:ext>
          </c:extLst>
        </c:ser>
        <c:dLbls>
          <c:showLegendKey val="0"/>
          <c:showVal val="0"/>
          <c:showCatName val="0"/>
          <c:showSerName val="0"/>
          <c:showPercent val="0"/>
          <c:showBubbleSize val="0"/>
        </c:dLbls>
        <c:gapWidth val="219"/>
        <c:overlap val="-27"/>
        <c:axId val="-1003230384"/>
        <c:axId val="-1003229840"/>
      </c:barChart>
      <c:catAx>
        <c:axId val="-100323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nl-NL" sz="900" b="0" i="0" u="none" strike="noStrike" kern="1200" baseline="0">
                <a:solidFill>
                  <a:schemeClr val="tx1">
                    <a:lumMod val="65000"/>
                    <a:lumOff val="35000"/>
                  </a:schemeClr>
                </a:solidFill>
                <a:latin typeface="+mn-lt"/>
                <a:ea typeface="+mn-ea"/>
                <a:cs typeface="+mn-cs"/>
              </a:defRPr>
            </a:pPr>
            <a:endParaRPr lang="en-US"/>
          </a:p>
        </c:txPr>
        <c:crossAx val="-1003229840"/>
        <c:crosses val="autoZero"/>
        <c:auto val="1"/>
        <c:lblAlgn val="ctr"/>
        <c:lblOffset val="100"/>
        <c:noMultiLvlLbl val="0"/>
      </c:catAx>
      <c:valAx>
        <c:axId val="-100322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6350">
            <a:noFill/>
          </a:ln>
        </c:spPr>
        <c:txPr>
          <a:bodyPr rot="-60000000" spcFirstLastPara="1" vertOverflow="ellipsis" vert="horz" wrap="square" anchor="ctr" anchorCtr="1"/>
          <a:lstStyle/>
          <a:p>
            <a:pPr>
              <a:defRPr lang="nl-NL" sz="900" b="0" i="0" u="none" strike="noStrike" kern="1200" baseline="0">
                <a:solidFill>
                  <a:schemeClr val="tx1">
                    <a:lumMod val="65000"/>
                    <a:lumOff val="35000"/>
                  </a:schemeClr>
                </a:solidFill>
                <a:latin typeface="+mn-lt"/>
                <a:ea typeface="+mn-ea"/>
                <a:cs typeface="+mn-cs"/>
              </a:defRPr>
            </a:pPr>
            <a:endParaRPr lang="en-US"/>
          </a:p>
        </c:txPr>
        <c:crossAx val="-1003230384"/>
        <c:crosses val="autoZero"/>
        <c:crossBetween val="between"/>
      </c:valAx>
      <c:spPr>
        <a:noFill/>
        <a:ln w="25400">
          <a:noFill/>
        </a:ln>
      </c:spPr>
    </c:plotArea>
    <c:legend>
      <c:legendPos val="r"/>
      <c:layout>
        <c:manualLayout>
          <c:xMode val="edge"/>
          <c:yMode val="edge"/>
          <c:x val="0.24161080650259034"/>
          <c:y val="0.8958361263905148"/>
          <c:w val="0.51006719709774495"/>
          <c:h val="7.6389392262830702E-2"/>
        </c:manualLayout>
      </c:layout>
      <c:overlay val="0"/>
      <c:spPr>
        <a:noFill/>
        <a:ln w="25400">
          <a:noFill/>
        </a:ln>
      </c:spPr>
      <c:txPr>
        <a:bodyPr rot="0" spcFirstLastPara="1" vertOverflow="ellipsis" vert="horz" wrap="square" anchor="ctr" anchorCtr="1"/>
        <a:lstStyle/>
        <a:p>
          <a:pPr>
            <a:defRPr lang="nl-NL"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22" l="0.70000000000000062" r="0.70000000000000062" t="0.7500000000000012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nl-NL" sz="1400" b="0" i="0" u="none" strike="noStrike" kern="1200" spc="0" baseline="0">
                <a:solidFill>
                  <a:schemeClr val="tx1">
                    <a:lumMod val="65000"/>
                    <a:lumOff val="35000"/>
                  </a:schemeClr>
                </a:solidFill>
                <a:latin typeface="+mn-lt"/>
                <a:ea typeface="+mn-ea"/>
                <a:cs typeface="+mn-cs"/>
              </a:defRPr>
            </a:pPr>
            <a:r>
              <a:rPr lang="nl-NL" sz="1400" b="0" i="0" u="none" strike="noStrike" baseline="0">
                <a:effectLst/>
              </a:rPr>
              <a:t>2012NWRMP: </a:t>
            </a:r>
            <a:r>
              <a:rPr lang="nl-NL"/>
              <a:t>Internal Renewable Water Resources (IRWR) </a:t>
            </a:r>
          </a:p>
        </c:rich>
      </c:tx>
      <c:layout>
        <c:manualLayout>
          <c:xMode val="edge"/>
          <c:yMode val="edge"/>
          <c:x val="0.24424821602719926"/>
          <c:y val="2.0408130453831098E-2"/>
        </c:manualLayout>
      </c:layout>
      <c:overlay val="0"/>
      <c:spPr>
        <a:noFill/>
        <a:ln w="25400">
          <a:noFill/>
        </a:ln>
      </c:spPr>
    </c:title>
    <c:autoTitleDeleted val="0"/>
    <c:plotArea>
      <c:layout>
        <c:manualLayout>
          <c:layoutTarget val="inner"/>
          <c:xMode val="edge"/>
          <c:yMode val="edge"/>
          <c:x val="7.7369253175697303E-2"/>
          <c:y val="0.13612535858231345"/>
          <c:w val="0.90005794527909544"/>
          <c:h val="0.60140296711045926"/>
        </c:manualLayout>
      </c:layout>
      <c:barChart>
        <c:barDir val="col"/>
        <c:grouping val="clustered"/>
        <c:varyColors val="0"/>
        <c:ser>
          <c:idx val="0"/>
          <c:order val="0"/>
          <c:tx>
            <c:strRef>
              <c:f>'2012NWRMP'!$C$21:$C$22</c:f>
              <c:strCache>
                <c:ptCount val="2"/>
                <c:pt idx="0">
                  <c:v>Rainfall</c:v>
                </c:pt>
                <c:pt idx="1">
                  <c:v>(MCM)</c:v>
                </c:pt>
              </c:strCache>
            </c:strRef>
          </c:tx>
          <c:spPr>
            <a:solidFill>
              <a:srgbClr val="5B9BD5"/>
            </a:solidFill>
            <a:ln w="25400">
              <a:noFill/>
            </a:ln>
          </c:spPr>
          <c:invertIfNegative val="0"/>
          <c:cat>
            <c:strRef>
              <c:f>'2012NWRMP'!$A$23:$A$31</c:f>
              <c:strCache>
                <c:ptCount val="9"/>
                <c:pt idx="0">
                  <c:v>CKIV (Lake Kivu, 2,425 km²)</c:v>
                </c:pt>
                <c:pt idx="1">
                  <c:v>CRUS (Rusizi, 1.005 km²)</c:v>
                </c:pt>
                <c:pt idx="2">
                  <c:v>NNYU (Upper Nyabarongo, 3,348 km²)</c:v>
                </c:pt>
                <c:pt idx="3">
                  <c:v>NMUK (Mukungwa, 1,949 km²)</c:v>
                </c:pt>
                <c:pt idx="4">
                  <c:v>NNYL (Lower Nyabarongo, 3.304 km²)</c:v>
                </c:pt>
                <c:pt idx="5">
                  <c:v>NAKN (Akanyaru, 3,402 km²)</c:v>
                </c:pt>
                <c:pt idx="6">
                  <c:v>NAKU (Upper Akagera, 3.053 km²)</c:v>
                </c:pt>
                <c:pt idx="7">
                  <c:v>NAKL (Lower Akagera, 4.288 km²)</c:v>
                </c:pt>
                <c:pt idx="8">
                  <c:v>NMUV (Muvumba, 1,568 km²)</c:v>
                </c:pt>
              </c:strCache>
            </c:strRef>
          </c:cat>
          <c:val>
            <c:numRef>
              <c:f>'2012NWRMP'!$C$23:$C$31</c:f>
              <c:numCache>
                <c:formatCode>#,##0</c:formatCode>
                <c:ptCount val="9"/>
                <c:pt idx="0">
                  <c:v>3007</c:v>
                </c:pt>
                <c:pt idx="1">
                  <c:v>1301</c:v>
                </c:pt>
                <c:pt idx="2">
                  <c:v>4570</c:v>
                </c:pt>
                <c:pt idx="3">
                  <c:v>2563</c:v>
                </c:pt>
                <c:pt idx="4">
                  <c:v>3935</c:v>
                </c:pt>
                <c:pt idx="5">
                  <c:v>4167</c:v>
                </c:pt>
                <c:pt idx="6">
                  <c:v>2824</c:v>
                </c:pt>
                <c:pt idx="7">
                  <c:v>3580</c:v>
                </c:pt>
                <c:pt idx="8">
                  <c:v>1560</c:v>
                </c:pt>
              </c:numCache>
            </c:numRef>
          </c:val>
          <c:extLst xmlns:c16r2="http://schemas.microsoft.com/office/drawing/2015/06/chart">
            <c:ext xmlns:c16="http://schemas.microsoft.com/office/drawing/2014/chart" uri="{C3380CC4-5D6E-409C-BE32-E72D297353CC}">
              <c16:uniqueId val="{00000000-60BC-4207-8A34-90917DE26EDC}"/>
            </c:ext>
          </c:extLst>
        </c:ser>
        <c:ser>
          <c:idx val="1"/>
          <c:order val="1"/>
          <c:tx>
            <c:strRef>
              <c:f>'2012NWRMP'!$E$21:$E$22</c:f>
              <c:strCache>
                <c:ptCount val="2"/>
                <c:pt idx="0">
                  <c:v>Evaporation loss</c:v>
                </c:pt>
                <c:pt idx="1">
                  <c:v>(MCM)</c:v>
                </c:pt>
              </c:strCache>
            </c:strRef>
          </c:tx>
          <c:spPr>
            <a:solidFill>
              <a:srgbClr val="ED7D31"/>
            </a:solidFill>
            <a:ln w="25400">
              <a:noFill/>
            </a:ln>
          </c:spPr>
          <c:invertIfNegative val="0"/>
          <c:cat>
            <c:strRef>
              <c:f>'2012NWRMP'!$A$23:$A$31</c:f>
              <c:strCache>
                <c:ptCount val="9"/>
                <c:pt idx="0">
                  <c:v>CKIV (Lake Kivu, 2,425 km²)</c:v>
                </c:pt>
                <c:pt idx="1">
                  <c:v>CRUS (Rusizi, 1.005 km²)</c:v>
                </c:pt>
                <c:pt idx="2">
                  <c:v>NNYU (Upper Nyabarongo, 3,348 km²)</c:v>
                </c:pt>
                <c:pt idx="3">
                  <c:v>NMUK (Mukungwa, 1,949 km²)</c:v>
                </c:pt>
                <c:pt idx="4">
                  <c:v>NNYL (Lower Nyabarongo, 3.304 km²)</c:v>
                </c:pt>
                <c:pt idx="5">
                  <c:v>NAKN (Akanyaru, 3,402 km²)</c:v>
                </c:pt>
                <c:pt idx="6">
                  <c:v>NAKU (Upper Akagera, 3.053 km²)</c:v>
                </c:pt>
                <c:pt idx="7">
                  <c:v>NAKL (Lower Akagera, 4.288 km²)</c:v>
                </c:pt>
                <c:pt idx="8">
                  <c:v>NMUV (Muvumba, 1,568 km²)</c:v>
                </c:pt>
              </c:strCache>
            </c:strRef>
          </c:cat>
          <c:val>
            <c:numRef>
              <c:f>'2012NWRMP'!$E$23:$E$31</c:f>
              <c:numCache>
                <c:formatCode>#,##0</c:formatCode>
                <c:ptCount val="9"/>
                <c:pt idx="0">
                  <c:v>2109</c:v>
                </c:pt>
                <c:pt idx="1">
                  <c:v>869</c:v>
                </c:pt>
                <c:pt idx="2">
                  <c:v>3281</c:v>
                </c:pt>
                <c:pt idx="3">
                  <c:v>1659</c:v>
                </c:pt>
                <c:pt idx="4">
                  <c:v>3036</c:v>
                </c:pt>
                <c:pt idx="5">
                  <c:v>3369</c:v>
                </c:pt>
                <c:pt idx="6">
                  <c:v>2320</c:v>
                </c:pt>
                <c:pt idx="7">
                  <c:v>2676</c:v>
                </c:pt>
                <c:pt idx="8">
                  <c:v>1367</c:v>
                </c:pt>
              </c:numCache>
            </c:numRef>
          </c:val>
          <c:extLst xmlns:c16r2="http://schemas.microsoft.com/office/drawing/2015/06/chart">
            <c:ext xmlns:c16="http://schemas.microsoft.com/office/drawing/2014/chart" uri="{C3380CC4-5D6E-409C-BE32-E72D297353CC}">
              <c16:uniqueId val="{00000001-60BC-4207-8A34-90917DE26EDC}"/>
            </c:ext>
          </c:extLst>
        </c:ser>
        <c:ser>
          <c:idx val="2"/>
          <c:order val="2"/>
          <c:tx>
            <c:strRef>
              <c:f>'2012NWRMP'!$F$21:$G$21</c:f>
              <c:strCache>
                <c:ptCount val="1"/>
                <c:pt idx="0">
                  <c:v>Surface water runoff</c:v>
                </c:pt>
              </c:strCache>
            </c:strRef>
          </c:tx>
          <c:invertIfNegative val="0"/>
          <c:cat>
            <c:strRef>
              <c:f>'2012NWRMP'!$A$23:$A$31</c:f>
              <c:strCache>
                <c:ptCount val="9"/>
                <c:pt idx="0">
                  <c:v>CKIV (Lake Kivu, 2,425 km²)</c:v>
                </c:pt>
                <c:pt idx="1">
                  <c:v>CRUS (Rusizi, 1.005 km²)</c:v>
                </c:pt>
                <c:pt idx="2">
                  <c:v>NNYU (Upper Nyabarongo, 3,348 km²)</c:v>
                </c:pt>
                <c:pt idx="3">
                  <c:v>NMUK (Mukungwa, 1,949 km²)</c:v>
                </c:pt>
                <c:pt idx="4">
                  <c:v>NNYL (Lower Nyabarongo, 3.304 km²)</c:v>
                </c:pt>
                <c:pt idx="5">
                  <c:v>NAKN (Akanyaru, 3,402 km²)</c:v>
                </c:pt>
                <c:pt idx="6">
                  <c:v>NAKU (Upper Akagera, 3.053 km²)</c:v>
                </c:pt>
                <c:pt idx="7">
                  <c:v>NAKL (Lower Akagera, 4.288 km²)</c:v>
                </c:pt>
                <c:pt idx="8">
                  <c:v>NMUV (Muvumba, 1,568 km²)</c:v>
                </c:pt>
              </c:strCache>
            </c:strRef>
          </c:cat>
          <c:val>
            <c:numRef>
              <c:f>'2012NWRMP'!$G$23:$G$31</c:f>
              <c:numCache>
                <c:formatCode>#,##0</c:formatCode>
                <c:ptCount val="9"/>
                <c:pt idx="0">
                  <c:v>898</c:v>
                </c:pt>
                <c:pt idx="1">
                  <c:v>432</c:v>
                </c:pt>
                <c:pt idx="2">
                  <c:v>1289</c:v>
                </c:pt>
                <c:pt idx="3">
                  <c:v>904</c:v>
                </c:pt>
                <c:pt idx="4">
                  <c:v>899</c:v>
                </c:pt>
                <c:pt idx="5">
                  <c:v>798</c:v>
                </c:pt>
                <c:pt idx="6">
                  <c:v>504</c:v>
                </c:pt>
                <c:pt idx="7">
                  <c:v>905</c:v>
                </c:pt>
                <c:pt idx="8">
                  <c:v>193</c:v>
                </c:pt>
              </c:numCache>
            </c:numRef>
          </c:val>
          <c:extLst xmlns:c16r2="http://schemas.microsoft.com/office/drawing/2015/06/chart">
            <c:ext xmlns:c16="http://schemas.microsoft.com/office/drawing/2014/chart" uri="{C3380CC4-5D6E-409C-BE32-E72D297353CC}">
              <c16:uniqueId val="{00000002-60BC-4207-8A34-90917DE26EDC}"/>
            </c:ext>
          </c:extLst>
        </c:ser>
        <c:dLbls>
          <c:showLegendKey val="0"/>
          <c:showVal val="0"/>
          <c:showCatName val="0"/>
          <c:showSerName val="0"/>
          <c:showPercent val="0"/>
          <c:showBubbleSize val="0"/>
        </c:dLbls>
        <c:gapWidth val="219"/>
        <c:overlap val="-27"/>
        <c:axId val="-1003228752"/>
        <c:axId val="-1003228208"/>
      </c:barChart>
      <c:catAx>
        <c:axId val="-10032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nl-NL" sz="900" b="0" i="0" u="none" strike="noStrike" kern="1200" baseline="0">
                <a:solidFill>
                  <a:schemeClr val="tx1">
                    <a:lumMod val="65000"/>
                    <a:lumOff val="35000"/>
                  </a:schemeClr>
                </a:solidFill>
                <a:latin typeface="+mn-lt"/>
                <a:ea typeface="+mn-ea"/>
                <a:cs typeface="+mn-cs"/>
              </a:defRPr>
            </a:pPr>
            <a:endParaRPr lang="en-US"/>
          </a:p>
        </c:txPr>
        <c:crossAx val="-1003228208"/>
        <c:crosses val="autoZero"/>
        <c:auto val="1"/>
        <c:lblAlgn val="ctr"/>
        <c:lblOffset val="100"/>
        <c:noMultiLvlLbl val="0"/>
      </c:catAx>
      <c:valAx>
        <c:axId val="-100322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6350">
            <a:noFill/>
          </a:ln>
        </c:spPr>
        <c:txPr>
          <a:bodyPr rot="-60000000" spcFirstLastPara="1" vertOverflow="ellipsis" vert="horz" wrap="square" anchor="ctr" anchorCtr="1"/>
          <a:lstStyle/>
          <a:p>
            <a:pPr>
              <a:defRPr lang="nl-NL" sz="1000" b="0" i="0" u="none" strike="noStrike" kern="1200" baseline="0">
                <a:solidFill>
                  <a:schemeClr val="tx1">
                    <a:lumMod val="65000"/>
                    <a:lumOff val="35000"/>
                  </a:schemeClr>
                </a:solidFill>
                <a:latin typeface="+mn-lt"/>
                <a:ea typeface="+mn-ea"/>
                <a:cs typeface="+mn-cs"/>
              </a:defRPr>
            </a:pPr>
            <a:endParaRPr lang="en-US"/>
          </a:p>
        </c:txPr>
        <c:crossAx val="-1003228752"/>
        <c:crosses val="autoZero"/>
        <c:crossBetween val="between"/>
      </c:valAx>
      <c:spPr>
        <a:noFill/>
        <a:ln w="25400">
          <a:noFill/>
        </a:ln>
      </c:spPr>
    </c:plotArea>
    <c:legend>
      <c:legendPos val="r"/>
      <c:layout>
        <c:manualLayout>
          <c:xMode val="edge"/>
          <c:yMode val="edge"/>
          <c:x val="7.3460463946327215E-2"/>
          <c:y val="0.88563215203000079"/>
          <c:w val="0.82376348675190147"/>
          <c:h val="0.10416386313119741"/>
        </c:manualLayout>
      </c:layout>
      <c:overlay val="0"/>
      <c:spPr>
        <a:noFill/>
        <a:ln w="25400">
          <a:noFill/>
        </a:ln>
      </c:spPr>
      <c:txPr>
        <a:bodyPr rot="0" spcFirstLastPara="1" vertOverflow="ellipsis" vert="horz" wrap="square" anchor="ctr" anchorCtr="1"/>
        <a:lstStyle/>
        <a:p>
          <a:pPr>
            <a:defRPr lang="nl-NL"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22" l="0.70000000000000062" r="0.70000000000000062" t="0.750000000000001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2012-2015 in million m3 </a:t>
            </a:r>
          </a:p>
        </c:rich>
      </c:tx>
      <c:overlay val="0"/>
    </c:title>
    <c:autoTitleDeleted val="0"/>
    <c:plotArea>
      <c:layout>
        <c:manualLayout>
          <c:layoutTarget val="inner"/>
          <c:xMode val="edge"/>
          <c:yMode val="edge"/>
          <c:x val="8.8186356073211319E-2"/>
          <c:y val="0.13738019169329074"/>
          <c:w val="0.88519134775374375"/>
          <c:h val="0.72204472843450485"/>
        </c:manualLayout>
      </c:layout>
      <c:barChart>
        <c:barDir val="col"/>
        <c:grouping val="clustered"/>
        <c:varyColors val="0"/>
        <c:ser>
          <c:idx val="0"/>
          <c:order val="0"/>
          <c:tx>
            <c:strRef>
              <c:f>Asset_trends_Charts__I!$A$5</c:f>
              <c:strCache>
                <c:ptCount val="1"/>
                <c:pt idx="0">
                  <c:v>Year 2012</c:v>
                </c:pt>
              </c:strCache>
            </c:strRef>
          </c:tx>
          <c:invertIfNegative val="0"/>
          <c:cat>
            <c:strRef>
              <c:f>Asset_trends_Charts__I!$B$4:$F$4</c:f>
              <c:strCache>
                <c:ptCount val="5"/>
                <c:pt idx="0">
                  <c:v>Lakes</c:v>
                </c:pt>
                <c:pt idx="1">
                  <c:v>Rivers</c:v>
                </c:pt>
                <c:pt idx="2">
                  <c:v>Artificial reservoirs</c:v>
                </c:pt>
                <c:pt idx="3">
                  <c:v>Soil water</c:v>
                </c:pt>
                <c:pt idx="4">
                  <c:v>Groundwater</c:v>
                </c:pt>
              </c:strCache>
            </c:strRef>
          </c:cat>
          <c:val>
            <c:numRef>
              <c:f>Asset_trends_Charts__I!$B$5:$F$5</c:f>
              <c:numCache>
                <c:formatCode>#,##0</c:formatCode>
                <c:ptCount val="5"/>
                <c:pt idx="0">
                  <c:v>257690.00067217631</c:v>
                </c:pt>
                <c:pt idx="1">
                  <c:v>1264</c:v>
                </c:pt>
                <c:pt idx="2">
                  <c:v>62.613469534117641</c:v>
                </c:pt>
                <c:pt idx="3">
                  <c:v>3388.8607500000003</c:v>
                </c:pt>
                <c:pt idx="4">
                  <c:v>62127</c:v>
                </c:pt>
              </c:numCache>
            </c:numRef>
          </c:val>
          <c:extLst xmlns:c16r2="http://schemas.microsoft.com/office/drawing/2015/06/chart">
            <c:ext xmlns:c16="http://schemas.microsoft.com/office/drawing/2014/chart" uri="{C3380CC4-5D6E-409C-BE32-E72D297353CC}">
              <c16:uniqueId val="{00000000-B9C1-4F89-8F70-C18DA4BE39BD}"/>
            </c:ext>
          </c:extLst>
        </c:ser>
        <c:ser>
          <c:idx val="1"/>
          <c:order val="1"/>
          <c:tx>
            <c:strRef>
              <c:f>Asset_trends_Charts__I!$A$6</c:f>
              <c:strCache>
                <c:ptCount val="1"/>
                <c:pt idx="0">
                  <c:v>Year 2013</c:v>
                </c:pt>
              </c:strCache>
            </c:strRef>
          </c:tx>
          <c:invertIfNegative val="0"/>
          <c:cat>
            <c:strRef>
              <c:f>Asset_trends_Charts__I!$B$4:$F$4</c:f>
              <c:strCache>
                <c:ptCount val="5"/>
                <c:pt idx="0">
                  <c:v>Lakes</c:v>
                </c:pt>
                <c:pt idx="1">
                  <c:v>Rivers</c:v>
                </c:pt>
                <c:pt idx="2">
                  <c:v>Artificial reservoirs</c:v>
                </c:pt>
                <c:pt idx="3">
                  <c:v>Soil water</c:v>
                </c:pt>
                <c:pt idx="4">
                  <c:v>Groundwater</c:v>
                </c:pt>
              </c:strCache>
            </c:strRef>
          </c:cat>
          <c:val>
            <c:numRef>
              <c:f>Asset_trends_Charts__I!$B$6:$F$6</c:f>
              <c:numCache>
                <c:formatCode>#,##0</c:formatCode>
                <c:ptCount val="5"/>
                <c:pt idx="0">
                  <c:v>257248.30771313258</c:v>
                </c:pt>
                <c:pt idx="1">
                  <c:v>1264</c:v>
                </c:pt>
                <c:pt idx="2">
                  <c:v>68.059208898823542</c:v>
                </c:pt>
                <c:pt idx="3">
                  <c:v>3388.8607500000003</c:v>
                </c:pt>
                <c:pt idx="4">
                  <c:v>62127</c:v>
                </c:pt>
              </c:numCache>
            </c:numRef>
          </c:val>
          <c:extLst xmlns:c16r2="http://schemas.microsoft.com/office/drawing/2015/06/chart">
            <c:ext xmlns:c16="http://schemas.microsoft.com/office/drawing/2014/chart" uri="{C3380CC4-5D6E-409C-BE32-E72D297353CC}">
              <c16:uniqueId val="{00000001-B9C1-4F89-8F70-C18DA4BE39BD}"/>
            </c:ext>
          </c:extLst>
        </c:ser>
        <c:ser>
          <c:idx val="2"/>
          <c:order val="2"/>
          <c:tx>
            <c:strRef>
              <c:f>Asset_trends_Charts__I!$A$7</c:f>
              <c:strCache>
                <c:ptCount val="1"/>
                <c:pt idx="0">
                  <c:v>Year 2014</c:v>
                </c:pt>
              </c:strCache>
            </c:strRef>
          </c:tx>
          <c:invertIfNegative val="0"/>
          <c:cat>
            <c:strRef>
              <c:f>Asset_trends_Charts__I!$B$4:$F$4</c:f>
              <c:strCache>
                <c:ptCount val="5"/>
                <c:pt idx="0">
                  <c:v>Lakes</c:v>
                </c:pt>
                <c:pt idx="1">
                  <c:v>Rivers</c:v>
                </c:pt>
                <c:pt idx="2">
                  <c:v>Artificial reservoirs</c:v>
                </c:pt>
                <c:pt idx="3">
                  <c:v>Soil water</c:v>
                </c:pt>
                <c:pt idx="4">
                  <c:v>Groundwater</c:v>
                </c:pt>
              </c:strCache>
            </c:strRef>
          </c:cat>
          <c:val>
            <c:numRef>
              <c:f>Asset_trends_Charts__I!$B$7:$F$7</c:f>
              <c:numCache>
                <c:formatCode>#,##0</c:formatCode>
                <c:ptCount val="5"/>
                <c:pt idx="0">
                  <c:v>256806.61475408886</c:v>
                </c:pt>
                <c:pt idx="1">
                  <c:v>1264</c:v>
                </c:pt>
                <c:pt idx="2">
                  <c:v>77.39732494588236</c:v>
                </c:pt>
                <c:pt idx="3">
                  <c:v>3388.8607500000003</c:v>
                </c:pt>
                <c:pt idx="4">
                  <c:v>62127</c:v>
                </c:pt>
              </c:numCache>
            </c:numRef>
          </c:val>
          <c:extLst xmlns:c16r2="http://schemas.microsoft.com/office/drawing/2015/06/chart">
            <c:ext xmlns:c16="http://schemas.microsoft.com/office/drawing/2014/chart" uri="{C3380CC4-5D6E-409C-BE32-E72D297353CC}">
              <c16:uniqueId val="{00000002-B9C1-4F89-8F70-C18DA4BE39BD}"/>
            </c:ext>
          </c:extLst>
        </c:ser>
        <c:ser>
          <c:idx val="3"/>
          <c:order val="3"/>
          <c:tx>
            <c:strRef>
              <c:f>Asset_trends_Charts__I!$A$8</c:f>
              <c:strCache>
                <c:ptCount val="1"/>
                <c:pt idx="0">
                  <c:v>Year 2015</c:v>
                </c:pt>
              </c:strCache>
            </c:strRef>
          </c:tx>
          <c:invertIfNegative val="0"/>
          <c:cat>
            <c:strRef>
              <c:f>Asset_trends_Charts__I!$B$4:$F$4</c:f>
              <c:strCache>
                <c:ptCount val="5"/>
                <c:pt idx="0">
                  <c:v>Lakes</c:v>
                </c:pt>
                <c:pt idx="1">
                  <c:v>Rivers</c:v>
                </c:pt>
                <c:pt idx="2">
                  <c:v>Artificial reservoirs</c:v>
                </c:pt>
                <c:pt idx="3">
                  <c:v>Soil water</c:v>
                </c:pt>
                <c:pt idx="4">
                  <c:v>Groundwater</c:v>
                </c:pt>
              </c:strCache>
            </c:strRef>
          </c:cat>
          <c:val>
            <c:numRef>
              <c:f>Asset_trends_Charts__I!$B$8:$F$8</c:f>
              <c:numCache>
                <c:formatCode>#,##0</c:formatCode>
                <c:ptCount val="5"/>
                <c:pt idx="0">
                  <c:v>256364.92179504514</c:v>
                </c:pt>
                <c:pt idx="1">
                  <c:v>1264</c:v>
                </c:pt>
                <c:pt idx="2">
                  <c:v>102.15046767529415</c:v>
                </c:pt>
                <c:pt idx="3">
                  <c:v>3388.8607500000003</c:v>
                </c:pt>
                <c:pt idx="4">
                  <c:v>62127</c:v>
                </c:pt>
              </c:numCache>
            </c:numRef>
          </c:val>
          <c:extLst xmlns:c16r2="http://schemas.microsoft.com/office/drawing/2015/06/chart">
            <c:ext xmlns:c16="http://schemas.microsoft.com/office/drawing/2014/chart" uri="{C3380CC4-5D6E-409C-BE32-E72D297353CC}">
              <c16:uniqueId val="{00000003-B9C1-4F89-8F70-C18DA4BE39BD}"/>
            </c:ext>
          </c:extLst>
        </c:ser>
        <c:dLbls>
          <c:showLegendKey val="0"/>
          <c:showVal val="0"/>
          <c:showCatName val="0"/>
          <c:showSerName val="0"/>
          <c:showPercent val="0"/>
          <c:showBubbleSize val="0"/>
        </c:dLbls>
        <c:gapWidth val="150"/>
        <c:axId val="-1003227664"/>
        <c:axId val="-1003227120"/>
      </c:barChart>
      <c:catAx>
        <c:axId val="-1003227664"/>
        <c:scaling>
          <c:orientation val="minMax"/>
        </c:scaling>
        <c:delete val="0"/>
        <c:axPos val="b"/>
        <c:numFmt formatCode="General" sourceLinked="0"/>
        <c:majorTickMark val="out"/>
        <c:minorTickMark val="none"/>
        <c:tickLblPos val="nextTo"/>
        <c:crossAx val="-1003227120"/>
        <c:crosses val="autoZero"/>
        <c:auto val="1"/>
        <c:lblAlgn val="ctr"/>
        <c:lblOffset val="100"/>
        <c:noMultiLvlLbl val="0"/>
      </c:catAx>
      <c:valAx>
        <c:axId val="-1003227120"/>
        <c:scaling>
          <c:orientation val="minMax"/>
          <c:min val="-50000"/>
        </c:scaling>
        <c:delete val="0"/>
        <c:axPos val="l"/>
        <c:numFmt formatCode="#,##0" sourceLinked="1"/>
        <c:majorTickMark val="out"/>
        <c:minorTickMark val="none"/>
        <c:tickLblPos val="nextTo"/>
        <c:crossAx val="-1003227664"/>
        <c:crosses val="autoZero"/>
        <c:crossBetween val="between"/>
      </c:valAx>
    </c:plotArea>
    <c:legend>
      <c:legendPos val="r"/>
      <c:layout>
        <c:manualLayout>
          <c:xMode val="edge"/>
          <c:yMode val="edge"/>
          <c:x val="0.22462579864704932"/>
          <c:y val="0.91054447267573979"/>
          <c:w val="0.55074927614081515"/>
          <c:h val="6.3897763578274813E-2"/>
        </c:manualLayout>
      </c:layout>
      <c:overlay val="0"/>
    </c:legend>
    <c:plotVisOnly val="1"/>
    <c:dispBlanksAs val="gap"/>
    <c:showDLblsOverMax val="0"/>
  </c:chart>
  <c:spPr>
    <a:solidFill>
      <a:schemeClr val="bg1"/>
    </a:solidFill>
    <a:ln>
      <a:no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2012-2015 in million m3, excluding water in lakes</a:t>
            </a:r>
          </a:p>
        </c:rich>
      </c:tx>
      <c:overlay val="0"/>
    </c:title>
    <c:autoTitleDeleted val="0"/>
    <c:plotArea>
      <c:layout>
        <c:manualLayout>
          <c:layoutTarget val="inner"/>
          <c:xMode val="edge"/>
          <c:yMode val="edge"/>
          <c:x val="8.4858569051580776E-2"/>
          <c:y val="0.1711711711711712"/>
          <c:w val="0.88851913477537436"/>
          <c:h val="0.69369369369369482"/>
        </c:manualLayout>
      </c:layout>
      <c:barChart>
        <c:barDir val="col"/>
        <c:grouping val="clustered"/>
        <c:varyColors val="0"/>
        <c:ser>
          <c:idx val="0"/>
          <c:order val="0"/>
          <c:tx>
            <c:strRef>
              <c:f>Asset_trends_Charts__I!$A$5</c:f>
              <c:strCache>
                <c:ptCount val="1"/>
                <c:pt idx="0">
                  <c:v>Year 2012</c:v>
                </c:pt>
              </c:strCache>
            </c:strRef>
          </c:tx>
          <c:invertIfNegative val="0"/>
          <c:cat>
            <c:strRef>
              <c:f>Asset_trends_Charts__I!$C$4:$F$4</c:f>
              <c:strCache>
                <c:ptCount val="4"/>
                <c:pt idx="0">
                  <c:v>Rivers</c:v>
                </c:pt>
                <c:pt idx="1">
                  <c:v>Artificial reservoirs</c:v>
                </c:pt>
                <c:pt idx="2">
                  <c:v>Soil water</c:v>
                </c:pt>
                <c:pt idx="3">
                  <c:v>Groundwater</c:v>
                </c:pt>
              </c:strCache>
            </c:strRef>
          </c:cat>
          <c:val>
            <c:numRef>
              <c:f>Asset_trends_Charts__I!$C$5:$F$5</c:f>
              <c:numCache>
                <c:formatCode>#,##0</c:formatCode>
                <c:ptCount val="4"/>
                <c:pt idx="0">
                  <c:v>1264</c:v>
                </c:pt>
                <c:pt idx="1">
                  <c:v>62.613469534117641</c:v>
                </c:pt>
                <c:pt idx="2">
                  <c:v>3388.8607500000003</c:v>
                </c:pt>
                <c:pt idx="3">
                  <c:v>62127</c:v>
                </c:pt>
              </c:numCache>
            </c:numRef>
          </c:val>
          <c:extLst xmlns:c16r2="http://schemas.microsoft.com/office/drawing/2015/06/chart">
            <c:ext xmlns:c16="http://schemas.microsoft.com/office/drawing/2014/chart" uri="{C3380CC4-5D6E-409C-BE32-E72D297353CC}">
              <c16:uniqueId val="{00000000-1C22-4D14-8403-82152C1E12C2}"/>
            </c:ext>
          </c:extLst>
        </c:ser>
        <c:ser>
          <c:idx val="1"/>
          <c:order val="1"/>
          <c:tx>
            <c:strRef>
              <c:f>Asset_trends_Charts__I!$A$6</c:f>
              <c:strCache>
                <c:ptCount val="1"/>
                <c:pt idx="0">
                  <c:v>Year 2013</c:v>
                </c:pt>
              </c:strCache>
            </c:strRef>
          </c:tx>
          <c:invertIfNegative val="0"/>
          <c:cat>
            <c:strRef>
              <c:f>Asset_trends_Charts__I!$C$4:$F$4</c:f>
              <c:strCache>
                <c:ptCount val="4"/>
                <c:pt idx="0">
                  <c:v>Rivers</c:v>
                </c:pt>
                <c:pt idx="1">
                  <c:v>Artificial reservoirs</c:v>
                </c:pt>
                <c:pt idx="2">
                  <c:v>Soil water</c:v>
                </c:pt>
                <c:pt idx="3">
                  <c:v>Groundwater</c:v>
                </c:pt>
              </c:strCache>
            </c:strRef>
          </c:cat>
          <c:val>
            <c:numRef>
              <c:f>Asset_trends_Charts__I!$C$6:$F$6</c:f>
              <c:numCache>
                <c:formatCode>#,##0</c:formatCode>
                <c:ptCount val="4"/>
                <c:pt idx="0">
                  <c:v>1264</c:v>
                </c:pt>
                <c:pt idx="1">
                  <c:v>68.059208898823542</c:v>
                </c:pt>
                <c:pt idx="2">
                  <c:v>3388.8607500000003</c:v>
                </c:pt>
                <c:pt idx="3">
                  <c:v>62127</c:v>
                </c:pt>
              </c:numCache>
            </c:numRef>
          </c:val>
          <c:extLst xmlns:c16r2="http://schemas.microsoft.com/office/drawing/2015/06/chart">
            <c:ext xmlns:c16="http://schemas.microsoft.com/office/drawing/2014/chart" uri="{C3380CC4-5D6E-409C-BE32-E72D297353CC}">
              <c16:uniqueId val="{00000001-1C22-4D14-8403-82152C1E12C2}"/>
            </c:ext>
          </c:extLst>
        </c:ser>
        <c:ser>
          <c:idx val="2"/>
          <c:order val="2"/>
          <c:tx>
            <c:strRef>
              <c:f>Asset_trends_Charts__I!$A$7</c:f>
              <c:strCache>
                <c:ptCount val="1"/>
                <c:pt idx="0">
                  <c:v>Year 2014</c:v>
                </c:pt>
              </c:strCache>
            </c:strRef>
          </c:tx>
          <c:invertIfNegative val="0"/>
          <c:cat>
            <c:strRef>
              <c:f>Asset_trends_Charts__I!$C$4:$F$4</c:f>
              <c:strCache>
                <c:ptCount val="4"/>
                <c:pt idx="0">
                  <c:v>Rivers</c:v>
                </c:pt>
                <c:pt idx="1">
                  <c:v>Artificial reservoirs</c:v>
                </c:pt>
                <c:pt idx="2">
                  <c:v>Soil water</c:v>
                </c:pt>
                <c:pt idx="3">
                  <c:v>Groundwater</c:v>
                </c:pt>
              </c:strCache>
            </c:strRef>
          </c:cat>
          <c:val>
            <c:numRef>
              <c:f>Asset_trends_Charts__I!$C$7:$F$7</c:f>
              <c:numCache>
                <c:formatCode>#,##0</c:formatCode>
                <c:ptCount val="4"/>
                <c:pt idx="0">
                  <c:v>1264</c:v>
                </c:pt>
                <c:pt idx="1">
                  <c:v>77.39732494588236</c:v>
                </c:pt>
                <c:pt idx="2">
                  <c:v>3388.8607500000003</c:v>
                </c:pt>
                <c:pt idx="3">
                  <c:v>62127</c:v>
                </c:pt>
              </c:numCache>
            </c:numRef>
          </c:val>
          <c:extLst xmlns:c16r2="http://schemas.microsoft.com/office/drawing/2015/06/chart">
            <c:ext xmlns:c16="http://schemas.microsoft.com/office/drawing/2014/chart" uri="{C3380CC4-5D6E-409C-BE32-E72D297353CC}">
              <c16:uniqueId val="{00000002-1C22-4D14-8403-82152C1E12C2}"/>
            </c:ext>
          </c:extLst>
        </c:ser>
        <c:ser>
          <c:idx val="3"/>
          <c:order val="3"/>
          <c:tx>
            <c:strRef>
              <c:f>Asset_trends_Charts__I!$A$8</c:f>
              <c:strCache>
                <c:ptCount val="1"/>
                <c:pt idx="0">
                  <c:v>Year 2015</c:v>
                </c:pt>
              </c:strCache>
            </c:strRef>
          </c:tx>
          <c:invertIfNegative val="0"/>
          <c:cat>
            <c:strRef>
              <c:f>Asset_trends_Charts__I!$C$4:$F$4</c:f>
              <c:strCache>
                <c:ptCount val="4"/>
                <c:pt idx="0">
                  <c:v>Rivers</c:v>
                </c:pt>
                <c:pt idx="1">
                  <c:v>Artificial reservoirs</c:v>
                </c:pt>
                <c:pt idx="2">
                  <c:v>Soil water</c:v>
                </c:pt>
                <c:pt idx="3">
                  <c:v>Groundwater</c:v>
                </c:pt>
              </c:strCache>
            </c:strRef>
          </c:cat>
          <c:val>
            <c:numRef>
              <c:f>Asset_trends_Charts__I!$C$8:$F$8</c:f>
              <c:numCache>
                <c:formatCode>#,##0</c:formatCode>
                <c:ptCount val="4"/>
                <c:pt idx="0">
                  <c:v>1264</c:v>
                </c:pt>
                <c:pt idx="1">
                  <c:v>102.15046767529415</c:v>
                </c:pt>
                <c:pt idx="2">
                  <c:v>3388.8607500000003</c:v>
                </c:pt>
                <c:pt idx="3">
                  <c:v>62127</c:v>
                </c:pt>
              </c:numCache>
            </c:numRef>
          </c:val>
          <c:extLst xmlns:c16r2="http://schemas.microsoft.com/office/drawing/2015/06/chart">
            <c:ext xmlns:c16="http://schemas.microsoft.com/office/drawing/2014/chart" uri="{C3380CC4-5D6E-409C-BE32-E72D297353CC}">
              <c16:uniqueId val="{00000003-1C22-4D14-8403-82152C1E12C2}"/>
            </c:ext>
          </c:extLst>
        </c:ser>
        <c:dLbls>
          <c:showLegendKey val="0"/>
          <c:showVal val="0"/>
          <c:showCatName val="0"/>
          <c:showSerName val="0"/>
          <c:showPercent val="0"/>
          <c:showBubbleSize val="0"/>
        </c:dLbls>
        <c:gapWidth val="150"/>
        <c:axId val="-1003241808"/>
        <c:axId val="-1003241264"/>
      </c:barChart>
      <c:catAx>
        <c:axId val="-1003241808"/>
        <c:scaling>
          <c:orientation val="minMax"/>
        </c:scaling>
        <c:delete val="0"/>
        <c:axPos val="b"/>
        <c:numFmt formatCode="General" sourceLinked="0"/>
        <c:majorTickMark val="out"/>
        <c:minorTickMark val="none"/>
        <c:tickLblPos val="nextTo"/>
        <c:crossAx val="-1003241264"/>
        <c:crosses val="autoZero"/>
        <c:auto val="1"/>
        <c:lblAlgn val="ctr"/>
        <c:lblOffset val="100"/>
        <c:noMultiLvlLbl val="0"/>
      </c:catAx>
      <c:valAx>
        <c:axId val="-1003241264"/>
        <c:scaling>
          <c:orientation val="minMax"/>
          <c:min val="-10000"/>
        </c:scaling>
        <c:delete val="0"/>
        <c:axPos val="l"/>
        <c:numFmt formatCode="#,##0" sourceLinked="1"/>
        <c:majorTickMark val="out"/>
        <c:minorTickMark val="none"/>
        <c:tickLblPos val="nextTo"/>
        <c:crossAx val="-1003241808"/>
        <c:crosses val="autoZero"/>
        <c:crossBetween val="between"/>
      </c:valAx>
    </c:plotArea>
    <c:legend>
      <c:legendPos val="r"/>
      <c:layout>
        <c:manualLayout>
          <c:xMode val="edge"/>
          <c:yMode val="edge"/>
          <c:x val="0.22462579864704932"/>
          <c:y val="0.91591875339906836"/>
          <c:w val="0.55074927614081515"/>
          <c:h val="6.0060375335965865E-2"/>
        </c:manualLayout>
      </c:layout>
      <c:overlay val="0"/>
    </c:legend>
    <c:plotVisOnly val="1"/>
    <c:dispBlanksAs val="gap"/>
    <c:showDLblsOverMax val="0"/>
  </c:chart>
  <c:spPr>
    <a:solidFill>
      <a:schemeClr val="bg1"/>
    </a:solidFill>
    <a:ln>
      <a:no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2012-2016 in million m3 </a:t>
            </a:r>
          </a:p>
        </c:rich>
      </c:tx>
      <c:overlay val="0"/>
    </c:title>
    <c:autoTitleDeleted val="0"/>
    <c:plotArea>
      <c:layout>
        <c:manualLayout>
          <c:layoutTarget val="inner"/>
          <c:xMode val="edge"/>
          <c:yMode val="edge"/>
          <c:x val="8.8186356073211319E-2"/>
          <c:y val="0.13738019169329074"/>
          <c:w val="0.88519134775374375"/>
          <c:h val="0.72204472843450485"/>
        </c:manualLayout>
      </c:layout>
      <c:barChart>
        <c:barDir val="col"/>
        <c:grouping val="clustered"/>
        <c:varyColors val="0"/>
        <c:ser>
          <c:idx val="0"/>
          <c:order val="0"/>
          <c:tx>
            <c:strRef>
              <c:f>Asset_trends_Charts__II!$A$5</c:f>
              <c:strCache>
                <c:ptCount val="1"/>
                <c:pt idx="0">
                  <c:v>Year 2012</c:v>
                </c:pt>
              </c:strCache>
            </c:strRef>
          </c:tx>
          <c:invertIfNegative val="0"/>
          <c:cat>
            <c:strRef>
              <c:f>Asset_trends_Charts__II!$B$4:$F$4</c:f>
              <c:strCache>
                <c:ptCount val="5"/>
                <c:pt idx="0">
                  <c:v>Lakes</c:v>
                </c:pt>
                <c:pt idx="1">
                  <c:v>Rivers</c:v>
                </c:pt>
                <c:pt idx="2">
                  <c:v>Artificial reservoirs</c:v>
                </c:pt>
                <c:pt idx="3">
                  <c:v>Soil water</c:v>
                </c:pt>
                <c:pt idx="4">
                  <c:v>Groundwater</c:v>
                </c:pt>
              </c:strCache>
            </c:strRef>
          </c:cat>
          <c:val>
            <c:numRef>
              <c:f>Asset_trends_Charts__II!$B$5:$F$5</c:f>
              <c:numCache>
                <c:formatCode>#,##0</c:formatCode>
                <c:ptCount val="5"/>
                <c:pt idx="0">
                  <c:v>257690.00067217628</c:v>
                </c:pt>
                <c:pt idx="1">
                  <c:v>818.64426410878514</c:v>
                </c:pt>
                <c:pt idx="2">
                  <c:v>-19.184503109435298</c:v>
                </c:pt>
                <c:pt idx="3">
                  <c:v>3551.6686931306394</c:v>
                </c:pt>
                <c:pt idx="4">
                  <c:v>62309.290146056184</c:v>
                </c:pt>
              </c:numCache>
            </c:numRef>
          </c:val>
          <c:extLst xmlns:c16r2="http://schemas.microsoft.com/office/drawing/2015/06/chart">
            <c:ext xmlns:c16="http://schemas.microsoft.com/office/drawing/2014/chart" uri="{C3380CC4-5D6E-409C-BE32-E72D297353CC}">
              <c16:uniqueId val="{00000000-62FC-47C1-BD02-6CA8FE466C6E}"/>
            </c:ext>
          </c:extLst>
        </c:ser>
        <c:ser>
          <c:idx val="1"/>
          <c:order val="1"/>
          <c:tx>
            <c:strRef>
              <c:f>Asset_trends_Charts__II!$A$6</c:f>
              <c:strCache>
                <c:ptCount val="1"/>
                <c:pt idx="0">
                  <c:v>Year 2013</c:v>
                </c:pt>
              </c:strCache>
            </c:strRef>
          </c:tx>
          <c:invertIfNegative val="0"/>
          <c:cat>
            <c:strRef>
              <c:f>Asset_trends_Charts__II!$B$4:$F$4</c:f>
              <c:strCache>
                <c:ptCount val="5"/>
                <c:pt idx="0">
                  <c:v>Lakes</c:v>
                </c:pt>
                <c:pt idx="1">
                  <c:v>Rivers</c:v>
                </c:pt>
                <c:pt idx="2">
                  <c:v>Artificial reservoirs</c:v>
                </c:pt>
                <c:pt idx="3">
                  <c:v>Soil water</c:v>
                </c:pt>
                <c:pt idx="4">
                  <c:v>Groundwater</c:v>
                </c:pt>
              </c:strCache>
            </c:strRef>
          </c:cat>
          <c:val>
            <c:numRef>
              <c:f>Asset_trends_Charts__II!$B$6:$F$6</c:f>
              <c:numCache>
                <c:formatCode>#,##0</c:formatCode>
                <c:ptCount val="5"/>
                <c:pt idx="0">
                  <c:v>257248.30771313258</c:v>
                </c:pt>
                <c:pt idx="1">
                  <c:v>815.49448791738359</c:v>
                </c:pt>
                <c:pt idx="2">
                  <c:v>-26.288680421402603</c:v>
                </c:pt>
                <c:pt idx="3">
                  <c:v>2942.8046156033088</c:v>
                </c:pt>
                <c:pt idx="4">
                  <c:v>62308.896679671219</c:v>
                </c:pt>
              </c:numCache>
            </c:numRef>
          </c:val>
          <c:extLst xmlns:c16r2="http://schemas.microsoft.com/office/drawing/2015/06/chart">
            <c:ext xmlns:c16="http://schemas.microsoft.com/office/drawing/2014/chart" uri="{C3380CC4-5D6E-409C-BE32-E72D297353CC}">
              <c16:uniqueId val="{00000001-62FC-47C1-BD02-6CA8FE466C6E}"/>
            </c:ext>
          </c:extLst>
        </c:ser>
        <c:ser>
          <c:idx val="2"/>
          <c:order val="2"/>
          <c:tx>
            <c:strRef>
              <c:f>Asset_trends_Charts__II!$A$7</c:f>
              <c:strCache>
                <c:ptCount val="1"/>
                <c:pt idx="0">
                  <c:v>Year 2014</c:v>
                </c:pt>
              </c:strCache>
            </c:strRef>
          </c:tx>
          <c:invertIfNegative val="0"/>
          <c:cat>
            <c:strRef>
              <c:f>Asset_trends_Charts__II!$B$4:$F$4</c:f>
              <c:strCache>
                <c:ptCount val="5"/>
                <c:pt idx="0">
                  <c:v>Lakes</c:v>
                </c:pt>
                <c:pt idx="1">
                  <c:v>Rivers</c:v>
                </c:pt>
                <c:pt idx="2">
                  <c:v>Artificial reservoirs</c:v>
                </c:pt>
                <c:pt idx="3">
                  <c:v>Soil water</c:v>
                </c:pt>
                <c:pt idx="4">
                  <c:v>Groundwater</c:v>
                </c:pt>
              </c:strCache>
            </c:strRef>
          </c:cat>
          <c:val>
            <c:numRef>
              <c:f>Asset_trends_Charts__II!$B$7:$F$7</c:f>
              <c:numCache>
                <c:formatCode>#,##0</c:formatCode>
                <c:ptCount val="5"/>
                <c:pt idx="0">
                  <c:v>256806.61475408886</c:v>
                </c:pt>
                <c:pt idx="1">
                  <c:v>822.76328165086852</c:v>
                </c:pt>
                <c:pt idx="2">
                  <c:v>-32.372365780759537</c:v>
                </c:pt>
                <c:pt idx="3">
                  <c:v>3684.1795662986879</c:v>
                </c:pt>
                <c:pt idx="4">
                  <c:v>62308.507260570244</c:v>
                </c:pt>
              </c:numCache>
            </c:numRef>
          </c:val>
          <c:extLst xmlns:c16r2="http://schemas.microsoft.com/office/drawing/2015/06/chart">
            <c:ext xmlns:c16="http://schemas.microsoft.com/office/drawing/2014/chart" uri="{C3380CC4-5D6E-409C-BE32-E72D297353CC}">
              <c16:uniqueId val="{00000002-62FC-47C1-BD02-6CA8FE466C6E}"/>
            </c:ext>
          </c:extLst>
        </c:ser>
        <c:ser>
          <c:idx val="3"/>
          <c:order val="3"/>
          <c:tx>
            <c:strRef>
              <c:f>Asset_trends_Charts__II!$A$8</c:f>
              <c:strCache>
                <c:ptCount val="1"/>
                <c:pt idx="0">
                  <c:v>Year 2015</c:v>
                </c:pt>
              </c:strCache>
            </c:strRef>
          </c:tx>
          <c:invertIfNegative val="0"/>
          <c:cat>
            <c:strRef>
              <c:f>Asset_trends_Charts__II!$B$4:$F$4</c:f>
              <c:strCache>
                <c:ptCount val="5"/>
                <c:pt idx="0">
                  <c:v>Lakes</c:v>
                </c:pt>
                <c:pt idx="1">
                  <c:v>Rivers</c:v>
                </c:pt>
                <c:pt idx="2">
                  <c:v>Artificial reservoirs</c:v>
                </c:pt>
                <c:pt idx="3">
                  <c:v>Soil water</c:v>
                </c:pt>
                <c:pt idx="4">
                  <c:v>Groundwater</c:v>
                </c:pt>
              </c:strCache>
            </c:strRef>
          </c:cat>
          <c:val>
            <c:numRef>
              <c:f>Asset_trends_Charts__II!$B$8:$F$8</c:f>
              <c:numCache>
                <c:formatCode>#,##0</c:formatCode>
                <c:ptCount val="5"/>
                <c:pt idx="0">
                  <c:v>256364.92179504514</c:v>
                </c:pt>
                <c:pt idx="1">
                  <c:v>823.00853840832133</c:v>
                </c:pt>
                <c:pt idx="2">
                  <c:v>-34.97238514122995</c:v>
                </c:pt>
                <c:pt idx="3">
                  <c:v>3375.635504276368</c:v>
                </c:pt>
                <c:pt idx="4">
                  <c:v>62308.110596346785</c:v>
                </c:pt>
              </c:numCache>
            </c:numRef>
          </c:val>
          <c:extLst xmlns:c16r2="http://schemas.microsoft.com/office/drawing/2015/06/chart">
            <c:ext xmlns:c16="http://schemas.microsoft.com/office/drawing/2014/chart" uri="{C3380CC4-5D6E-409C-BE32-E72D297353CC}">
              <c16:uniqueId val="{00000003-62FC-47C1-BD02-6CA8FE466C6E}"/>
            </c:ext>
          </c:extLst>
        </c:ser>
        <c:dLbls>
          <c:showLegendKey val="0"/>
          <c:showVal val="0"/>
          <c:showCatName val="0"/>
          <c:showSerName val="0"/>
          <c:showPercent val="0"/>
          <c:showBubbleSize val="0"/>
        </c:dLbls>
        <c:gapWidth val="150"/>
        <c:axId val="-1003240176"/>
        <c:axId val="-1003239632"/>
      </c:barChart>
      <c:catAx>
        <c:axId val="-1003240176"/>
        <c:scaling>
          <c:orientation val="minMax"/>
        </c:scaling>
        <c:delete val="0"/>
        <c:axPos val="b"/>
        <c:numFmt formatCode="General" sourceLinked="0"/>
        <c:majorTickMark val="out"/>
        <c:minorTickMark val="none"/>
        <c:tickLblPos val="nextTo"/>
        <c:crossAx val="-1003239632"/>
        <c:crosses val="autoZero"/>
        <c:auto val="1"/>
        <c:lblAlgn val="ctr"/>
        <c:lblOffset val="100"/>
        <c:noMultiLvlLbl val="0"/>
      </c:catAx>
      <c:valAx>
        <c:axId val="-1003239632"/>
        <c:scaling>
          <c:orientation val="minMax"/>
          <c:min val="-50000"/>
        </c:scaling>
        <c:delete val="0"/>
        <c:axPos val="l"/>
        <c:majorGridlines/>
        <c:numFmt formatCode="#,##0" sourceLinked="1"/>
        <c:majorTickMark val="out"/>
        <c:minorTickMark val="none"/>
        <c:tickLblPos val="nextTo"/>
        <c:crossAx val="-1003240176"/>
        <c:crosses val="autoZero"/>
        <c:crossBetween val="between"/>
      </c:valAx>
    </c:plotArea>
    <c:legend>
      <c:legendPos val="r"/>
      <c:layout>
        <c:manualLayout>
          <c:xMode val="edge"/>
          <c:yMode val="edge"/>
          <c:x val="0.22462579864704932"/>
          <c:y val="0.91054447267573979"/>
          <c:w val="0.55074927614081515"/>
          <c:h val="6.3897763578274813E-2"/>
        </c:manualLayout>
      </c:layout>
      <c:overlay val="0"/>
    </c:legend>
    <c:plotVisOnly val="1"/>
    <c:dispBlanksAs val="gap"/>
    <c:showDLblsOverMax val="0"/>
  </c:chart>
  <c:spPr>
    <a:solidFill>
      <a:schemeClr val="bg1"/>
    </a:solidFill>
    <a:ln>
      <a:solidFill>
        <a:schemeClr val="accent1"/>
      </a:solid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2012-2016 in million m3, excluding water in lakes</a:t>
            </a:r>
          </a:p>
        </c:rich>
      </c:tx>
      <c:overlay val="0"/>
    </c:title>
    <c:autoTitleDeleted val="0"/>
    <c:plotArea>
      <c:layout>
        <c:manualLayout>
          <c:layoutTarget val="inner"/>
          <c:xMode val="edge"/>
          <c:yMode val="edge"/>
          <c:x val="8.4858569051580776E-2"/>
          <c:y val="0.1711711711711712"/>
          <c:w val="0.88851913477537436"/>
          <c:h val="0.69369369369369482"/>
        </c:manualLayout>
      </c:layout>
      <c:barChart>
        <c:barDir val="col"/>
        <c:grouping val="clustered"/>
        <c:varyColors val="0"/>
        <c:ser>
          <c:idx val="0"/>
          <c:order val="0"/>
          <c:tx>
            <c:strRef>
              <c:f>Asset_trends_Charts__II!$A$5</c:f>
              <c:strCache>
                <c:ptCount val="1"/>
                <c:pt idx="0">
                  <c:v>Year 2012</c:v>
                </c:pt>
              </c:strCache>
            </c:strRef>
          </c:tx>
          <c:invertIfNegative val="0"/>
          <c:cat>
            <c:strRef>
              <c:f>Asset_trends_Charts__II!$C$4:$F$4</c:f>
              <c:strCache>
                <c:ptCount val="4"/>
                <c:pt idx="0">
                  <c:v>Rivers</c:v>
                </c:pt>
                <c:pt idx="1">
                  <c:v>Artificial reservoirs</c:v>
                </c:pt>
                <c:pt idx="2">
                  <c:v>Soil water</c:v>
                </c:pt>
                <c:pt idx="3">
                  <c:v>Groundwater</c:v>
                </c:pt>
              </c:strCache>
            </c:strRef>
          </c:cat>
          <c:val>
            <c:numRef>
              <c:f>Asset_trends_Charts__II!$C$5:$F$5</c:f>
              <c:numCache>
                <c:formatCode>#,##0</c:formatCode>
                <c:ptCount val="4"/>
                <c:pt idx="0">
                  <c:v>818.64426410878514</c:v>
                </c:pt>
                <c:pt idx="1">
                  <c:v>-19.184503109435298</c:v>
                </c:pt>
                <c:pt idx="2">
                  <c:v>3551.6686931306394</c:v>
                </c:pt>
                <c:pt idx="3">
                  <c:v>62309.290146056184</c:v>
                </c:pt>
              </c:numCache>
            </c:numRef>
          </c:val>
          <c:extLst xmlns:c16r2="http://schemas.microsoft.com/office/drawing/2015/06/chart">
            <c:ext xmlns:c16="http://schemas.microsoft.com/office/drawing/2014/chart" uri="{C3380CC4-5D6E-409C-BE32-E72D297353CC}">
              <c16:uniqueId val="{00000000-F1F9-451C-9243-D1FC3388EB50}"/>
            </c:ext>
          </c:extLst>
        </c:ser>
        <c:ser>
          <c:idx val="1"/>
          <c:order val="1"/>
          <c:tx>
            <c:strRef>
              <c:f>Asset_trends_Charts__II!$A$6</c:f>
              <c:strCache>
                <c:ptCount val="1"/>
                <c:pt idx="0">
                  <c:v>Year 2013</c:v>
                </c:pt>
              </c:strCache>
            </c:strRef>
          </c:tx>
          <c:invertIfNegative val="0"/>
          <c:cat>
            <c:strRef>
              <c:f>Asset_trends_Charts__II!$C$4:$F$4</c:f>
              <c:strCache>
                <c:ptCount val="4"/>
                <c:pt idx="0">
                  <c:v>Rivers</c:v>
                </c:pt>
                <c:pt idx="1">
                  <c:v>Artificial reservoirs</c:v>
                </c:pt>
                <c:pt idx="2">
                  <c:v>Soil water</c:v>
                </c:pt>
                <c:pt idx="3">
                  <c:v>Groundwater</c:v>
                </c:pt>
              </c:strCache>
            </c:strRef>
          </c:cat>
          <c:val>
            <c:numRef>
              <c:f>Asset_trends_Charts__II!$C$6:$F$6</c:f>
              <c:numCache>
                <c:formatCode>#,##0</c:formatCode>
                <c:ptCount val="4"/>
                <c:pt idx="0">
                  <c:v>815.49448791738359</c:v>
                </c:pt>
                <c:pt idx="1">
                  <c:v>-26.288680421402603</c:v>
                </c:pt>
                <c:pt idx="2">
                  <c:v>2942.8046156033088</c:v>
                </c:pt>
                <c:pt idx="3">
                  <c:v>62308.896679671219</c:v>
                </c:pt>
              </c:numCache>
            </c:numRef>
          </c:val>
          <c:extLst xmlns:c16r2="http://schemas.microsoft.com/office/drawing/2015/06/chart">
            <c:ext xmlns:c16="http://schemas.microsoft.com/office/drawing/2014/chart" uri="{C3380CC4-5D6E-409C-BE32-E72D297353CC}">
              <c16:uniqueId val="{00000001-F1F9-451C-9243-D1FC3388EB50}"/>
            </c:ext>
          </c:extLst>
        </c:ser>
        <c:ser>
          <c:idx val="2"/>
          <c:order val="2"/>
          <c:tx>
            <c:strRef>
              <c:f>Asset_trends_Charts__II!$A$7</c:f>
              <c:strCache>
                <c:ptCount val="1"/>
                <c:pt idx="0">
                  <c:v>Year 2014</c:v>
                </c:pt>
              </c:strCache>
            </c:strRef>
          </c:tx>
          <c:invertIfNegative val="0"/>
          <c:cat>
            <c:strRef>
              <c:f>Asset_trends_Charts__II!$C$4:$F$4</c:f>
              <c:strCache>
                <c:ptCount val="4"/>
                <c:pt idx="0">
                  <c:v>Rivers</c:v>
                </c:pt>
                <c:pt idx="1">
                  <c:v>Artificial reservoirs</c:v>
                </c:pt>
                <c:pt idx="2">
                  <c:v>Soil water</c:v>
                </c:pt>
                <c:pt idx="3">
                  <c:v>Groundwater</c:v>
                </c:pt>
              </c:strCache>
            </c:strRef>
          </c:cat>
          <c:val>
            <c:numRef>
              <c:f>Asset_trends_Charts__II!$C$7:$F$7</c:f>
              <c:numCache>
                <c:formatCode>#,##0</c:formatCode>
                <c:ptCount val="4"/>
                <c:pt idx="0">
                  <c:v>822.76328165086852</c:v>
                </c:pt>
                <c:pt idx="1">
                  <c:v>-32.372365780759537</c:v>
                </c:pt>
                <c:pt idx="2">
                  <c:v>3684.1795662986879</c:v>
                </c:pt>
                <c:pt idx="3">
                  <c:v>62308.507260570244</c:v>
                </c:pt>
              </c:numCache>
            </c:numRef>
          </c:val>
          <c:extLst xmlns:c16r2="http://schemas.microsoft.com/office/drawing/2015/06/chart">
            <c:ext xmlns:c16="http://schemas.microsoft.com/office/drawing/2014/chart" uri="{C3380CC4-5D6E-409C-BE32-E72D297353CC}">
              <c16:uniqueId val="{00000002-F1F9-451C-9243-D1FC3388EB50}"/>
            </c:ext>
          </c:extLst>
        </c:ser>
        <c:ser>
          <c:idx val="3"/>
          <c:order val="3"/>
          <c:tx>
            <c:strRef>
              <c:f>Asset_trends_Charts__II!$A$8</c:f>
              <c:strCache>
                <c:ptCount val="1"/>
                <c:pt idx="0">
                  <c:v>Year 2015</c:v>
                </c:pt>
              </c:strCache>
            </c:strRef>
          </c:tx>
          <c:invertIfNegative val="0"/>
          <c:cat>
            <c:strRef>
              <c:f>Asset_trends_Charts__II!$C$4:$F$4</c:f>
              <c:strCache>
                <c:ptCount val="4"/>
                <c:pt idx="0">
                  <c:v>Rivers</c:v>
                </c:pt>
                <c:pt idx="1">
                  <c:v>Artificial reservoirs</c:v>
                </c:pt>
                <c:pt idx="2">
                  <c:v>Soil water</c:v>
                </c:pt>
                <c:pt idx="3">
                  <c:v>Groundwater</c:v>
                </c:pt>
              </c:strCache>
            </c:strRef>
          </c:cat>
          <c:val>
            <c:numRef>
              <c:f>Asset_trends_Charts__II!$C$8:$F$8</c:f>
              <c:numCache>
                <c:formatCode>#,##0</c:formatCode>
                <c:ptCount val="4"/>
                <c:pt idx="0">
                  <c:v>823.00853840832133</c:v>
                </c:pt>
                <c:pt idx="1">
                  <c:v>-34.97238514122995</c:v>
                </c:pt>
                <c:pt idx="2">
                  <c:v>3375.635504276368</c:v>
                </c:pt>
                <c:pt idx="3">
                  <c:v>62308.110596346785</c:v>
                </c:pt>
              </c:numCache>
            </c:numRef>
          </c:val>
          <c:extLst xmlns:c16r2="http://schemas.microsoft.com/office/drawing/2015/06/chart">
            <c:ext xmlns:c16="http://schemas.microsoft.com/office/drawing/2014/chart" uri="{C3380CC4-5D6E-409C-BE32-E72D297353CC}">
              <c16:uniqueId val="{00000003-F1F9-451C-9243-D1FC3388EB50}"/>
            </c:ext>
          </c:extLst>
        </c:ser>
        <c:dLbls>
          <c:showLegendKey val="0"/>
          <c:showVal val="0"/>
          <c:showCatName val="0"/>
          <c:showSerName val="0"/>
          <c:showPercent val="0"/>
          <c:showBubbleSize val="0"/>
        </c:dLbls>
        <c:gapWidth val="150"/>
        <c:axId val="-1191318000"/>
        <c:axId val="-915926256"/>
      </c:barChart>
      <c:catAx>
        <c:axId val="-1191318000"/>
        <c:scaling>
          <c:orientation val="minMax"/>
        </c:scaling>
        <c:delete val="0"/>
        <c:axPos val="b"/>
        <c:numFmt formatCode="General" sourceLinked="0"/>
        <c:majorTickMark val="out"/>
        <c:minorTickMark val="none"/>
        <c:tickLblPos val="nextTo"/>
        <c:crossAx val="-915926256"/>
        <c:crosses val="autoZero"/>
        <c:auto val="1"/>
        <c:lblAlgn val="ctr"/>
        <c:lblOffset val="100"/>
        <c:noMultiLvlLbl val="0"/>
      </c:catAx>
      <c:valAx>
        <c:axId val="-915926256"/>
        <c:scaling>
          <c:orientation val="minMax"/>
          <c:min val="-30000"/>
        </c:scaling>
        <c:delete val="0"/>
        <c:axPos val="l"/>
        <c:majorGridlines/>
        <c:numFmt formatCode="#,##0" sourceLinked="1"/>
        <c:majorTickMark val="out"/>
        <c:minorTickMark val="none"/>
        <c:tickLblPos val="nextTo"/>
        <c:crossAx val="-1191318000"/>
        <c:crosses val="autoZero"/>
        <c:crossBetween val="between"/>
      </c:valAx>
    </c:plotArea>
    <c:legend>
      <c:legendPos val="r"/>
      <c:layout>
        <c:manualLayout>
          <c:xMode val="edge"/>
          <c:yMode val="edge"/>
          <c:x val="0.22462579864704932"/>
          <c:y val="0.91591875339906836"/>
          <c:w val="0.55074927614081515"/>
          <c:h val="6.0060375335965865E-2"/>
        </c:manualLayout>
      </c:layout>
      <c:overlay val="0"/>
    </c:legend>
    <c:plotVisOnly val="1"/>
    <c:dispBlanksAs val="gap"/>
    <c:showDLblsOverMax val="0"/>
  </c:chart>
  <c:spPr>
    <a:solidFill>
      <a:schemeClr val="bg1"/>
    </a:solidFill>
    <a:ln>
      <a:solidFill>
        <a:schemeClr val="accent1"/>
      </a:solid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2012-2015 in million m3 </a:t>
            </a:r>
          </a:p>
        </c:rich>
      </c:tx>
      <c:overlay val="0"/>
    </c:title>
    <c:autoTitleDeleted val="0"/>
    <c:plotArea>
      <c:layout>
        <c:manualLayout>
          <c:layoutTarget val="inner"/>
          <c:xMode val="edge"/>
          <c:yMode val="edge"/>
          <c:x val="8.8186356073211319E-2"/>
          <c:y val="0.13738019169329074"/>
          <c:w val="0.88519134775374375"/>
          <c:h val="0.72204472843450485"/>
        </c:manualLayout>
      </c:layout>
      <c:barChart>
        <c:barDir val="col"/>
        <c:grouping val="clustered"/>
        <c:varyColors val="0"/>
        <c:ser>
          <c:idx val="0"/>
          <c:order val="0"/>
          <c:tx>
            <c:strRef>
              <c:f>Asset_trends_Charts__III!$A$5</c:f>
              <c:strCache>
                <c:ptCount val="1"/>
                <c:pt idx="0">
                  <c:v>Year 2012</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Asset_trends_Charts__III!$B$5:$F$5</c:f>
              <c:numCache>
                <c:formatCode>#,##0</c:formatCode>
                <c:ptCount val="5"/>
                <c:pt idx="0">
                  <c:v>257690.00067217631</c:v>
                </c:pt>
                <c:pt idx="1">
                  <c:v>1264</c:v>
                </c:pt>
                <c:pt idx="2">
                  <c:v>62.613469534117641</c:v>
                </c:pt>
                <c:pt idx="3">
                  <c:v>3388.8607500000003</c:v>
                </c:pt>
                <c:pt idx="4">
                  <c:v>62127</c:v>
                </c:pt>
              </c:numCache>
            </c:numRef>
          </c:val>
          <c:extLst xmlns:c16r2="http://schemas.microsoft.com/office/drawing/2015/06/chart">
            <c:ext xmlns:c16="http://schemas.microsoft.com/office/drawing/2014/chart" uri="{C3380CC4-5D6E-409C-BE32-E72D297353CC}">
              <c16:uniqueId val="{00000000-8569-4551-90A0-22183C7FCBA2}"/>
            </c:ext>
          </c:extLst>
        </c:ser>
        <c:ser>
          <c:idx val="1"/>
          <c:order val="1"/>
          <c:tx>
            <c:strRef>
              <c:f>Asset_trends_Charts__III!$A$6</c:f>
              <c:strCache>
                <c:ptCount val="1"/>
                <c:pt idx="0">
                  <c:v>Year 2013</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Asset_trends_Charts__III!$B$6:$F$6</c:f>
              <c:numCache>
                <c:formatCode>#,##0</c:formatCode>
                <c:ptCount val="5"/>
                <c:pt idx="0">
                  <c:v>257248.30771313258</c:v>
                </c:pt>
                <c:pt idx="1">
                  <c:v>1264</c:v>
                </c:pt>
                <c:pt idx="2">
                  <c:v>68.059208898823542</c:v>
                </c:pt>
                <c:pt idx="3">
                  <c:v>3388.8607500000003</c:v>
                </c:pt>
                <c:pt idx="4">
                  <c:v>62127</c:v>
                </c:pt>
              </c:numCache>
            </c:numRef>
          </c:val>
          <c:extLst xmlns:c16r2="http://schemas.microsoft.com/office/drawing/2015/06/chart">
            <c:ext xmlns:c16="http://schemas.microsoft.com/office/drawing/2014/chart" uri="{C3380CC4-5D6E-409C-BE32-E72D297353CC}">
              <c16:uniqueId val="{00000001-8569-4551-90A0-22183C7FCBA2}"/>
            </c:ext>
          </c:extLst>
        </c:ser>
        <c:ser>
          <c:idx val="2"/>
          <c:order val="2"/>
          <c:tx>
            <c:strRef>
              <c:f>Asset_trends_Charts__III!$A$7</c:f>
              <c:strCache>
                <c:ptCount val="1"/>
                <c:pt idx="0">
                  <c:v>Year 2014</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Asset_trends_Charts__III!$B$7:$F$7</c:f>
              <c:numCache>
                <c:formatCode>#,##0</c:formatCode>
                <c:ptCount val="5"/>
                <c:pt idx="0">
                  <c:v>256806.61475408886</c:v>
                </c:pt>
                <c:pt idx="1">
                  <c:v>1264</c:v>
                </c:pt>
                <c:pt idx="2">
                  <c:v>77.39732494588236</c:v>
                </c:pt>
                <c:pt idx="3">
                  <c:v>3388.8607500000003</c:v>
                </c:pt>
                <c:pt idx="4">
                  <c:v>62127</c:v>
                </c:pt>
              </c:numCache>
            </c:numRef>
          </c:val>
          <c:extLst xmlns:c16r2="http://schemas.microsoft.com/office/drawing/2015/06/chart">
            <c:ext xmlns:c16="http://schemas.microsoft.com/office/drawing/2014/chart" uri="{C3380CC4-5D6E-409C-BE32-E72D297353CC}">
              <c16:uniqueId val="{00000002-8569-4551-90A0-22183C7FCBA2}"/>
            </c:ext>
          </c:extLst>
        </c:ser>
        <c:ser>
          <c:idx val="3"/>
          <c:order val="3"/>
          <c:tx>
            <c:strRef>
              <c:f>Asset_trends_Charts__III!$A$8</c:f>
              <c:strCache>
                <c:ptCount val="1"/>
                <c:pt idx="0">
                  <c:v>Year 2015</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Asset_trends_Charts__III!$B$8:$F$8</c:f>
              <c:numCache>
                <c:formatCode>#,##0</c:formatCode>
                <c:ptCount val="5"/>
                <c:pt idx="0">
                  <c:v>256364.92179504514</c:v>
                </c:pt>
                <c:pt idx="1">
                  <c:v>1264</c:v>
                </c:pt>
                <c:pt idx="2">
                  <c:v>102.15046767529415</c:v>
                </c:pt>
                <c:pt idx="3">
                  <c:v>3388.8607500000003</c:v>
                </c:pt>
                <c:pt idx="4">
                  <c:v>62127</c:v>
                </c:pt>
              </c:numCache>
            </c:numRef>
          </c:val>
          <c:extLst xmlns:c16r2="http://schemas.microsoft.com/office/drawing/2015/06/chart">
            <c:ext xmlns:c16="http://schemas.microsoft.com/office/drawing/2014/chart" uri="{C3380CC4-5D6E-409C-BE32-E72D297353CC}">
              <c16:uniqueId val="{00000003-8569-4551-90A0-22183C7FCBA2}"/>
            </c:ext>
          </c:extLst>
        </c:ser>
        <c:dLbls>
          <c:showLegendKey val="0"/>
          <c:showVal val="0"/>
          <c:showCatName val="0"/>
          <c:showSerName val="0"/>
          <c:showPercent val="0"/>
          <c:showBubbleSize val="0"/>
        </c:dLbls>
        <c:gapWidth val="150"/>
        <c:axId val="-915913200"/>
        <c:axId val="-915915376"/>
      </c:barChart>
      <c:catAx>
        <c:axId val="-915913200"/>
        <c:scaling>
          <c:orientation val="minMax"/>
        </c:scaling>
        <c:delete val="0"/>
        <c:axPos val="b"/>
        <c:numFmt formatCode="General" sourceLinked="0"/>
        <c:majorTickMark val="out"/>
        <c:minorTickMark val="none"/>
        <c:tickLblPos val="nextTo"/>
        <c:crossAx val="-915915376"/>
        <c:crosses val="autoZero"/>
        <c:auto val="1"/>
        <c:lblAlgn val="ctr"/>
        <c:lblOffset val="100"/>
        <c:noMultiLvlLbl val="0"/>
      </c:catAx>
      <c:valAx>
        <c:axId val="-915915376"/>
        <c:scaling>
          <c:orientation val="minMax"/>
          <c:min val="-50000"/>
        </c:scaling>
        <c:delete val="0"/>
        <c:axPos val="l"/>
        <c:numFmt formatCode="#,##0" sourceLinked="1"/>
        <c:majorTickMark val="out"/>
        <c:minorTickMark val="none"/>
        <c:tickLblPos val="nextTo"/>
        <c:crossAx val="-915913200"/>
        <c:crosses val="autoZero"/>
        <c:crossBetween val="between"/>
      </c:valAx>
    </c:plotArea>
    <c:legend>
      <c:legendPos val="r"/>
      <c:layout>
        <c:manualLayout>
          <c:xMode val="edge"/>
          <c:yMode val="edge"/>
          <c:x val="0.22462579864704932"/>
          <c:y val="0.91054447267573979"/>
          <c:w val="0.55074927614081515"/>
          <c:h val="6.3897763578274813E-2"/>
        </c:manualLayout>
      </c:layout>
      <c:overlay val="0"/>
    </c:legend>
    <c:plotVisOnly val="1"/>
    <c:dispBlanksAs val="gap"/>
    <c:showDLblsOverMax val="0"/>
  </c:chart>
  <c:spPr>
    <a:solidFill>
      <a:schemeClr val="bg1"/>
    </a:solidFill>
    <a:ln>
      <a:no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2012-2015 in million m3, excluding water in lakes</a:t>
            </a:r>
          </a:p>
        </c:rich>
      </c:tx>
      <c:overlay val="0"/>
    </c:title>
    <c:autoTitleDeleted val="0"/>
    <c:plotArea>
      <c:layout>
        <c:manualLayout>
          <c:layoutTarget val="inner"/>
          <c:xMode val="edge"/>
          <c:yMode val="edge"/>
          <c:x val="8.4858569051580776E-2"/>
          <c:y val="0.1711711711711712"/>
          <c:w val="0.88851913477537436"/>
          <c:h val="0.69369369369369482"/>
        </c:manualLayout>
      </c:layout>
      <c:barChart>
        <c:barDir val="col"/>
        <c:grouping val="clustered"/>
        <c:varyColors val="0"/>
        <c:ser>
          <c:idx val="0"/>
          <c:order val="0"/>
          <c:tx>
            <c:strRef>
              <c:f>Asset_trends_Charts__III!$A$5</c:f>
              <c:strCache>
                <c:ptCount val="1"/>
                <c:pt idx="0">
                  <c:v>Year 2012</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Asset_trends_Charts__III!$C$5:$F$5</c:f>
              <c:numCache>
                <c:formatCode>#,##0</c:formatCode>
                <c:ptCount val="4"/>
                <c:pt idx="0">
                  <c:v>1264</c:v>
                </c:pt>
                <c:pt idx="1">
                  <c:v>62.613469534117641</c:v>
                </c:pt>
                <c:pt idx="2">
                  <c:v>3388.8607500000003</c:v>
                </c:pt>
                <c:pt idx="3">
                  <c:v>62127</c:v>
                </c:pt>
              </c:numCache>
            </c:numRef>
          </c:val>
          <c:extLst xmlns:c16r2="http://schemas.microsoft.com/office/drawing/2015/06/chart">
            <c:ext xmlns:c16="http://schemas.microsoft.com/office/drawing/2014/chart" uri="{C3380CC4-5D6E-409C-BE32-E72D297353CC}">
              <c16:uniqueId val="{00000000-0255-4C18-9573-D267C0E2BD3E}"/>
            </c:ext>
          </c:extLst>
        </c:ser>
        <c:ser>
          <c:idx val="1"/>
          <c:order val="1"/>
          <c:tx>
            <c:strRef>
              <c:f>Asset_trends_Charts__III!$A$6</c:f>
              <c:strCache>
                <c:ptCount val="1"/>
                <c:pt idx="0">
                  <c:v>Year 2013</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Asset_trends_Charts__III!$C$6:$F$6</c:f>
              <c:numCache>
                <c:formatCode>#,##0</c:formatCode>
                <c:ptCount val="4"/>
                <c:pt idx="0">
                  <c:v>1264</c:v>
                </c:pt>
                <c:pt idx="1">
                  <c:v>68.059208898823542</c:v>
                </c:pt>
                <c:pt idx="2">
                  <c:v>3388.8607500000003</c:v>
                </c:pt>
                <c:pt idx="3">
                  <c:v>62127</c:v>
                </c:pt>
              </c:numCache>
            </c:numRef>
          </c:val>
          <c:extLst xmlns:c16r2="http://schemas.microsoft.com/office/drawing/2015/06/chart">
            <c:ext xmlns:c16="http://schemas.microsoft.com/office/drawing/2014/chart" uri="{C3380CC4-5D6E-409C-BE32-E72D297353CC}">
              <c16:uniqueId val="{00000001-0255-4C18-9573-D267C0E2BD3E}"/>
            </c:ext>
          </c:extLst>
        </c:ser>
        <c:ser>
          <c:idx val="2"/>
          <c:order val="2"/>
          <c:tx>
            <c:strRef>
              <c:f>Asset_trends_Charts__III!$A$7</c:f>
              <c:strCache>
                <c:ptCount val="1"/>
                <c:pt idx="0">
                  <c:v>Year 2014</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Asset_trends_Charts__III!$C$7:$F$7</c:f>
              <c:numCache>
                <c:formatCode>#,##0</c:formatCode>
                <c:ptCount val="4"/>
                <c:pt idx="0">
                  <c:v>1264</c:v>
                </c:pt>
                <c:pt idx="1">
                  <c:v>77.39732494588236</c:v>
                </c:pt>
                <c:pt idx="2">
                  <c:v>3388.8607500000003</c:v>
                </c:pt>
                <c:pt idx="3">
                  <c:v>62127</c:v>
                </c:pt>
              </c:numCache>
            </c:numRef>
          </c:val>
          <c:extLst xmlns:c16r2="http://schemas.microsoft.com/office/drawing/2015/06/chart">
            <c:ext xmlns:c16="http://schemas.microsoft.com/office/drawing/2014/chart" uri="{C3380CC4-5D6E-409C-BE32-E72D297353CC}">
              <c16:uniqueId val="{00000002-0255-4C18-9573-D267C0E2BD3E}"/>
            </c:ext>
          </c:extLst>
        </c:ser>
        <c:ser>
          <c:idx val="3"/>
          <c:order val="3"/>
          <c:tx>
            <c:strRef>
              <c:f>Asset_trends_Charts__III!$A$8</c:f>
              <c:strCache>
                <c:ptCount val="1"/>
                <c:pt idx="0">
                  <c:v>Year 2015</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Asset_trends_Charts__III!$C$8:$F$8</c:f>
              <c:numCache>
                <c:formatCode>#,##0</c:formatCode>
                <c:ptCount val="4"/>
                <c:pt idx="0">
                  <c:v>1264</c:v>
                </c:pt>
                <c:pt idx="1">
                  <c:v>102.15046767529415</c:v>
                </c:pt>
                <c:pt idx="2">
                  <c:v>3388.8607500000003</c:v>
                </c:pt>
                <c:pt idx="3">
                  <c:v>62127</c:v>
                </c:pt>
              </c:numCache>
            </c:numRef>
          </c:val>
          <c:extLst xmlns:c16r2="http://schemas.microsoft.com/office/drawing/2015/06/chart">
            <c:ext xmlns:c16="http://schemas.microsoft.com/office/drawing/2014/chart" uri="{C3380CC4-5D6E-409C-BE32-E72D297353CC}">
              <c16:uniqueId val="{00000003-0255-4C18-9573-D267C0E2BD3E}"/>
            </c:ext>
          </c:extLst>
        </c:ser>
        <c:dLbls>
          <c:showLegendKey val="0"/>
          <c:showVal val="0"/>
          <c:showCatName val="0"/>
          <c:showSerName val="0"/>
          <c:showPercent val="0"/>
          <c:showBubbleSize val="0"/>
        </c:dLbls>
        <c:gapWidth val="150"/>
        <c:axId val="-915912656"/>
        <c:axId val="-915914832"/>
      </c:barChart>
      <c:catAx>
        <c:axId val="-915912656"/>
        <c:scaling>
          <c:orientation val="minMax"/>
        </c:scaling>
        <c:delete val="0"/>
        <c:axPos val="b"/>
        <c:numFmt formatCode="General" sourceLinked="0"/>
        <c:majorTickMark val="out"/>
        <c:minorTickMark val="none"/>
        <c:tickLblPos val="nextTo"/>
        <c:crossAx val="-915914832"/>
        <c:crosses val="autoZero"/>
        <c:auto val="1"/>
        <c:lblAlgn val="ctr"/>
        <c:lblOffset val="100"/>
        <c:noMultiLvlLbl val="0"/>
      </c:catAx>
      <c:valAx>
        <c:axId val="-915914832"/>
        <c:scaling>
          <c:orientation val="minMax"/>
          <c:min val="-10000"/>
        </c:scaling>
        <c:delete val="0"/>
        <c:axPos val="l"/>
        <c:numFmt formatCode="#,##0" sourceLinked="1"/>
        <c:majorTickMark val="out"/>
        <c:minorTickMark val="none"/>
        <c:tickLblPos val="nextTo"/>
        <c:crossAx val="-915912656"/>
        <c:crosses val="autoZero"/>
        <c:crossBetween val="between"/>
      </c:valAx>
    </c:plotArea>
    <c:legend>
      <c:legendPos val="r"/>
      <c:layout>
        <c:manualLayout>
          <c:xMode val="edge"/>
          <c:yMode val="edge"/>
          <c:x val="0.22462579864704932"/>
          <c:y val="0.91591875339906836"/>
          <c:w val="0.55074927614081515"/>
          <c:h val="6.0060375335965865E-2"/>
        </c:manualLayout>
      </c:layout>
      <c:overlay val="0"/>
    </c:legend>
    <c:plotVisOnly val="1"/>
    <c:dispBlanksAs val="gap"/>
    <c:showDLblsOverMax val="0"/>
  </c:chart>
  <c:spPr>
    <a:solidFill>
      <a:schemeClr val="bg1"/>
    </a:solidFill>
    <a:ln>
      <a:no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2012-2015 (million m</a:t>
            </a:r>
            <a:r>
              <a:rPr lang="en-US" baseline="30000"/>
              <a:t>3</a:t>
            </a:r>
            <a:r>
              <a:rPr lang="en-US"/>
              <a:t>)</a:t>
            </a:r>
          </a:p>
        </c:rich>
      </c:tx>
      <c:overlay val="0"/>
    </c:title>
    <c:autoTitleDeleted val="0"/>
    <c:plotArea>
      <c:layout>
        <c:manualLayout>
          <c:layoutTarget val="inner"/>
          <c:xMode val="edge"/>
          <c:yMode val="edge"/>
          <c:x val="8.8186356073211319E-2"/>
          <c:y val="0.13738019169329074"/>
          <c:w val="0.88519134775374375"/>
          <c:h val="0.72204472843450485"/>
        </c:manualLayout>
      </c:layout>
      <c:barChart>
        <c:barDir val="col"/>
        <c:grouping val="clustered"/>
        <c:varyColors val="0"/>
        <c:ser>
          <c:idx val="0"/>
          <c:order val="0"/>
          <c:tx>
            <c:strRef>
              <c:f>Asset_trends_Charts__III!$A$5</c:f>
              <c:strCache>
                <c:ptCount val="1"/>
                <c:pt idx="0">
                  <c:v>Year 2012</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Asset_trends_Charts__III!$B$5:$F$5</c:f>
              <c:numCache>
                <c:formatCode>#,##0</c:formatCode>
                <c:ptCount val="5"/>
                <c:pt idx="0">
                  <c:v>257690.00067217631</c:v>
                </c:pt>
                <c:pt idx="1">
                  <c:v>1264</c:v>
                </c:pt>
                <c:pt idx="2">
                  <c:v>62.613469534117641</c:v>
                </c:pt>
                <c:pt idx="3">
                  <c:v>3388.8607500000003</c:v>
                </c:pt>
                <c:pt idx="4">
                  <c:v>62127</c:v>
                </c:pt>
              </c:numCache>
            </c:numRef>
          </c:val>
          <c:extLst xmlns:c16r2="http://schemas.microsoft.com/office/drawing/2015/06/chart">
            <c:ext xmlns:c16="http://schemas.microsoft.com/office/drawing/2014/chart" uri="{C3380CC4-5D6E-409C-BE32-E72D297353CC}">
              <c16:uniqueId val="{00000000-8569-4551-90A0-22183C7FCBA2}"/>
            </c:ext>
          </c:extLst>
        </c:ser>
        <c:ser>
          <c:idx val="1"/>
          <c:order val="1"/>
          <c:tx>
            <c:strRef>
              <c:f>Asset_trends_Charts__III!$A$6</c:f>
              <c:strCache>
                <c:ptCount val="1"/>
                <c:pt idx="0">
                  <c:v>Year 2013</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Asset_trends_Charts__III!$B$6:$F$6</c:f>
              <c:numCache>
                <c:formatCode>#,##0</c:formatCode>
                <c:ptCount val="5"/>
                <c:pt idx="0">
                  <c:v>257248.30771313258</c:v>
                </c:pt>
                <c:pt idx="1">
                  <c:v>1264</c:v>
                </c:pt>
                <c:pt idx="2">
                  <c:v>68.059208898823542</c:v>
                </c:pt>
                <c:pt idx="3">
                  <c:v>3388.8607500000003</c:v>
                </c:pt>
                <c:pt idx="4">
                  <c:v>62127</c:v>
                </c:pt>
              </c:numCache>
            </c:numRef>
          </c:val>
          <c:extLst xmlns:c16r2="http://schemas.microsoft.com/office/drawing/2015/06/chart">
            <c:ext xmlns:c16="http://schemas.microsoft.com/office/drawing/2014/chart" uri="{C3380CC4-5D6E-409C-BE32-E72D297353CC}">
              <c16:uniqueId val="{00000001-8569-4551-90A0-22183C7FCBA2}"/>
            </c:ext>
          </c:extLst>
        </c:ser>
        <c:ser>
          <c:idx val="2"/>
          <c:order val="2"/>
          <c:tx>
            <c:strRef>
              <c:f>Asset_trends_Charts__III!$A$7</c:f>
              <c:strCache>
                <c:ptCount val="1"/>
                <c:pt idx="0">
                  <c:v>Year 2014</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Asset_trends_Charts__III!$B$7:$F$7</c:f>
              <c:numCache>
                <c:formatCode>#,##0</c:formatCode>
                <c:ptCount val="5"/>
                <c:pt idx="0">
                  <c:v>256806.61475408886</c:v>
                </c:pt>
                <c:pt idx="1">
                  <c:v>1264</c:v>
                </c:pt>
                <c:pt idx="2">
                  <c:v>77.39732494588236</c:v>
                </c:pt>
                <c:pt idx="3">
                  <c:v>3388.8607500000003</c:v>
                </c:pt>
                <c:pt idx="4">
                  <c:v>62127</c:v>
                </c:pt>
              </c:numCache>
            </c:numRef>
          </c:val>
          <c:extLst xmlns:c16r2="http://schemas.microsoft.com/office/drawing/2015/06/chart">
            <c:ext xmlns:c16="http://schemas.microsoft.com/office/drawing/2014/chart" uri="{C3380CC4-5D6E-409C-BE32-E72D297353CC}">
              <c16:uniqueId val="{00000002-8569-4551-90A0-22183C7FCBA2}"/>
            </c:ext>
          </c:extLst>
        </c:ser>
        <c:ser>
          <c:idx val="3"/>
          <c:order val="3"/>
          <c:tx>
            <c:strRef>
              <c:f>Asset_trends_Charts__III!$A$8</c:f>
              <c:strCache>
                <c:ptCount val="1"/>
                <c:pt idx="0">
                  <c:v>Year 2015</c:v>
                </c:pt>
              </c:strCache>
            </c:strRef>
          </c:tx>
          <c:invertIfNegative val="0"/>
          <c:cat>
            <c:strRef>
              <c:f>Asset_trends_Charts__III!$B$4:$F$4</c:f>
              <c:strCache>
                <c:ptCount val="5"/>
                <c:pt idx="0">
                  <c:v>Lakes</c:v>
                </c:pt>
                <c:pt idx="1">
                  <c:v>Rivers</c:v>
                </c:pt>
                <c:pt idx="2">
                  <c:v>Artificial reservoirs</c:v>
                </c:pt>
                <c:pt idx="3">
                  <c:v>Soil water</c:v>
                </c:pt>
                <c:pt idx="4">
                  <c:v>Groundwater</c:v>
                </c:pt>
              </c:strCache>
            </c:strRef>
          </c:cat>
          <c:val>
            <c:numRef>
              <c:f>Asset_trends_Charts__III!$B$8:$F$8</c:f>
              <c:numCache>
                <c:formatCode>#,##0</c:formatCode>
                <c:ptCount val="5"/>
                <c:pt idx="0">
                  <c:v>256364.92179504514</c:v>
                </c:pt>
                <c:pt idx="1">
                  <c:v>1264</c:v>
                </c:pt>
                <c:pt idx="2">
                  <c:v>102.15046767529415</c:v>
                </c:pt>
                <c:pt idx="3">
                  <c:v>3388.8607500000003</c:v>
                </c:pt>
                <c:pt idx="4">
                  <c:v>62127</c:v>
                </c:pt>
              </c:numCache>
            </c:numRef>
          </c:val>
          <c:extLst xmlns:c16r2="http://schemas.microsoft.com/office/drawing/2015/06/chart">
            <c:ext xmlns:c16="http://schemas.microsoft.com/office/drawing/2014/chart" uri="{C3380CC4-5D6E-409C-BE32-E72D297353CC}">
              <c16:uniqueId val="{00000003-8569-4551-90A0-22183C7FCBA2}"/>
            </c:ext>
          </c:extLst>
        </c:ser>
        <c:dLbls>
          <c:showLegendKey val="0"/>
          <c:showVal val="0"/>
          <c:showCatName val="0"/>
          <c:showSerName val="0"/>
          <c:showPercent val="0"/>
          <c:showBubbleSize val="0"/>
        </c:dLbls>
        <c:gapWidth val="150"/>
        <c:axId val="-915919728"/>
        <c:axId val="-915917008"/>
      </c:barChart>
      <c:catAx>
        <c:axId val="-915919728"/>
        <c:scaling>
          <c:orientation val="minMax"/>
        </c:scaling>
        <c:delete val="0"/>
        <c:axPos val="b"/>
        <c:numFmt formatCode="General" sourceLinked="0"/>
        <c:majorTickMark val="out"/>
        <c:minorTickMark val="none"/>
        <c:tickLblPos val="nextTo"/>
        <c:crossAx val="-915917008"/>
        <c:crosses val="autoZero"/>
        <c:auto val="1"/>
        <c:lblAlgn val="ctr"/>
        <c:lblOffset val="100"/>
        <c:noMultiLvlLbl val="0"/>
      </c:catAx>
      <c:valAx>
        <c:axId val="-915917008"/>
        <c:scaling>
          <c:orientation val="minMax"/>
          <c:min val="-50000"/>
        </c:scaling>
        <c:delete val="0"/>
        <c:axPos val="l"/>
        <c:numFmt formatCode="#,##0" sourceLinked="1"/>
        <c:majorTickMark val="out"/>
        <c:minorTickMark val="none"/>
        <c:tickLblPos val="nextTo"/>
        <c:crossAx val="-915919728"/>
        <c:crosses val="autoZero"/>
        <c:crossBetween val="between"/>
      </c:valAx>
    </c:plotArea>
    <c:legend>
      <c:legendPos val="r"/>
      <c:layout>
        <c:manualLayout>
          <c:xMode val="edge"/>
          <c:yMode val="edge"/>
          <c:x val="0.16513310465844261"/>
          <c:y val="0.92824379253478273"/>
          <c:w val="0.73972561217561528"/>
          <c:h val="6.3897763578274813E-2"/>
        </c:manualLayout>
      </c:layout>
      <c:overlay val="0"/>
    </c:legend>
    <c:plotVisOnly val="1"/>
    <c:dispBlanksAs val="gap"/>
    <c:showDLblsOverMax val="0"/>
  </c:chart>
  <c:spPr>
    <a:solidFill>
      <a:schemeClr val="bg1"/>
    </a:solidFill>
    <a:ln>
      <a:no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Trends of water resources in Rwanda for year 2012-2015 (million m</a:t>
            </a:r>
            <a:r>
              <a:rPr lang="en-US" baseline="30000"/>
              <a:t>3</a:t>
            </a:r>
            <a:r>
              <a:rPr lang="en-US"/>
              <a:t>), excluding water in lakes</a:t>
            </a:r>
          </a:p>
        </c:rich>
      </c:tx>
      <c:overlay val="0"/>
    </c:title>
    <c:autoTitleDeleted val="0"/>
    <c:plotArea>
      <c:layout>
        <c:manualLayout>
          <c:layoutTarget val="inner"/>
          <c:xMode val="edge"/>
          <c:yMode val="edge"/>
          <c:x val="8.4858569051580776E-2"/>
          <c:y val="0.1711711711711712"/>
          <c:w val="0.88851913477537436"/>
          <c:h val="0.65436449197415691"/>
        </c:manualLayout>
      </c:layout>
      <c:barChart>
        <c:barDir val="col"/>
        <c:grouping val="clustered"/>
        <c:varyColors val="0"/>
        <c:ser>
          <c:idx val="0"/>
          <c:order val="0"/>
          <c:tx>
            <c:strRef>
              <c:f>Asset_trends_Charts__III!$A$5</c:f>
              <c:strCache>
                <c:ptCount val="1"/>
                <c:pt idx="0">
                  <c:v>Year 2012</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Asset_trends_Charts__III!$C$5:$F$5</c:f>
              <c:numCache>
                <c:formatCode>#,##0</c:formatCode>
                <c:ptCount val="4"/>
                <c:pt idx="0">
                  <c:v>1264</c:v>
                </c:pt>
                <c:pt idx="1">
                  <c:v>62.613469534117641</c:v>
                </c:pt>
                <c:pt idx="2">
                  <c:v>3388.8607500000003</c:v>
                </c:pt>
                <c:pt idx="3">
                  <c:v>62127</c:v>
                </c:pt>
              </c:numCache>
            </c:numRef>
          </c:val>
          <c:extLst xmlns:c16r2="http://schemas.microsoft.com/office/drawing/2015/06/chart">
            <c:ext xmlns:c16="http://schemas.microsoft.com/office/drawing/2014/chart" uri="{C3380CC4-5D6E-409C-BE32-E72D297353CC}">
              <c16:uniqueId val="{00000000-0255-4C18-9573-D267C0E2BD3E}"/>
            </c:ext>
          </c:extLst>
        </c:ser>
        <c:ser>
          <c:idx val="1"/>
          <c:order val="1"/>
          <c:tx>
            <c:strRef>
              <c:f>Asset_trends_Charts__III!$A$6</c:f>
              <c:strCache>
                <c:ptCount val="1"/>
                <c:pt idx="0">
                  <c:v>Year 2013</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Asset_trends_Charts__III!$C$6:$F$6</c:f>
              <c:numCache>
                <c:formatCode>#,##0</c:formatCode>
                <c:ptCount val="4"/>
                <c:pt idx="0">
                  <c:v>1264</c:v>
                </c:pt>
                <c:pt idx="1">
                  <c:v>68.059208898823542</c:v>
                </c:pt>
                <c:pt idx="2">
                  <c:v>3388.8607500000003</c:v>
                </c:pt>
                <c:pt idx="3">
                  <c:v>62127</c:v>
                </c:pt>
              </c:numCache>
            </c:numRef>
          </c:val>
          <c:extLst xmlns:c16r2="http://schemas.microsoft.com/office/drawing/2015/06/chart">
            <c:ext xmlns:c16="http://schemas.microsoft.com/office/drawing/2014/chart" uri="{C3380CC4-5D6E-409C-BE32-E72D297353CC}">
              <c16:uniqueId val="{00000001-0255-4C18-9573-D267C0E2BD3E}"/>
            </c:ext>
          </c:extLst>
        </c:ser>
        <c:ser>
          <c:idx val="2"/>
          <c:order val="2"/>
          <c:tx>
            <c:strRef>
              <c:f>Asset_trends_Charts__III!$A$7</c:f>
              <c:strCache>
                <c:ptCount val="1"/>
                <c:pt idx="0">
                  <c:v>Year 2014</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Asset_trends_Charts__III!$C$7:$F$7</c:f>
              <c:numCache>
                <c:formatCode>#,##0</c:formatCode>
                <c:ptCount val="4"/>
                <c:pt idx="0">
                  <c:v>1264</c:v>
                </c:pt>
                <c:pt idx="1">
                  <c:v>77.39732494588236</c:v>
                </c:pt>
                <c:pt idx="2">
                  <c:v>3388.8607500000003</c:v>
                </c:pt>
                <c:pt idx="3">
                  <c:v>62127</c:v>
                </c:pt>
              </c:numCache>
            </c:numRef>
          </c:val>
          <c:extLst xmlns:c16r2="http://schemas.microsoft.com/office/drawing/2015/06/chart">
            <c:ext xmlns:c16="http://schemas.microsoft.com/office/drawing/2014/chart" uri="{C3380CC4-5D6E-409C-BE32-E72D297353CC}">
              <c16:uniqueId val="{00000002-0255-4C18-9573-D267C0E2BD3E}"/>
            </c:ext>
          </c:extLst>
        </c:ser>
        <c:ser>
          <c:idx val="3"/>
          <c:order val="3"/>
          <c:tx>
            <c:strRef>
              <c:f>Asset_trends_Charts__III!$A$8</c:f>
              <c:strCache>
                <c:ptCount val="1"/>
                <c:pt idx="0">
                  <c:v>Year 2015</c:v>
                </c:pt>
              </c:strCache>
            </c:strRef>
          </c:tx>
          <c:invertIfNegative val="0"/>
          <c:cat>
            <c:strRef>
              <c:f>Asset_trends_Charts__III!$C$4:$F$4</c:f>
              <c:strCache>
                <c:ptCount val="4"/>
                <c:pt idx="0">
                  <c:v>Rivers</c:v>
                </c:pt>
                <c:pt idx="1">
                  <c:v>Artificial reservoirs</c:v>
                </c:pt>
                <c:pt idx="2">
                  <c:v>Soil water</c:v>
                </c:pt>
                <c:pt idx="3">
                  <c:v>Groundwater</c:v>
                </c:pt>
              </c:strCache>
            </c:strRef>
          </c:cat>
          <c:val>
            <c:numRef>
              <c:f>Asset_trends_Charts__III!$C$8:$F$8</c:f>
              <c:numCache>
                <c:formatCode>#,##0</c:formatCode>
                <c:ptCount val="4"/>
                <c:pt idx="0">
                  <c:v>1264</c:v>
                </c:pt>
                <c:pt idx="1">
                  <c:v>102.15046767529415</c:v>
                </c:pt>
                <c:pt idx="2">
                  <c:v>3388.8607500000003</c:v>
                </c:pt>
                <c:pt idx="3">
                  <c:v>62127</c:v>
                </c:pt>
              </c:numCache>
            </c:numRef>
          </c:val>
          <c:extLst xmlns:c16r2="http://schemas.microsoft.com/office/drawing/2015/06/chart">
            <c:ext xmlns:c16="http://schemas.microsoft.com/office/drawing/2014/chart" uri="{C3380CC4-5D6E-409C-BE32-E72D297353CC}">
              <c16:uniqueId val="{00000003-0255-4C18-9573-D267C0E2BD3E}"/>
            </c:ext>
          </c:extLst>
        </c:ser>
        <c:dLbls>
          <c:showLegendKey val="0"/>
          <c:showVal val="0"/>
          <c:showCatName val="0"/>
          <c:showSerName val="0"/>
          <c:showPercent val="0"/>
          <c:showBubbleSize val="0"/>
        </c:dLbls>
        <c:gapWidth val="150"/>
        <c:axId val="-915921904"/>
        <c:axId val="-915921360"/>
      </c:barChart>
      <c:catAx>
        <c:axId val="-915921904"/>
        <c:scaling>
          <c:orientation val="minMax"/>
        </c:scaling>
        <c:delete val="0"/>
        <c:axPos val="b"/>
        <c:numFmt formatCode="General" sourceLinked="0"/>
        <c:majorTickMark val="out"/>
        <c:minorTickMark val="none"/>
        <c:tickLblPos val="nextTo"/>
        <c:crossAx val="-915921360"/>
        <c:crosses val="autoZero"/>
        <c:auto val="1"/>
        <c:lblAlgn val="ctr"/>
        <c:lblOffset val="100"/>
        <c:noMultiLvlLbl val="0"/>
      </c:catAx>
      <c:valAx>
        <c:axId val="-915921360"/>
        <c:scaling>
          <c:orientation val="minMax"/>
          <c:min val="-10000"/>
        </c:scaling>
        <c:delete val="0"/>
        <c:axPos val="l"/>
        <c:numFmt formatCode="#,##0" sourceLinked="1"/>
        <c:majorTickMark val="out"/>
        <c:minorTickMark val="none"/>
        <c:tickLblPos val="nextTo"/>
        <c:crossAx val="-915921904"/>
        <c:crosses val="autoZero"/>
        <c:crossBetween val="between"/>
      </c:valAx>
    </c:plotArea>
    <c:legend>
      <c:legendPos val="r"/>
      <c:layout>
        <c:manualLayout>
          <c:xMode val="edge"/>
          <c:yMode val="edge"/>
          <c:x val="0.13597340033880617"/>
          <c:y val="0.89875119687292304"/>
          <c:w val="0.78833802098006955"/>
          <c:h val="8.8672456715442757E-2"/>
        </c:manualLayout>
      </c:layout>
      <c:overlay val="0"/>
    </c:legend>
    <c:plotVisOnly val="1"/>
    <c:dispBlanksAs val="gap"/>
    <c:showDLblsOverMax val="0"/>
  </c:chart>
  <c:spPr>
    <a:solidFill>
      <a:schemeClr val="bg1"/>
    </a:solidFill>
    <a:ln>
      <a:noFill/>
    </a:ln>
  </c:spPr>
  <c:txPr>
    <a:bodyPr/>
    <a:lstStyle/>
    <a:p>
      <a:pPr>
        <a:defRPr sz="800"/>
      </a:pPr>
      <a:endParaRPr lang="en-US"/>
    </a:p>
  </c:txPr>
  <c:printSettings>
    <c:headerFooter/>
    <c:pageMargins b="0.75000000000000433" l="0.70000000000000062" r="0.70000000000000062" t="0.750000000000004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08092738407699"/>
          <c:y val="0.10469894613252108"/>
          <c:w val="0.82936351706036737"/>
          <c:h val="0.44729038587272629"/>
        </c:manualLayout>
      </c:layout>
      <c:barChart>
        <c:barDir val="col"/>
        <c:grouping val="clustered"/>
        <c:varyColors val="0"/>
        <c:ser>
          <c:idx val="1"/>
          <c:order val="0"/>
          <c:tx>
            <c:strRef>
              <c:f>PSUT_Trends_Charts!$C$5</c:f>
              <c:strCache>
                <c:ptCount val="1"/>
                <c:pt idx="0">
                  <c:v>2012</c:v>
                </c:pt>
              </c:strCache>
            </c:strRef>
          </c:tx>
          <c:spPr>
            <a:solidFill>
              <a:schemeClr val="accent2"/>
            </a:solidFill>
            <a:ln>
              <a:noFill/>
            </a:ln>
            <a:effectLst/>
          </c:spPr>
          <c:invertIfNegative val="0"/>
          <c:cat>
            <c:strRef>
              <c:f>PSUT_Trends_Charts!$B$6:$B$24</c:f>
              <c:strCache>
                <c:ptCount val="18"/>
                <c:pt idx="0">
                  <c:v>1 - Total abstraction (=1.a+1.b = 1.i+1.ii)</c:v>
                </c:pt>
                <c:pt idx="1">
                  <c:v>1.a Abstraction for own use</c:v>
                </c:pt>
                <c:pt idx="2">
                  <c:v>1.b Abstraction for distribution</c:v>
                </c:pt>
                <c:pt idx="3">
                  <c:v>1 - Total abstraction (1.i+1.ii)</c:v>
                </c:pt>
                <c:pt idx="4">
                  <c:v>1.i From water resources:</c:v>
                </c:pt>
                <c:pt idx="5">
                  <c:v>1.i.1 Surface water</c:v>
                </c:pt>
                <c:pt idx="6">
                  <c:v>   1.i.1.a Lakes</c:v>
                </c:pt>
                <c:pt idx="7">
                  <c:v>   1.i.1.b Rivers</c:v>
                </c:pt>
                <c:pt idx="8">
                  <c:v>   1.i.1.c Reservoirs (Dams, ponds, ..)</c:v>
                </c:pt>
                <c:pt idx="9">
                  <c:v>   1.i.1.d Combined River &amp; Reservoirs (Dams, ponds, ..)</c:v>
                </c:pt>
                <c:pt idx="10">
                  <c:v>1.i.2 Groundwater</c:v>
                </c:pt>
                <c:pt idx="11">
                  <c:v>   1.i.2a From Boreholes</c:v>
                </c:pt>
                <c:pt idx="12">
                  <c:v>   1.i.2b From Springs</c:v>
                </c:pt>
                <c:pt idx="13">
                  <c:v>1.i.3 Soil water (green water)</c:v>
                </c:pt>
                <c:pt idx="14">
                  <c:v>1.ii From other sources </c:v>
                </c:pt>
                <c:pt idx="15">
                  <c:v>1.ii.1 Collection of precipitation (rainwater harvesting; ..)</c:v>
                </c:pt>
                <c:pt idx="16">
                  <c:v>1.ii.2 Abstraction from the sea</c:v>
                </c:pt>
                <c:pt idx="17">
                  <c:v>2. Use of water received from other economic units</c:v>
                </c:pt>
              </c:strCache>
            </c:strRef>
          </c:cat>
          <c:val>
            <c:numRef>
              <c:f>PSUT_Trends_Charts!$C$6:$C$24</c:f>
              <c:numCache>
                <c:formatCode>#,##0</c:formatCode>
                <c:ptCount val="19"/>
                <c:pt idx="0">
                  <c:v>13563380.505039312</c:v>
                </c:pt>
                <c:pt idx="1">
                  <c:v>13563380.505039312</c:v>
                </c:pt>
                <c:pt idx="2">
                  <c:v>0</c:v>
                </c:pt>
                <c:pt idx="3">
                  <c:v>13563380.505039312</c:v>
                </c:pt>
                <c:pt idx="4">
                  <c:v>13562573.505039312</c:v>
                </c:pt>
                <c:pt idx="5">
                  <c:v>189335.69415585385</c:v>
                </c:pt>
                <c:pt idx="6">
                  <c:v>13252.297238757075</c:v>
                </c:pt>
                <c:pt idx="7">
                  <c:v>109804.74854970146</c:v>
                </c:pt>
                <c:pt idx="8">
                  <c:v>47346.795169170924</c:v>
                </c:pt>
                <c:pt idx="9">
                  <c:v>18931.853198224391</c:v>
                </c:pt>
                <c:pt idx="10">
                  <c:v>13829.735230138118</c:v>
                </c:pt>
                <c:pt idx="11">
                  <c:v>4243.3496924999999</c:v>
                </c:pt>
                <c:pt idx="12">
                  <c:v>9586.385537638118</c:v>
                </c:pt>
                <c:pt idx="13">
                  <c:v>13359408.07565332</c:v>
                </c:pt>
                <c:pt idx="14">
                  <c:v>807</c:v>
                </c:pt>
                <c:pt idx="15">
                  <c:v>807</c:v>
                </c:pt>
                <c:pt idx="16">
                  <c:v>0</c:v>
                </c:pt>
                <c:pt idx="17">
                  <c:v>90250</c:v>
                </c:pt>
                <c:pt idx="18">
                  <c:v>13653630.505039312</c:v>
                </c:pt>
              </c:numCache>
            </c:numRef>
          </c:val>
          <c:extLst xmlns:c16r2="http://schemas.microsoft.com/office/drawing/2015/06/chart">
            <c:ext xmlns:c16="http://schemas.microsoft.com/office/drawing/2014/chart" uri="{C3380CC4-5D6E-409C-BE32-E72D297353CC}">
              <c16:uniqueId val="{00000001-B2ED-4916-BB55-58154B8438E8}"/>
            </c:ext>
          </c:extLst>
        </c:ser>
        <c:ser>
          <c:idx val="2"/>
          <c:order val="1"/>
          <c:tx>
            <c:strRef>
              <c:f>PSUT_Trends_Charts!$D$5</c:f>
              <c:strCache>
                <c:ptCount val="1"/>
                <c:pt idx="0">
                  <c:v>2013</c:v>
                </c:pt>
              </c:strCache>
            </c:strRef>
          </c:tx>
          <c:spPr>
            <a:solidFill>
              <a:schemeClr val="accent3"/>
            </a:solidFill>
            <a:ln>
              <a:noFill/>
            </a:ln>
            <a:effectLst/>
          </c:spPr>
          <c:invertIfNegative val="0"/>
          <c:cat>
            <c:strRef>
              <c:f>PSUT_Trends_Charts!$B$6:$B$24</c:f>
              <c:strCache>
                <c:ptCount val="18"/>
                <c:pt idx="0">
                  <c:v>1 - Total abstraction (=1.a+1.b = 1.i+1.ii)</c:v>
                </c:pt>
                <c:pt idx="1">
                  <c:v>1.a Abstraction for own use</c:v>
                </c:pt>
                <c:pt idx="2">
                  <c:v>1.b Abstraction for distribution</c:v>
                </c:pt>
                <c:pt idx="3">
                  <c:v>1 - Total abstraction (1.i+1.ii)</c:v>
                </c:pt>
                <c:pt idx="4">
                  <c:v>1.i From water resources:</c:v>
                </c:pt>
                <c:pt idx="5">
                  <c:v>1.i.1 Surface water</c:v>
                </c:pt>
                <c:pt idx="6">
                  <c:v>   1.i.1.a Lakes</c:v>
                </c:pt>
                <c:pt idx="7">
                  <c:v>   1.i.1.b Rivers</c:v>
                </c:pt>
                <c:pt idx="8">
                  <c:v>   1.i.1.c Reservoirs (Dams, ponds, ..)</c:v>
                </c:pt>
                <c:pt idx="9">
                  <c:v>   1.i.1.d Combined River &amp; Reservoirs (Dams, ponds, ..)</c:v>
                </c:pt>
                <c:pt idx="10">
                  <c:v>1.i.2 Groundwater</c:v>
                </c:pt>
                <c:pt idx="11">
                  <c:v>   1.i.2a From Boreholes</c:v>
                </c:pt>
                <c:pt idx="12">
                  <c:v>   1.i.2b From Springs</c:v>
                </c:pt>
                <c:pt idx="13">
                  <c:v>1.i.3 Soil water (green water)</c:v>
                </c:pt>
                <c:pt idx="14">
                  <c:v>1.ii From other sources </c:v>
                </c:pt>
                <c:pt idx="15">
                  <c:v>1.ii.1 Collection of precipitation (rainwater harvesting; ..)</c:v>
                </c:pt>
                <c:pt idx="16">
                  <c:v>1.ii.2 Abstraction from the sea</c:v>
                </c:pt>
                <c:pt idx="17">
                  <c:v>2. Use of water received from other economic units</c:v>
                </c:pt>
              </c:strCache>
            </c:strRef>
          </c:cat>
          <c:val>
            <c:numRef>
              <c:f>PSUT_Trends_Charts!$D$6:$D$24</c:f>
              <c:numCache>
                <c:formatCode>#,##0</c:formatCode>
                <c:ptCount val="19"/>
                <c:pt idx="0">
                  <c:v>13010018.946100427</c:v>
                </c:pt>
                <c:pt idx="1">
                  <c:v>13010018.946100427</c:v>
                </c:pt>
                <c:pt idx="2">
                  <c:v>0</c:v>
                </c:pt>
                <c:pt idx="3">
                  <c:v>13010018.946100427</c:v>
                </c:pt>
                <c:pt idx="4">
                  <c:v>13009211.946100427</c:v>
                </c:pt>
                <c:pt idx="5">
                  <c:v>195157.23901430785</c:v>
                </c:pt>
                <c:pt idx="6">
                  <c:v>13795.641425546113</c:v>
                </c:pt>
                <c:pt idx="7">
                  <c:v>114306.74324023922</c:v>
                </c:pt>
                <c:pt idx="8">
                  <c:v>47346.795169170924</c:v>
                </c:pt>
                <c:pt idx="9">
                  <c:v>19708.059179351592</c:v>
                </c:pt>
                <c:pt idx="10">
                  <c:v>13877.667157826309</c:v>
                </c:pt>
                <c:pt idx="11">
                  <c:v>4243.3496924999999</c:v>
                </c:pt>
                <c:pt idx="12">
                  <c:v>9634.3174653263086</c:v>
                </c:pt>
                <c:pt idx="13">
                  <c:v>12800177.039928293</c:v>
                </c:pt>
                <c:pt idx="14">
                  <c:v>807</c:v>
                </c:pt>
                <c:pt idx="15">
                  <c:v>807</c:v>
                </c:pt>
                <c:pt idx="16">
                  <c:v>0</c:v>
                </c:pt>
                <c:pt idx="17">
                  <c:v>90250</c:v>
                </c:pt>
                <c:pt idx="18">
                  <c:v>13100268.946100427</c:v>
                </c:pt>
              </c:numCache>
            </c:numRef>
          </c:val>
          <c:extLst xmlns:c16r2="http://schemas.microsoft.com/office/drawing/2015/06/chart">
            <c:ext xmlns:c16="http://schemas.microsoft.com/office/drawing/2014/chart" uri="{C3380CC4-5D6E-409C-BE32-E72D297353CC}">
              <c16:uniqueId val="{00000002-B2ED-4916-BB55-58154B8438E8}"/>
            </c:ext>
          </c:extLst>
        </c:ser>
        <c:ser>
          <c:idx val="3"/>
          <c:order val="2"/>
          <c:tx>
            <c:strRef>
              <c:f>PSUT_Trends_Charts!$E$5</c:f>
              <c:strCache>
                <c:ptCount val="1"/>
                <c:pt idx="0">
                  <c:v>2014</c:v>
                </c:pt>
              </c:strCache>
            </c:strRef>
          </c:tx>
          <c:spPr>
            <a:solidFill>
              <a:schemeClr val="accent4"/>
            </a:solidFill>
            <a:ln>
              <a:noFill/>
            </a:ln>
            <a:effectLst/>
          </c:spPr>
          <c:invertIfNegative val="0"/>
          <c:cat>
            <c:strRef>
              <c:f>PSUT_Trends_Charts!$B$6:$B$24</c:f>
              <c:strCache>
                <c:ptCount val="18"/>
                <c:pt idx="0">
                  <c:v>1 - Total abstraction (=1.a+1.b = 1.i+1.ii)</c:v>
                </c:pt>
                <c:pt idx="1">
                  <c:v>1.a Abstraction for own use</c:v>
                </c:pt>
                <c:pt idx="2">
                  <c:v>1.b Abstraction for distribution</c:v>
                </c:pt>
                <c:pt idx="3">
                  <c:v>1 - Total abstraction (1.i+1.ii)</c:v>
                </c:pt>
                <c:pt idx="4">
                  <c:v>1.i From water resources:</c:v>
                </c:pt>
                <c:pt idx="5">
                  <c:v>1.i.1 Surface water</c:v>
                </c:pt>
                <c:pt idx="6">
                  <c:v>   1.i.1.a Lakes</c:v>
                </c:pt>
                <c:pt idx="7">
                  <c:v>   1.i.1.b Rivers</c:v>
                </c:pt>
                <c:pt idx="8">
                  <c:v>   1.i.1.c Reservoirs (Dams, ponds, ..)</c:v>
                </c:pt>
                <c:pt idx="9">
                  <c:v>   1.i.1.d Combined River &amp; Reservoirs (Dams, ponds, ..)</c:v>
                </c:pt>
                <c:pt idx="10">
                  <c:v>1.i.2 Groundwater</c:v>
                </c:pt>
                <c:pt idx="11">
                  <c:v>   1.i.2a From Boreholes</c:v>
                </c:pt>
                <c:pt idx="12">
                  <c:v>   1.i.2b From Springs</c:v>
                </c:pt>
                <c:pt idx="13">
                  <c:v>1.i.3 Soil water (green water)</c:v>
                </c:pt>
                <c:pt idx="14">
                  <c:v>1.ii From other sources </c:v>
                </c:pt>
                <c:pt idx="15">
                  <c:v>1.ii.1 Collection of precipitation (rainwater harvesting; ..)</c:v>
                </c:pt>
                <c:pt idx="16">
                  <c:v>1.ii.2 Abstraction from the sea</c:v>
                </c:pt>
                <c:pt idx="17">
                  <c:v>2. Use of water received from other economic units</c:v>
                </c:pt>
              </c:strCache>
            </c:strRef>
          </c:cat>
          <c:val>
            <c:numRef>
              <c:f>PSUT_Trends_Charts!$E$6:$E$24</c:f>
              <c:numCache>
                <c:formatCode>#,##0</c:formatCode>
                <c:ptCount val="19"/>
                <c:pt idx="0">
                  <c:v>13506848.022465833</c:v>
                </c:pt>
                <c:pt idx="1">
                  <c:v>13506848.022465833</c:v>
                </c:pt>
                <c:pt idx="2">
                  <c:v>0</c:v>
                </c:pt>
                <c:pt idx="3">
                  <c:v>13506848.022465833</c:v>
                </c:pt>
                <c:pt idx="4">
                  <c:v>13506041.022465833</c:v>
                </c:pt>
                <c:pt idx="5">
                  <c:v>205178.23028145044</c:v>
                </c:pt>
                <c:pt idx="6">
                  <c:v>14361.262723993506</c:v>
                </c:pt>
                <c:pt idx="7">
                  <c:v>118993.31971308903</c:v>
                </c:pt>
                <c:pt idx="8">
                  <c:v>51307.558238662903</c:v>
                </c:pt>
                <c:pt idx="9">
                  <c:v>20516.089605705009</c:v>
                </c:pt>
                <c:pt idx="10">
                  <c:v>13925.838745152938</c:v>
                </c:pt>
                <c:pt idx="11">
                  <c:v>4243.3496924999999</c:v>
                </c:pt>
                <c:pt idx="12">
                  <c:v>9682.489052652938</c:v>
                </c:pt>
                <c:pt idx="13">
                  <c:v>13286936.953439228</c:v>
                </c:pt>
                <c:pt idx="14">
                  <c:v>807</c:v>
                </c:pt>
                <c:pt idx="15">
                  <c:v>807</c:v>
                </c:pt>
                <c:pt idx="16">
                  <c:v>0</c:v>
                </c:pt>
                <c:pt idx="17">
                  <c:v>90250</c:v>
                </c:pt>
                <c:pt idx="18">
                  <c:v>13597098.022465833</c:v>
                </c:pt>
              </c:numCache>
            </c:numRef>
          </c:val>
          <c:extLst xmlns:c16r2="http://schemas.microsoft.com/office/drawing/2015/06/chart">
            <c:ext xmlns:c16="http://schemas.microsoft.com/office/drawing/2014/chart" uri="{C3380CC4-5D6E-409C-BE32-E72D297353CC}">
              <c16:uniqueId val="{00000003-B2ED-4916-BB55-58154B8438E8}"/>
            </c:ext>
          </c:extLst>
        </c:ser>
        <c:ser>
          <c:idx val="4"/>
          <c:order val="3"/>
          <c:tx>
            <c:strRef>
              <c:f>PSUT_Trends_Charts!$F$5</c:f>
              <c:strCache>
                <c:ptCount val="1"/>
                <c:pt idx="0">
                  <c:v>2015</c:v>
                </c:pt>
              </c:strCache>
            </c:strRef>
          </c:tx>
          <c:spPr>
            <a:solidFill>
              <a:schemeClr val="accent5"/>
            </a:solidFill>
            <a:ln>
              <a:noFill/>
            </a:ln>
            <a:effectLst/>
          </c:spPr>
          <c:invertIfNegative val="0"/>
          <c:cat>
            <c:strRef>
              <c:f>PSUT_Trends_Charts!$B$6:$B$24</c:f>
              <c:strCache>
                <c:ptCount val="18"/>
                <c:pt idx="0">
                  <c:v>1 - Total abstraction (=1.a+1.b = 1.i+1.ii)</c:v>
                </c:pt>
                <c:pt idx="1">
                  <c:v>1.a Abstraction for own use</c:v>
                </c:pt>
                <c:pt idx="2">
                  <c:v>1.b Abstraction for distribution</c:v>
                </c:pt>
                <c:pt idx="3">
                  <c:v>1 - Total abstraction (1.i+1.ii)</c:v>
                </c:pt>
                <c:pt idx="4">
                  <c:v>1.i From water resources:</c:v>
                </c:pt>
                <c:pt idx="5">
                  <c:v>1.i.1 Surface water</c:v>
                </c:pt>
                <c:pt idx="6">
                  <c:v>   1.i.1.a Lakes</c:v>
                </c:pt>
                <c:pt idx="7">
                  <c:v>   1.i.1.b Rivers</c:v>
                </c:pt>
                <c:pt idx="8">
                  <c:v>   1.i.1.c Reservoirs (Dams, ponds, ..)</c:v>
                </c:pt>
                <c:pt idx="9">
                  <c:v>   1.i.1.d Combined River &amp; Reservoirs (Dams, ponds, ..)</c:v>
                </c:pt>
                <c:pt idx="10">
                  <c:v>1.i.2 Groundwater</c:v>
                </c:pt>
                <c:pt idx="11">
                  <c:v>   1.i.2a From Boreholes</c:v>
                </c:pt>
                <c:pt idx="12">
                  <c:v>   1.i.2b From Springs</c:v>
                </c:pt>
                <c:pt idx="13">
                  <c:v>1.i.3 Soil water (green water)</c:v>
                </c:pt>
                <c:pt idx="14">
                  <c:v>1.ii From other sources </c:v>
                </c:pt>
                <c:pt idx="15">
                  <c:v>1.ii.1 Collection of precipitation (rainwater harvesting; ..)</c:v>
                </c:pt>
                <c:pt idx="16">
                  <c:v>1.ii.2 Abstraction from the sea</c:v>
                </c:pt>
                <c:pt idx="17">
                  <c:v>2. Use of water received from other economic units</c:v>
                </c:pt>
              </c:strCache>
            </c:strRef>
          </c:cat>
          <c:val>
            <c:numRef>
              <c:f>PSUT_Trends_Charts!$F$6:$F$24</c:f>
              <c:numCache>
                <c:formatCode>#,##0</c:formatCode>
                <c:ptCount val="19"/>
                <c:pt idx="0">
                  <c:v>13846587.983314097</c:v>
                </c:pt>
                <c:pt idx="1">
                  <c:v>13846587.983314097</c:v>
                </c:pt>
                <c:pt idx="2">
                  <c:v>0</c:v>
                </c:pt>
                <c:pt idx="3">
                  <c:v>13846587.983314097</c:v>
                </c:pt>
                <c:pt idx="4">
                  <c:v>13845780.983314097</c:v>
                </c:pt>
                <c:pt idx="5">
                  <c:v>213589.91369091149</c:v>
                </c:pt>
                <c:pt idx="6">
                  <c:v>14950.074495677238</c:v>
                </c:pt>
                <c:pt idx="7">
                  <c:v>123872.04582132566</c:v>
                </c:pt>
                <c:pt idx="8">
                  <c:v>53410.544094369659</c:v>
                </c:pt>
                <c:pt idx="9">
                  <c:v>21357.249279538912</c:v>
                </c:pt>
                <c:pt idx="10">
                  <c:v>13974.251190416202</c:v>
                </c:pt>
                <c:pt idx="11">
                  <c:v>4243.3496924999999</c:v>
                </c:pt>
                <c:pt idx="12">
                  <c:v>9730.9014979162021</c:v>
                </c:pt>
                <c:pt idx="13">
                  <c:v>13618216.818432769</c:v>
                </c:pt>
                <c:pt idx="14">
                  <c:v>807</c:v>
                </c:pt>
                <c:pt idx="15">
                  <c:v>807</c:v>
                </c:pt>
                <c:pt idx="16">
                  <c:v>0</c:v>
                </c:pt>
                <c:pt idx="17">
                  <c:v>90250</c:v>
                </c:pt>
                <c:pt idx="18">
                  <c:v>13936837.983314097</c:v>
                </c:pt>
              </c:numCache>
            </c:numRef>
          </c:val>
          <c:extLst xmlns:c16r2="http://schemas.microsoft.com/office/drawing/2015/06/chart">
            <c:ext xmlns:c16="http://schemas.microsoft.com/office/drawing/2014/chart" uri="{C3380CC4-5D6E-409C-BE32-E72D297353CC}">
              <c16:uniqueId val="{00000004-B2ED-4916-BB55-58154B8438E8}"/>
            </c:ext>
          </c:extLst>
        </c:ser>
        <c:dLbls>
          <c:showLegendKey val="0"/>
          <c:showVal val="0"/>
          <c:showCatName val="0"/>
          <c:showSerName val="0"/>
          <c:showPercent val="0"/>
          <c:showBubbleSize val="0"/>
        </c:dLbls>
        <c:gapWidth val="219"/>
        <c:overlap val="-27"/>
        <c:axId val="-915920816"/>
        <c:axId val="-915914288"/>
      </c:barChart>
      <c:catAx>
        <c:axId val="-915920816"/>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5914288"/>
        <c:crosses val="autoZero"/>
        <c:auto val="1"/>
        <c:lblAlgn val="ctr"/>
        <c:lblOffset val="100"/>
        <c:noMultiLvlLbl val="0"/>
      </c:catAx>
      <c:valAx>
        <c:axId val="-915914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5920816"/>
        <c:crosses val="autoZero"/>
        <c:crossBetween val="between"/>
        <c:dispUnits>
          <c:builtInUnit val="millions"/>
          <c:dispUnitsLbl>
            <c:layout>
              <c:manualLayout>
                <c:xMode val="edge"/>
                <c:yMode val="edge"/>
                <c:x val="0.125"/>
                <c:y val="2.6805622471118042E-2"/>
              </c:manualLayout>
            </c:layout>
            <c:tx>
              <c:rich>
                <a:bodyPr rot="0" spcFirstLastPara="1" vertOverflow="ellipsis" wrap="square" anchor="ctr" anchorCtr="1"/>
                <a:lstStyle/>
                <a:p>
                  <a:pPr>
                    <a:defRPr sz="1050" b="0" i="1" u="none" strike="noStrike" kern="1200" baseline="0">
                      <a:solidFill>
                        <a:schemeClr val="tx1">
                          <a:lumMod val="65000"/>
                          <a:lumOff val="35000"/>
                        </a:schemeClr>
                      </a:solidFill>
                      <a:latin typeface="+mn-lt"/>
                      <a:ea typeface="+mn-ea"/>
                      <a:cs typeface="+mn-cs"/>
                    </a:defRPr>
                  </a:pPr>
                  <a:r>
                    <a:rPr lang="en-GB" sz="1050" b="0" i="1" baseline="0">
                      <a:effectLst/>
                    </a:rPr>
                    <a:t>Mln m</a:t>
                  </a:r>
                  <a:r>
                    <a:rPr lang="en-GB" sz="1050" b="0" i="1" baseline="30000">
                      <a:effectLst/>
                    </a:rPr>
                    <a:t>3</a:t>
                  </a:r>
                  <a:r>
                    <a:rPr lang="en-GB" sz="1050" b="0" i="1" baseline="0">
                      <a:effectLst/>
                    </a:rPr>
                    <a:t> </a:t>
                  </a:r>
                  <a:endParaRPr lang="en-GB" sz="1050">
                    <a:effectLst/>
                  </a:endParaRPr>
                </a:p>
              </c:rich>
            </c:tx>
            <c:spPr>
              <a:noFill/>
              <a:ln>
                <a:noFill/>
              </a:ln>
              <a:effectLst/>
            </c:spPr>
            <c:txPr>
              <a:bodyPr rot="0" spcFirstLastPara="1" vertOverflow="ellipsis" wrap="square" anchor="ctr" anchorCtr="1"/>
              <a:lstStyle/>
              <a:p>
                <a:pPr>
                  <a:defRPr sz="1050" b="0" i="1" u="none" strike="noStrike" kern="1200" baseline="0">
                    <a:solidFill>
                      <a:schemeClr val="tx1">
                        <a:lumMod val="65000"/>
                        <a:lumOff val="35000"/>
                      </a:schemeClr>
                    </a:solidFill>
                    <a:latin typeface="+mn-lt"/>
                    <a:ea typeface="+mn-ea"/>
                    <a:cs typeface="+mn-cs"/>
                  </a:defRPr>
                </a:pPr>
                <a:endParaRPr lang="en-US"/>
              </a:p>
            </c:txPr>
          </c:dispUnitsLbl>
        </c:dispUnits>
      </c:valAx>
      <c:spPr>
        <a:noFill/>
        <a:ln>
          <a:solidFill>
            <a:schemeClr val="tx1">
              <a:lumMod val="65000"/>
              <a:lumOff val="35000"/>
            </a:schemeClr>
          </a:solidFill>
        </a:ln>
        <a:effectLst/>
      </c:spPr>
    </c:plotArea>
    <c:legend>
      <c:legendPos val="b"/>
      <c:layout>
        <c:manualLayout>
          <c:xMode val="edge"/>
          <c:yMode val="edge"/>
          <c:x val="0.47288035870516187"/>
          <c:y val="0.15325949464164235"/>
          <c:w val="0.43175767484983518"/>
          <c:h val="7.2610722289872129E-2"/>
        </c:manualLayout>
      </c:layout>
      <c:overlay val="0"/>
      <c:spPr>
        <a:solidFill>
          <a:schemeClr val="bg1"/>
        </a:solidFill>
        <a:ln>
          <a:solidFill>
            <a:schemeClr val="tx1">
              <a:lumMod val="65000"/>
              <a:lumOff val="35000"/>
            </a:schemeClr>
          </a:solid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96981627296589"/>
          <c:y val="8.178224563214305E-2"/>
          <c:w val="0.86547462817147858"/>
          <c:h val="0.68504637598044282"/>
        </c:manualLayout>
      </c:layout>
      <c:barChart>
        <c:barDir val="col"/>
        <c:grouping val="clustered"/>
        <c:varyColors val="0"/>
        <c:ser>
          <c:idx val="1"/>
          <c:order val="0"/>
          <c:tx>
            <c:strRef>
              <c:f>PSUT_Trends_Charts!$R$5</c:f>
              <c:strCache>
                <c:ptCount val="1"/>
                <c:pt idx="0">
                  <c:v>2012</c:v>
                </c:pt>
              </c:strCache>
            </c:strRef>
          </c:tx>
          <c:spPr>
            <a:solidFill>
              <a:srgbClr val="4472C4"/>
            </a:solidFill>
            <a:ln>
              <a:noFill/>
            </a:ln>
            <a:effectLst/>
          </c:spPr>
          <c:invertIfNegative val="0"/>
          <c:cat>
            <c:strRef>
              <c:extLst>
                <c:ext xmlns:c15="http://schemas.microsoft.com/office/drawing/2012/chart" uri="{02D57815-91ED-43cb-92C2-25804820EDAC}">
                  <c15:fullRef>
                    <c15:sqref>PSUT_Trends_Charts!$X$6:$X$23</c15:sqref>
                  </c15:fullRef>
                </c:ext>
              </c:extLst>
              <c:f>(PSUT_Trends_Charts!$X$12:$X$16,PSUT_Trends_Charts!$X$19)</c:f>
              <c:strCache>
                <c:ptCount val="6"/>
                <c:pt idx="0">
                  <c:v>Lakes</c:v>
                </c:pt>
                <c:pt idx="1">
                  <c:v>Rivers</c:v>
                </c:pt>
                <c:pt idx="2">
                  <c:v>Reservoirs (Dams, ponds)</c:v>
                </c:pt>
                <c:pt idx="3">
                  <c:v>Combined River &amp; Reservoirs (dams, ponds)</c:v>
                </c:pt>
                <c:pt idx="4">
                  <c:v>Groundwater</c:v>
                </c:pt>
                <c:pt idx="5">
                  <c:v>Soil water (green water)</c:v>
                </c:pt>
              </c:strCache>
            </c:strRef>
          </c:cat>
          <c:val>
            <c:numRef>
              <c:extLst>
                <c:ext xmlns:c15="http://schemas.microsoft.com/office/drawing/2012/chart" uri="{02D57815-91ED-43cb-92C2-25804820EDAC}">
                  <c15:fullRef>
                    <c15:sqref>PSUT_Trends_Charts!$R$6:$R$23</c15:sqref>
                  </c15:fullRef>
                </c:ext>
              </c:extLst>
              <c:f>(PSUT_Trends_Charts!$R$12:$R$16,PSUT_Trends_Charts!$R$19)</c:f>
              <c:numCache>
                <c:formatCode>#,##0</c:formatCode>
                <c:ptCount val="6"/>
                <c:pt idx="0">
                  <c:v>18292.297238757077</c:v>
                </c:pt>
                <c:pt idx="1">
                  <c:v>314347.86563005042</c:v>
                </c:pt>
                <c:pt idx="2">
                  <c:v>236676.76860048811</c:v>
                </c:pt>
                <c:pt idx="3">
                  <c:v>23428.296235763115</c:v>
                </c:pt>
                <c:pt idx="4">
                  <c:v>63450.817022096933</c:v>
                </c:pt>
                <c:pt idx="5">
                  <c:v>13359408.07565332</c:v>
                </c:pt>
              </c:numCache>
            </c:numRef>
          </c:val>
          <c:extLst xmlns:c16r2="http://schemas.microsoft.com/office/drawing/2015/06/chart">
            <c:ext xmlns:c16="http://schemas.microsoft.com/office/drawing/2014/chart" uri="{C3380CC4-5D6E-409C-BE32-E72D297353CC}">
              <c16:uniqueId val="{00000001-B2ED-4916-BB55-58154B8438E8}"/>
            </c:ext>
          </c:extLst>
        </c:ser>
        <c:ser>
          <c:idx val="2"/>
          <c:order val="1"/>
          <c:tx>
            <c:strRef>
              <c:f>PSUT_Trends_Charts!$S$5</c:f>
              <c:strCache>
                <c:ptCount val="1"/>
                <c:pt idx="0">
                  <c:v>2013</c:v>
                </c:pt>
              </c:strCache>
            </c:strRef>
          </c:tx>
          <c:spPr>
            <a:solidFill>
              <a:srgbClr val="ED7D31"/>
            </a:solidFill>
            <a:ln>
              <a:noFill/>
            </a:ln>
            <a:effectLst/>
          </c:spPr>
          <c:invertIfNegative val="0"/>
          <c:cat>
            <c:strRef>
              <c:extLst>
                <c:ext xmlns:c15="http://schemas.microsoft.com/office/drawing/2012/chart" uri="{02D57815-91ED-43cb-92C2-25804820EDAC}">
                  <c15:fullRef>
                    <c15:sqref>PSUT_Trends_Charts!$X$6:$X$23</c15:sqref>
                  </c15:fullRef>
                </c:ext>
              </c:extLst>
              <c:f>(PSUT_Trends_Charts!$X$12:$X$16,PSUT_Trends_Charts!$X$19)</c:f>
              <c:strCache>
                <c:ptCount val="6"/>
                <c:pt idx="0">
                  <c:v>Lakes</c:v>
                </c:pt>
                <c:pt idx="1">
                  <c:v>Rivers</c:v>
                </c:pt>
                <c:pt idx="2">
                  <c:v>Reservoirs (Dams, ponds)</c:v>
                </c:pt>
                <c:pt idx="3">
                  <c:v>Combined River &amp; Reservoirs (dams, ponds)</c:v>
                </c:pt>
                <c:pt idx="4">
                  <c:v>Groundwater</c:v>
                </c:pt>
                <c:pt idx="5">
                  <c:v>Soil water (green water)</c:v>
                </c:pt>
              </c:strCache>
            </c:strRef>
          </c:cat>
          <c:val>
            <c:numRef>
              <c:extLst>
                <c:ext xmlns:c15="http://schemas.microsoft.com/office/drawing/2012/chart" uri="{02D57815-91ED-43cb-92C2-25804820EDAC}">
                  <c15:fullRef>
                    <c15:sqref>PSUT_Trends_Charts!$S$6:$S$23</c15:sqref>
                  </c15:fullRef>
                </c:ext>
              </c:extLst>
              <c:f>(PSUT_Trends_Charts!$S$12:$S$16,PSUT_Trends_Charts!$S$19)</c:f>
              <c:numCache>
                <c:formatCode>#,##0</c:formatCode>
                <c:ptCount val="6"/>
                <c:pt idx="0">
                  <c:v>18835.641425546113</c:v>
                </c:pt>
                <c:pt idx="1">
                  <c:v>321903.05852285196</c:v>
                </c:pt>
                <c:pt idx="2">
                  <c:v>244438.8284117601</c:v>
                </c:pt>
                <c:pt idx="3">
                  <c:v>24271.751077641089</c:v>
                </c:pt>
                <c:pt idx="4">
                  <c:v>63874.256516707879</c:v>
                </c:pt>
                <c:pt idx="5">
                  <c:v>12800177.039928293</c:v>
                </c:pt>
              </c:numCache>
            </c:numRef>
          </c:val>
          <c:extLst xmlns:c16r2="http://schemas.microsoft.com/office/drawing/2015/06/chart">
            <c:ext xmlns:c16="http://schemas.microsoft.com/office/drawing/2014/chart" uri="{C3380CC4-5D6E-409C-BE32-E72D297353CC}">
              <c16:uniqueId val="{00000002-B2ED-4916-BB55-58154B8438E8}"/>
            </c:ext>
          </c:extLst>
        </c:ser>
        <c:ser>
          <c:idx val="3"/>
          <c:order val="2"/>
          <c:tx>
            <c:strRef>
              <c:f>PSUT_Trends_Charts!$T$5</c:f>
              <c:strCache>
                <c:ptCount val="1"/>
                <c:pt idx="0">
                  <c:v>2014</c:v>
                </c:pt>
              </c:strCache>
            </c:strRef>
          </c:tx>
          <c:spPr>
            <a:solidFill>
              <a:srgbClr val="A5A5A5"/>
            </a:solidFill>
            <a:ln>
              <a:noFill/>
            </a:ln>
            <a:effectLst/>
          </c:spPr>
          <c:invertIfNegative val="0"/>
          <c:cat>
            <c:strRef>
              <c:extLst>
                <c:ext xmlns:c15="http://schemas.microsoft.com/office/drawing/2012/chart" uri="{02D57815-91ED-43cb-92C2-25804820EDAC}">
                  <c15:fullRef>
                    <c15:sqref>PSUT_Trends_Charts!$X$6:$X$23</c15:sqref>
                  </c15:fullRef>
                </c:ext>
              </c:extLst>
              <c:f>(PSUT_Trends_Charts!$X$12:$X$16,PSUT_Trends_Charts!$X$19)</c:f>
              <c:strCache>
                <c:ptCount val="6"/>
                <c:pt idx="0">
                  <c:v>Lakes</c:v>
                </c:pt>
                <c:pt idx="1">
                  <c:v>Rivers</c:v>
                </c:pt>
                <c:pt idx="2">
                  <c:v>Reservoirs (Dams, ponds)</c:v>
                </c:pt>
                <c:pt idx="3">
                  <c:v>Combined River &amp; Reservoirs (dams, ponds)</c:v>
                </c:pt>
                <c:pt idx="4">
                  <c:v>Groundwater</c:v>
                </c:pt>
                <c:pt idx="5">
                  <c:v>Soil water (green water)</c:v>
                </c:pt>
              </c:strCache>
            </c:strRef>
          </c:cat>
          <c:val>
            <c:numRef>
              <c:extLst>
                <c:ext xmlns:c15="http://schemas.microsoft.com/office/drawing/2012/chart" uri="{02D57815-91ED-43cb-92C2-25804820EDAC}">
                  <c15:fullRef>
                    <c15:sqref>PSUT_Trends_Charts!$T$6:$T$23</c15:sqref>
                  </c15:fullRef>
                </c:ext>
              </c:extLst>
              <c:f>(PSUT_Trends_Charts!$T$12:$T$16,PSUT_Trends_Charts!$T$19)</c:f>
              <c:numCache>
                <c:formatCode>#,##0</c:formatCode>
                <c:ptCount val="6"/>
                <c:pt idx="0">
                  <c:v>19401.262723993506</c:v>
                </c:pt>
                <c:pt idx="1">
                  <c:v>330114.01382874319</c:v>
                </c:pt>
                <c:pt idx="2">
                  <c:v>256480.01044531321</c:v>
                </c:pt>
                <c:pt idx="3">
                  <c:v>25148.375341960294</c:v>
                </c:pt>
                <c:pt idx="4">
                  <c:v>64302.390021385683</c:v>
                </c:pt>
                <c:pt idx="5">
                  <c:v>13286936.953439228</c:v>
                </c:pt>
              </c:numCache>
            </c:numRef>
          </c:val>
          <c:extLst xmlns:c16r2="http://schemas.microsoft.com/office/drawing/2015/06/chart">
            <c:ext xmlns:c16="http://schemas.microsoft.com/office/drawing/2014/chart" uri="{C3380CC4-5D6E-409C-BE32-E72D297353CC}">
              <c16:uniqueId val="{00000003-B2ED-4916-BB55-58154B8438E8}"/>
            </c:ext>
          </c:extLst>
        </c:ser>
        <c:ser>
          <c:idx val="4"/>
          <c:order val="3"/>
          <c:tx>
            <c:strRef>
              <c:f>PSUT_Trends_Charts!$U$5</c:f>
              <c:strCache>
                <c:ptCount val="1"/>
                <c:pt idx="0">
                  <c:v>2015</c:v>
                </c:pt>
              </c:strCache>
            </c:strRef>
          </c:tx>
          <c:spPr>
            <a:solidFill>
              <a:srgbClr val="FFC000"/>
            </a:solidFill>
            <a:ln>
              <a:noFill/>
            </a:ln>
            <a:effectLst/>
          </c:spPr>
          <c:invertIfNegative val="0"/>
          <c:cat>
            <c:strRef>
              <c:extLst>
                <c:ext xmlns:c15="http://schemas.microsoft.com/office/drawing/2012/chart" uri="{02D57815-91ED-43cb-92C2-25804820EDAC}">
                  <c15:fullRef>
                    <c15:sqref>PSUT_Trends_Charts!$X$6:$X$23</c15:sqref>
                  </c15:fullRef>
                </c:ext>
              </c:extLst>
              <c:f>(PSUT_Trends_Charts!$X$12:$X$16,PSUT_Trends_Charts!$X$19)</c:f>
              <c:strCache>
                <c:ptCount val="6"/>
                <c:pt idx="0">
                  <c:v>Lakes</c:v>
                </c:pt>
                <c:pt idx="1">
                  <c:v>Rivers</c:v>
                </c:pt>
                <c:pt idx="2">
                  <c:v>Reservoirs (Dams, ponds)</c:v>
                </c:pt>
                <c:pt idx="3">
                  <c:v>Combined River &amp; Reservoirs (dams, ponds)</c:v>
                </c:pt>
                <c:pt idx="4">
                  <c:v>Groundwater</c:v>
                </c:pt>
                <c:pt idx="5">
                  <c:v>Soil water (green water)</c:v>
                </c:pt>
              </c:strCache>
            </c:strRef>
          </c:cat>
          <c:val>
            <c:numRef>
              <c:extLst>
                <c:ext xmlns:c15="http://schemas.microsoft.com/office/drawing/2012/chart" uri="{02D57815-91ED-43cb-92C2-25804820EDAC}">
                  <c15:fullRef>
                    <c15:sqref>PSUT_Trends_Charts!$U$6:$U$23</c15:sqref>
                  </c15:fullRef>
                </c:ext>
              </c:extLst>
              <c:f>(PSUT_Trends_Charts!$U$12:$U$16,PSUT_Trends_Charts!$U$19)</c:f>
              <c:numCache>
                <c:formatCode>#,##0</c:formatCode>
                <c:ptCount val="6"/>
                <c:pt idx="0">
                  <c:v>19990.07449567724</c:v>
                </c:pt>
                <c:pt idx="1">
                  <c:v>338374.13239742484</c:v>
                </c:pt>
                <c:pt idx="2">
                  <c:v>266994.65082010702</c:v>
                </c:pt>
                <c:pt idx="3">
                  <c:v>26059.500730519303</c:v>
                </c:pt>
                <c:pt idx="4">
                  <c:v>64735.292542432573</c:v>
                </c:pt>
                <c:pt idx="5">
                  <c:v>13618216.818432769</c:v>
                </c:pt>
              </c:numCache>
            </c:numRef>
          </c:val>
          <c:extLst xmlns:c16r2="http://schemas.microsoft.com/office/drawing/2015/06/chart">
            <c:ext xmlns:c16="http://schemas.microsoft.com/office/drawing/2014/chart" uri="{C3380CC4-5D6E-409C-BE32-E72D297353CC}">
              <c16:uniqueId val="{00000004-B2ED-4916-BB55-58154B8438E8}"/>
            </c:ext>
          </c:extLst>
        </c:ser>
        <c:dLbls>
          <c:showLegendKey val="0"/>
          <c:showVal val="0"/>
          <c:showCatName val="0"/>
          <c:showSerName val="0"/>
          <c:showPercent val="0"/>
          <c:showBubbleSize val="0"/>
        </c:dLbls>
        <c:gapWidth val="219"/>
        <c:overlap val="-27"/>
        <c:axId val="-915924080"/>
        <c:axId val="-915924624"/>
      </c:barChart>
      <c:catAx>
        <c:axId val="-915924080"/>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24624"/>
        <c:crosses val="autoZero"/>
        <c:auto val="1"/>
        <c:lblAlgn val="ctr"/>
        <c:lblOffset val="100"/>
        <c:noMultiLvlLbl val="0"/>
      </c:catAx>
      <c:valAx>
        <c:axId val="-915924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5924080"/>
        <c:crosses val="autoZero"/>
        <c:crossBetween val="between"/>
        <c:dispUnits>
          <c:builtInUnit val="millions"/>
          <c:dispUnitsLbl>
            <c:layout>
              <c:manualLayout>
                <c:xMode val="edge"/>
                <c:yMode val="edge"/>
                <c:x val="8.0555555555555561E-2"/>
                <c:y val="1.1527822137532683E-2"/>
              </c:manualLayout>
            </c:layout>
            <c:tx>
              <c:rich>
                <a:bodyPr rot="0" spcFirstLastPara="1" vertOverflow="ellipsis" wrap="square" anchor="ctr" anchorCtr="1"/>
                <a:lstStyle/>
                <a:p>
                  <a:pPr>
                    <a:defRPr sz="1050" b="0" i="1" u="none" strike="noStrike" kern="1200" baseline="0">
                      <a:solidFill>
                        <a:schemeClr val="tx1">
                          <a:lumMod val="65000"/>
                          <a:lumOff val="35000"/>
                        </a:schemeClr>
                      </a:solidFill>
                      <a:latin typeface="+mn-lt"/>
                      <a:ea typeface="+mn-ea"/>
                      <a:cs typeface="+mn-cs"/>
                    </a:defRPr>
                  </a:pPr>
                  <a:r>
                    <a:rPr lang="en-GB" sz="1050" b="0" i="1" baseline="0">
                      <a:effectLst/>
                    </a:rPr>
                    <a:t>Mln m</a:t>
                  </a:r>
                  <a:r>
                    <a:rPr lang="en-GB" sz="1050" b="0" i="1" baseline="30000">
                      <a:effectLst/>
                    </a:rPr>
                    <a:t>3</a:t>
                  </a:r>
                  <a:r>
                    <a:rPr lang="en-GB" sz="1050" b="0" i="1" baseline="0">
                      <a:effectLst/>
                    </a:rPr>
                    <a:t> </a:t>
                  </a:r>
                  <a:endParaRPr lang="en-GB" sz="1050">
                    <a:effectLst/>
                  </a:endParaRPr>
                </a:p>
              </c:rich>
            </c:tx>
            <c:spPr>
              <a:noFill/>
              <a:ln>
                <a:noFill/>
              </a:ln>
              <a:effectLst/>
            </c:spPr>
            <c:txPr>
              <a:bodyPr rot="0" spcFirstLastPara="1" vertOverflow="ellipsis" wrap="square" anchor="ctr" anchorCtr="1"/>
              <a:lstStyle/>
              <a:p>
                <a:pPr>
                  <a:defRPr sz="1050" b="0" i="1" u="none" strike="noStrike" kern="1200" baseline="0">
                    <a:solidFill>
                      <a:schemeClr val="tx1">
                        <a:lumMod val="65000"/>
                        <a:lumOff val="35000"/>
                      </a:schemeClr>
                    </a:solidFill>
                    <a:latin typeface="+mn-lt"/>
                    <a:ea typeface="+mn-ea"/>
                    <a:cs typeface="+mn-cs"/>
                  </a:defRPr>
                </a:pPr>
                <a:endParaRPr lang="en-US"/>
              </a:p>
            </c:txPr>
          </c:dispUnitsLbl>
        </c:dispUnits>
      </c:valAx>
      <c:spPr>
        <a:noFill/>
        <a:ln>
          <a:solidFill>
            <a:schemeClr val="tx1">
              <a:lumMod val="65000"/>
              <a:lumOff val="35000"/>
            </a:schemeClr>
          </a:solidFill>
        </a:ln>
        <a:effectLst/>
      </c:spPr>
    </c:plotArea>
    <c:legend>
      <c:legendPos val="b"/>
      <c:layout>
        <c:manualLayout>
          <c:xMode val="edge"/>
          <c:yMode val="edge"/>
          <c:x val="0.34858174334466513"/>
          <c:y val="0.11683317213927999"/>
          <c:w val="0.43757261592300961"/>
          <c:h val="7.1392138428900798E-2"/>
        </c:manualLayout>
      </c:layout>
      <c:overlay val="0"/>
      <c:spPr>
        <a:solidFill>
          <a:schemeClr val="bg1"/>
        </a:solidFill>
        <a:ln>
          <a:solidFill>
            <a:schemeClr val="tx1">
              <a:lumMod val="65000"/>
              <a:lumOff val="35000"/>
            </a:schemeClr>
          </a:solid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96981627296589"/>
          <c:y val="8.178224563214305E-2"/>
          <c:w val="0.86547462817147858"/>
          <c:h val="0.47020708637310438"/>
        </c:manualLayout>
      </c:layout>
      <c:barChart>
        <c:barDir val="col"/>
        <c:grouping val="clustered"/>
        <c:varyColors val="0"/>
        <c:ser>
          <c:idx val="1"/>
          <c:order val="0"/>
          <c:tx>
            <c:strRef>
              <c:f>PSUT_Trends_Charts!$R$5</c:f>
              <c:strCache>
                <c:ptCount val="1"/>
                <c:pt idx="0">
                  <c:v>2012</c:v>
                </c:pt>
              </c:strCache>
            </c:strRef>
          </c:tx>
          <c:spPr>
            <a:solidFill>
              <a:srgbClr val="4472C4"/>
            </a:solidFill>
            <a:ln>
              <a:noFill/>
            </a:ln>
            <a:effectLst/>
          </c:spPr>
          <c:invertIfNegative val="0"/>
          <c:cat>
            <c:strRef>
              <c:f>PSUT_Trends_Charts!$X$6:$X$23</c:f>
              <c:strCache>
                <c:ptCount val="18"/>
                <c:pt idx="0">
                  <c:v>Total abstraction</c:v>
                </c:pt>
                <c:pt idx="1">
                  <c:v>Abstraction for own use</c:v>
                </c:pt>
                <c:pt idx="2">
                  <c:v>Abstraction for distribution</c:v>
                </c:pt>
                <c:pt idx="3">
                  <c:v>Total abstraction (1.i+1.ii)</c:v>
                </c:pt>
                <c:pt idx="4">
                  <c:v>From water resources:</c:v>
                </c:pt>
                <c:pt idx="5">
                  <c:v>Surface water</c:v>
                </c:pt>
                <c:pt idx="6">
                  <c:v>Lakes</c:v>
                </c:pt>
                <c:pt idx="7">
                  <c:v>Rivers</c:v>
                </c:pt>
                <c:pt idx="8">
                  <c:v>Reservoirs (Dams, ponds)</c:v>
                </c:pt>
                <c:pt idx="9">
                  <c:v>Combined River &amp; Reservoirs (dams, ponds)</c:v>
                </c:pt>
                <c:pt idx="10">
                  <c:v>Groundwater</c:v>
                </c:pt>
                <c:pt idx="11">
                  <c:v>From Boreholes</c:v>
                </c:pt>
                <c:pt idx="12">
                  <c:v>From Springs</c:v>
                </c:pt>
                <c:pt idx="13">
                  <c:v>Soil water (green water)</c:v>
                </c:pt>
                <c:pt idx="14">
                  <c:v>From other sources </c:v>
                </c:pt>
                <c:pt idx="15">
                  <c:v>Collection of precipitation (rainwater harvesting; ..)</c:v>
                </c:pt>
                <c:pt idx="16">
                  <c:v>Abstraction from the sea</c:v>
                </c:pt>
                <c:pt idx="17">
                  <c:v>Use of water received from other economic units</c:v>
                </c:pt>
              </c:strCache>
            </c:strRef>
          </c:cat>
          <c:val>
            <c:numRef>
              <c:f>PSUT_Trends_Charts!$R$6:$R$23</c:f>
              <c:numCache>
                <c:formatCode>#,##0</c:formatCode>
                <c:ptCount val="18"/>
                <c:pt idx="0">
                  <c:v>14038856.805080475</c:v>
                </c:pt>
                <c:pt idx="1">
                  <c:v>13988975.156464284</c:v>
                </c:pt>
                <c:pt idx="2">
                  <c:v>49881.648616190098</c:v>
                </c:pt>
                <c:pt idx="3">
                  <c:v>14038856.805080475</c:v>
                </c:pt>
                <c:pt idx="4">
                  <c:v>14015604.120380474</c:v>
                </c:pt>
                <c:pt idx="5">
                  <c:v>592745.22770505876</c:v>
                </c:pt>
                <c:pt idx="6">
                  <c:v>18292.297238757077</c:v>
                </c:pt>
                <c:pt idx="7">
                  <c:v>314347.86563005042</c:v>
                </c:pt>
                <c:pt idx="8">
                  <c:v>236676.76860048811</c:v>
                </c:pt>
                <c:pt idx="9">
                  <c:v>23428.296235763115</c:v>
                </c:pt>
                <c:pt idx="10">
                  <c:v>63450.817022096933</c:v>
                </c:pt>
                <c:pt idx="11">
                  <c:v>11296.121279567073</c:v>
                </c:pt>
                <c:pt idx="12">
                  <c:v>52154.695742529861</c:v>
                </c:pt>
                <c:pt idx="13">
                  <c:v>13359408.07565332</c:v>
                </c:pt>
                <c:pt idx="14">
                  <c:v>23252.684700000002</c:v>
                </c:pt>
                <c:pt idx="15">
                  <c:v>23252.684700000002</c:v>
                </c:pt>
                <c:pt idx="16">
                  <c:v>0</c:v>
                </c:pt>
                <c:pt idx="17">
                  <c:v>1160562.9602874902</c:v>
                </c:pt>
              </c:numCache>
            </c:numRef>
          </c:val>
          <c:extLst xmlns:c16r2="http://schemas.microsoft.com/office/drawing/2015/06/chart">
            <c:ext xmlns:c16="http://schemas.microsoft.com/office/drawing/2014/chart" uri="{C3380CC4-5D6E-409C-BE32-E72D297353CC}">
              <c16:uniqueId val="{00000001-B2ED-4916-BB55-58154B8438E8}"/>
            </c:ext>
          </c:extLst>
        </c:ser>
        <c:ser>
          <c:idx val="2"/>
          <c:order val="1"/>
          <c:tx>
            <c:strRef>
              <c:f>PSUT_Trends_Charts!$S$5</c:f>
              <c:strCache>
                <c:ptCount val="1"/>
                <c:pt idx="0">
                  <c:v>2013</c:v>
                </c:pt>
              </c:strCache>
            </c:strRef>
          </c:tx>
          <c:spPr>
            <a:solidFill>
              <a:srgbClr val="ED7D31"/>
            </a:solidFill>
            <a:ln>
              <a:noFill/>
            </a:ln>
            <a:effectLst/>
          </c:spPr>
          <c:invertIfNegative val="0"/>
          <c:cat>
            <c:strRef>
              <c:f>PSUT_Trends_Charts!$X$6:$X$23</c:f>
              <c:strCache>
                <c:ptCount val="18"/>
                <c:pt idx="0">
                  <c:v>Total abstraction</c:v>
                </c:pt>
                <c:pt idx="1">
                  <c:v>Abstraction for own use</c:v>
                </c:pt>
                <c:pt idx="2">
                  <c:v>Abstraction for distribution</c:v>
                </c:pt>
                <c:pt idx="3">
                  <c:v>Total abstraction (1.i+1.ii)</c:v>
                </c:pt>
                <c:pt idx="4">
                  <c:v>From water resources:</c:v>
                </c:pt>
                <c:pt idx="5">
                  <c:v>Surface water</c:v>
                </c:pt>
                <c:pt idx="6">
                  <c:v>Lakes</c:v>
                </c:pt>
                <c:pt idx="7">
                  <c:v>Rivers</c:v>
                </c:pt>
                <c:pt idx="8">
                  <c:v>Reservoirs (Dams, ponds)</c:v>
                </c:pt>
                <c:pt idx="9">
                  <c:v>Combined River &amp; Reservoirs (dams, ponds)</c:v>
                </c:pt>
                <c:pt idx="10">
                  <c:v>Groundwater</c:v>
                </c:pt>
                <c:pt idx="11">
                  <c:v>From Boreholes</c:v>
                </c:pt>
                <c:pt idx="12">
                  <c:v>From Springs</c:v>
                </c:pt>
                <c:pt idx="13">
                  <c:v>Soil water (green water)</c:v>
                </c:pt>
                <c:pt idx="14">
                  <c:v>From other sources </c:v>
                </c:pt>
                <c:pt idx="15">
                  <c:v>Collection of precipitation (rainwater harvesting; ..)</c:v>
                </c:pt>
                <c:pt idx="16">
                  <c:v>Abstraction from the sea</c:v>
                </c:pt>
                <c:pt idx="17">
                  <c:v>Use of water received from other economic units</c:v>
                </c:pt>
              </c:strCache>
            </c:strRef>
          </c:cat>
          <c:val>
            <c:numRef>
              <c:f>PSUT_Trends_Charts!$S$6:$S$23</c:f>
              <c:numCache>
                <c:formatCode>#,##0</c:formatCode>
                <c:ptCount val="18"/>
                <c:pt idx="0">
                  <c:v>13496958.380237278</c:v>
                </c:pt>
                <c:pt idx="1">
                  <c:v>13446811.687689004</c:v>
                </c:pt>
                <c:pt idx="2">
                  <c:v>50146.692548271036</c:v>
                </c:pt>
                <c:pt idx="3">
                  <c:v>13496753.260582799</c:v>
                </c:pt>
                <c:pt idx="4">
                  <c:v>13473500.575882798</c:v>
                </c:pt>
                <c:pt idx="5">
                  <c:v>609449.27943779924</c:v>
                </c:pt>
                <c:pt idx="6">
                  <c:v>18835.641425546113</c:v>
                </c:pt>
                <c:pt idx="7">
                  <c:v>321903.05852285196</c:v>
                </c:pt>
                <c:pt idx="8">
                  <c:v>244438.8284117601</c:v>
                </c:pt>
                <c:pt idx="9">
                  <c:v>24271.751077641089</c:v>
                </c:pt>
                <c:pt idx="10">
                  <c:v>63874.256516707879</c:v>
                </c:pt>
                <c:pt idx="11">
                  <c:v>0</c:v>
                </c:pt>
                <c:pt idx="12">
                  <c:v>0</c:v>
                </c:pt>
                <c:pt idx="13">
                  <c:v>12800177.039928293</c:v>
                </c:pt>
                <c:pt idx="14">
                  <c:v>23252.684700000002</c:v>
                </c:pt>
                <c:pt idx="15">
                  <c:v>23252.684700000002</c:v>
                </c:pt>
                <c:pt idx="16">
                  <c:v>0</c:v>
                </c:pt>
                <c:pt idx="17">
                  <c:v>1160562.9602874902</c:v>
                </c:pt>
              </c:numCache>
            </c:numRef>
          </c:val>
          <c:extLst xmlns:c16r2="http://schemas.microsoft.com/office/drawing/2015/06/chart">
            <c:ext xmlns:c16="http://schemas.microsoft.com/office/drawing/2014/chart" uri="{C3380CC4-5D6E-409C-BE32-E72D297353CC}">
              <c16:uniqueId val="{00000002-B2ED-4916-BB55-58154B8438E8}"/>
            </c:ext>
          </c:extLst>
        </c:ser>
        <c:ser>
          <c:idx val="3"/>
          <c:order val="2"/>
          <c:tx>
            <c:strRef>
              <c:f>PSUT_Trends_Charts!$T$5</c:f>
              <c:strCache>
                <c:ptCount val="1"/>
                <c:pt idx="0">
                  <c:v>2014</c:v>
                </c:pt>
              </c:strCache>
            </c:strRef>
          </c:tx>
          <c:spPr>
            <a:solidFill>
              <a:srgbClr val="A5A5A5"/>
            </a:solidFill>
            <a:ln>
              <a:noFill/>
            </a:ln>
            <a:effectLst/>
          </c:spPr>
          <c:invertIfNegative val="0"/>
          <c:cat>
            <c:strRef>
              <c:f>PSUT_Trends_Charts!$X$6:$X$23</c:f>
              <c:strCache>
                <c:ptCount val="18"/>
                <c:pt idx="0">
                  <c:v>Total abstraction</c:v>
                </c:pt>
                <c:pt idx="1">
                  <c:v>Abstraction for own use</c:v>
                </c:pt>
                <c:pt idx="2">
                  <c:v>Abstraction for distribution</c:v>
                </c:pt>
                <c:pt idx="3">
                  <c:v>Total abstraction (1.i+1.ii)</c:v>
                </c:pt>
                <c:pt idx="4">
                  <c:v>From water resources:</c:v>
                </c:pt>
                <c:pt idx="5">
                  <c:v>Surface water</c:v>
                </c:pt>
                <c:pt idx="6">
                  <c:v>Lakes</c:v>
                </c:pt>
                <c:pt idx="7">
                  <c:v>Rivers</c:v>
                </c:pt>
                <c:pt idx="8">
                  <c:v>Reservoirs (Dams, ponds)</c:v>
                </c:pt>
                <c:pt idx="9">
                  <c:v>Combined River &amp; Reservoirs (dams, ponds)</c:v>
                </c:pt>
                <c:pt idx="10">
                  <c:v>Groundwater</c:v>
                </c:pt>
                <c:pt idx="11">
                  <c:v>From Boreholes</c:v>
                </c:pt>
                <c:pt idx="12">
                  <c:v>From Springs</c:v>
                </c:pt>
                <c:pt idx="13">
                  <c:v>Soil water (green water)</c:v>
                </c:pt>
                <c:pt idx="14">
                  <c:v>From other sources </c:v>
                </c:pt>
                <c:pt idx="15">
                  <c:v>Collection of precipitation (rainwater harvesting; ..)</c:v>
                </c:pt>
                <c:pt idx="16">
                  <c:v>Abstraction from the sea</c:v>
                </c:pt>
                <c:pt idx="17">
                  <c:v>Use of water received from other economic units</c:v>
                </c:pt>
              </c:strCache>
            </c:strRef>
          </c:cat>
          <c:val>
            <c:numRef>
              <c:f>PSUT_Trends_Charts!$T$6:$T$23</c:f>
              <c:numCache>
                <c:formatCode>#,##0</c:formatCode>
                <c:ptCount val="18"/>
                <c:pt idx="0">
                  <c:v>14005635.690500624</c:v>
                </c:pt>
                <c:pt idx="1">
                  <c:v>13955222.628800612</c:v>
                </c:pt>
                <c:pt idx="2">
                  <c:v>50413.061700012389</c:v>
                </c:pt>
                <c:pt idx="3">
                  <c:v>14005635.690500624</c:v>
                </c:pt>
                <c:pt idx="4">
                  <c:v>13982383.005800625</c:v>
                </c:pt>
                <c:pt idx="5">
                  <c:v>631143.66234001028</c:v>
                </c:pt>
                <c:pt idx="6">
                  <c:v>19401.262723993506</c:v>
                </c:pt>
                <c:pt idx="7">
                  <c:v>330114.01382874319</c:v>
                </c:pt>
                <c:pt idx="8">
                  <c:v>256480.01044531321</c:v>
                </c:pt>
                <c:pt idx="9">
                  <c:v>25148.375341960294</c:v>
                </c:pt>
                <c:pt idx="10">
                  <c:v>64302.390021385683</c:v>
                </c:pt>
                <c:pt idx="11">
                  <c:v>0</c:v>
                </c:pt>
                <c:pt idx="12">
                  <c:v>0</c:v>
                </c:pt>
                <c:pt idx="13">
                  <c:v>13286936.953439228</c:v>
                </c:pt>
                <c:pt idx="14">
                  <c:v>23252.684700000002</c:v>
                </c:pt>
                <c:pt idx="15">
                  <c:v>23252.684700000002</c:v>
                </c:pt>
                <c:pt idx="16">
                  <c:v>0</c:v>
                </c:pt>
                <c:pt idx="17">
                  <c:v>1160562.9602874902</c:v>
                </c:pt>
              </c:numCache>
            </c:numRef>
          </c:val>
          <c:extLst xmlns:c16r2="http://schemas.microsoft.com/office/drawing/2015/06/chart">
            <c:ext xmlns:c16="http://schemas.microsoft.com/office/drawing/2014/chart" uri="{C3380CC4-5D6E-409C-BE32-E72D297353CC}">
              <c16:uniqueId val="{00000003-B2ED-4916-BB55-58154B8438E8}"/>
            </c:ext>
          </c:extLst>
        </c:ser>
        <c:ser>
          <c:idx val="4"/>
          <c:order val="3"/>
          <c:tx>
            <c:strRef>
              <c:f>PSUT_Trends_Charts!$U$5</c:f>
              <c:strCache>
                <c:ptCount val="1"/>
                <c:pt idx="0">
                  <c:v>2015</c:v>
                </c:pt>
              </c:strCache>
            </c:strRef>
          </c:tx>
          <c:spPr>
            <a:solidFill>
              <a:srgbClr val="FFC000"/>
            </a:solidFill>
            <a:ln>
              <a:noFill/>
            </a:ln>
            <a:effectLst/>
          </c:spPr>
          <c:invertIfNegative val="0"/>
          <c:cat>
            <c:strRef>
              <c:f>PSUT_Trends_Charts!$X$6:$X$23</c:f>
              <c:strCache>
                <c:ptCount val="18"/>
                <c:pt idx="0">
                  <c:v>Total abstraction</c:v>
                </c:pt>
                <c:pt idx="1">
                  <c:v>Abstraction for own use</c:v>
                </c:pt>
                <c:pt idx="2">
                  <c:v>Abstraction for distribution</c:v>
                </c:pt>
                <c:pt idx="3">
                  <c:v>Total abstraction (1.i+1.ii)</c:v>
                </c:pt>
                <c:pt idx="4">
                  <c:v>From water resources:</c:v>
                </c:pt>
                <c:pt idx="5">
                  <c:v>Surface water</c:v>
                </c:pt>
                <c:pt idx="6">
                  <c:v>Lakes</c:v>
                </c:pt>
                <c:pt idx="7">
                  <c:v>Rivers</c:v>
                </c:pt>
                <c:pt idx="8">
                  <c:v>Reservoirs (Dams, ponds)</c:v>
                </c:pt>
                <c:pt idx="9">
                  <c:v>Combined River &amp; Reservoirs (dams, ponds)</c:v>
                </c:pt>
                <c:pt idx="10">
                  <c:v>Groundwater</c:v>
                </c:pt>
                <c:pt idx="11">
                  <c:v>From Boreholes</c:v>
                </c:pt>
                <c:pt idx="12">
                  <c:v>From Springs</c:v>
                </c:pt>
                <c:pt idx="13">
                  <c:v>Soil water (green water)</c:v>
                </c:pt>
                <c:pt idx="14">
                  <c:v>From other sources </c:v>
                </c:pt>
                <c:pt idx="15">
                  <c:v>Collection of precipitation (rainwater harvesting; ..)</c:v>
                </c:pt>
                <c:pt idx="16">
                  <c:v>Abstraction from the sea</c:v>
                </c:pt>
                <c:pt idx="17">
                  <c:v>Use of water received from other economic units</c:v>
                </c:pt>
              </c:strCache>
            </c:strRef>
          </c:cat>
          <c:val>
            <c:numRef>
              <c:f>PSUT_Trends_Charts!$U$6:$U$23</c:f>
              <c:numCache>
                <c:formatCode>#,##0</c:formatCode>
                <c:ptCount val="18"/>
                <c:pt idx="0">
                  <c:v>14357623.154118931</c:v>
                </c:pt>
                <c:pt idx="1">
                  <c:v>14306942.391421417</c:v>
                </c:pt>
                <c:pt idx="2">
                  <c:v>50680.762697512444</c:v>
                </c:pt>
                <c:pt idx="3">
                  <c:v>14357623.154118931</c:v>
                </c:pt>
                <c:pt idx="4">
                  <c:v>14334370.469418932</c:v>
                </c:pt>
                <c:pt idx="5">
                  <c:v>651418.35844372853</c:v>
                </c:pt>
                <c:pt idx="6">
                  <c:v>19990.07449567724</c:v>
                </c:pt>
                <c:pt idx="7">
                  <c:v>338374.13239742484</c:v>
                </c:pt>
                <c:pt idx="8">
                  <c:v>266994.65082010702</c:v>
                </c:pt>
                <c:pt idx="9">
                  <c:v>26059.500730519303</c:v>
                </c:pt>
                <c:pt idx="10">
                  <c:v>64735.292542432573</c:v>
                </c:pt>
                <c:pt idx="11">
                  <c:v>0</c:v>
                </c:pt>
                <c:pt idx="12">
                  <c:v>0</c:v>
                </c:pt>
                <c:pt idx="13">
                  <c:v>13618216.818432769</c:v>
                </c:pt>
                <c:pt idx="14">
                  <c:v>23252.684700000002</c:v>
                </c:pt>
                <c:pt idx="15">
                  <c:v>23252.684700000002</c:v>
                </c:pt>
                <c:pt idx="16">
                  <c:v>0</c:v>
                </c:pt>
                <c:pt idx="17">
                  <c:v>1160562.9602874902</c:v>
                </c:pt>
              </c:numCache>
            </c:numRef>
          </c:val>
          <c:extLst xmlns:c16r2="http://schemas.microsoft.com/office/drawing/2015/06/chart">
            <c:ext xmlns:c16="http://schemas.microsoft.com/office/drawing/2014/chart" uri="{C3380CC4-5D6E-409C-BE32-E72D297353CC}">
              <c16:uniqueId val="{00000004-B2ED-4916-BB55-58154B8438E8}"/>
            </c:ext>
          </c:extLst>
        </c:ser>
        <c:dLbls>
          <c:showLegendKey val="0"/>
          <c:showVal val="0"/>
          <c:showCatName val="0"/>
          <c:showSerName val="0"/>
          <c:showPercent val="0"/>
          <c:showBubbleSize val="0"/>
        </c:dLbls>
        <c:gapWidth val="219"/>
        <c:overlap val="-27"/>
        <c:axId val="-915920272"/>
        <c:axId val="-915918096"/>
      </c:barChart>
      <c:catAx>
        <c:axId val="-915920272"/>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5918096"/>
        <c:crosses val="autoZero"/>
        <c:auto val="1"/>
        <c:lblAlgn val="ctr"/>
        <c:lblOffset val="100"/>
        <c:noMultiLvlLbl val="0"/>
      </c:catAx>
      <c:valAx>
        <c:axId val="-915918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5920272"/>
        <c:crosses val="autoZero"/>
        <c:crossBetween val="between"/>
        <c:dispUnits>
          <c:builtInUnit val="millions"/>
          <c:dispUnitsLbl>
            <c:layout>
              <c:manualLayout>
                <c:xMode val="edge"/>
                <c:yMode val="edge"/>
                <c:x val="8.0555555555555561E-2"/>
                <c:y val="1.1527822137532683E-2"/>
              </c:manualLayout>
            </c:layout>
            <c:tx>
              <c:rich>
                <a:bodyPr rot="0" spcFirstLastPara="1" vertOverflow="ellipsis" wrap="square" anchor="ctr" anchorCtr="1"/>
                <a:lstStyle/>
                <a:p>
                  <a:pPr>
                    <a:defRPr sz="1050" b="0" i="1" u="none" strike="noStrike" kern="1200" baseline="0">
                      <a:solidFill>
                        <a:schemeClr val="tx1">
                          <a:lumMod val="65000"/>
                          <a:lumOff val="35000"/>
                        </a:schemeClr>
                      </a:solidFill>
                      <a:latin typeface="+mn-lt"/>
                      <a:ea typeface="+mn-ea"/>
                      <a:cs typeface="+mn-cs"/>
                    </a:defRPr>
                  </a:pPr>
                  <a:r>
                    <a:rPr lang="en-GB" sz="1050" b="0" i="1" baseline="0">
                      <a:effectLst/>
                    </a:rPr>
                    <a:t>Mln m</a:t>
                  </a:r>
                  <a:r>
                    <a:rPr lang="en-GB" sz="1050" b="0" i="1" baseline="30000">
                      <a:effectLst/>
                    </a:rPr>
                    <a:t>3</a:t>
                  </a:r>
                  <a:r>
                    <a:rPr lang="en-GB" sz="1050" b="0" i="1" baseline="0">
                      <a:effectLst/>
                    </a:rPr>
                    <a:t> </a:t>
                  </a:r>
                  <a:endParaRPr lang="en-GB" sz="1050">
                    <a:effectLst/>
                  </a:endParaRPr>
                </a:p>
              </c:rich>
            </c:tx>
            <c:spPr>
              <a:noFill/>
              <a:ln>
                <a:noFill/>
              </a:ln>
              <a:effectLst/>
            </c:spPr>
            <c:txPr>
              <a:bodyPr rot="0" spcFirstLastPara="1" vertOverflow="ellipsis" wrap="square" anchor="ctr" anchorCtr="1"/>
              <a:lstStyle/>
              <a:p>
                <a:pPr>
                  <a:defRPr sz="1050" b="0" i="1" u="none" strike="noStrike" kern="1200" baseline="0">
                    <a:solidFill>
                      <a:schemeClr val="tx1">
                        <a:lumMod val="65000"/>
                        <a:lumOff val="35000"/>
                      </a:schemeClr>
                    </a:solidFill>
                    <a:latin typeface="+mn-lt"/>
                    <a:ea typeface="+mn-ea"/>
                    <a:cs typeface="+mn-cs"/>
                  </a:defRPr>
                </a:pPr>
                <a:endParaRPr lang="en-US"/>
              </a:p>
            </c:txPr>
          </c:dispUnitsLbl>
        </c:dispUnits>
      </c:valAx>
      <c:spPr>
        <a:noFill/>
        <a:ln>
          <a:solidFill>
            <a:schemeClr val="tx1">
              <a:lumMod val="65000"/>
              <a:lumOff val="35000"/>
            </a:schemeClr>
          </a:solidFill>
        </a:ln>
        <a:effectLst/>
      </c:spPr>
    </c:plotArea>
    <c:legend>
      <c:legendPos val="b"/>
      <c:layout>
        <c:manualLayout>
          <c:xMode val="edge"/>
          <c:yMode val="edge"/>
          <c:x val="0.40065813648293969"/>
          <c:y val="0.10360664355748996"/>
          <c:w val="0.43757261592300961"/>
          <c:h val="7.1392138428900798E-2"/>
        </c:manualLayout>
      </c:layout>
      <c:overlay val="0"/>
      <c:spPr>
        <a:solidFill>
          <a:schemeClr val="bg1"/>
        </a:solidFill>
        <a:ln>
          <a:solidFill>
            <a:schemeClr val="tx1">
              <a:lumMod val="65000"/>
              <a:lumOff val="35000"/>
            </a:schemeClr>
          </a:solid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6.9267733994448022E-2"/>
          <c:w val="0.88632525671556139"/>
          <c:h val="0.58644523979957053"/>
        </c:manualLayout>
      </c:layout>
      <c:barChart>
        <c:barDir val="col"/>
        <c:grouping val="clustered"/>
        <c:varyColors val="0"/>
        <c:ser>
          <c:idx val="0"/>
          <c:order val="0"/>
          <c:tx>
            <c:strRef>
              <c:f>'PSUT_2012-20JJ__I'!$A$99</c:f>
              <c:strCache>
                <c:ptCount val="1"/>
                <c:pt idx="0">
                  <c:v>2012</c:v>
                </c:pt>
              </c:strCache>
            </c:strRef>
          </c:tx>
          <c:spPr>
            <a:solidFill>
              <a:schemeClr val="accent1"/>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'PSUT_2012-20JJ__I'!$E$99:$Z$99</c:f>
              <c:numCache>
                <c:formatCode>#,##0</c:formatCode>
                <c:ptCount val="22"/>
                <c:pt idx="0">
                  <c:v>13563380.505039312</c:v>
                </c:pt>
                <c:pt idx="1">
                  <c:v>22390.658857794173</c:v>
                </c:pt>
                <c:pt idx="2">
                  <c:v>23638.124916130942</c:v>
                </c:pt>
                <c:pt idx="3">
                  <c:v>335270.16889591428</c:v>
                </c:pt>
                <c:pt idx="4">
                  <c:v>53008.786416190094</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40434.896439560478</c:v>
                </c:pt>
              </c:numCache>
            </c:numRef>
          </c:val>
          <c:extLst xmlns:c16r2="http://schemas.microsoft.com/office/drawing/2015/06/chart">
            <c:ext xmlns:c16="http://schemas.microsoft.com/office/drawing/2014/chart" uri="{C3380CC4-5D6E-409C-BE32-E72D297353CC}">
              <c16:uniqueId val="{00000000-7508-492B-8220-0CDBF29C55BD}"/>
            </c:ext>
          </c:extLst>
        </c:ser>
        <c:ser>
          <c:idx val="1"/>
          <c:order val="1"/>
          <c:tx>
            <c:strRef>
              <c:f>'PSUT_2012-20JJ__I'!$A$100</c:f>
              <c:strCache>
                <c:ptCount val="1"/>
                <c:pt idx="0">
                  <c:v>2013</c:v>
                </c:pt>
              </c:strCache>
            </c:strRef>
          </c:tx>
          <c:spPr>
            <a:solidFill>
              <a:schemeClr val="accent2"/>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'PSUT_2012-20JJ__I'!$E$100:$Z$100</c:f>
              <c:numCache>
                <c:formatCode>#,##0</c:formatCode>
                <c:ptCount val="22"/>
                <c:pt idx="0">
                  <c:v>13010018.946100427</c:v>
                </c:pt>
                <c:pt idx="1">
                  <c:v>22410.000272350058</c:v>
                </c:pt>
                <c:pt idx="2">
                  <c:v>23937.981051793297</c:v>
                </c:pt>
                <c:pt idx="3">
                  <c:v>345951.26144545968</c:v>
                </c:pt>
                <c:pt idx="4">
                  <c:v>53273.830348271033</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40632.696503402331</c:v>
                </c:pt>
              </c:numCache>
            </c:numRef>
          </c:val>
          <c:extLst xmlns:c16r2="http://schemas.microsoft.com/office/drawing/2015/06/chart">
            <c:ext xmlns:c16="http://schemas.microsoft.com/office/drawing/2014/chart" uri="{C3380CC4-5D6E-409C-BE32-E72D297353CC}">
              <c16:uniqueId val="{00000001-7508-492B-8220-0CDBF29C55BD}"/>
            </c:ext>
          </c:extLst>
        </c:ser>
        <c:ser>
          <c:idx val="2"/>
          <c:order val="2"/>
          <c:tx>
            <c:strRef>
              <c:f>'PSUT_2012-20JJ__I'!$A$101</c:f>
              <c:strCache>
                <c:ptCount val="1"/>
                <c:pt idx="0">
                  <c:v>2014</c:v>
                </c:pt>
              </c:strCache>
            </c:strRef>
          </c:tx>
          <c:spPr>
            <a:solidFill>
              <a:schemeClr val="accent3"/>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'PSUT_2012-20JJ__I'!$E$101:$Z$101</c:f>
              <c:numCache>
                <c:formatCode>#,##0</c:formatCode>
                <c:ptCount val="22"/>
                <c:pt idx="0">
                  <c:v>13506848.022465833</c:v>
                </c:pt>
                <c:pt idx="1">
                  <c:v>22429.728515197057</c:v>
                </c:pt>
                <c:pt idx="2">
                  <c:v>24242.398478108429</c:v>
                </c:pt>
                <c:pt idx="3">
                  <c:v>357008.97910203272</c:v>
                </c:pt>
                <c:pt idx="4">
                  <c:v>53540.199500012386</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40832.697923868138</c:v>
                </c:pt>
              </c:numCache>
            </c:numRef>
          </c:val>
          <c:extLst xmlns:c16r2="http://schemas.microsoft.com/office/drawing/2015/06/chart">
            <c:ext xmlns:c16="http://schemas.microsoft.com/office/drawing/2014/chart" uri="{C3380CC4-5D6E-409C-BE32-E72D297353CC}">
              <c16:uniqueId val="{00000002-7508-492B-8220-0CDBF29C55BD}"/>
            </c:ext>
          </c:extLst>
        </c:ser>
        <c:ser>
          <c:idx val="3"/>
          <c:order val="3"/>
          <c:tx>
            <c:strRef>
              <c:f>'PSUT_2012-20JJ__I'!$A$102</c:f>
              <c:strCache>
                <c:ptCount val="1"/>
                <c:pt idx="0">
                  <c:v>2015</c:v>
                </c:pt>
              </c:strCache>
            </c:strRef>
          </c:tx>
          <c:spPr>
            <a:solidFill>
              <a:schemeClr val="accent4"/>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'PSUT_2012-20JJ__I'!$E$102:$Z$102</c:f>
              <c:numCache>
                <c:formatCode>#,##0</c:formatCode>
                <c:ptCount val="22"/>
                <c:pt idx="0">
                  <c:v>13846587.983314097</c:v>
                </c:pt>
                <c:pt idx="1">
                  <c:v>22449.851322900999</c:v>
                </c:pt>
                <c:pt idx="2">
                  <c:v>24551.455500526612</c:v>
                </c:pt>
                <c:pt idx="3">
                  <c:v>368457.53750127146</c:v>
                </c:pt>
                <c:pt idx="4">
                  <c:v>53807.900497512441</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41034.76146704804</c:v>
                </c:pt>
              </c:numCache>
            </c:numRef>
          </c:val>
          <c:extLst xmlns:c16r2="http://schemas.microsoft.com/office/drawing/2015/06/chart">
            <c:ext xmlns:c16="http://schemas.microsoft.com/office/drawing/2014/chart" uri="{C3380CC4-5D6E-409C-BE32-E72D297353CC}">
              <c16:uniqueId val="{00000003-7508-492B-8220-0CDBF29C55BD}"/>
            </c:ext>
          </c:extLst>
        </c:ser>
        <c:dLbls>
          <c:showLegendKey val="0"/>
          <c:showVal val="0"/>
          <c:showCatName val="0"/>
          <c:showSerName val="0"/>
          <c:showPercent val="0"/>
          <c:showBubbleSize val="0"/>
        </c:dLbls>
        <c:gapWidth val="219"/>
        <c:overlap val="-27"/>
        <c:axId val="-915911568"/>
        <c:axId val="-915923536"/>
      </c:barChart>
      <c:catAx>
        <c:axId val="-91591156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5923536"/>
        <c:crosses val="autoZero"/>
        <c:auto val="1"/>
        <c:lblAlgn val="ctr"/>
        <c:lblOffset val="100"/>
        <c:noMultiLvlLbl val="0"/>
      </c:catAx>
      <c:valAx>
        <c:axId val="-915923536"/>
        <c:scaling>
          <c:orientation val="minMax"/>
          <c:max val="14000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Mln m</a:t>
                </a:r>
                <a:r>
                  <a:rPr lang="en-GB" sz="1400" baseline="30000"/>
                  <a:t>3</a:t>
                </a:r>
              </a:p>
            </c:rich>
          </c:tx>
          <c:layout>
            <c:manualLayout>
              <c:xMode val="edge"/>
              <c:yMode val="edge"/>
              <c:x val="7.9561765895886399E-2"/>
              <c:y val="2.0845086160238831E-2"/>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5911568"/>
        <c:crosses val="autoZero"/>
        <c:crossBetween val="between"/>
        <c:dispUnits>
          <c:builtInUnit val="thousands"/>
        </c:dispUnits>
      </c:valAx>
      <c:spPr>
        <a:noFill/>
        <a:ln>
          <a:solidFill>
            <a:schemeClr val="bg1">
              <a:lumMod val="50000"/>
            </a:schemeClr>
          </a:solidFill>
        </a:ln>
        <a:effectLst/>
      </c:spPr>
    </c:plotArea>
    <c:legend>
      <c:legendPos val="b"/>
      <c:layout>
        <c:manualLayout>
          <c:xMode val="edge"/>
          <c:yMode val="edge"/>
          <c:x val="0.58525092353416053"/>
          <c:y val="0.16414033774935796"/>
          <c:w val="0.35412564804924856"/>
          <c:h val="9.3560993860648631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62823698339728E-2"/>
          <c:y val="8.2674634768305388E-2"/>
          <c:w val="0.91302834865080651"/>
          <c:h val="0.74361056227674882"/>
        </c:manualLayout>
      </c:layout>
      <c:barChart>
        <c:barDir val="col"/>
        <c:grouping val="clustered"/>
        <c:varyColors val="0"/>
        <c:ser>
          <c:idx val="0"/>
          <c:order val="0"/>
          <c:tx>
            <c:strRef>
              <c:f>'PSUT_2012-20JJ__I'!$A$106</c:f>
              <c:strCache>
                <c:ptCount val="1"/>
                <c:pt idx="0">
                  <c:v>2012</c:v>
                </c:pt>
              </c:strCache>
            </c:strRef>
          </c:tx>
          <c:spPr>
            <a:solidFill>
              <a:schemeClr val="accent1"/>
            </a:solidFill>
            <a:ln>
              <a:noFill/>
            </a:ln>
            <a:effectLst/>
          </c:spPr>
          <c:invertIfNegative val="0"/>
          <c:cat>
            <c:strRef>
              <c:extLst>
                <c:ext xmlns:c15="http://schemas.microsoft.com/office/drawing/2012/chart" uri="{02D57815-91ED-43cb-92C2-25804820EDAC}">
                  <c15:fullRef>
                    <c15:sqref>'PSUT_2012-20JJ__I'!$E$105:$Z$105</c15:sqref>
                  </c15:fullRef>
                </c:ext>
              </c:extLst>
              <c:f>('PSUT_2012-20JJ__I'!$E$105:$I$105,'PSUT_2012-20JJ__I'!$Z$105)</c:f>
              <c:strCache>
                <c:ptCount val="6"/>
                <c:pt idx="0">
                  <c:v>A. Agriculture, forestry and fishing </c:v>
                </c:pt>
                <c:pt idx="1">
                  <c:v>B. Mining and Quarrying </c:v>
                </c:pt>
                <c:pt idx="2">
                  <c:v>C. Manufacturing</c:v>
                </c:pt>
                <c:pt idx="3">
                  <c:v>D. Electricity, gas, steam and air conditioning supply</c:v>
                </c:pt>
                <c:pt idx="4">
                  <c:v>E. Water supply (WASAC &amp; AquaVirunga)</c:v>
                </c:pt>
                <c:pt idx="5">
                  <c:v>Households</c:v>
                </c:pt>
              </c:strCache>
            </c:strRef>
          </c:cat>
          <c:val>
            <c:numRef>
              <c:extLst>
                <c:ext xmlns:c15="http://schemas.microsoft.com/office/drawing/2012/chart" uri="{02D57815-91ED-43cb-92C2-25804820EDAC}">
                  <c15:fullRef>
                    <c15:sqref>'PSUT_2012-20JJ__I'!$E$106:$Z$106</c15:sqref>
                  </c15:fullRef>
                </c:ext>
              </c:extLst>
              <c:f>('PSUT_2012-20JJ__I'!$E$106:$I$106,'PSUT_2012-20JJ__I'!$Z$106)</c:f>
              <c:numCache>
                <c:formatCode>#,##0</c:formatCode>
                <c:ptCount val="6"/>
                <c:pt idx="0">
                  <c:v>13563380.505039312</c:v>
                </c:pt>
                <c:pt idx="1">
                  <c:v>22390.658857794173</c:v>
                </c:pt>
                <c:pt idx="2">
                  <c:v>23638.124916130942</c:v>
                </c:pt>
                <c:pt idx="3">
                  <c:v>335270.16889591428</c:v>
                </c:pt>
                <c:pt idx="4">
                  <c:v>53008.786416190094</c:v>
                </c:pt>
                <c:pt idx="5">
                  <c:v>40434.896439560478</c:v>
                </c:pt>
              </c:numCache>
            </c:numRef>
          </c:val>
          <c:extLst xmlns:c16r2="http://schemas.microsoft.com/office/drawing/2015/06/chart">
            <c:ext xmlns:c16="http://schemas.microsoft.com/office/drawing/2014/chart" uri="{C3380CC4-5D6E-409C-BE32-E72D297353CC}">
              <c16:uniqueId val="{00000000-7508-492B-8220-0CDBF29C55BD}"/>
            </c:ext>
          </c:extLst>
        </c:ser>
        <c:ser>
          <c:idx val="1"/>
          <c:order val="1"/>
          <c:tx>
            <c:strRef>
              <c:f>'PSUT_2012-20JJ__I'!$A$107</c:f>
              <c:strCache>
                <c:ptCount val="1"/>
                <c:pt idx="0">
                  <c:v>2013</c:v>
                </c:pt>
              </c:strCache>
            </c:strRef>
          </c:tx>
          <c:spPr>
            <a:solidFill>
              <a:schemeClr val="accent2"/>
            </a:solidFill>
            <a:ln>
              <a:noFill/>
            </a:ln>
            <a:effectLst/>
          </c:spPr>
          <c:invertIfNegative val="0"/>
          <c:cat>
            <c:strRef>
              <c:extLst>
                <c:ext xmlns:c15="http://schemas.microsoft.com/office/drawing/2012/chart" uri="{02D57815-91ED-43cb-92C2-25804820EDAC}">
                  <c15:fullRef>
                    <c15:sqref>'PSUT_2012-20JJ__I'!$E$105:$Z$105</c15:sqref>
                  </c15:fullRef>
                </c:ext>
              </c:extLst>
              <c:f>('PSUT_2012-20JJ__I'!$E$105:$I$105,'PSUT_2012-20JJ__I'!$Z$105)</c:f>
              <c:strCache>
                <c:ptCount val="6"/>
                <c:pt idx="0">
                  <c:v>A. Agriculture, forestry and fishing </c:v>
                </c:pt>
                <c:pt idx="1">
                  <c:v>B. Mining and Quarrying </c:v>
                </c:pt>
                <c:pt idx="2">
                  <c:v>C. Manufacturing</c:v>
                </c:pt>
                <c:pt idx="3">
                  <c:v>D. Electricity, gas, steam and air conditioning supply</c:v>
                </c:pt>
                <c:pt idx="4">
                  <c:v>E. Water supply (WASAC &amp; AquaVirunga)</c:v>
                </c:pt>
                <c:pt idx="5">
                  <c:v>Households</c:v>
                </c:pt>
              </c:strCache>
            </c:strRef>
          </c:cat>
          <c:val>
            <c:numRef>
              <c:extLst>
                <c:ext xmlns:c15="http://schemas.microsoft.com/office/drawing/2012/chart" uri="{02D57815-91ED-43cb-92C2-25804820EDAC}">
                  <c15:fullRef>
                    <c15:sqref>'PSUT_2012-20JJ__I'!$E$107:$Z$107</c15:sqref>
                  </c15:fullRef>
                </c:ext>
              </c:extLst>
              <c:f>('PSUT_2012-20JJ__I'!$E$107:$I$107,'PSUT_2012-20JJ__I'!$Z$107)</c:f>
              <c:numCache>
                <c:formatCode>#,##0</c:formatCode>
                <c:ptCount val="6"/>
                <c:pt idx="0">
                  <c:v>13010018.946100427</c:v>
                </c:pt>
                <c:pt idx="1">
                  <c:v>22410.000272350058</c:v>
                </c:pt>
                <c:pt idx="2">
                  <c:v>23937.981051793297</c:v>
                </c:pt>
                <c:pt idx="3">
                  <c:v>345951.26144545968</c:v>
                </c:pt>
                <c:pt idx="4">
                  <c:v>53068.710693793837</c:v>
                </c:pt>
                <c:pt idx="5">
                  <c:v>40632.696503402331</c:v>
                </c:pt>
              </c:numCache>
            </c:numRef>
          </c:val>
          <c:extLst xmlns:c16r2="http://schemas.microsoft.com/office/drawing/2015/06/chart">
            <c:ext xmlns:c16="http://schemas.microsoft.com/office/drawing/2014/chart" uri="{C3380CC4-5D6E-409C-BE32-E72D297353CC}">
              <c16:uniqueId val="{00000001-7508-492B-8220-0CDBF29C55BD}"/>
            </c:ext>
          </c:extLst>
        </c:ser>
        <c:ser>
          <c:idx val="2"/>
          <c:order val="2"/>
          <c:tx>
            <c:strRef>
              <c:f>'PSUT_2012-20JJ__I'!$A$108</c:f>
              <c:strCache>
                <c:ptCount val="1"/>
                <c:pt idx="0">
                  <c:v>2014</c:v>
                </c:pt>
              </c:strCache>
            </c:strRef>
          </c:tx>
          <c:spPr>
            <a:solidFill>
              <a:schemeClr val="accent3"/>
            </a:solidFill>
            <a:ln>
              <a:noFill/>
            </a:ln>
            <a:effectLst/>
          </c:spPr>
          <c:invertIfNegative val="0"/>
          <c:cat>
            <c:strRef>
              <c:extLst>
                <c:ext xmlns:c15="http://schemas.microsoft.com/office/drawing/2012/chart" uri="{02D57815-91ED-43cb-92C2-25804820EDAC}">
                  <c15:fullRef>
                    <c15:sqref>'PSUT_2012-20JJ__I'!$E$105:$Z$105</c15:sqref>
                  </c15:fullRef>
                </c:ext>
              </c:extLst>
              <c:f>('PSUT_2012-20JJ__I'!$E$105:$I$105,'PSUT_2012-20JJ__I'!$Z$105)</c:f>
              <c:strCache>
                <c:ptCount val="6"/>
                <c:pt idx="0">
                  <c:v>A. Agriculture, forestry and fishing </c:v>
                </c:pt>
                <c:pt idx="1">
                  <c:v>B. Mining and Quarrying </c:v>
                </c:pt>
                <c:pt idx="2">
                  <c:v>C. Manufacturing</c:v>
                </c:pt>
                <c:pt idx="3">
                  <c:v>D. Electricity, gas, steam and air conditioning supply</c:v>
                </c:pt>
                <c:pt idx="4">
                  <c:v>E. Water supply (WASAC &amp; AquaVirunga)</c:v>
                </c:pt>
                <c:pt idx="5">
                  <c:v>Households</c:v>
                </c:pt>
              </c:strCache>
            </c:strRef>
          </c:cat>
          <c:val>
            <c:numRef>
              <c:extLst>
                <c:ext xmlns:c15="http://schemas.microsoft.com/office/drawing/2012/chart" uri="{02D57815-91ED-43cb-92C2-25804820EDAC}">
                  <c15:fullRef>
                    <c15:sqref>'PSUT_2012-20JJ__I'!$E$108:$Z$108</c15:sqref>
                  </c15:fullRef>
                </c:ext>
              </c:extLst>
              <c:f>('PSUT_2012-20JJ__I'!$E$108:$I$108,'PSUT_2012-20JJ__I'!$Z$108)</c:f>
              <c:numCache>
                <c:formatCode>#,##0</c:formatCode>
                <c:ptCount val="6"/>
                <c:pt idx="0">
                  <c:v>13506848.022465833</c:v>
                </c:pt>
                <c:pt idx="1">
                  <c:v>22429.728515197057</c:v>
                </c:pt>
                <c:pt idx="2">
                  <c:v>24242.398478108429</c:v>
                </c:pt>
                <c:pt idx="3">
                  <c:v>357008.97910203272</c:v>
                </c:pt>
                <c:pt idx="4">
                  <c:v>53540.199500012393</c:v>
                </c:pt>
                <c:pt idx="5">
                  <c:v>40832.697923868138</c:v>
                </c:pt>
              </c:numCache>
            </c:numRef>
          </c:val>
          <c:extLst xmlns:c16r2="http://schemas.microsoft.com/office/drawing/2015/06/chart">
            <c:ext xmlns:c16="http://schemas.microsoft.com/office/drawing/2014/chart" uri="{C3380CC4-5D6E-409C-BE32-E72D297353CC}">
              <c16:uniqueId val="{00000002-7508-492B-8220-0CDBF29C55BD}"/>
            </c:ext>
          </c:extLst>
        </c:ser>
        <c:ser>
          <c:idx val="3"/>
          <c:order val="3"/>
          <c:tx>
            <c:strRef>
              <c:f>'PSUT_2012-20JJ__I'!$A$109</c:f>
              <c:strCache>
                <c:ptCount val="1"/>
                <c:pt idx="0">
                  <c:v>2015</c:v>
                </c:pt>
              </c:strCache>
            </c:strRef>
          </c:tx>
          <c:spPr>
            <a:solidFill>
              <a:schemeClr val="accent4"/>
            </a:solidFill>
            <a:ln>
              <a:noFill/>
            </a:ln>
            <a:effectLst/>
          </c:spPr>
          <c:invertIfNegative val="0"/>
          <c:cat>
            <c:strRef>
              <c:extLst>
                <c:ext xmlns:c15="http://schemas.microsoft.com/office/drawing/2012/chart" uri="{02D57815-91ED-43cb-92C2-25804820EDAC}">
                  <c15:fullRef>
                    <c15:sqref>'PSUT_2012-20JJ__I'!$E$105:$Z$105</c15:sqref>
                  </c15:fullRef>
                </c:ext>
              </c:extLst>
              <c:f>('PSUT_2012-20JJ__I'!$E$105:$I$105,'PSUT_2012-20JJ__I'!$Z$105)</c:f>
              <c:strCache>
                <c:ptCount val="6"/>
                <c:pt idx="0">
                  <c:v>A. Agriculture, forestry and fishing </c:v>
                </c:pt>
                <c:pt idx="1">
                  <c:v>B. Mining and Quarrying </c:v>
                </c:pt>
                <c:pt idx="2">
                  <c:v>C. Manufacturing</c:v>
                </c:pt>
                <c:pt idx="3">
                  <c:v>D. Electricity, gas, steam and air conditioning supply</c:v>
                </c:pt>
                <c:pt idx="4">
                  <c:v>E. Water supply (WASAC &amp; AquaVirunga)</c:v>
                </c:pt>
                <c:pt idx="5">
                  <c:v>Households</c:v>
                </c:pt>
              </c:strCache>
            </c:strRef>
          </c:cat>
          <c:val>
            <c:numRef>
              <c:extLst>
                <c:ext xmlns:c15="http://schemas.microsoft.com/office/drawing/2012/chart" uri="{02D57815-91ED-43cb-92C2-25804820EDAC}">
                  <c15:fullRef>
                    <c15:sqref>'PSUT_2012-20JJ__I'!$E$109:$Z$109</c15:sqref>
                  </c15:fullRef>
                </c:ext>
              </c:extLst>
              <c:f>('PSUT_2012-20JJ__I'!$E$109:$I$109,'PSUT_2012-20JJ__I'!$Z$109)</c:f>
              <c:numCache>
                <c:formatCode>#,##0</c:formatCode>
                <c:ptCount val="6"/>
                <c:pt idx="0">
                  <c:v>13846587.983314097</c:v>
                </c:pt>
                <c:pt idx="1">
                  <c:v>22449.851322900999</c:v>
                </c:pt>
                <c:pt idx="2">
                  <c:v>24551.455500526612</c:v>
                </c:pt>
                <c:pt idx="3">
                  <c:v>368457.53750127146</c:v>
                </c:pt>
                <c:pt idx="4">
                  <c:v>53807.900497512448</c:v>
                </c:pt>
                <c:pt idx="5">
                  <c:v>41034.76146704804</c:v>
                </c:pt>
              </c:numCache>
            </c:numRef>
          </c:val>
          <c:extLst xmlns:c16r2="http://schemas.microsoft.com/office/drawing/2015/06/chart">
            <c:ext xmlns:c16="http://schemas.microsoft.com/office/drawing/2014/chart" uri="{C3380CC4-5D6E-409C-BE32-E72D297353CC}">
              <c16:uniqueId val="{00000003-7508-492B-8220-0CDBF29C55BD}"/>
            </c:ext>
          </c:extLst>
        </c:ser>
        <c:dLbls>
          <c:showLegendKey val="0"/>
          <c:showVal val="0"/>
          <c:showCatName val="0"/>
          <c:showSerName val="0"/>
          <c:showPercent val="0"/>
          <c:showBubbleSize val="0"/>
        </c:dLbls>
        <c:gapWidth val="219"/>
        <c:overlap val="-27"/>
        <c:axId val="-915916464"/>
        <c:axId val="-915922992"/>
      </c:barChart>
      <c:catAx>
        <c:axId val="-915916464"/>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5922992"/>
        <c:crosses val="autoZero"/>
        <c:auto val="1"/>
        <c:lblAlgn val="ctr"/>
        <c:lblOffset val="100"/>
        <c:noMultiLvlLbl val="0"/>
      </c:catAx>
      <c:valAx>
        <c:axId val="-915922992"/>
        <c:scaling>
          <c:orientation val="minMax"/>
          <c:max val="14000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Mln m</a:t>
                </a:r>
                <a:r>
                  <a:rPr lang="en-GB" sz="1400" baseline="30000"/>
                  <a:t>3</a:t>
                </a:r>
                <a:r>
                  <a:rPr lang="en-GB" sz="1400"/>
                  <a:t> </a:t>
                </a:r>
              </a:p>
            </c:rich>
          </c:tx>
          <c:layout>
            <c:manualLayout>
              <c:xMode val="edge"/>
              <c:yMode val="edge"/>
              <c:x val="4.5576053400035593E-2"/>
              <c:y val="1.073046338923333E-2"/>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15916464"/>
        <c:crosses val="autoZero"/>
        <c:crossBetween val="between"/>
        <c:dispUnits>
          <c:builtInUnit val="thousands"/>
        </c:dispUnits>
      </c:valAx>
      <c:spPr>
        <a:noFill/>
        <a:ln>
          <a:solidFill>
            <a:schemeClr val="bg1">
              <a:lumMod val="50000"/>
            </a:schemeClr>
          </a:solidFill>
        </a:ln>
        <a:effectLst/>
      </c:spPr>
    </c:plotArea>
    <c:legend>
      <c:legendPos val="b"/>
      <c:layout>
        <c:manualLayout>
          <c:xMode val="edge"/>
          <c:yMode val="edge"/>
          <c:x val="0.55688003705171274"/>
          <c:y val="0.12351848787751966"/>
          <c:w val="0.34263057221232407"/>
          <c:h val="0.13113068530216171"/>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5.8927356183019128E-2"/>
          <c:w val="0.87349938556164486"/>
          <c:h val="0.48274942581767971"/>
        </c:manualLayout>
      </c:layout>
      <c:barChart>
        <c:barDir val="col"/>
        <c:grouping val="clustered"/>
        <c:varyColors val="0"/>
        <c:ser>
          <c:idx val="0"/>
          <c:order val="0"/>
          <c:tx>
            <c:strRef>
              <c:f>'PSUT_2012-20JJ__I'!$A$106</c:f>
              <c:strCache>
                <c:ptCount val="1"/>
                <c:pt idx="0">
                  <c:v>2012</c:v>
                </c:pt>
              </c:strCache>
            </c:strRef>
          </c:tx>
          <c:spPr>
            <a:solidFill>
              <a:schemeClr val="accent1"/>
            </a:solidFill>
            <a:ln>
              <a:noFill/>
            </a:ln>
            <a:effectLst/>
          </c:spPr>
          <c:invertIfNegative val="0"/>
          <c:cat>
            <c:strRef>
              <c:f>'PSUT_2012-20JJ__I'!$E$105:$Z$105</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'PSUT_2012-20JJ__I'!$E$106:$Z$106</c:f>
              <c:numCache>
                <c:formatCode>#,##0</c:formatCode>
                <c:ptCount val="22"/>
                <c:pt idx="0">
                  <c:v>13563380.505039312</c:v>
                </c:pt>
                <c:pt idx="1">
                  <c:v>22390.658857794173</c:v>
                </c:pt>
                <c:pt idx="2">
                  <c:v>23638.124916130942</c:v>
                </c:pt>
                <c:pt idx="3">
                  <c:v>335270.16889591428</c:v>
                </c:pt>
                <c:pt idx="4">
                  <c:v>53008.786416190094</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40434.896439560478</c:v>
                </c:pt>
              </c:numCache>
            </c:numRef>
          </c:val>
          <c:extLst xmlns:c16r2="http://schemas.microsoft.com/office/drawing/2015/06/chart">
            <c:ext xmlns:c16="http://schemas.microsoft.com/office/drawing/2014/chart" uri="{C3380CC4-5D6E-409C-BE32-E72D297353CC}">
              <c16:uniqueId val="{00000000-7508-492B-8220-0CDBF29C55BD}"/>
            </c:ext>
          </c:extLst>
        </c:ser>
        <c:ser>
          <c:idx val="1"/>
          <c:order val="1"/>
          <c:tx>
            <c:strRef>
              <c:f>'PSUT_2012-20JJ__I'!$A$107</c:f>
              <c:strCache>
                <c:ptCount val="1"/>
                <c:pt idx="0">
                  <c:v>2013</c:v>
                </c:pt>
              </c:strCache>
            </c:strRef>
          </c:tx>
          <c:spPr>
            <a:solidFill>
              <a:schemeClr val="accent2"/>
            </a:solidFill>
            <a:ln>
              <a:noFill/>
            </a:ln>
            <a:effectLst/>
          </c:spPr>
          <c:invertIfNegative val="0"/>
          <c:cat>
            <c:strRef>
              <c:f>'PSUT_2012-20JJ__I'!$E$105:$Z$105</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'PSUT_2012-20JJ__I'!$E$107:$Z$107</c:f>
              <c:numCache>
                <c:formatCode>#,##0</c:formatCode>
                <c:ptCount val="22"/>
                <c:pt idx="0">
                  <c:v>13010018.946100427</c:v>
                </c:pt>
                <c:pt idx="1">
                  <c:v>22410.000272350058</c:v>
                </c:pt>
                <c:pt idx="2">
                  <c:v>23937.981051793297</c:v>
                </c:pt>
                <c:pt idx="3">
                  <c:v>345951.26144545968</c:v>
                </c:pt>
                <c:pt idx="4">
                  <c:v>53068.710693793837</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40632.696503402331</c:v>
                </c:pt>
              </c:numCache>
            </c:numRef>
          </c:val>
          <c:extLst xmlns:c16r2="http://schemas.microsoft.com/office/drawing/2015/06/chart">
            <c:ext xmlns:c16="http://schemas.microsoft.com/office/drawing/2014/chart" uri="{C3380CC4-5D6E-409C-BE32-E72D297353CC}">
              <c16:uniqueId val="{00000001-7508-492B-8220-0CDBF29C55BD}"/>
            </c:ext>
          </c:extLst>
        </c:ser>
        <c:ser>
          <c:idx val="2"/>
          <c:order val="2"/>
          <c:tx>
            <c:strRef>
              <c:f>'PSUT_2012-20JJ__I'!$A$108</c:f>
              <c:strCache>
                <c:ptCount val="1"/>
                <c:pt idx="0">
                  <c:v>2014</c:v>
                </c:pt>
              </c:strCache>
            </c:strRef>
          </c:tx>
          <c:spPr>
            <a:solidFill>
              <a:schemeClr val="accent3"/>
            </a:solidFill>
            <a:ln>
              <a:noFill/>
            </a:ln>
            <a:effectLst/>
          </c:spPr>
          <c:invertIfNegative val="0"/>
          <c:cat>
            <c:strRef>
              <c:f>'PSUT_2012-20JJ__I'!$E$105:$Z$105</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'PSUT_2012-20JJ__I'!$E$108:$Z$108</c:f>
              <c:numCache>
                <c:formatCode>#,##0</c:formatCode>
                <c:ptCount val="22"/>
                <c:pt idx="0">
                  <c:v>13506848.022465833</c:v>
                </c:pt>
                <c:pt idx="1">
                  <c:v>22429.728515197057</c:v>
                </c:pt>
                <c:pt idx="2">
                  <c:v>24242.398478108429</c:v>
                </c:pt>
                <c:pt idx="3">
                  <c:v>357008.97910203272</c:v>
                </c:pt>
                <c:pt idx="4">
                  <c:v>53540.199500012393</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40832.697923868138</c:v>
                </c:pt>
              </c:numCache>
            </c:numRef>
          </c:val>
          <c:extLst xmlns:c16r2="http://schemas.microsoft.com/office/drawing/2015/06/chart">
            <c:ext xmlns:c16="http://schemas.microsoft.com/office/drawing/2014/chart" uri="{C3380CC4-5D6E-409C-BE32-E72D297353CC}">
              <c16:uniqueId val="{00000002-7508-492B-8220-0CDBF29C55BD}"/>
            </c:ext>
          </c:extLst>
        </c:ser>
        <c:ser>
          <c:idx val="3"/>
          <c:order val="3"/>
          <c:tx>
            <c:strRef>
              <c:f>'PSUT_2012-20JJ__I'!$A$109</c:f>
              <c:strCache>
                <c:ptCount val="1"/>
                <c:pt idx="0">
                  <c:v>2015</c:v>
                </c:pt>
              </c:strCache>
            </c:strRef>
          </c:tx>
          <c:spPr>
            <a:solidFill>
              <a:schemeClr val="accent4"/>
            </a:solidFill>
            <a:ln>
              <a:noFill/>
            </a:ln>
            <a:effectLst/>
          </c:spPr>
          <c:invertIfNegative val="0"/>
          <c:cat>
            <c:strRef>
              <c:f>'PSUT_2012-20JJ__I'!$E$105:$Z$105</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'PSUT_2012-20JJ__I'!$E$109:$Z$109</c:f>
              <c:numCache>
                <c:formatCode>#,##0</c:formatCode>
                <c:ptCount val="22"/>
                <c:pt idx="0">
                  <c:v>13846587.983314097</c:v>
                </c:pt>
                <c:pt idx="1">
                  <c:v>22449.851322900999</c:v>
                </c:pt>
                <c:pt idx="2">
                  <c:v>24551.455500526612</c:v>
                </c:pt>
                <c:pt idx="3">
                  <c:v>368457.53750127146</c:v>
                </c:pt>
                <c:pt idx="4">
                  <c:v>53807.900497512448</c:v>
                </c:pt>
                <c:pt idx="5">
                  <c:v>0</c:v>
                </c:pt>
                <c:pt idx="6">
                  <c:v>0</c:v>
                </c:pt>
                <c:pt idx="7">
                  <c:v>0</c:v>
                </c:pt>
                <c:pt idx="8">
                  <c:v>0</c:v>
                </c:pt>
                <c:pt idx="9">
                  <c:v>0</c:v>
                </c:pt>
                <c:pt idx="10">
                  <c:v>0.06</c:v>
                </c:pt>
                <c:pt idx="11">
                  <c:v>0</c:v>
                </c:pt>
                <c:pt idx="12">
                  <c:v>0</c:v>
                </c:pt>
                <c:pt idx="13">
                  <c:v>0</c:v>
                </c:pt>
                <c:pt idx="14">
                  <c:v>0</c:v>
                </c:pt>
                <c:pt idx="15">
                  <c:v>133.11539999999999</c:v>
                </c:pt>
                <c:pt idx="16">
                  <c:v>588.7795155737706</c:v>
                </c:pt>
                <c:pt idx="17">
                  <c:v>11.709600000000002</c:v>
                </c:pt>
                <c:pt idx="18">
                  <c:v>11.709600000000002</c:v>
                </c:pt>
                <c:pt idx="19">
                  <c:v>0</c:v>
                </c:pt>
                <c:pt idx="21">
                  <c:v>41034.76146704804</c:v>
                </c:pt>
              </c:numCache>
            </c:numRef>
          </c:val>
          <c:extLst xmlns:c16r2="http://schemas.microsoft.com/office/drawing/2015/06/chart">
            <c:ext xmlns:c16="http://schemas.microsoft.com/office/drawing/2014/chart" uri="{C3380CC4-5D6E-409C-BE32-E72D297353CC}">
              <c16:uniqueId val="{00000003-7508-492B-8220-0CDBF29C55BD}"/>
            </c:ext>
          </c:extLst>
        </c:ser>
        <c:dLbls>
          <c:showLegendKey val="0"/>
          <c:showVal val="0"/>
          <c:showCatName val="0"/>
          <c:showSerName val="0"/>
          <c:showPercent val="0"/>
          <c:showBubbleSize val="0"/>
        </c:dLbls>
        <c:gapWidth val="219"/>
        <c:overlap val="-27"/>
        <c:axId val="-915919184"/>
        <c:axId val="-915918640"/>
      </c:barChart>
      <c:catAx>
        <c:axId val="-915919184"/>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5918640"/>
        <c:crosses val="autoZero"/>
        <c:auto val="1"/>
        <c:lblAlgn val="ctr"/>
        <c:lblOffset val="100"/>
        <c:noMultiLvlLbl val="0"/>
      </c:catAx>
      <c:valAx>
        <c:axId val="-915918640"/>
        <c:scaling>
          <c:orientation val="minMax"/>
          <c:max val="14000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Mln m</a:t>
                </a:r>
                <a:r>
                  <a:rPr lang="en-GB" sz="1400" baseline="30000"/>
                  <a:t>3</a:t>
                </a:r>
                <a:r>
                  <a:rPr lang="en-GB" sz="1400"/>
                  <a:t> </a:t>
                </a:r>
              </a:p>
            </c:rich>
          </c:tx>
          <c:layout>
            <c:manualLayout>
              <c:xMode val="edge"/>
              <c:yMode val="edge"/>
              <c:x val="9.1699548532601927E-2"/>
              <c:y val="1.0504703715137717E-2"/>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5919184"/>
        <c:crosses val="autoZero"/>
        <c:crossBetween val="between"/>
        <c:dispUnits>
          <c:builtInUnit val="thousands"/>
        </c:dispUnits>
      </c:valAx>
      <c:spPr>
        <a:noFill/>
        <a:ln>
          <a:solidFill>
            <a:schemeClr val="bg1">
              <a:lumMod val="50000"/>
            </a:schemeClr>
          </a:solidFill>
        </a:ln>
        <a:effectLst/>
      </c:spPr>
    </c:plotArea>
    <c:legend>
      <c:legendPos val="b"/>
      <c:layout>
        <c:manualLayout>
          <c:xMode val="edge"/>
          <c:yMode val="edge"/>
          <c:x val="0.63941678545639358"/>
          <c:y val="0.1484779503811485"/>
          <c:w val="0.2952932985954923"/>
          <c:h val="8.1912697147238311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91885507362102"/>
          <c:y val="5.3717045628475707E-2"/>
          <c:w val="0.88632525671556139"/>
          <c:h val="0.48677185762146902"/>
        </c:manualLayout>
      </c:layout>
      <c:barChart>
        <c:barDir val="col"/>
        <c:grouping val="clustered"/>
        <c:varyColors val="0"/>
        <c:ser>
          <c:idx val="0"/>
          <c:order val="0"/>
          <c:tx>
            <c:strRef>
              <c:f>'PSUT_2012-20JJ__I'!$A$134</c:f>
              <c:strCache>
                <c:ptCount val="1"/>
                <c:pt idx="0">
                  <c:v>2012</c:v>
                </c:pt>
              </c:strCache>
            </c:strRef>
          </c:tx>
          <c:spPr>
            <a:solidFill>
              <a:schemeClr val="accent1"/>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'PSUT_2012-20JJ__I'!$E$134:$Z$134</c:f>
              <c:numCache>
                <c:formatCode>#,##0</c:formatCode>
                <c:ptCount val="22"/>
                <c:pt idx="0">
                  <c:v>12123968.78176038</c:v>
                </c:pt>
                <c:pt idx="1">
                  <c:v>1065.3130323897094</c:v>
                </c:pt>
                <c:pt idx="2">
                  <c:v>150885.77378783905</c:v>
                </c:pt>
                <c:pt idx="3">
                  <c:v>16763.508444795734</c:v>
                </c:pt>
                <c:pt idx="4">
                  <c:v>50438.456176190091</c:v>
                </c:pt>
                <c:pt idx="5">
                  <c:v>0</c:v>
                </c:pt>
                <c:pt idx="6">
                  <c:v>0</c:v>
                </c:pt>
                <c:pt idx="7">
                  <c:v>0</c:v>
                </c:pt>
                <c:pt idx="8">
                  <c:v>3700.4149084591081</c:v>
                </c:pt>
                <c:pt idx="9">
                  <c:v>0</c:v>
                </c:pt>
                <c:pt idx="10">
                  <c:v>13.611322139488699</c:v>
                </c:pt>
                <c:pt idx="11">
                  <c:v>0</c:v>
                </c:pt>
                <c:pt idx="12">
                  <c:v>0</c:v>
                </c:pt>
                <c:pt idx="13">
                  <c:v>0</c:v>
                </c:pt>
                <c:pt idx="14">
                  <c:v>0</c:v>
                </c:pt>
                <c:pt idx="15">
                  <c:v>45007.581399999966</c:v>
                </c:pt>
                <c:pt idx="16">
                  <c:v>861.94444968661037</c:v>
                </c:pt>
                <c:pt idx="17">
                  <c:v>132.68839873822006</c:v>
                </c:pt>
                <c:pt idx="18">
                  <c:v>132.68839873822006</c:v>
                </c:pt>
                <c:pt idx="19">
                  <c:v>0</c:v>
                </c:pt>
                <c:pt idx="21">
                  <c:v>133714.89643956049</c:v>
                </c:pt>
              </c:numCache>
            </c:numRef>
          </c:val>
          <c:extLst xmlns:c16r2="http://schemas.microsoft.com/office/drawing/2015/06/chart">
            <c:ext xmlns:c16="http://schemas.microsoft.com/office/drawing/2014/chart" uri="{C3380CC4-5D6E-409C-BE32-E72D297353CC}">
              <c16:uniqueId val="{00000000-7508-492B-8220-0CDBF29C55BD}"/>
            </c:ext>
          </c:extLst>
        </c:ser>
        <c:ser>
          <c:idx val="1"/>
          <c:order val="1"/>
          <c:tx>
            <c:strRef>
              <c:f>'PSUT_2012-20JJ__I'!$A$135</c:f>
              <c:strCache>
                <c:ptCount val="1"/>
                <c:pt idx="0">
                  <c:v>2013</c:v>
                </c:pt>
              </c:strCache>
            </c:strRef>
          </c:tx>
          <c:spPr>
            <a:solidFill>
              <a:schemeClr val="accent2"/>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'PSUT_2012-20JJ__I'!$E$135:$Z$135</c:f>
              <c:numCache>
                <c:formatCode>#,##0</c:formatCode>
                <c:ptCount val="22"/>
                <c:pt idx="0">
                  <c:v>11625943.378715385</c:v>
                </c:pt>
                <c:pt idx="1">
                  <c:v>1066.280103117504</c:v>
                </c:pt>
                <c:pt idx="2">
                  <c:v>151185.62992350146</c:v>
                </c:pt>
                <c:pt idx="3">
                  <c:v>17297.563072272984</c:v>
                </c:pt>
                <c:pt idx="4">
                  <c:v>50703.50010827103</c:v>
                </c:pt>
                <c:pt idx="5">
                  <c:v>0</c:v>
                </c:pt>
                <c:pt idx="6">
                  <c:v>0</c:v>
                </c:pt>
                <c:pt idx="7">
                  <c:v>0</c:v>
                </c:pt>
                <c:pt idx="8">
                  <c:v>3700.4149084591081</c:v>
                </c:pt>
                <c:pt idx="9">
                  <c:v>0</c:v>
                </c:pt>
                <c:pt idx="10">
                  <c:v>13.611322139488699</c:v>
                </c:pt>
                <c:pt idx="11">
                  <c:v>0</c:v>
                </c:pt>
                <c:pt idx="12">
                  <c:v>0</c:v>
                </c:pt>
                <c:pt idx="13">
                  <c:v>0</c:v>
                </c:pt>
                <c:pt idx="14">
                  <c:v>0</c:v>
                </c:pt>
                <c:pt idx="15">
                  <c:v>45007.581399999966</c:v>
                </c:pt>
                <c:pt idx="16">
                  <c:v>861.94444968661037</c:v>
                </c:pt>
                <c:pt idx="17">
                  <c:v>132.68839873822006</c:v>
                </c:pt>
                <c:pt idx="18">
                  <c:v>132.68839873822006</c:v>
                </c:pt>
                <c:pt idx="19">
                  <c:v>0</c:v>
                </c:pt>
                <c:pt idx="21">
                  <c:v>133912.69650340232</c:v>
                </c:pt>
              </c:numCache>
            </c:numRef>
          </c:val>
          <c:extLst xmlns:c16r2="http://schemas.microsoft.com/office/drawing/2015/06/chart">
            <c:ext xmlns:c16="http://schemas.microsoft.com/office/drawing/2014/chart" uri="{C3380CC4-5D6E-409C-BE32-E72D297353CC}">
              <c16:uniqueId val="{00000001-7508-492B-8220-0CDBF29C55BD}"/>
            </c:ext>
          </c:extLst>
        </c:ser>
        <c:ser>
          <c:idx val="2"/>
          <c:order val="2"/>
          <c:tx>
            <c:strRef>
              <c:f>'PSUT_2012-20JJ__I'!$A$136</c:f>
              <c:strCache>
                <c:ptCount val="1"/>
                <c:pt idx="0">
                  <c:v>2014</c:v>
                </c:pt>
              </c:strCache>
            </c:strRef>
          </c:tx>
          <c:spPr>
            <a:solidFill>
              <a:schemeClr val="accent3"/>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'PSUT_2012-20JJ__I'!$E$136:$Z$136</c:f>
              <c:numCache>
                <c:formatCode>#,##0</c:formatCode>
                <c:ptCount val="22"/>
                <c:pt idx="0">
                  <c:v>12073089.547444249</c:v>
                </c:pt>
                <c:pt idx="1">
                  <c:v>1067.2665152598529</c:v>
                </c:pt>
                <c:pt idx="2">
                  <c:v>151490.0473498166</c:v>
                </c:pt>
                <c:pt idx="3">
                  <c:v>17850.44895510166</c:v>
                </c:pt>
                <c:pt idx="4">
                  <c:v>50969.869260012383</c:v>
                </c:pt>
                <c:pt idx="5">
                  <c:v>0</c:v>
                </c:pt>
                <c:pt idx="6">
                  <c:v>0</c:v>
                </c:pt>
                <c:pt idx="7">
                  <c:v>0</c:v>
                </c:pt>
                <c:pt idx="8">
                  <c:v>3700.4149084591081</c:v>
                </c:pt>
                <c:pt idx="9">
                  <c:v>0</c:v>
                </c:pt>
                <c:pt idx="10">
                  <c:v>13.611322139488699</c:v>
                </c:pt>
                <c:pt idx="11">
                  <c:v>0</c:v>
                </c:pt>
                <c:pt idx="12">
                  <c:v>0</c:v>
                </c:pt>
                <c:pt idx="13">
                  <c:v>0</c:v>
                </c:pt>
                <c:pt idx="14">
                  <c:v>0</c:v>
                </c:pt>
                <c:pt idx="15">
                  <c:v>45007.581399999966</c:v>
                </c:pt>
                <c:pt idx="16">
                  <c:v>861.94444968661037</c:v>
                </c:pt>
                <c:pt idx="17">
                  <c:v>132.68839873822006</c:v>
                </c:pt>
                <c:pt idx="18">
                  <c:v>132.68839873822006</c:v>
                </c:pt>
                <c:pt idx="19">
                  <c:v>0</c:v>
                </c:pt>
                <c:pt idx="21">
                  <c:v>134112.69792386814</c:v>
                </c:pt>
              </c:numCache>
            </c:numRef>
          </c:val>
          <c:extLst xmlns:c16r2="http://schemas.microsoft.com/office/drawing/2015/06/chart">
            <c:ext xmlns:c16="http://schemas.microsoft.com/office/drawing/2014/chart" uri="{C3380CC4-5D6E-409C-BE32-E72D297353CC}">
              <c16:uniqueId val="{00000002-7508-492B-8220-0CDBF29C55BD}"/>
            </c:ext>
          </c:extLst>
        </c:ser>
        <c:ser>
          <c:idx val="3"/>
          <c:order val="3"/>
          <c:tx>
            <c:strRef>
              <c:f>'PSUT_2012-20JJ__I'!$A$137</c:f>
              <c:strCache>
                <c:ptCount val="1"/>
                <c:pt idx="0">
                  <c:v>2015</c:v>
                </c:pt>
              </c:strCache>
            </c:strRef>
          </c:tx>
          <c:spPr>
            <a:solidFill>
              <a:schemeClr val="accent4"/>
            </a:solidFill>
            <a:ln>
              <a:noFill/>
            </a:ln>
            <a:effectLst/>
          </c:spPr>
          <c:invertIfNegative val="0"/>
          <c:cat>
            <c:strRef>
              <c:f>'PSUT_2012-20JJ__I'!$E$98:$Z$98</c:f>
              <c:strCache>
                <c:ptCount val="22"/>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H. Transportation and storage</c:v>
                </c:pt>
                <c:pt idx="8">
                  <c:v>I. Accommodation and food service activities</c:v>
                </c:pt>
                <c:pt idx="9">
                  <c:v>J. Information and communication</c:v>
                </c:pt>
                <c:pt idx="10">
                  <c:v>K. Banking and insurance activities</c:v>
                </c:pt>
                <c:pt idx="11">
                  <c:v>L. Real estate activities</c:v>
                </c:pt>
                <c:pt idx="12">
                  <c:v>M. Professional, scientific and technical activities</c:v>
                </c:pt>
                <c:pt idx="13">
                  <c:v>N. Administrative and support service activities</c:v>
                </c:pt>
                <c:pt idx="14">
                  <c:v>O. Public administration and defence; compulsory social security</c:v>
                </c:pt>
                <c:pt idx="15">
                  <c:v>P. Education</c:v>
                </c:pt>
                <c:pt idx="16">
                  <c:v>Q. Human health and social work activities </c:v>
                </c:pt>
                <c:pt idx="17">
                  <c:v>R. Arts, entertainment and recreation</c:v>
                </c:pt>
                <c:pt idx="18">
                  <c:v>S. Other service activities (Religious &amp; Burial)</c:v>
                </c:pt>
                <c:pt idx="19">
                  <c:v>T. Activities of households as employers; undifferentiated goods- and services-producing activities of households for own use</c:v>
                </c:pt>
                <c:pt idx="20">
                  <c:v>Total Production activities </c:v>
                </c:pt>
                <c:pt idx="21">
                  <c:v>Households</c:v>
                </c:pt>
              </c:strCache>
            </c:strRef>
          </c:cat>
          <c:val>
            <c:numRef>
              <c:f>'PSUT_2012-20JJ__I'!$E$137:$Z$137</c:f>
              <c:numCache>
                <c:formatCode>#,##0</c:formatCode>
                <c:ptCount val="22"/>
                <c:pt idx="0">
                  <c:v>12378855.512207687</c:v>
                </c:pt>
                <c:pt idx="1">
                  <c:v>1068.2726556450507</c:v>
                </c:pt>
                <c:pt idx="2">
                  <c:v>151799.10437223449</c:v>
                </c:pt>
                <c:pt idx="3">
                  <c:v>18422.876875063579</c:v>
                </c:pt>
                <c:pt idx="4">
                  <c:v>51237.570257512438</c:v>
                </c:pt>
                <c:pt idx="5">
                  <c:v>0</c:v>
                </c:pt>
                <c:pt idx="6">
                  <c:v>0</c:v>
                </c:pt>
                <c:pt idx="7">
                  <c:v>0</c:v>
                </c:pt>
                <c:pt idx="8">
                  <c:v>3700.4149084591081</c:v>
                </c:pt>
                <c:pt idx="9">
                  <c:v>0</c:v>
                </c:pt>
                <c:pt idx="10">
                  <c:v>13.611322139488699</c:v>
                </c:pt>
                <c:pt idx="11">
                  <c:v>0</c:v>
                </c:pt>
                <c:pt idx="12">
                  <c:v>0</c:v>
                </c:pt>
                <c:pt idx="13">
                  <c:v>0</c:v>
                </c:pt>
                <c:pt idx="14">
                  <c:v>0</c:v>
                </c:pt>
                <c:pt idx="15">
                  <c:v>45007.581399999966</c:v>
                </c:pt>
                <c:pt idx="16">
                  <c:v>861.94444968661037</c:v>
                </c:pt>
                <c:pt idx="17">
                  <c:v>132.68839873822006</c:v>
                </c:pt>
                <c:pt idx="18">
                  <c:v>132.68839873822006</c:v>
                </c:pt>
                <c:pt idx="19">
                  <c:v>0</c:v>
                </c:pt>
                <c:pt idx="21">
                  <c:v>134314.76146704803</c:v>
                </c:pt>
              </c:numCache>
            </c:numRef>
          </c:val>
          <c:extLst xmlns:c16r2="http://schemas.microsoft.com/office/drawing/2015/06/chart">
            <c:ext xmlns:c16="http://schemas.microsoft.com/office/drawing/2014/chart" uri="{C3380CC4-5D6E-409C-BE32-E72D297353CC}">
              <c16:uniqueId val="{00000003-7508-492B-8220-0CDBF29C55BD}"/>
            </c:ext>
          </c:extLst>
        </c:ser>
        <c:dLbls>
          <c:showLegendKey val="0"/>
          <c:showVal val="0"/>
          <c:showCatName val="0"/>
          <c:showSerName val="0"/>
          <c:showPercent val="0"/>
          <c:showBubbleSize val="0"/>
        </c:dLbls>
        <c:gapWidth val="219"/>
        <c:overlap val="-27"/>
        <c:axId val="-915912112"/>
        <c:axId val="-915925712"/>
      </c:barChart>
      <c:catAx>
        <c:axId val="-91591211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5925712"/>
        <c:crosses val="autoZero"/>
        <c:auto val="1"/>
        <c:lblAlgn val="ctr"/>
        <c:lblOffset val="100"/>
        <c:noMultiLvlLbl val="0"/>
      </c:catAx>
      <c:valAx>
        <c:axId val="-915925712"/>
        <c:scaling>
          <c:orientation val="minMax"/>
          <c:max val="14000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a:t>Mln m</a:t>
                </a:r>
                <a:r>
                  <a:rPr lang="en-GB" sz="1400" baseline="30000"/>
                  <a:t>3</a:t>
                </a:r>
                <a:r>
                  <a:rPr lang="en-GB" sz="1400"/>
                  <a:t> </a:t>
                </a:r>
              </a:p>
            </c:rich>
          </c:tx>
          <c:layout>
            <c:manualLayout>
              <c:xMode val="edge"/>
              <c:yMode val="edge"/>
              <c:x val="9.1692165977494383E-2"/>
              <c:y val="5.2943317290522259E-3"/>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5912112"/>
        <c:crosses val="autoZero"/>
        <c:crossBetween val="between"/>
        <c:dispUnits>
          <c:builtInUnit val="thousands"/>
        </c:dispUnits>
      </c:valAx>
      <c:spPr>
        <a:noFill/>
        <a:ln>
          <a:solidFill>
            <a:schemeClr val="bg1">
              <a:lumMod val="50000"/>
            </a:schemeClr>
          </a:solidFill>
        </a:ln>
        <a:effectLst/>
      </c:spPr>
    </c:plotArea>
    <c:legend>
      <c:legendPos val="b"/>
      <c:layout>
        <c:manualLayout>
          <c:xMode val="edge"/>
          <c:yMode val="edge"/>
          <c:x val="0.56584228340358778"/>
          <c:y val="8.1202972738558865E-2"/>
          <c:w val="0.35412564804924856"/>
          <c:h val="7.8010237921123785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91885507362102"/>
          <c:y val="5.3717045628475707E-2"/>
          <c:w val="0.88632525671556139"/>
          <c:h val="0.48677185762146902"/>
        </c:manualLayout>
      </c:layout>
      <c:barChart>
        <c:barDir val="col"/>
        <c:grouping val="clustered"/>
        <c:varyColors val="0"/>
        <c:ser>
          <c:idx val="0"/>
          <c:order val="0"/>
          <c:tx>
            <c:strRef>
              <c:f>'PSUT_2012-20JJ__I'!$A$134</c:f>
              <c:strCache>
                <c:ptCount val="1"/>
                <c:pt idx="0">
                  <c:v>2012</c:v>
                </c:pt>
              </c:strCache>
            </c:strRef>
          </c:tx>
          <c:spPr>
            <a:solidFill>
              <a:schemeClr val="accent1"/>
            </a:solidFill>
            <a:ln>
              <a:noFill/>
            </a:ln>
            <a:effectLst/>
          </c:spPr>
          <c:invertIfNegative val="0"/>
          <c:cat>
            <c:strRef>
              <c:f>'PSUT_2012-20JJ__I'!$F$98:$Z$98</c:f>
              <c:strCache>
                <c:ptCount val="21"/>
                <c:pt idx="0">
                  <c:v>B. Mining and Quarrying </c:v>
                </c:pt>
                <c:pt idx="1">
                  <c:v>C. Manufacturing</c:v>
                </c:pt>
                <c:pt idx="2">
                  <c:v>D. Electricity, gas, steam and air conditioning supply</c:v>
                </c:pt>
                <c:pt idx="3">
                  <c:v>E. Water supply (WASAC &amp; AquaVirunga)</c:v>
                </c:pt>
                <c:pt idx="4">
                  <c:v>F. Construction</c:v>
                </c:pt>
                <c:pt idx="5">
                  <c:v>G. Wholesale and retail trade; repair of motor vehicles and motorcycles</c:v>
                </c:pt>
                <c:pt idx="6">
                  <c:v>H. Transportation and storage</c:v>
                </c:pt>
                <c:pt idx="7">
                  <c:v>I. Accommodation and food service activities</c:v>
                </c:pt>
                <c:pt idx="8">
                  <c:v>J. Information and communication</c:v>
                </c:pt>
                <c:pt idx="9">
                  <c:v>K. Banking and insurance activities</c:v>
                </c:pt>
                <c:pt idx="10">
                  <c:v>L. Real estate activities</c:v>
                </c:pt>
                <c:pt idx="11">
                  <c:v>M. Professional, scientific and technical activities</c:v>
                </c:pt>
                <c:pt idx="12">
                  <c:v>N. Administrative and support service activities</c:v>
                </c:pt>
                <c:pt idx="13">
                  <c:v>O. Public administration and defence; compulsory social security</c:v>
                </c:pt>
                <c:pt idx="14">
                  <c:v>P. Education</c:v>
                </c:pt>
                <c:pt idx="15">
                  <c:v>Q. Human health and social work activities </c:v>
                </c:pt>
                <c:pt idx="16">
                  <c:v>R. Arts, entertainment and recreation</c:v>
                </c:pt>
                <c:pt idx="17">
                  <c:v>S. Other service activities (Religious &amp; Burial)</c:v>
                </c:pt>
                <c:pt idx="18">
                  <c:v>T. Activities of households as employers; undifferentiated goods- and services-producing activities of households for own use</c:v>
                </c:pt>
                <c:pt idx="19">
                  <c:v>Total Production activities </c:v>
                </c:pt>
                <c:pt idx="20">
                  <c:v>Households</c:v>
                </c:pt>
              </c:strCache>
            </c:strRef>
          </c:cat>
          <c:val>
            <c:numRef>
              <c:f>'PSUT_2012-20JJ__I'!$F$134:$Z$134</c:f>
              <c:numCache>
                <c:formatCode>#,##0</c:formatCode>
                <c:ptCount val="21"/>
                <c:pt idx="0">
                  <c:v>1065.3130323897094</c:v>
                </c:pt>
                <c:pt idx="1">
                  <c:v>150885.77378783905</c:v>
                </c:pt>
                <c:pt idx="2">
                  <c:v>16763.508444795734</c:v>
                </c:pt>
                <c:pt idx="3">
                  <c:v>50438.456176190091</c:v>
                </c:pt>
                <c:pt idx="4">
                  <c:v>0</c:v>
                </c:pt>
                <c:pt idx="5">
                  <c:v>0</c:v>
                </c:pt>
                <c:pt idx="6">
                  <c:v>0</c:v>
                </c:pt>
                <c:pt idx="7">
                  <c:v>3700.4149084591081</c:v>
                </c:pt>
                <c:pt idx="8">
                  <c:v>0</c:v>
                </c:pt>
                <c:pt idx="9">
                  <c:v>13.611322139488699</c:v>
                </c:pt>
                <c:pt idx="10">
                  <c:v>0</c:v>
                </c:pt>
                <c:pt idx="11">
                  <c:v>0</c:v>
                </c:pt>
                <c:pt idx="12">
                  <c:v>0</c:v>
                </c:pt>
                <c:pt idx="13">
                  <c:v>0</c:v>
                </c:pt>
                <c:pt idx="14">
                  <c:v>45007.581399999966</c:v>
                </c:pt>
                <c:pt idx="15">
                  <c:v>861.94444968661037</c:v>
                </c:pt>
                <c:pt idx="16">
                  <c:v>132.68839873822006</c:v>
                </c:pt>
                <c:pt idx="17">
                  <c:v>132.68839873822006</c:v>
                </c:pt>
                <c:pt idx="18">
                  <c:v>0</c:v>
                </c:pt>
                <c:pt idx="20">
                  <c:v>133714.89643956049</c:v>
                </c:pt>
              </c:numCache>
            </c:numRef>
          </c:val>
          <c:extLst xmlns:c16r2="http://schemas.microsoft.com/office/drawing/2015/06/chart">
            <c:ext xmlns:c16="http://schemas.microsoft.com/office/drawing/2014/chart" uri="{C3380CC4-5D6E-409C-BE32-E72D297353CC}">
              <c16:uniqueId val="{00000000-7508-492B-8220-0CDBF29C55BD}"/>
            </c:ext>
          </c:extLst>
        </c:ser>
        <c:ser>
          <c:idx val="1"/>
          <c:order val="1"/>
          <c:tx>
            <c:strRef>
              <c:f>'PSUT_2012-20JJ__I'!$A$135</c:f>
              <c:strCache>
                <c:ptCount val="1"/>
                <c:pt idx="0">
                  <c:v>2013</c:v>
                </c:pt>
              </c:strCache>
            </c:strRef>
          </c:tx>
          <c:spPr>
            <a:solidFill>
              <a:schemeClr val="accent2"/>
            </a:solidFill>
            <a:ln>
              <a:noFill/>
            </a:ln>
            <a:effectLst/>
          </c:spPr>
          <c:invertIfNegative val="0"/>
          <c:cat>
            <c:strRef>
              <c:f>'PSUT_2012-20JJ__I'!$F$98:$Z$98</c:f>
              <c:strCache>
                <c:ptCount val="21"/>
                <c:pt idx="0">
                  <c:v>B. Mining and Quarrying </c:v>
                </c:pt>
                <c:pt idx="1">
                  <c:v>C. Manufacturing</c:v>
                </c:pt>
                <c:pt idx="2">
                  <c:v>D. Electricity, gas, steam and air conditioning supply</c:v>
                </c:pt>
                <c:pt idx="3">
                  <c:v>E. Water supply (WASAC &amp; AquaVirunga)</c:v>
                </c:pt>
                <c:pt idx="4">
                  <c:v>F. Construction</c:v>
                </c:pt>
                <c:pt idx="5">
                  <c:v>G. Wholesale and retail trade; repair of motor vehicles and motorcycles</c:v>
                </c:pt>
                <c:pt idx="6">
                  <c:v>H. Transportation and storage</c:v>
                </c:pt>
                <c:pt idx="7">
                  <c:v>I. Accommodation and food service activities</c:v>
                </c:pt>
                <c:pt idx="8">
                  <c:v>J. Information and communication</c:v>
                </c:pt>
                <c:pt idx="9">
                  <c:v>K. Banking and insurance activities</c:v>
                </c:pt>
                <c:pt idx="10">
                  <c:v>L. Real estate activities</c:v>
                </c:pt>
                <c:pt idx="11">
                  <c:v>M. Professional, scientific and technical activities</c:v>
                </c:pt>
                <c:pt idx="12">
                  <c:v>N. Administrative and support service activities</c:v>
                </c:pt>
                <c:pt idx="13">
                  <c:v>O. Public administration and defence; compulsory social security</c:v>
                </c:pt>
                <c:pt idx="14">
                  <c:v>P. Education</c:v>
                </c:pt>
                <c:pt idx="15">
                  <c:v>Q. Human health and social work activities </c:v>
                </c:pt>
                <c:pt idx="16">
                  <c:v>R. Arts, entertainment and recreation</c:v>
                </c:pt>
                <c:pt idx="17">
                  <c:v>S. Other service activities (Religious &amp; Burial)</c:v>
                </c:pt>
                <c:pt idx="18">
                  <c:v>T. Activities of households as employers; undifferentiated goods- and services-producing activities of households for own use</c:v>
                </c:pt>
                <c:pt idx="19">
                  <c:v>Total Production activities </c:v>
                </c:pt>
                <c:pt idx="20">
                  <c:v>Households</c:v>
                </c:pt>
              </c:strCache>
            </c:strRef>
          </c:cat>
          <c:val>
            <c:numRef>
              <c:f>'PSUT_2012-20JJ__I'!$F$135:$Z$135</c:f>
              <c:numCache>
                <c:formatCode>#,##0</c:formatCode>
                <c:ptCount val="21"/>
                <c:pt idx="0">
                  <c:v>1066.280103117504</c:v>
                </c:pt>
                <c:pt idx="1">
                  <c:v>151185.62992350146</c:v>
                </c:pt>
                <c:pt idx="2">
                  <c:v>17297.563072272984</c:v>
                </c:pt>
                <c:pt idx="3">
                  <c:v>50703.50010827103</c:v>
                </c:pt>
                <c:pt idx="4">
                  <c:v>0</c:v>
                </c:pt>
                <c:pt idx="5">
                  <c:v>0</c:v>
                </c:pt>
                <c:pt idx="6">
                  <c:v>0</c:v>
                </c:pt>
                <c:pt idx="7">
                  <c:v>3700.4149084591081</c:v>
                </c:pt>
                <c:pt idx="8">
                  <c:v>0</c:v>
                </c:pt>
                <c:pt idx="9">
                  <c:v>13.611322139488699</c:v>
                </c:pt>
                <c:pt idx="10">
                  <c:v>0</c:v>
                </c:pt>
                <c:pt idx="11">
                  <c:v>0</c:v>
                </c:pt>
                <c:pt idx="12">
                  <c:v>0</c:v>
                </c:pt>
                <c:pt idx="13">
                  <c:v>0</c:v>
                </c:pt>
                <c:pt idx="14">
                  <c:v>45007.581399999966</c:v>
                </c:pt>
                <c:pt idx="15">
                  <c:v>861.94444968661037</c:v>
                </c:pt>
                <c:pt idx="16">
                  <c:v>132.68839873822006</c:v>
                </c:pt>
                <c:pt idx="17">
                  <c:v>132.68839873822006</c:v>
                </c:pt>
                <c:pt idx="18">
                  <c:v>0</c:v>
                </c:pt>
                <c:pt idx="20">
                  <c:v>133912.69650340232</c:v>
                </c:pt>
              </c:numCache>
            </c:numRef>
          </c:val>
          <c:extLst xmlns:c16r2="http://schemas.microsoft.com/office/drawing/2015/06/chart">
            <c:ext xmlns:c16="http://schemas.microsoft.com/office/drawing/2014/chart" uri="{C3380CC4-5D6E-409C-BE32-E72D297353CC}">
              <c16:uniqueId val="{00000001-7508-492B-8220-0CDBF29C55BD}"/>
            </c:ext>
          </c:extLst>
        </c:ser>
        <c:ser>
          <c:idx val="2"/>
          <c:order val="2"/>
          <c:tx>
            <c:strRef>
              <c:f>'PSUT_2012-20JJ__I'!$A$136</c:f>
              <c:strCache>
                <c:ptCount val="1"/>
                <c:pt idx="0">
                  <c:v>2014</c:v>
                </c:pt>
              </c:strCache>
            </c:strRef>
          </c:tx>
          <c:spPr>
            <a:solidFill>
              <a:schemeClr val="accent3"/>
            </a:solidFill>
            <a:ln>
              <a:noFill/>
            </a:ln>
            <a:effectLst/>
          </c:spPr>
          <c:invertIfNegative val="0"/>
          <c:cat>
            <c:strRef>
              <c:f>'PSUT_2012-20JJ__I'!$F$98:$Z$98</c:f>
              <c:strCache>
                <c:ptCount val="21"/>
                <c:pt idx="0">
                  <c:v>B. Mining and Quarrying </c:v>
                </c:pt>
                <c:pt idx="1">
                  <c:v>C. Manufacturing</c:v>
                </c:pt>
                <c:pt idx="2">
                  <c:v>D. Electricity, gas, steam and air conditioning supply</c:v>
                </c:pt>
                <c:pt idx="3">
                  <c:v>E. Water supply (WASAC &amp; AquaVirunga)</c:v>
                </c:pt>
                <c:pt idx="4">
                  <c:v>F. Construction</c:v>
                </c:pt>
                <c:pt idx="5">
                  <c:v>G. Wholesale and retail trade; repair of motor vehicles and motorcycles</c:v>
                </c:pt>
                <c:pt idx="6">
                  <c:v>H. Transportation and storage</c:v>
                </c:pt>
                <c:pt idx="7">
                  <c:v>I. Accommodation and food service activities</c:v>
                </c:pt>
                <c:pt idx="8">
                  <c:v>J. Information and communication</c:v>
                </c:pt>
                <c:pt idx="9">
                  <c:v>K. Banking and insurance activities</c:v>
                </c:pt>
                <c:pt idx="10">
                  <c:v>L. Real estate activities</c:v>
                </c:pt>
                <c:pt idx="11">
                  <c:v>M. Professional, scientific and technical activities</c:v>
                </c:pt>
                <c:pt idx="12">
                  <c:v>N. Administrative and support service activities</c:v>
                </c:pt>
                <c:pt idx="13">
                  <c:v>O. Public administration and defence; compulsory social security</c:v>
                </c:pt>
                <c:pt idx="14">
                  <c:v>P. Education</c:v>
                </c:pt>
                <c:pt idx="15">
                  <c:v>Q. Human health and social work activities </c:v>
                </c:pt>
                <c:pt idx="16">
                  <c:v>R. Arts, entertainment and recreation</c:v>
                </c:pt>
                <c:pt idx="17">
                  <c:v>S. Other service activities (Religious &amp; Burial)</c:v>
                </c:pt>
                <c:pt idx="18">
                  <c:v>T. Activities of households as employers; undifferentiated goods- and services-producing activities of households for own use</c:v>
                </c:pt>
                <c:pt idx="19">
                  <c:v>Total Production activities </c:v>
                </c:pt>
                <c:pt idx="20">
                  <c:v>Households</c:v>
                </c:pt>
              </c:strCache>
            </c:strRef>
          </c:cat>
          <c:val>
            <c:numRef>
              <c:f>'PSUT_2012-20JJ__I'!$F$136:$Z$136</c:f>
              <c:numCache>
                <c:formatCode>#,##0</c:formatCode>
                <c:ptCount val="21"/>
                <c:pt idx="0">
                  <c:v>1067.2665152598529</c:v>
                </c:pt>
                <c:pt idx="1">
                  <c:v>151490.0473498166</c:v>
                </c:pt>
                <c:pt idx="2">
                  <c:v>17850.44895510166</c:v>
                </c:pt>
                <c:pt idx="3">
                  <c:v>50969.869260012383</c:v>
                </c:pt>
                <c:pt idx="4">
                  <c:v>0</c:v>
                </c:pt>
                <c:pt idx="5">
                  <c:v>0</c:v>
                </c:pt>
                <c:pt idx="6">
                  <c:v>0</c:v>
                </c:pt>
                <c:pt idx="7">
                  <c:v>3700.4149084591081</c:v>
                </c:pt>
                <c:pt idx="8">
                  <c:v>0</c:v>
                </c:pt>
                <c:pt idx="9">
                  <c:v>13.611322139488699</c:v>
                </c:pt>
                <c:pt idx="10">
                  <c:v>0</c:v>
                </c:pt>
                <c:pt idx="11">
                  <c:v>0</c:v>
                </c:pt>
                <c:pt idx="12">
                  <c:v>0</c:v>
                </c:pt>
                <c:pt idx="13">
                  <c:v>0</c:v>
                </c:pt>
                <c:pt idx="14">
                  <c:v>45007.581399999966</c:v>
                </c:pt>
                <c:pt idx="15">
                  <c:v>861.94444968661037</c:v>
                </c:pt>
                <c:pt idx="16">
                  <c:v>132.68839873822006</c:v>
                </c:pt>
                <c:pt idx="17">
                  <c:v>132.68839873822006</c:v>
                </c:pt>
                <c:pt idx="18">
                  <c:v>0</c:v>
                </c:pt>
                <c:pt idx="20">
                  <c:v>134112.69792386814</c:v>
                </c:pt>
              </c:numCache>
            </c:numRef>
          </c:val>
          <c:extLst xmlns:c16r2="http://schemas.microsoft.com/office/drawing/2015/06/chart">
            <c:ext xmlns:c16="http://schemas.microsoft.com/office/drawing/2014/chart" uri="{C3380CC4-5D6E-409C-BE32-E72D297353CC}">
              <c16:uniqueId val="{00000002-7508-492B-8220-0CDBF29C55BD}"/>
            </c:ext>
          </c:extLst>
        </c:ser>
        <c:ser>
          <c:idx val="3"/>
          <c:order val="3"/>
          <c:tx>
            <c:strRef>
              <c:f>'PSUT_2012-20JJ__I'!$A$137</c:f>
              <c:strCache>
                <c:ptCount val="1"/>
                <c:pt idx="0">
                  <c:v>2015</c:v>
                </c:pt>
              </c:strCache>
            </c:strRef>
          </c:tx>
          <c:spPr>
            <a:solidFill>
              <a:schemeClr val="accent4"/>
            </a:solidFill>
            <a:ln>
              <a:noFill/>
            </a:ln>
            <a:effectLst/>
          </c:spPr>
          <c:invertIfNegative val="0"/>
          <c:cat>
            <c:strRef>
              <c:f>'PSUT_2012-20JJ__I'!$F$98:$Z$98</c:f>
              <c:strCache>
                <c:ptCount val="21"/>
                <c:pt idx="0">
                  <c:v>B. Mining and Quarrying </c:v>
                </c:pt>
                <c:pt idx="1">
                  <c:v>C. Manufacturing</c:v>
                </c:pt>
                <c:pt idx="2">
                  <c:v>D. Electricity, gas, steam and air conditioning supply</c:v>
                </c:pt>
                <c:pt idx="3">
                  <c:v>E. Water supply (WASAC &amp; AquaVirunga)</c:v>
                </c:pt>
                <c:pt idx="4">
                  <c:v>F. Construction</c:v>
                </c:pt>
                <c:pt idx="5">
                  <c:v>G. Wholesale and retail trade; repair of motor vehicles and motorcycles</c:v>
                </c:pt>
                <c:pt idx="6">
                  <c:v>H. Transportation and storage</c:v>
                </c:pt>
                <c:pt idx="7">
                  <c:v>I. Accommodation and food service activities</c:v>
                </c:pt>
                <c:pt idx="8">
                  <c:v>J. Information and communication</c:v>
                </c:pt>
                <c:pt idx="9">
                  <c:v>K. Banking and insurance activities</c:v>
                </c:pt>
                <c:pt idx="10">
                  <c:v>L. Real estate activities</c:v>
                </c:pt>
                <c:pt idx="11">
                  <c:v>M. Professional, scientific and technical activities</c:v>
                </c:pt>
                <c:pt idx="12">
                  <c:v>N. Administrative and support service activities</c:v>
                </c:pt>
                <c:pt idx="13">
                  <c:v>O. Public administration and defence; compulsory social security</c:v>
                </c:pt>
                <c:pt idx="14">
                  <c:v>P. Education</c:v>
                </c:pt>
                <c:pt idx="15">
                  <c:v>Q. Human health and social work activities </c:v>
                </c:pt>
                <c:pt idx="16">
                  <c:v>R. Arts, entertainment and recreation</c:v>
                </c:pt>
                <c:pt idx="17">
                  <c:v>S. Other service activities (Religious &amp; Burial)</c:v>
                </c:pt>
                <c:pt idx="18">
                  <c:v>T. Activities of households as employers; undifferentiated goods- and services-producing activities of households for own use</c:v>
                </c:pt>
                <c:pt idx="19">
                  <c:v>Total Production activities </c:v>
                </c:pt>
                <c:pt idx="20">
                  <c:v>Households</c:v>
                </c:pt>
              </c:strCache>
            </c:strRef>
          </c:cat>
          <c:val>
            <c:numRef>
              <c:f>'PSUT_2012-20JJ__I'!$F$137:$Z$137</c:f>
              <c:numCache>
                <c:formatCode>#,##0</c:formatCode>
                <c:ptCount val="21"/>
                <c:pt idx="0">
                  <c:v>1068.2726556450507</c:v>
                </c:pt>
                <c:pt idx="1">
                  <c:v>151799.10437223449</c:v>
                </c:pt>
                <c:pt idx="2">
                  <c:v>18422.876875063579</c:v>
                </c:pt>
                <c:pt idx="3">
                  <c:v>51237.570257512438</c:v>
                </c:pt>
                <c:pt idx="4">
                  <c:v>0</c:v>
                </c:pt>
                <c:pt idx="5">
                  <c:v>0</c:v>
                </c:pt>
                <c:pt idx="6">
                  <c:v>0</c:v>
                </c:pt>
                <c:pt idx="7">
                  <c:v>3700.4149084591081</c:v>
                </c:pt>
                <c:pt idx="8">
                  <c:v>0</c:v>
                </c:pt>
                <c:pt idx="9">
                  <c:v>13.611322139488699</c:v>
                </c:pt>
                <c:pt idx="10">
                  <c:v>0</c:v>
                </c:pt>
                <c:pt idx="11">
                  <c:v>0</c:v>
                </c:pt>
                <c:pt idx="12">
                  <c:v>0</c:v>
                </c:pt>
                <c:pt idx="13">
                  <c:v>0</c:v>
                </c:pt>
                <c:pt idx="14">
                  <c:v>45007.581399999966</c:v>
                </c:pt>
                <c:pt idx="15">
                  <c:v>861.94444968661037</c:v>
                </c:pt>
                <c:pt idx="16">
                  <c:v>132.68839873822006</c:v>
                </c:pt>
                <c:pt idx="17">
                  <c:v>132.68839873822006</c:v>
                </c:pt>
                <c:pt idx="18">
                  <c:v>0</c:v>
                </c:pt>
                <c:pt idx="20">
                  <c:v>134314.76146704803</c:v>
                </c:pt>
              </c:numCache>
            </c:numRef>
          </c:val>
          <c:extLst xmlns:c16r2="http://schemas.microsoft.com/office/drawing/2015/06/chart">
            <c:ext xmlns:c16="http://schemas.microsoft.com/office/drawing/2014/chart" uri="{C3380CC4-5D6E-409C-BE32-E72D297353CC}">
              <c16:uniqueId val="{00000003-7508-492B-8220-0CDBF29C55BD}"/>
            </c:ext>
          </c:extLst>
        </c:ser>
        <c:dLbls>
          <c:showLegendKey val="0"/>
          <c:showVal val="0"/>
          <c:showCatName val="0"/>
          <c:showSerName val="0"/>
          <c:showPercent val="0"/>
          <c:showBubbleSize val="0"/>
        </c:dLbls>
        <c:gapWidth val="219"/>
        <c:overlap val="-27"/>
        <c:axId val="-915922448"/>
        <c:axId val="-915917552"/>
      </c:barChart>
      <c:catAx>
        <c:axId val="-91592244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5917552"/>
        <c:crosses val="autoZero"/>
        <c:auto val="1"/>
        <c:lblAlgn val="ctr"/>
        <c:lblOffset val="100"/>
        <c:noMultiLvlLbl val="0"/>
      </c:catAx>
      <c:valAx>
        <c:axId val="-91591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baseline="0"/>
                  <a:t>Mln m</a:t>
                </a:r>
                <a:r>
                  <a:rPr lang="en-GB" sz="1400" baseline="30000"/>
                  <a:t>3</a:t>
                </a:r>
                <a:r>
                  <a:rPr lang="en-GB" sz="1400" baseline="0"/>
                  <a:t> </a:t>
                </a:r>
              </a:p>
            </c:rich>
          </c:tx>
          <c:layout>
            <c:manualLayout>
              <c:xMode val="edge"/>
              <c:yMode val="edge"/>
              <c:x val="9.1692165977494383E-2"/>
              <c:y val="5.2943317290522259E-3"/>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5922448"/>
        <c:crosses val="autoZero"/>
        <c:crossBetween val="between"/>
        <c:dispUnits>
          <c:builtInUnit val="thousands"/>
        </c:dispUnits>
      </c:valAx>
      <c:spPr>
        <a:noFill/>
        <a:ln>
          <a:solidFill>
            <a:schemeClr val="bg1">
              <a:lumMod val="50000"/>
            </a:schemeClr>
          </a:solidFill>
        </a:ln>
        <a:effectLst/>
      </c:spPr>
    </c:plotArea>
    <c:legend>
      <c:legendPos val="b"/>
      <c:layout>
        <c:manualLayout>
          <c:xMode val="edge"/>
          <c:yMode val="edge"/>
          <c:x val="0.53551628319956779"/>
          <c:y val="7.9475110967500553E-2"/>
          <c:w val="0.35412564804924856"/>
          <c:h val="7.4554514379007161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708960575216249E-2"/>
          <c:y val="8.9645150643594712E-2"/>
          <c:w val="0.90173459908086084"/>
          <c:h val="0.75982573435805556"/>
        </c:manualLayout>
      </c:layout>
      <c:barChart>
        <c:barDir val="col"/>
        <c:grouping val="clustered"/>
        <c:varyColors val="0"/>
        <c:ser>
          <c:idx val="0"/>
          <c:order val="0"/>
          <c:tx>
            <c:strRef>
              <c:f>'PSUT_2012-20JJ__I'!$A$113</c:f>
              <c:strCache>
                <c:ptCount val="1"/>
                <c:pt idx="0">
                  <c:v>2012</c:v>
                </c:pt>
              </c:strCache>
            </c:strRef>
          </c:tx>
          <c:spPr>
            <a:solidFill>
              <a:schemeClr val="accent1"/>
            </a:solidFill>
            <a:ln>
              <a:noFill/>
            </a:ln>
            <a:effectLst/>
          </c:spPr>
          <c:invertIfNegative val="0"/>
          <c:cat>
            <c:strRef>
              <c:extLst>
                <c:ext xmlns:c15="http://schemas.microsoft.com/office/drawing/2012/chart" uri="{02D57815-91ED-43cb-92C2-25804820EDAC}">
                  <c15:fullRef>
                    <c15:sqref>'PSUT_2012-20JJ__I'!$E$98:$Z$98</c15:sqref>
                  </c15:fullRef>
                </c:ext>
              </c:extLst>
              <c:f>('PSUT_2012-20JJ__I'!$E$98:$J$98,'PSUT_2012-20JJ__I'!$T$98:$V$98,'PSUT_2012-20JJ__I'!$Z$98)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P. Education</c:v>
                </c:pt>
                <c:pt idx="7">
                  <c:v>Q. Human health and social work activities </c:v>
                </c:pt>
                <c:pt idx="8">
                  <c:v>R. Arts, entertainment and recreation</c:v>
                </c:pt>
                <c:pt idx="9">
                  <c:v>Households</c:v>
                </c:pt>
              </c:strCache>
            </c:strRef>
          </c:cat>
          <c:val>
            <c:numRef>
              <c:extLst>
                <c:ext xmlns:c15="http://schemas.microsoft.com/office/drawing/2012/chart" uri="{02D57815-91ED-43cb-92C2-25804820EDAC}">
                  <c15:fullRef>
                    <c15:sqref>'PSUT_2012-20JJ__I'!$E$113:$Z$113</c15:sqref>
                  </c15:fullRef>
                </c:ext>
              </c:extLst>
              <c:f>('PSUT_2012-20JJ__I'!$E$113:$J$113,'PSUT_2012-20JJ__I'!$T$113:$V$113,'PSUT_2012-20JJ__I'!$Z$113)</c:f>
              <c:numCache>
                <c:formatCode>#,##0</c:formatCode>
                <c:ptCount val="10"/>
                <c:pt idx="0">
                  <c:v>189335.69415585385</c:v>
                </c:pt>
                <c:pt idx="1">
                  <c:v>967.07072779417433</c:v>
                </c:pt>
                <c:pt idx="2">
                  <c:v>14844.847980982084</c:v>
                </c:pt>
                <c:pt idx="3">
                  <c:v>335270.16889591428</c:v>
                </c:pt>
                <c:pt idx="4">
                  <c:v>41023.930895441081</c:v>
                </c:pt>
                <c:pt idx="5">
                  <c:v>0</c:v>
                </c:pt>
                <c:pt idx="6">
                  <c:v>0</c:v>
                </c:pt>
                <c:pt idx="7">
                  <c:v>0</c:v>
                </c:pt>
                <c:pt idx="8">
                  <c:v>2.0736000000000003</c:v>
                </c:pt>
                <c:pt idx="9">
                  <c:v>11301.441449073298</c:v>
                </c:pt>
              </c:numCache>
            </c:numRef>
          </c:val>
          <c:extLst xmlns:c16r2="http://schemas.microsoft.com/office/drawing/2015/06/chart">
            <c:ext xmlns:c16="http://schemas.microsoft.com/office/drawing/2014/chart" uri="{C3380CC4-5D6E-409C-BE32-E72D297353CC}">
              <c16:uniqueId val="{00000000-7508-492B-8220-0CDBF29C55BD}"/>
            </c:ext>
          </c:extLst>
        </c:ser>
        <c:ser>
          <c:idx val="1"/>
          <c:order val="1"/>
          <c:tx>
            <c:strRef>
              <c:f>'PSUT_2012-20JJ__I'!$A$114</c:f>
              <c:strCache>
                <c:ptCount val="1"/>
                <c:pt idx="0">
                  <c:v>2013</c:v>
                </c:pt>
              </c:strCache>
            </c:strRef>
          </c:tx>
          <c:spPr>
            <a:solidFill>
              <a:schemeClr val="accent2"/>
            </a:solidFill>
            <a:ln>
              <a:noFill/>
            </a:ln>
            <a:effectLst/>
          </c:spPr>
          <c:invertIfNegative val="0"/>
          <c:cat>
            <c:strRef>
              <c:extLst>
                <c:ext xmlns:c15="http://schemas.microsoft.com/office/drawing/2012/chart" uri="{02D57815-91ED-43cb-92C2-25804820EDAC}">
                  <c15:fullRef>
                    <c15:sqref>'PSUT_2012-20JJ__I'!$E$98:$Z$98</c15:sqref>
                  </c15:fullRef>
                </c:ext>
              </c:extLst>
              <c:f>('PSUT_2012-20JJ__I'!$E$98:$J$98,'PSUT_2012-20JJ__I'!$T$98:$V$98,'PSUT_2012-20JJ__I'!$Z$98)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P. Education</c:v>
                </c:pt>
                <c:pt idx="7">
                  <c:v>Q. Human health and social work activities </c:v>
                </c:pt>
                <c:pt idx="8">
                  <c:v>R. Arts, entertainment and recreation</c:v>
                </c:pt>
                <c:pt idx="9">
                  <c:v>Households</c:v>
                </c:pt>
              </c:strCache>
            </c:strRef>
          </c:cat>
          <c:val>
            <c:numRef>
              <c:extLst>
                <c:ext xmlns:c15="http://schemas.microsoft.com/office/drawing/2012/chart" uri="{02D57815-91ED-43cb-92C2-25804820EDAC}">
                  <c15:fullRef>
                    <c15:sqref>'PSUT_2012-20JJ__I'!$E$114:$Z$114</c15:sqref>
                  </c15:fullRef>
                </c:ext>
              </c:extLst>
              <c:f>('PSUT_2012-20JJ__I'!$E$114:$J$114,'PSUT_2012-20JJ__I'!$T$114:$V$114,'PSUT_2012-20JJ__I'!$Z$114)</c:f>
              <c:numCache>
                <c:formatCode>#,##0</c:formatCode>
                <c:ptCount val="10"/>
                <c:pt idx="0">
                  <c:v>195157.23901430785</c:v>
                </c:pt>
                <c:pt idx="1">
                  <c:v>986.41214235005782</c:v>
                </c:pt>
                <c:pt idx="2">
                  <c:v>15026.920891167292</c:v>
                </c:pt>
                <c:pt idx="3">
                  <c:v>345951.26144545968</c:v>
                </c:pt>
                <c:pt idx="4">
                  <c:v>41023.930895441081</c:v>
                </c:pt>
                <c:pt idx="5">
                  <c:v>0</c:v>
                </c:pt>
                <c:pt idx="6">
                  <c:v>0</c:v>
                </c:pt>
                <c:pt idx="7">
                  <c:v>0</c:v>
                </c:pt>
                <c:pt idx="8">
                  <c:v>2.0736000000000003</c:v>
                </c:pt>
                <c:pt idx="9">
                  <c:v>11301.441449073298</c:v>
                </c:pt>
              </c:numCache>
            </c:numRef>
          </c:val>
          <c:extLst xmlns:c16r2="http://schemas.microsoft.com/office/drawing/2015/06/chart">
            <c:ext xmlns:c16="http://schemas.microsoft.com/office/drawing/2014/chart" uri="{C3380CC4-5D6E-409C-BE32-E72D297353CC}">
              <c16:uniqueId val="{00000001-7508-492B-8220-0CDBF29C55BD}"/>
            </c:ext>
          </c:extLst>
        </c:ser>
        <c:ser>
          <c:idx val="2"/>
          <c:order val="2"/>
          <c:tx>
            <c:strRef>
              <c:f>'PSUT_2012-20JJ__I'!$A$115</c:f>
              <c:strCache>
                <c:ptCount val="1"/>
                <c:pt idx="0">
                  <c:v>2014</c:v>
                </c:pt>
              </c:strCache>
            </c:strRef>
          </c:tx>
          <c:spPr>
            <a:solidFill>
              <a:schemeClr val="accent3"/>
            </a:solidFill>
            <a:ln>
              <a:noFill/>
            </a:ln>
            <a:effectLst/>
          </c:spPr>
          <c:invertIfNegative val="0"/>
          <c:cat>
            <c:strRef>
              <c:extLst>
                <c:ext xmlns:c15="http://schemas.microsoft.com/office/drawing/2012/chart" uri="{02D57815-91ED-43cb-92C2-25804820EDAC}">
                  <c15:fullRef>
                    <c15:sqref>'PSUT_2012-20JJ__I'!$E$98:$Z$98</c15:sqref>
                  </c15:fullRef>
                </c:ext>
              </c:extLst>
              <c:f>('PSUT_2012-20JJ__I'!$E$98:$J$98,'PSUT_2012-20JJ__I'!$T$98:$V$98,'PSUT_2012-20JJ__I'!$Z$98)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P. Education</c:v>
                </c:pt>
                <c:pt idx="7">
                  <c:v>Q. Human health and social work activities </c:v>
                </c:pt>
                <c:pt idx="8">
                  <c:v>R. Arts, entertainment and recreation</c:v>
                </c:pt>
                <c:pt idx="9">
                  <c:v>Households</c:v>
                </c:pt>
              </c:strCache>
            </c:strRef>
          </c:cat>
          <c:val>
            <c:numRef>
              <c:extLst>
                <c:ext xmlns:c15="http://schemas.microsoft.com/office/drawing/2012/chart" uri="{02D57815-91ED-43cb-92C2-25804820EDAC}">
                  <c15:fullRef>
                    <c15:sqref>'PSUT_2012-20JJ__I'!$E$115:$Z$115</c15:sqref>
                  </c15:fullRef>
                </c:ext>
              </c:extLst>
              <c:f>('PSUT_2012-20JJ__I'!$E$115:$J$115,'PSUT_2012-20JJ__I'!$T$115:$V$115,'PSUT_2012-20JJ__I'!$Z$115)</c:f>
              <c:numCache>
                <c:formatCode>#,##0</c:formatCode>
                <c:ptCount val="10"/>
                <c:pt idx="0">
                  <c:v>205178.23028145044</c:v>
                </c:pt>
                <c:pt idx="1">
                  <c:v>1006.140385197059</c:v>
                </c:pt>
                <c:pt idx="2">
                  <c:v>15211.48701906186</c:v>
                </c:pt>
                <c:pt idx="3">
                  <c:v>357008.97910203272</c:v>
                </c:pt>
                <c:pt idx="4">
                  <c:v>41435.195802667869</c:v>
                </c:pt>
                <c:pt idx="5">
                  <c:v>0</c:v>
                </c:pt>
                <c:pt idx="6">
                  <c:v>0</c:v>
                </c:pt>
                <c:pt idx="7">
                  <c:v>0</c:v>
                </c:pt>
                <c:pt idx="8">
                  <c:v>2.0736000000000003</c:v>
                </c:pt>
                <c:pt idx="9">
                  <c:v>11301.556149600257</c:v>
                </c:pt>
              </c:numCache>
            </c:numRef>
          </c:val>
          <c:extLst xmlns:c16r2="http://schemas.microsoft.com/office/drawing/2015/06/chart">
            <c:ext xmlns:c16="http://schemas.microsoft.com/office/drawing/2014/chart" uri="{C3380CC4-5D6E-409C-BE32-E72D297353CC}">
              <c16:uniqueId val="{00000002-7508-492B-8220-0CDBF29C55BD}"/>
            </c:ext>
          </c:extLst>
        </c:ser>
        <c:ser>
          <c:idx val="3"/>
          <c:order val="3"/>
          <c:tx>
            <c:strRef>
              <c:f>'PSUT_2012-20JJ__I'!$A$116</c:f>
              <c:strCache>
                <c:ptCount val="1"/>
                <c:pt idx="0">
                  <c:v>2015</c:v>
                </c:pt>
              </c:strCache>
            </c:strRef>
          </c:tx>
          <c:spPr>
            <a:solidFill>
              <a:schemeClr val="accent4"/>
            </a:solidFill>
            <a:ln>
              <a:noFill/>
            </a:ln>
            <a:effectLst/>
          </c:spPr>
          <c:invertIfNegative val="0"/>
          <c:cat>
            <c:strRef>
              <c:extLst>
                <c:ext xmlns:c15="http://schemas.microsoft.com/office/drawing/2012/chart" uri="{02D57815-91ED-43cb-92C2-25804820EDAC}">
                  <c15:fullRef>
                    <c15:sqref>'PSUT_2012-20JJ__I'!$E$98:$Z$98</c15:sqref>
                  </c15:fullRef>
                </c:ext>
              </c:extLst>
              <c:f>('PSUT_2012-20JJ__I'!$E$98:$J$98,'PSUT_2012-20JJ__I'!$T$98:$V$98,'PSUT_2012-20JJ__I'!$Z$98)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P. Education</c:v>
                </c:pt>
                <c:pt idx="7">
                  <c:v>Q. Human health and social work activities </c:v>
                </c:pt>
                <c:pt idx="8">
                  <c:v>R. Arts, entertainment and recreation</c:v>
                </c:pt>
                <c:pt idx="9">
                  <c:v>Households</c:v>
                </c:pt>
              </c:strCache>
            </c:strRef>
          </c:cat>
          <c:val>
            <c:numRef>
              <c:extLst>
                <c:ext xmlns:c15="http://schemas.microsoft.com/office/drawing/2012/chart" uri="{02D57815-91ED-43cb-92C2-25804820EDAC}">
                  <c15:fullRef>
                    <c15:sqref>'PSUT_2012-20JJ__I'!$E$116:$Z$116</c15:sqref>
                  </c15:fullRef>
                </c:ext>
              </c:extLst>
              <c:f>('PSUT_2012-20JJ__I'!$E$116:$J$116,'PSUT_2012-20JJ__I'!$T$116:$V$116,'PSUT_2012-20JJ__I'!$Z$116)</c:f>
              <c:numCache>
                <c:formatCode>#,##0</c:formatCode>
                <c:ptCount val="10"/>
                <c:pt idx="0">
                  <c:v>213589.91369091149</c:v>
                </c:pt>
                <c:pt idx="1">
                  <c:v>1026.2631929010001</c:v>
                </c:pt>
                <c:pt idx="2">
                  <c:v>15398.58474661503</c:v>
                </c:pt>
                <c:pt idx="3">
                  <c:v>368457.53750127146</c:v>
                </c:pt>
                <c:pt idx="4">
                  <c:v>41642.371781681206</c:v>
                </c:pt>
                <c:pt idx="5">
                  <c:v>0</c:v>
                </c:pt>
                <c:pt idx="6">
                  <c:v>0</c:v>
                </c:pt>
                <c:pt idx="7">
                  <c:v>0</c:v>
                </c:pt>
                <c:pt idx="8">
                  <c:v>2.0736000000000003</c:v>
                </c:pt>
                <c:pt idx="9">
                  <c:v>11301.61393034826</c:v>
                </c:pt>
              </c:numCache>
            </c:numRef>
          </c:val>
          <c:extLst xmlns:c16r2="http://schemas.microsoft.com/office/drawing/2015/06/chart">
            <c:ext xmlns:c16="http://schemas.microsoft.com/office/drawing/2014/chart" uri="{C3380CC4-5D6E-409C-BE32-E72D297353CC}">
              <c16:uniqueId val="{00000003-7508-492B-8220-0CDBF29C55BD}"/>
            </c:ext>
          </c:extLst>
        </c:ser>
        <c:dLbls>
          <c:showLegendKey val="0"/>
          <c:showVal val="0"/>
          <c:showCatName val="0"/>
          <c:showSerName val="0"/>
          <c:showPercent val="0"/>
          <c:showBubbleSize val="0"/>
        </c:dLbls>
        <c:gapWidth val="219"/>
        <c:overlap val="-27"/>
        <c:axId val="-915925168"/>
        <c:axId val="-915915920"/>
      </c:barChart>
      <c:catAx>
        <c:axId val="-91592516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5915920"/>
        <c:crosses val="autoZero"/>
        <c:auto val="1"/>
        <c:lblAlgn val="ctr"/>
        <c:lblOffset val="100"/>
        <c:noMultiLvlLbl val="0"/>
      </c:catAx>
      <c:valAx>
        <c:axId val="-91591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Mln m</a:t>
                </a:r>
                <a:r>
                  <a:rPr lang="en-GB" sz="1400" i="1" baseline="30000"/>
                  <a:t>3</a:t>
                </a:r>
              </a:p>
            </c:rich>
          </c:tx>
          <c:layout>
            <c:manualLayout>
              <c:xMode val="edge"/>
              <c:yMode val="edge"/>
              <c:x val="6.1760297444197872E-2"/>
              <c:y val="1.7270404073742279E-2"/>
            </c:manualLayout>
          </c:layout>
          <c:overlay val="0"/>
          <c:spPr>
            <a:noFill/>
            <a:ln>
              <a:noFill/>
            </a:ln>
            <a:effectLst/>
          </c:spPr>
          <c:txPr>
            <a:bodyPr rot="0" spcFirstLastPara="1" vertOverflow="ellipsis"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5925168"/>
        <c:crosses val="autoZero"/>
        <c:crossBetween val="between"/>
        <c:dispUnits>
          <c:builtInUnit val="thousands"/>
        </c:dispUnits>
      </c:valAx>
      <c:spPr>
        <a:noFill/>
        <a:ln>
          <a:solidFill>
            <a:schemeClr val="bg1">
              <a:lumMod val="50000"/>
            </a:schemeClr>
          </a:solidFill>
        </a:ln>
        <a:effectLst/>
      </c:spPr>
    </c:plotArea>
    <c:legend>
      <c:legendPos val="b"/>
      <c:layout>
        <c:manualLayout>
          <c:xMode val="edge"/>
          <c:yMode val="edge"/>
          <c:x val="0.55219884026124644"/>
          <c:y val="0.12910707718421427"/>
          <c:w val="0.35412564804924856"/>
          <c:h val="7.8010237921123785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872074828171745E-2"/>
          <c:y val="7.5601464710528199E-2"/>
          <c:w val="0.90806905922668146"/>
          <c:h val="0.69345887083263524"/>
        </c:manualLayout>
      </c:layout>
      <c:barChart>
        <c:barDir val="col"/>
        <c:grouping val="clustered"/>
        <c:varyColors val="0"/>
        <c:ser>
          <c:idx val="0"/>
          <c:order val="0"/>
          <c:tx>
            <c:strRef>
              <c:f>'PSUT_2012-20JJ__I'!$A$120</c:f>
              <c:strCache>
                <c:ptCount val="1"/>
                <c:pt idx="0">
                  <c:v>2012</c:v>
                </c:pt>
              </c:strCache>
            </c:strRef>
          </c:tx>
          <c:spPr>
            <a:solidFill>
              <a:schemeClr val="accent1"/>
            </a:solidFill>
            <a:ln>
              <a:noFill/>
            </a:ln>
            <a:effectLst/>
          </c:spPr>
          <c:invertIfNegative val="0"/>
          <c:cat>
            <c:strRef>
              <c:extLst>
                <c:ext xmlns:c15="http://schemas.microsoft.com/office/drawing/2012/chart" uri="{02D57815-91ED-43cb-92C2-25804820EDAC}">
                  <c15:fullRef>
                    <c15:sqref>'PSUT_2012-20JJ__I'!$E$98:$Z$98</c15:sqref>
                  </c15:fullRef>
                </c:ext>
              </c:extLst>
              <c:f>('PSUT_2012-20JJ__I'!$E$98:$K$98,'PSUT_2012-20JJ__I'!$T$98:$U$98,'PSUT_2012-20JJ__I'!$Z$98)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P. Education</c:v>
                </c:pt>
                <c:pt idx="8">
                  <c:v>Q. Human health and social work activities </c:v>
                </c:pt>
                <c:pt idx="9">
                  <c:v>Households</c:v>
                </c:pt>
              </c:strCache>
            </c:strRef>
          </c:cat>
          <c:val>
            <c:numRef>
              <c:extLst>
                <c:ext xmlns:c15="http://schemas.microsoft.com/office/drawing/2012/chart" uri="{02D57815-91ED-43cb-92C2-25804820EDAC}">
                  <c15:fullRef>
                    <c15:sqref>'PSUT_2012-20JJ__I'!$E$120:$Z$120</c15:sqref>
                  </c15:fullRef>
                </c:ext>
              </c:extLst>
              <c:f>('PSUT_2012-20JJ__I'!$E$120:$K$120,'PSUT_2012-20JJ__I'!$T$120:$U$120,'PSUT_2012-20JJ__I'!$Z$120)</c:f>
              <c:numCache>
                <c:formatCode>#,##0</c:formatCode>
                <c:ptCount val="10"/>
                <c:pt idx="0">
                  <c:v>13829.735230138118</c:v>
                </c:pt>
                <c:pt idx="1">
                  <c:v>63.788130000000002</c:v>
                </c:pt>
                <c:pt idx="2">
                  <c:v>8765.0769351488561</c:v>
                </c:pt>
                <c:pt idx="3">
                  <c:v>0</c:v>
                </c:pt>
                <c:pt idx="4">
                  <c:v>11984.855520749015</c:v>
                </c:pt>
                <c:pt idx="5">
                  <c:v>0</c:v>
                </c:pt>
                <c:pt idx="6">
                  <c:v>0</c:v>
                </c:pt>
                <c:pt idx="7">
                  <c:v>133.11539999999999</c:v>
                </c:pt>
                <c:pt idx="8">
                  <c:v>90.790815573770487</c:v>
                </c:pt>
                <c:pt idx="9">
                  <c:v>28583.454990487178</c:v>
                </c:pt>
              </c:numCache>
            </c:numRef>
          </c:val>
          <c:extLst xmlns:c16r2="http://schemas.microsoft.com/office/drawing/2015/06/chart">
            <c:ext xmlns:c16="http://schemas.microsoft.com/office/drawing/2014/chart" uri="{C3380CC4-5D6E-409C-BE32-E72D297353CC}">
              <c16:uniqueId val="{00000000-7508-492B-8220-0CDBF29C55BD}"/>
            </c:ext>
          </c:extLst>
        </c:ser>
        <c:ser>
          <c:idx val="1"/>
          <c:order val="1"/>
          <c:tx>
            <c:strRef>
              <c:f>'PSUT_2012-20JJ__I'!$A$121</c:f>
              <c:strCache>
                <c:ptCount val="1"/>
                <c:pt idx="0">
                  <c:v>2013</c:v>
                </c:pt>
              </c:strCache>
            </c:strRef>
          </c:tx>
          <c:spPr>
            <a:solidFill>
              <a:schemeClr val="accent2"/>
            </a:solidFill>
            <a:ln>
              <a:noFill/>
            </a:ln>
            <a:effectLst/>
          </c:spPr>
          <c:invertIfNegative val="0"/>
          <c:cat>
            <c:strRef>
              <c:extLst>
                <c:ext xmlns:c15="http://schemas.microsoft.com/office/drawing/2012/chart" uri="{02D57815-91ED-43cb-92C2-25804820EDAC}">
                  <c15:fullRef>
                    <c15:sqref>'PSUT_2012-20JJ__I'!$E$98:$Z$98</c15:sqref>
                  </c15:fullRef>
                </c:ext>
              </c:extLst>
              <c:f>('PSUT_2012-20JJ__I'!$E$98:$K$98,'PSUT_2012-20JJ__I'!$T$98:$U$98,'PSUT_2012-20JJ__I'!$Z$98)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P. Education</c:v>
                </c:pt>
                <c:pt idx="8">
                  <c:v>Q. Human health and social work activities </c:v>
                </c:pt>
                <c:pt idx="9">
                  <c:v>Households</c:v>
                </c:pt>
              </c:strCache>
            </c:strRef>
          </c:cat>
          <c:val>
            <c:numRef>
              <c:extLst>
                <c:ext xmlns:c15="http://schemas.microsoft.com/office/drawing/2012/chart" uri="{02D57815-91ED-43cb-92C2-25804820EDAC}">
                  <c15:fullRef>
                    <c15:sqref>'PSUT_2012-20JJ__I'!$E$121:$Z$121</c15:sqref>
                  </c15:fullRef>
                </c:ext>
              </c:extLst>
              <c:f>('PSUT_2012-20JJ__I'!$E$121:$K$121,'PSUT_2012-20JJ__I'!$T$121:$U$121,'PSUT_2012-20JJ__I'!$Z$121)</c:f>
              <c:numCache>
                <c:formatCode>#,##0</c:formatCode>
                <c:ptCount val="10"/>
                <c:pt idx="0">
                  <c:v>13877.667157826309</c:v>
                </c:pt>
                <c:pt idx="1">
                  <c:v>63.788130000000002</c:v>
                </c:pt>
                <c:pt idx="2">
                  <c:v>8882.8601606260054</c:v>
                </c:pt>
                <c:pt idx="3">
                  <c:v>0</c:v>
                </c:pt>
                <c:pt idx="4">
                  <c:v>12044.779798352758</c:v>
                </c:pt>
                <c:pt idx="5">
                  <c:v>0</c:v>
                </c:pt>
                <c:pt idx="6">
                  <c:v>0</c:v>
                </c:pt>
                <c:pt idx="7">
                  <c:v>133.11539999999999</c:v>
                </c:pt>
                <c:pt idx="8">
                  <c:v>90.790815573770487</c:v>
                </c:pt>
                <c:pt idx="9">
                  <c:v>28781.255054329034</c:v>
                </c:pt>
              </c:numCache>
            </c:numRef>
          </c:val>
          <c:extLst xmlns:c16r2="http://schemas.microsoft.com/office/drawing/2015/06/chart">
            <c:ext xmlns:c16="http://schemas.microsoft.com/office/drawing/2014/chart" uri="{C3380CC4-5D6E-409C-BE32-E72D297353CC}">
              <c16:uniqueId val="{00000001-7508-492B-8220-0CDBF29C55BD}"/>
            </c:ext>
          </c:extLst>
        </c:ser>
        <c:ser>
          <c:idx val="2"/>
          <c:order val="2"/>
          <c:tx>
            <c:strRef>
              <c:f>'PSUT_2012-20JJ__I'!$A$122</c:f>
              <c:strCache>
                <c:ptCount val="1"/>
                <c:pt idx="0">
                  <c:v>2014</c:v>
                </c:pt>
              </c:strCache>
            </c:strRef>
          </c:tx>
          <c:spPr>
            <a:solidFill>
              <a:schemeClr val="accent3"/>
            </a:solidFill>
            <a:ln>
              <a:noFill/>
            </a:ln>
            <a:effectLst/>
          </c:spPr>
          <c:invertIfNegative val="0"/>
          <c:cat>
            <c:strRef>
              <c:extLst>
                <c:ext xmlns:c15="http://schemas.microsoft.com/office/drawing/2012/chart" uri="{02D57815-91ED-43cb-92C2-25804820EDAC}">
                  <c15:fullRef>
                    <c15:sqref>'PSUT_2012-20JJ__I'!$E$98:$Z$98</c15:sqref>
                  </c15:fullRef>
                </c:ext>
              </c:extLst>
              <c:f>('PSUT_2012-20JJ__I'!$E$98:$K$98,'PSUT_2012-20JJ__I'!$T$98:$U$98,'PSUT_2012-20JJ__I'!$Z$98)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P. Education</c:v>
                </c:pt>
                <c:pt idx="8">
                  <c:v>Q. Human health and social work activities </c:v>
                </c:pt>
                <c:pt idx="9">
                  <c:v>Households</c:v>
                </c:pt>
              </c:strCache>
            </c:strRef>
          </c:cat>
          <c:val>
            <c:numRef>
              <c:extLst>
                <c:ext xmlns:c15="http://schemas.microsoft.com/office/drawing/2012/chart" uri="{02D57815-91ED-43cb-92C2-25804820EDAC}">
                  <c15:fullRef>
                    <c15:sqref>'PSUT_2012-20JJ__I'!$E$122:$Z$122</c15:sqref>
                  </c15:fullRef>
                </c:ext>
              </c:extLst>
              <c:f>('PSUT_2012-20JJ__I'!$E$122:$K$122,'PSUT_2012-20JJ__I'!$T$122:$U$122,'PSUT_2012-20JJ__I'!$Z$122)</c:f>
              <c:numCache>
                <c:formatCode>#,##0</c:formatCode>
                <c:ptCount val="10"/>
                <c:pt idx="0">
                  <c:v>13925.838745152938</c:v>
                </c:pt>
                <c:pt idx="1">
                  <c:v>63.788130000000002</c:v>
                </c:pt>
                <c:pt idx="2">
                  <c:v>9002.7114590465681</c:v>
                </c:pt>
                <c:pt idx="3">
                  <c:v>0</c:v>
                </c:pt>
                <c:pt idx="4">
                  <c:v>12105.003697344522</c:v>
                </c:pt>
                <c:pt idx="5">
                  <c:v>0</c:v>
                </c:pt>
                <c:pt idx="6">
                  <c:v>0</c:v>
                </c:pt>
                <c:pt idx="7">
                  <c:v>133.11539999999999</c:v>
                </c:pt>
                <c:pt idx="8">
                  <c:v>90.790815573770487</c:v>
                </c:pt>
                <c:pt idx="9">
                  <c:v>28981.141774267882</c:v>
                </c:pt>
              </c:numCache>
            </c:numRef>
          </c:val>
          <c:extLst xmlns:c16r2="http://schemas.microsoft.com/office/drawing/2015/06/chart">
            <c:ext xmlns:c16="http://schemas.microsoft.com/office/drawing/2014/chart" uri="{C3380CC4-5D6E-409C-BE32-E72D297353CC}">
              <c16:uniqueId val="{00000002-7508-492B-8220-0CDBF29C55BD}"/>
            </c:ext>
          </c:extLst>
        </c:ser>
        <c:ser>
          <c:idx val="3"/>
          <c:order val="3"/>
          <c:tx>
            <c:strRef>
              <c:f>'PSUT_2012-20JJ__I'!$A$123</c:f>
              <c:strCache>
                <c:ptCount val="1"/>
                <c:pt idx="0">
                  <c:v>2015</c:v>
                </c:pt>
              </c:strCache>
            </c:strRef>
          </c:tx>
          <c:spPr>
            <a:solidFill>
              <a:schemeClr val="accent4"/>
            </a:solidFill>
            <a:ln>
              <a:noFill/>
            </a:ln>
            <a:effectLst/>
          </c:spPr>
          <c:invertIfNegative val="0"/>
          <c:cat>
            <c:strRef>
              <c:extLst>
                <c:ext xmlns:c15="http://schemas.microsoft.com/office/drawing/2012/chart" uri="{02D57815-91ED-43cb-92C2-25804820EDAC}">
                  <c15:fullRef>
                    <c15:sqref>'PSUT_2012-20JJ__I'!$E$98:$Z$98</c15:sqref>
                  </c15:fullRef>
                </c:ext>
              </c:extLst>
              <c:f>('PSUT_2012-20JJ__I'!$E$98:$K$98,'PSUT_2012-20JJ__I'!$T$98:$U$98,'PSUT_2012-20JJ__I'!$Z$98)</c:f>
              <c:strCache>
                <c:ptCount val="10"/>
                <c:pt idx="0">
                  <c:v>A. Agriculture, forestry and fishing </c:v>
                </c:pt>
                <c:pt idx="1">
                  <c:v>B. Mining and Quarrying </c:v>
                </c:pt>
                <c:pt idx="2">
                  <c:v>C. Manufacturing</c:v>
                </c:pt>
                <c:pt idx="3">
                  <c:v>D. Electricity, gas, steam and air conditioning supply</c:v>
                </c:pt>
                <c:pt idx="4">
                  <c:v>E. Water supply (WASAC &amp; AquaVirunga)</c:v>
                </c:pt>
                <c:pt idx="5">
                  <c:v>F. Construction</c:v>
                </c:pt>
                <c:pt idx="6">
                  <c:v>G. Wholesale and retail trade; repair of motor vehicles and motorcycles</c:v>
                </c:pt>
                <c:pt idx="7">
                  <c:v>P. Education</c:v>
                </c:pt>
                <c:pt idx="8">
                  <c:v>Q. Human health and social work activities </c:v>
                </c:pt>
                <c:pt idx="9">
                  <c:v>Households</c:v>
                </c:pt>
              </c:strCache>
            </c:strRef>
          </c:cat>
          <c:val>
            <c:numRef>
              <c:extLst>
                <c:ext xmlns:c15="http://schemas.microsoft.com/office/drawing/2012/chart" uri="{02D57815-91ED-43cb-92C2-25804820EDAC}">
                  <c15:fullRef>
                    <c15:sqref>'PSUT_2012-20JJ__I'!$E$123:$Z$123</c15:sqref>
                  </c15:fullRef>
                </c:ext>
              </c:extLst>
              <c:f>('PSUT_2012-20JJ__I'!$E$123:$K$123,'PSUT_2012-20JJ__I'!$T$123:$U$123,'PSUT_2012-20JJ__I'!$Z$123)</c:f>
              <c:numCache>
                <c:formatCode>#,##0</c:formatCode>
                <c:ptCount val="10"/>
                <c:pt idx="0">
                  <c:v>13974.251190416202</c:v>
                </c:pt>
                <c:pt idx="1">
                  <c:v>63.788130000000002</c:v>
                </c:pt>
                <c:pt idx="2">
                  <c:v>9124.6707539115796</c:v>
                </c:pt>
                <c:pt idx="3">
                  <c:v>0</c:v>
                </c:pt>
                <c:pt idx="4">
                  <c:v>12165.528715831242</c:v>
                </c:pt>
                <c:pt idx="5">
                  <c:v>0</c:v>
                </c:pt>
                <c:pt idx="6">
                  <c:v>0</c:v>
                </c:pt>
                <c:pt idx="7">
                  <c:v>133.11539999999999</c:v>
                </c:pt>
                <c:pt idx="8">
                  <c:v>90.790815573770487</c:v>
                </c:pt>
                <c:pt idx="9">
                  <c:v>29183.147536699777</c:v>
                </c:pt>
              </c:numCache>
            </c:numRef>
          </c:val>
          <c:extLst xmlns:c16r2="http://schemas.microsoft.com/office/drawing/2015/06/chart">
            <c:ext xmlns:c16="http://schemas.microsoft.com/office/drawing/2014/chart" uri="{C3380CC4-5D6E-409C-BE32-E72D297353CC}">
              <c16:uniqueId val="{00000003-7508-492B-8220-0CDBF29C55BD}"/>
            </c:ext>
          </c:extLst>
        </c:ser>
        <c:dLbls>
          <c:showLegendKey val="0"/>
          <c:showVal val="0"/>
          <c:showCatName val="0"/>
          <c:showSerName val="0"/>
          <c:showPercent val="0"/>
          <c:showBubbleSize val="0"/>
        </c:dLbls>
        <c:gapWidth val="219"/>
        <c:overlap val="-27"/>
        <c:axId val="-915913744"/>
        <c:axId val="-915926800"/>
      </c:barChart>
      <c:catAx>
        <c:axId val="-915913744"/>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5926800"/>
        <c:crosses val="autoZero"/>
        <c:auto val="1"/>
        <c:lblAlgn val="ctr"/>
        <c:lblOffset val="100"/>
        <c:noMultiLvlLbl val="0"/>
      </c:catAx>
      <c:valAx>
        <c:axId val="-91592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Mln m</a:t>
                </a:r>
                <a:r>
                  <a:rPr lang="en-GB" sz="1400" i="1" baseline="30000"/>
                  <a:t>3</a:t>
                </a:r>
              </a:p>
            </c:rich>
          </c:tx>
          <c:layout>
            <c:manualLayout>
              <c:xMode val="edge"/>
              <c:yMode val="edge"/>
              <c:x val="6.7254836291853692E-2"/>
              <c:y val="7.7260129717827827E-3"/>
            </c:manualLayout>
          </c:layout>
          <c:overlay val="0"/>
          <c:spPr>
            <a:noFill/>
            <a:ln>
              <a:noFill/>
            </a:ln>
            <a:effectLst/>
          </c:spPr>
          <c:txPr>
            <a:bodyPr rot="0" spcFirstLastPara="1" vertOverflow="ellipsis"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5913744"/>
        <c:crosses val="autoZero"/>
        <c:crossBetween val="between"/>
        <c:dispUnits>
          <c:builtInUnit val="thousands"/>
        </c:dispUnits>
      </c:valAx>
      <c:spPr>
        <a:noFill/>
        <a:ln>
          <a:solidFill>
            <a:schemeClr val="bg1">
              <a:lumMod val="50000"/>
            </a:schemeClr>
          </a:solidFill>
        </a:ln>
        <a:effectLst/>
      </c:spPr>
    </c:plotArea>
    <c:legend>
      <c:legendPos val="b"/>
      <c:layout>
        <c:manualLayout>
          <c:xMode val="edge"/>
          <c:yMode val="edge"/>
          <c:x val="0.49124424551173462"/>
          <c:y val="0.11281391953665366"/>
          <c:w val="0.35412564804924856"/>
          <c:h val="7.8010237921123785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Internal Renewable water resources (IRWR)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1773373588074469"/>
          <c:y val="0.17171296296296296"/>
          <c:w val="0.85171080542062316"/>
          <c:h val="0.63203517974467482"/>
        </c:manualLayout>
      </c:layout>
      <c:barChart>
        <c:barDir val="col"/>
        <c:grouping val="stacked"/>
        <c:varyColors val="0"/>
        <c:ser>
          <c:idx val="0"/>
          <c:order val="0"/>
          <c:tx>
            <c:strRef>
              <c:f>IRWR!$B$10</c:f>
              <c:strCache>
                <c:ptCount val="1"/>
                <c:pt idx="0">
                  <c:v>Total additions to stock</c:v>
                </c:pt>
              </c:strCache>
            </c:strRef>
          </c:tx>
          <c:spPr>
            <a:solidFill>
              <a:schemeClr val="accent1"/>
            </a:solidFill>
            <a:ln>
              <a:noFill/>
            </a:ln>
            <a:effectLst/>
          </c:spPr>
          <c:invertIfNegative val="0"/>
          <c:cat>
            <c:numRef>
              <c:f>IRWR!$C$4:$F$4</c:f>
              <c:numCache>
                <c:formatCode>General</c:formatCode>
                <c:ptCount val="4"/>
                <c:pt idx="0">
                  <c:v>2012</c:v>
                </c:pt>
                <c:pt idx="1">
                  <c:v>2013</c:v>
                </c:pt>
                <c:pt idx="2">
                  <c:v>2014</c:v>
                </c:pt>
                <c:pt idx="3">
                  <c:v>2015</c:v>
                </c:pt>
              </c:numCache>
            </c:numRef>
          </c:cat>
          <c:val>
            <c:numRef>
              <c:f>IRWR!$C$10:$F$10</c:f>
              <c:numCache>
                <c:formatCode>_(* #,##0.0_);_(* \(#,##0.0\);_(* "-"??_);_(@_)</c:formatCode>
                <c:ptCount val="4"/>
                <c:pt idx="0">
                  <c:v>33559.8796</c:v>
                </c:pt>
                <c:pt idx="1">
                  <c:v>31934.824999999993</c:v>
                </c:pt>
                <c:pt idx="2">
                  <c:v>31966.4306</c:v>
                </c:pt>
                <c:pt idx="3">
                  <c:v>32027.008000000002</c:v>
                </c:pt>
              </c:numCache>
            </c:numRef>
          </c:val>
          <c:extLst xmlns:c16r2="http://schemas.microsoft.com/office/drawing/2015/06/chart">
            <c:ext xmlns:c16="http://schemas.microsoft.com/office/drawing/2014/chart" uri="{C3380CC4-5D6E-409C-BE32-E72D297353CC}">
              <c16:uniqueId val="{00000000-E857-49ED-AE77-3E17FFE7B69D}"/>
            </c:ext>
          </c:extLst>
        </c:ser>
        <c:ser>
          <c:idx val="1"/>
          <c:order val="1"/>
          <c:tx>
            <c:strRef>
              <c:f>IRWR!$B$18</c:f>
              <c:strCache>
                <c:ptCount val="1"/>
                <c:pt idx="0">
                  <c:v>Total reductions in stock</c:v>
                </c:pt>
              </c:strCache>
            </c:strRef>
          </c:tx>
          <c:spPr>
            <a:solidFill>
              <a:schemeClr val="accent2"/>
            </a:solidFill>
            <a:ln>
              <a:noFill/>
            </a:ln>
            <a:effectLst/>
          </c:spPr>
          <c:invertIfNegative val="0"/>
          <c:cat>
            <c:numRef>
              <c:f>IRWR!$C$4:$F$4</c:f>
              <c:numCache>
                <c:formatCode>General</c:formatCode>
                <c:ptCount val="4"/>
                <c:pt idx="0">
                  <c:v>2012</c:v>
                </c:pt>
                <c:pt idx="1">
                  <c:v>2013</c:v>
                </c:pt>
                <c:pt idx="2">
                  <c:v>2014</c:v>
                </c:pt>
                <c:pt idx="3">
                  <c:v>2015</c:v>
                </c:pt>
              </c:numCache>
            </c:numRef>
          </c:cat>
          <c:val>
            <c:numRef>
              <c:f>IRWR!$C$18:$F$18</c:f>
              <c:numCache>
                <c:formatCode>_(* #,##0.0_);_(* \(#,##0.0\);_(* "-"??_);_(@_)</c:formatCode>
                <c:ptCount val="4"/>
                <c:pt idx="0">
                  <c:v>22750.7644</c:v>
                </c:pt>
                <c:pt idx="1">
                  <c:v>22455.7788</c:v>
                </c:pt>
                <c:pt idx="2">
                  <c:v>20891.301599999999</c:v>
                </c:pt>
                <c:pt idx="3">
                  <c:v>21620.8642</c:v>
                </c:pt>
              </c:numCache>
            </c:numRef>
          </c:val>
          <c:extLst xmlns:c16r2="http://schemas.microsoft.com/office/drawing/2015/06/chart">
            <c:ext xmlns:c16="http://schemas.microsoft.com/office/drawing/2014/chart" uri="{C3380CC4-5D6E-409C-BE32-E72D297353CC}">
              <c16:uniqueId val="{00000001-E857-49ED-AE77-3E17FFE7B69D}"/>
            </c:ext>
          </c:extLst>
        </c:ser>
        <c:ser>
          <c:idx val="2"/>
          <c:order val="2"/>
          <c:tx>
            <c:strRef>
              <c:f>IRWR!$B$20</c:f>
              <c:strCache>
                <c:ptCount val="1"/>
                <c:pt idx="0">
                  <c:v>IRWR - total balance</c:v>
                </c:pt>
              </c:strCache>
            </c:strRef>
          </c:tx>
          <c:spPr>
            <a:solidFill>
              <a:schemeClr val="accent3"/>
            </a:solidFill>
            <a:ln>
              <a:noFill/>
            </a:ln>
            <a:effectLst/>
          </c:spPr>
          <c:invertIfNegative val="0"/>
          <c:cat>
            <c:numRef>
              <c:f>IRWR!$C$4:$F$4</c:f>
              <c:numCache>
                <c:formatCode>General</c:formatCode>
                <c:ptCount val="4"/>
                <c:pt idx="0">
                  <c:v>2012</c:v>
                </c:pt>
                <c:pt idx="1">
                  <c:v>2013</c:v>
                </c:pt>
                <c:pt idx="2">
                  <c:v>2014</c:v>
                </c:pt>
                <c:pt idx="3">
                  <c:v>2015</c:v>
                </c:pt>
              </c:numCache>
            </c:numRef>
          </c:cat>
          <c:val>
            <c:numRef>
              <c:f>IRWR!$C$20:$F$20</c:f>
              <c:numCache>
                <c:formatCode>_(* #,##0.0_);_(* \(#,##0.0\);_(* "-"??_);_(@_)</c:formatCode>
                <c:ptCount val="4"/>
                <c:pt idx="0">
                  <c:v>10809.1152</c:v>
                </c:pt>
                <c:pt idx="1">
                  <c:v>9479.0461999999934</c:v>
                </c:pt>
                <c:pt idx="2">
                  <c:v>11075.129000000001</c:v>
                </c:pt>
                <c:pt idx="3">
                  <c:v>10406.143800000002</c:v>
                </c:pt>
              </c:numCache>
            </c:numRef>
          </c:val>
          <c:extLst xmlns:c16r2="http://schemas.microsoft.com/office/drawing/2015/06/chart">
            <c:ext xmlns:c16="http://schemas.microsoft.com/office/drawing/2014/chart" uri="{C3380CC4-5D6E-409C-BE32-E72D297353CC}">
              <c16:uniqueId val="{00000002-E857-49ED-AE77-3E17FFE7B69D}"/>
            </c:ext>
          </c:extLst>
        </c:ser>
        <c:dLbls>
          <c:showLegendKey val="0"/>
          <c:showVal val="0"/>
          <c:showCatName val="0"/>
          <c:showSerName val="0"/>
          <c:showPercent val="0"/>
          <c:showBubbleSize val="0"/>
        </c:dLbls>
        <c:gapWidth val="150"/>
        <c:overlap val="100"/>
        <c:axId val="-913393392"/>
        <c:axId val="-913391760"/>
      </c:barChart>
      <c:catAx>
        <c:axId val="-91339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91760"/>
        <c:crosses val="autoZero"/>
        <c:auto val="1"/>
        <c:lblAlgn val="ctr"/>
        <c:lblOffset val="100"/>
        <c:noMultiLvlLbl val="0"/>
      </c:catAx>
      <c:valAx>
        <c:axId val="-913391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1" u="none" strike="noStrike" kern="1200" baseline="0">
                    <a:solidFill>
                      <a:schemeClr val="tx1"/>
                    </a:solidFill>
                    <a:latin typeface="+mn-lt"/>
                    <a:ea typeface="+mn-ea"/>
                    <a:cs typeface="+mn-cs"/>
                  </a:defRPr>
                </a:pPr>
                <a:r>
                  <a:rPr lang="en-GB" i="1"/>
                  <a:t>MCM</a:t>
                </a:r>
              </a:p>
            </c:rich>
          </c:tx>
          <c:layout>
            <c:manualLayout>
              <c:xMode val="edge"/>
              <c:yMode val="edge"/>
              <c:x val="8.3227116919475277E-2"/>
              <c:y val="9.9144335536762718E-2"/>
            </c:manualLayout>
          </c:layout>
          <c:overlay val="0"/>
          <c:spPr>
            <a:noFill/>
            <a:ln>
              <a:noFill/>
            </a:ln>
            <a:effectLst/>
          </c:spPr>
          <c:txPr>
            <a:bodyPr rot="0" spcFirstLastPara="1" vertOverflow="ellipsis" wrap="square" anchor="ctr" anchorCtr="1"/>
            <a:lstStyle/>
            <a:p>
              <a:pPr>
                <a:defRPr sz="1000" b="0" i="1" u="none" strike="noStrike" kern="1200" baseline="0">
                  <a:solidFill>
                    <a:schemeClr val="tx1"/>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93392"/>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Internal Renewable water resources (IRWR)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1773373588074469"/>
          <c:y val="0.17171296296296296"/>
          <c:w val="0.85171080542062316"/>
          <c:h val="0.63203517974467482"/>
        </c:manualLayout>
      </c:layout>
      <c:barChart>
        <c:barDir val="col"/>
        <c:grouping val="stacked"/>
        <c:varyColors val="0"/>
        <c:ser>
          <c:idx val="0"/>
          <c:order val="0"/>
          <c:tx>
            <c:strRef>
              <c:f>IRWR!$B$7</c:f>
              <c:strCache>
                <c:ptCount val="1"/>
                <c:pt idx="0">
                  <c:v>Precipitation</c:v>
                </c:pt>
              </c:strCache>
            </c:strRef>
          </c:tx>
          <c:spPr>
            <a:solidFill>
              <a:schemeClr val="accent1"/>
            </a:solidFill>
            <a:ln>
              <a:noFill/>
            </a:ln>
            <a:effectLst/>
          </c:spPr>
          <c:invertIfNegative val="0"/>
          <c:cat>
            <c:numRef>
              <c:f>IRWR!$C$4:$F$4</c:f>
              <c:numCache>
                <c:formatCode>General</c:formatCode>
                <c:ptCount val="4"/>
                <c:pt idx="0">
                  <c:v>2012</c:v>
                </c:pt>
                <c:pt idx="1">
                  <c:v>2013</c:v>
                </c:pt>
                <c:pt idx="2">
                  <c:v>2014</c:v>
                </c:pt>
                <c:pt idx="3">
                  <c:v>2015</c:v>
                </c:pt>
              </c:numCache>
            </c:numRef>
          </c:cat>
          <c:val>
            <c:numRef>
              <c:f>IRWR!$C$7:$F$7</c:f>
              <c:numCache>
                <c:formatCode>_(* #,##0.0_);_(* \(#,##0.0\);_(* "-"??_);_(@_)</c:formatCode>
                <c:ptCount val="4"/>
                <c:pt idx="0">
                  <c:v>33559.8796</c:v>
                </c:pt>
                <c:pt idx="1">
                  <c:v>31934.824999999993</c:v>
                </c:pt>
                <c:pt idx="2">
                  <c:v>31966.4306</c:v>
                </c:pt>
                <c:pt idx="3">
                  <c:v>32027.008000000002</c:v>
                </c:pt>
              </c:numCache>
            </c:numRef>
          </c:val>
          <c:extLst xmlns:c16r2="http://schemas.microsoft.com/office/drawing/2015/06/chart">
            <c:ext xmlns:c16="http://schemas.microsoft.com/office/drawing/2014/chart" uri="{C3380CC4-5D6E-409C-BE32-E72D297353CC}">
              <c16:uniqueId val="{00000000-E857-49ED-AE77-3E17FFE7B69D}"/>
            </c:ext>
          </c:extLst>
        </c:ser>
        <c:ser>
          <c:idx val="1"/>
          <c:order val="1"/>
          <c:tx>
            <c:strRef>
              <c:f>IRWR!$B$14</c:f>
              <c:strCache>
                <c:ptCount val="1"/>
                <c:pt idx="0">
                  <c:v>Evaporation and transpiration</c:v>
                </c:pt>
              </c:strCache>
            </c:strRef>
          </c:tx>
          <c:spPr>
            <a:solidFill>
              <a:schemeClr val="accent2"/>
            </a:solidFill>
            <a:ln>
              <a:noFill/>
            </a:ln>
            <a:effectLst/>
          </c:spPr>
          <c:invertIfNegative val="0"/>
          <c:cat>
            <c:numRef>
              <c:f>IRWR!$C$4:$F$4</c:f>
              <c:numCache>
                <c:formatCode>General</c:formatCode>
                <c:ptCount val="4"/>
                <c:pt idx="0">
                  <c:v>2012</c:v>
                </c:pt>
                <c:pt idx="1">
                  <c:v>2013</c:v>
                </c:pt>
                <c:pt idx="2">
                  <c:v>2014</c:v>
                </c:pt>
                <c:pt idx="3">
                  <c:v>2015</c:v>
                </c:pt>
              </c:numCache>
            </c:numRef>
          </c:cat>
          <c:val>
            <c:numRef>
              <c:f>IRWR!$C$14:$F$14</c:f>
              <c:numCache>
                <c:formatCode>_(* #,##0.0_);_(* \(#,##0.0\);_(* "-"??_);_(@_)</c:formatCode>
                <c:ptCount val="4"/>
                <c:pt idx="0">
                  <c:v>22750.7644</c:v>
                </c:pt>
                <c:pt idx="1">
                  <c:v>22455.7788</c:v>
                </c:pt>
                <c:pt idx="2">
                  <c:v>20891.301599999999</c:v>
                </c:pt>
                <c:pt idx="3">
                  <c:v>21620.8642</c:v>
                </c:pt>
              </c:numCache>
            </c:numRef>
          </c:val>
          <c:extLst xmlns:c16r2="http://schemas.microsoft.com/office/drawing/2015/06/chart">
            <c:ext xmlns:c16="http://schemas.microsoft.com/office/drawing/2014/chart" uri="{C3380CC4-5D6E-409C-BE32-E72D297353CC}">
              <c16:uniqueId val="{00000001-E857-49ED-AE77-3E17FFE7B69D}"/>
            </c:ext>
          </c:extLst>
        </c:ser>
        <c:ser>
          <c:idx val="2"/>
          <c:order val="2"/>
          <c:tx>
            <c:strRef>
              <c:f>IRWR!$B$20</c:f>
              <c:strCache>
                <c:ptCount val="1"/>
                <c:pt idx="0">
                  <c:v>IRWR - total balance</c:v>
                </c:pt>
              </c:strCache>
            </c:strRef>
          </c:tx>
          <c:spPr>
            <a:solidFill>
              <a:schemeClr val="accent3"/>
            </a:solidFill>
            <a:ln>
              <a:noFill/>
            </a:ln>
            <a:effectLst/>
          </c:spPr>
          <c:invertIfNegative val="0"/>
          <c:cat>
            <c:numRef>
              <c:f>IRWR!$C$4:$F$4</c:f>
              <c:numCache>
                <c:formatCode>General</c:formatCode>
                <c:ptCount val="4"/>
                <c:pt idx="0">
                  <c:v>2012</c:v>
                </c:pt>
                <c:pt idx="1">
                  <c:v>2013</c:v>
                </c:pt>
                <c:pt idx="2">
                  <c:v>2014</c:v>
                </c:pt>
                <c:pt idx="3">
                  <c:v>2015</c:v>
                </c:pt>
              </c:numCache>
            </c:numRef>
          </c:cat>
          <c:val>
            <c:numRef>
              <c:f>IRWR!$C$20:$F$20</c:f>
              <c:numCache>
                <c:formatCode>_(* #,##0.0_);_(* \(#,##0.0\);_(* "-"??_);_(@_)</c:formatCode>
                <c:ptCount val="4"/>
                <c:pt idx="0">
                  <c:v>10809.1152</c:v>
                </c:pt>
                <c:pt idx="1">
                  <c:v>9479.0461999999934</c:v>
                </c:pt>
                <c:pt idx="2">
                  <c:v>11075.129000000001</c:v>
                </c:pt>
                <c:pt idx="3">
                  <c:v>10406.143800000002</c:v>
                </c:pt>
              </c:numCache>
            </c:numRef>
          </c:val>
          <c:extLst xmlns:c16r2="http://schemas.microsoft.com/office/drawing/2015/06/chart">
            <c:ext xmlns:c16="http://schemas.microsoft.com/office/drawing/2014/chart" uri="{C3380CC4-5D6E-409C-BE32-E72D297353CC}">
              <c16:uniqueId val="{00000002-E857-49ED-AE77-3E17FFE7B69D}"/>
            </c:ext>
          </c:extLst>
        </c:ser>
        <c:dLbls>
          <c:showLegendKey val="0"/>
          <c:showVal val="0"/>
          <c:showCatName val="0"/>
          <c:showSerName val="0"/>
          <c:showPercent val="0"/>
          <c:showBubbleSize val="0"/>
        </c:dLbls>
        <c:gapWidth val="150"/>
        <c:overlap val="100"/>
        <c:axId val="-913386320"/>
        <c:axId val="-913391216"/>
      </c:barChart>
      <c:catAx>
        <c:axId val="-9133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91216"/>
        <c:crosses val="autoZero"/>
        <c:auto val="1"/>
        <c:lblAlgn val="ctr"/>
        <c:lblOffset val="100"/>
        <c:noMultiLvlLbl val="0"/>
      </c:catAx>
      <c:valAx>
        <c:axId val="-91339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1" u="none" strike="noStrike" kern="1200" baseline="0">
                    <a:solidFill>
                      <a:schemeClr val="tx1"/>
                    </a:solidFill>
                    <a:latin typeface="+mn-lt"/>
                    <a:ea typeface="+mn-ea"/>
                    <a:cs typeface="+mn-cs"/>
                  </a:defRPr>
                </a:pPr>
                <a:r>
                  <a:rPr lang="en-GB" i="1"/>
                  <a:t>MCM</a:t>
                </a:r>
              </a:p>
            </c:rich>
          </c:tx>
          <c:layout>
            <c:manualLayout>
              <c:xMode val="edge"/>
              <c:yMode val="edge"/>
              <c:x val="8.3227116919475277E-2"/>
              <c:y val="9.9144335536762718E-2"/>
            </c:manualLayout>
          </c:layout>
          <c:overlay val="0"/>
          <c:spPr>
            <a:noFill/>
            <a:ln>
              <a:noFill/>
            </a:ln>
            <a:effectLst/>
          </c:spPr>
          <c:txPr>
            <a:bodyPr rot="0" spcFirstLastPara="1" vertOverflow="ellipsis" wrap="square" anchor="ctr" anchorCtr="1"/>
            <a:lstStyle/>
            <a:p>
              <a:pPr>
                <a:defRPr sz="1000" b="0" i="1" u="none" strike="noStrike" kern="1200" baseline="0">
                  <a:solidFill>
                    <a:schemeClr val="tx1"/>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86320"/>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Internal Renewable water resources (IRWR)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1773373588074469"/>
          <c:y val="0.15490637199761795"/>
          <c:w val="0.85171080542062316"/>
          <c:h val="0.60850578971746183"/>
        </c:manualLayout>
      </c:layout>
      <c:barChart>
        <c:barDir val="col"/>
        <c:grouping val="stacked"/>
        <c:varyColors val="0"/>
        <c:ser>
          <c:idx val="1"/>
          <c:order val="0"/>
          <c:tx>
            <c:strRef>
              <c:f>TRWR!$B$7</c:f>
              <c:strCache>
                <c:ptCount val="1"/>
                <c:pt idx="0">
                  <c:v>Precipitation</c:v>
                </c:pt>
              </c:strCache>
            </c:strRef>
          </c:tx>
          <c:spPr>
            <a:solidFill>
              <a:schemeClr val="accent2"/>
            </a:solidFill>
            <a:ln>
              <a:noFill/>
            </a:ln>
            <a:effectLst/>
          </c:spPr>
          <c:invertIfNegative val="0"/>
          <c:cat>
            <c:numRef>
              <c:f>TRWR!$C$4:$F$4</c:f>
              <c:numCache>
                <c:formatCode>General</c:formatCode>
                <c:ptCount val="4"/>
                <c:pt idx="0">
                  <c:v>2012</c:v>
                </c:pt>
                <c:pt idx="1">
                  <c:v>2013</c:v>
                </c:pt>
                <c:pt idx="2">
                  <c:v>2014</c:v>
                </c:pt>
                <c:pt idx="3">
                  <c:v>2015</c:v>
                </c:pt>
              </c:numCache>
            </c:numRef>
          </c:cat>
          <c:val>
            <c:numRef>
              <c:f>TRWR!$C$7:$F$7</c:f>
              <c:numCache>
                <c:formatCode>_(* #,##0.0_);_(* \(#,##0.0\);_(* "-"??_);_(@_)</c:formatCode>
                <c:ptCount val="4"/>
                <c:pt idx="0">
                  <c:v>33559.8796</c:v>
                </c:pt>
                <c:pt idx="1">
                  <c:v>31934.824999999993</c:v>
                </c:pt>
                <c:pt idx="2">
                  <c:v>31966.4306</c:v>
                </c:pt>
                <c:pt idx="3">
                  <c:v>32027.008000000002</c:v>
                </c:pt>
              </c:numCache>
            </c:numRef>
          </c:val>
          <c:extLst xmlns:c16r2="http://schemas.microsoft.com/office/drawing/2015/06/chart">
            <c:ext xmlns:c16="http://schemas.microsoft.com/office/drawing/2014/chart" uri="{C3380CC4-5D6E-409C-BE32-E72D297353CC}">
              <c16:uniqueId val="{00000001-8ECA-4727-B929-240064E2CEB3}"/>
            </c:ext>
          </c:extLst>
        </c:ser>
        <c:ser>
          <c:idx val="2"/>
          <c:order val="1"/>
          <c:tx>
            <c:strRef>
              <c:f>TRWR!$B$8</c:f>
              <c:strCache>
                <c:ptCount val="1"/>
                <c:pt idx="0">
                  <c:v>Inflows from other territories</c:v>
                </c:pt>
              </c:strCache>
            </c:strRef>
          </c:tx>
          <c:spPr>
            <a:solidFill>
              <a:schemeClr val="accent3"/>
            </a:solidFill>
            <a:ln>
              <a:noFill/>
            </a:ln>
            <a:effectLst/>
          </c:spPr>
          <c:invertIfNegative val="0"/>
          <c:cat>
            <c:numRef>
              <c:f>TRWR!$C$4:$F$4</c:f>
              <c:numCache>
                <c:formatCode>General</c:formatCode>
                <c:ptCount val="4"/>
                <c:pt idx="0">
                  <c:v>2012</c:v>
                </c:pt>
                <c:pt idx="1">
                  <c:v>2013</c:v>
                </c:pt>
                <c:pt idx="2">
                  <c:v>2014</c:v>
                </c:pt>
                <c:pt idx="3">
                  <c:v>2015</c:v>
                </c:pt>
              </c:numCache>
            </c:numRef>
          </c:cat>
          <c:val>
            <c:numRef>
              <c:f>TRWR!$C$8:$F$8</c:f>
              <c:numCache>
                <c:formatCode>_(* #,##0.0_);_(* \(#,##0.0\);_(* "-"??_);_(@_)</c:formatCode>
                <c:ptCount val="4"/>
                <c:pt idx="0">
                  <c:v>850.20267600000011</c:v>
                </c:pt>
                <c:pt idx="1">
                  <c:v>850.20267600000011</c:v>
                </c:pt>
                <c:pt idx="2">
                  <c:v>850.20267600000011</c:v>
                </c:pt>
                <c:pt idx="3">
                  <c:v>850.20267600000011</c:v>
                </c:pt>
              </c:numCache>
            </c:numRef>
          </c:val>
          <c:extLst xmlns:c16r2="http://schemas.microsoft.com/office/drawing/2015/06/chart">
            <c:ext xmlns:c16="http://schemas.microsoft.com/office/drawing/2014/chart" uri="{C3380CC4-5D6E-409C-BE32-E72D297353CC}">
              <c16:uniqueId val="{00000002-8ECA-4727-B929-240064E2CEB3}"/>
            </c:ext>
          </c:extLst>
        </c:ser>
        <c:ser>
          <c:idx val="3"/>
          <c:order val="2"/>
          <c:tx>
            <c:strRef>
              <c:f>TRWR!$B$14</c:f>
              <c:strCache>
                <c:ptCount val="1"/>
                <c:pt idx="0">
                  <c:v>Evaporation and transpiration</c:v>
                </c:pt>
              </c:strCache>
            </c:strRef>
          </c:tx>
          <c:spPr>
            <a:solidFill>
              <a:schemeClr val="accent4"/>
            </a:solidFill>
            <a:ln>
              <a:noFill/>
            </a:ln>
            <a:effectLst/>
          </c:spPr>
          <c:invertIfNegative val="0"/>
          <c:cat>
            <c:numRef>
              <c:f>TRWR!$C$4:$F$4</c:f>
              <c:numCache>
                <c:formatCode>General</c:formatCode>
                <c:ptCount val="4"/>
                <c:pt idx="0">
                  <c:v>2012</c:v>
                </c:pt>
                <c:pt idx="1">
                  <c:v>2013</c:v>
                </c:pt>
                <c:pt idx="2">
                  <c:v>2014</c:v>
                </c:pt>
                <c:pt idx="3">
                  <c:v>2015</c:v>
                </c:pt>
              </c:numCache>
            </c:numRef>
          </c:cat>
          <c:val>
            <c:numRef>
              <c:f>TRWR!$C$14:$F$14</c:f>
              <c:numCache>
                <c:formatCode>_(* #,##0.0_);_(* \(#,##0.0\);_(* "-"??_);_(@_)</c:formatCode>
                <c:ptCount val="4"/>
                <c:pt idx="0">
                  <c:v>22750.7644</c:v>
                </c:pt>
                <c:pt idx="1">
                  <c:v>22455.7788</c:v>
                </c:pt>
                <c:pt idx="2">
                  <c:v>20891.301599999999</c:v>
                </c:pt>
                <c:pt idx="3">
                  <c:v>21620.8642</c:v>
                </c:pt>
              </c:numCache>
            </c:numRef>
          </c:val>
          <c:extLst xmlns:c16r2="http://schemas.microsoft.com/office/drawing/2015/06/chart">
            <c:ext xmlns:c16="http://schemas.microsoft.com/office/drawing/2014/chart" uri="{C3380CC4-5D6E-409C-BE32-E72D297353CC}">
              <c16:uniqueId val="{00000003-8ECA-4727-B929-240064E2CEB3}"/>
            </c:ext>
          </c:extLst>
        </c:ser>
        <c:ser>
          <c:idx val="4"/>
          <c:order val="3"/>
          <c:tx>
            <c:strRef>
              <c:f>TRWR!$B$20</c:f>
              <c:strCache>
                <c:ptCount val="1"/>
                <c:pt idx="0">
                  <c:v>TRWR - total balance</c:v>
                </c:pt>
              </c:strCache>
            </c:strRef>
          </c:tx>
          <c:spPr>
            <a:solidFill>
              <a:schemeClr val="accent5"/>
            </a:solidFill>
            <a:ln>
              <a:noFill/>
            </a:ln>
            <a:effectLst/>
          </c:spPr>
          <c:invertIfNegative val="0"/>
          <c:cat>
            <c:numRef>
              <c:f>TRWR!$C$4:$F$4</c:f>
              <c:numCache>
                <c:formatCode>General</c:formatCode>
                <c:ptCount val="4"/>
                <c:pt idx="0">
                  <c:v>2012</c:v>
                </c:pt>
                <c:pt idx="1">
                  <c:v>2013</c:v>
                </c:pt>
                <c:pt idx="2">
                  <c:v>2014</c:v>
                </c:pt>
                <c:pt idx="3">
                  <c:v>2015</c:v>
                </c:pt>
              </c:numCache>
            </c:numRef>
          </c:cat>
          <c:val>
            <c:numRef>
              <c:f>TRWR!$C$20:$F$20</c:f>
              <c:numCache>
                <c:formatCode>_(* #,##0.0_);_(* \(#,##0.0\);_(* "-"??_);_(@_)</c:formatCode>
                <c:ptCount val="4"/>
                <c:pt idx="0">
                  <c:v>11659.317876000001</c:v>
                </c:pt>
                <c:pt idx="1">
                  <c:v>10329.248875999991</c:v>
                </c:pt>
                <c:pt idx="2">
                  <c:v>11925.331676000002</c:v>
                </c:pt>
                <c:pt idx="3">
                  <c:v>11256.346476000002</c:v>
                </c:pt>
              </c:numCache>
            </c:numRef>
          </c:val>
          <c:extLst xmlns:c16r2="http://schemas.microsoft.com/office/drawing/2015/06/chart">
            <c:ext xmlns:c16="http://schemas.microsoft.com/office/drawing/2014/chart" uri="{C3380CC4-5D6E-409C-BE32-E72D297353CC}">
              <c16:uniqueId val="{00000004-8ECA-4727-B929-240064E2CEB3}"/>
            </c:ext>
          </c:extLst>
        </c:ser>
        <c:dLbls>
          <c:showLegendKey val="0"/>
          <c:showVal val="0"/>
          <c:showCatName val="0"/>
          <c:showSerName val="0"/>
          <c:showPercent val="0"/>
          <c:showBubbleSize val="0"/>
        </c:dLbls>
        <c:gapWidth val="150"/>
        <c:overlap val="100"/>
        <c:axId val="-913384688"/>
        <c:axId val="-913381424"/>
      </c:barChart>
      <c:catAx>
        <c:axId val="-91338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Year</a:t>
                </a:r>
              </a:p>
            </c:rich>
          </c:tx>
          <c:layout>
            <c:manualLayout>
              <c:xMode val="edge"/>
              <c:yMode val="edge"/>
              <c:x val="0.5159122275131196"/>
              <c:y val="0.824582809501753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81424"/>
        <c:crosses val="autoZero"/>
        <c:auto val="1"/>
        <c:lblAlgn val="ctr"/>
        <c:lblOffset val="100"/>
        <c:noMultiLvlLbl val="0"/>
      </c:catAx>
      <c:valAx>
        <c:axId val="-913381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1" u="none" strike="noStrike" kern="1200" baseline="0">
                    <a:solidFill>
                      <a:schemeClr val="tx1"/>
                    </a:solidFill>
                    <a:latin typeface="+mn-lt"/>
                    <a:ea typeface="+mn-ea"/>
                    <a:cs typeface="+mn-cs"/>
                  </a:defRPr>
                </a:pPr>
                <a:r>
                  <a:rPr lang="en-GB" i="1"/>
                  <a:t>MCM</a:t>
                </a:r>
              </a:p>
            </c:rich>
          </c:tx>
          <c:layout>
            <c:manualLayout>
              <c:xMode val="edge"/>
              <c:yMode val="edge"/>
              <c:x val="8.3227116919475277E-2"/>
              <c:y val="8.23375901541719E-2"/>
            </c:manualLayout>
          </c:layout>
          <c:overlay val="0"/>
          <c:spPr>
            <a:noFill/>
            <a:ln>
              <a:noFill/>
            </a:ln>
            <a:effectLst/>
          </c:spPr>
          <c:txPr>
            <a:bodyPr rot="0" spcFirstLastPara="1" vertOverflow="ellipsis" wrap="square" anchor="ctr" anchorCtr="1"/>
            <a:lstStyle/>
            <a:p>
              <a:pPr>
                <a:defRPr sz="1000" b="0" i="1" u="none" strike="noStrike" kern="1200" baseline="0">
                  <a:solidFill>
                    <a:schemeClr val="tx1"/>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84688"/>
        <c:crosses val="autoZero"/>
        <c:crossBetween val="between"/>
      </c:valAx>
      <c:spPr>
        <a:noFill/>
        <a:ln>
          <a:solidFill>
            <a:schemeClr val="bg1">
              <a:lumMod val="65000"/>
            </a:schemeClr>
          </a:solidFill>
        </a:ln>
        <a:effectLst/>
      </c:spPr>
    </c:plotArea>
    <c:legend>
      <c:legendPos val="b"/>
      <c:layout>
        <c:manualLayout>
          <c:xMode val="edge"/>
          <c:yMode val="edge"/>
          <c:x val="0.15343979485041143"/>
          <c:y val="0.8753232316548667"/>
          <c:w val="0.77342616181184631"/>
          <c:h val="0.1112313901938728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Internal Renewable water resources (IRWR)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1773373588074469"/>
          <c:y val="0.15490637199761795"/>
          <c:w val="0.85171080542062316"/>
          <c:h val="0.60850578971746183"/>
        </c:manualLayout>
      </c:layout>
      <c:barChart>
        <c:barDir val="col"/>
        <c:grouping val="stacked"/>
        <c:varyColors val="0"/>
        <c:ser>
          <c:idx val="1"/>
          <c:order val="0"/>
          <c:tx>
            <c:strRef>
              <c:f>TRWR!$B$10</c:f>
              <c:strCache>
                <c:ptCount val="1"/>
                <c:pt idx="0">
                  <c:v>Total additions to stock</c:v>
                </c:pt>
              </c:strCache>
            </c:strRef>
          </c:tx>
          <c:spPr>
            <a:solidFill>
              <a:schemeClr val="accent2"/>
            </a:solidFill>
            <a:ln>
              <a:noFill/>
            </a:ln>
            <a:effectLst/>
          </c:spPr>
          <c:invertIfNegative val="0"/>
          <c:cat>
            <c:numRef>
              <c:f>TRWR!$C$4:$F$4</c:f>
              <c:numCache>
                <c:formatCode>General</c:formatCode>
                <c:ptCount val="4"/>
                <c:pt idx="0">
                  <c:v>2012</c:v>
                </c:pt>
                <c:pt idx="1">
                  <c:v>2013</c:v>
                </c:pt>
                <c:pt idx="2">
                  <c:v>2014</c:v>
                </c:pt>
                <c:pt idx="3">
                  <c:v>2015</c:v>
                </c:pt>
              </c:numCache>
            </c:numRef>
          </c:cat>
          <c:val>
            <c:numRef>
              <c:f>TRWR!$C$10:$F$10</c:f>
              <c:numCache>
                <c:formatCode>_(* #,##0.0_);_(* \(#,##0.0\);_(* "-"??_);_(@_)</c:formatCode>
                <c:ptCount val="4"/>
                <c:pt idx="0">
                  <c:v>34410.082276000001</c:v>
                </c:pt>
                <c:pt idx="1">
                  <c:v>32785.027675999991</c:v>
                </c:pt>
                <c:pt idx="2">
                  <c:v>32816.633276</c:v>
                </c:pt>
                <c:pt idx="3">
                  <c:v>32877.210676000002</c:v>
                </c:pt>
              </c:numCache>
            </c:numRef>
          </c:val>
          <c:extLst xmlns:c16r2="http://schemas.microsoft.com/office/drawing/2015/06/chart">
            <c:ext xmlns:c16="http://schemas.microsoft.com/office/drawing/2014/chart" uri="{C3380CC4-5D6E-409C-BE32-E72D297353CC}">
              <c16:uniqueId val="{00000001-8ECA-4727-B929-240064E2CEB3}"/>
            </c:ext>
          </c:extLst>
        </c:ser>
        <c:ser>
          <c:idx val="3"/>
          <c:order val="1"/>
          <c:tx>
            <c:strRef>
              <c:f>TRWR!$B$18</c:f>
              <c:strCache>
                <c:ptCount val="1"/>
                <c:pt idx="0">
                  <c:v>Total reductions in stock</c:v>
                </c:pt>
              </c:strCache>
            </c:strRef>
          </c:tx>
          <c:spPr>
            <a:solidFill>
              <a:schemeClr val="accent4"/>
            </a:solidFill>
            <a:ln>
              <a:noFill/>
            </a:ln>
            <a:effectLst/>
          </c:spPr>
          <c:invertIfNegative val="0"/>
          <c:cat>
            <c:numRef>
              <c:f>TRWR!$C$4:$F$4</c:f>
              <c:numCache>
                <c:formatCode>General</c:formatCode>
                <c:ptCount val="4"/>
                <c:pt idx="0">
                  <c:v>2012</c:v>
                </c:pt>
                <c:pt idx="1">
                  <c:v>2013</c:v>
                </c:pt>
                <c:pt idx="2">
                  <c:v>2014</c:v>
                </c:pt>
                <c:pt idx="3">
                  <c:v>2015</c:v>
                </c:pt>
              </c:numCache>
            </c:numRef>
          </c:cat>
          <c:val>
            <c:numRef>
              <c:f>TRWR!$C$18:$F$18</c:f>
              <c:numCache>
                <c:formatCode>_(* #,##0.0_);_(* \(#,##0.0\);_(* "-"??_);_(@_)</c:formatCode>
                <c:ptCount val="4"/>
                <c:pt idx="0">
                  <c:v>22750.7644</c:v>
                </c:pt>
                <c:pt idx="1">
                  <c:v>22455.7788</c:v>
                </c:pt>
                <c:pt idx="2">
                  <c:v>20891.301599999999</c:v>
                </c:pt>
                <c:pt idx="3">
                  <c:v>21620.8642</c:v>
                </c:pt>
              </c:numCache>
            </c:numRef>
          </c:val>
          <c:extLst xmlns:c16r2="http://schemas.microsoft.com/office/drawing/2015/06/chart">
            <c:ext xmlns:c16="http://schemas.microsoft.com/office/drawing/2014/chart" uri="{C3380CC4-5D6E-409C-BE32-E72D297353CC}">
              <c16:uniqueId val="{00000003-8ECA-4727-B929-240064E2CEB3}"/>
            </c:ext>
          </c:extLst>
        </c:ser>
        <c:ser>
          <c:idx val="4"/>
          <c:order val="2"/>
          <c:tx>
            <c:strRef>
              <c:f>TRWR!$B$20</c:f>
              <c:strCache>
                <c:ptCount val="1"/>
                <c:pt idx="0">
                  <c:v>TRWR - total balance</c:v>
                </c:pt>
              </c:strCache>
            </c:strRef>
          </c:tx>
          <c:spPr>
            <a:solidFill>
              <a:schemeClr val="accent5"/>
            </a:solidFill>
            <a:ln>
              <a:noFill/>
            </a:ln>
            <a:effectLst/>
          </c:spPr>
          <c:invertIfNegative val="0"/>
          <c:cat>
            <c:numRef>
              <c:f>TRWR!$C$4:$F$4</c:f>
              <c:numCache>
                <c:formatCode>General</c:formatCode>
                <c:ptCount val="4"/>
                <c:pt idx="0">
                  <c:v>2012</c:v>
                </c:pt>
                <c:pt idx="1">
                  <c:v>2013</c:v>
                </c:pt>
                <c:pt idx="2">
                  <c:v>2014</c:v>
                </c:pt>
                <c:pt idx="3">
                  <c:v>2015</c:v>
                </c:pt>
              </c:numCache>
            </c:numRef>
          </c:cat>
          <c:val>
            <c:numRef>
              <c:f>TRWR!$C$20:$F$20</c:f>
              <c:numCache>
                <c:formatCode>_(* #,##0.0_);_(* \(#,##0.0\);_(* "-"??_);_(@_)</c:formatCode>
                <c:ptCount val="4"/>
                <c:pt idx="0">
                  <c:v>11659.317876000001</c:v>
                </c:pt>
                <c:pt idx="1">
                  <c:v>10329.248875999991</c:v>
                </c:pt>
                <c:pt idx="2">
                  <c:v>11925.331676000002</c:v>
                </c:pt>
                <c:pt idx="3">
                  <c:v>11256.346476000002</c:v>
                </c:pt>
              </c:numCache>
            </c:numRef>
          </c:val>
          <c:extLst xmlns:c16r2="http://schemas.microsoft.com/office/drawing/2015/06/chart">
            <c:ext xmlns:c16="http://schemas.microsoft.com/office/drawing/2014/chart" uri="{C3380CC4-5D6E-409C-BE32-E72D297353CC}">
              <c16:uniqueId val="{00000004-8ECA-4727-B929-240064E2CEB3}"/>
            </c:ext>
          </c:extLst>
        </c:ser>
        <c:dLbls>
          <c:showLegendKey val="0"/>
          <c:showVal val="0"/>
          <c:showCatName val="0"/>
          <c:showSerName val="0"/>
          <c:showPercent val="0"/>
          <c:showBubbleSize val="0"/>
        </c:dLbls>
        <c:gapWidth val="150"/>
        <c:overlap val="100"/>
        <c:axId val="-913380336"/>
        <c:axId val="-913389040"/>
      </c:barChart>
      <c:catAx>
        <c:axId val="-913380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Year</a:t>
                </a:r>
              </a:p>
            </c:rich>
          </c:tx>
          <c:layout>
            <c:manualLayout>
              <c:xMode val="edge"/>
              <c:yMode val="edge"/>
              <c:x val="0.5159122275131196"/>
              <c:y val="0.824582809501753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89040"/>
        <c:crosses val="autoZero"/>
        <c:auto val="1"/>
        <c:lblAlgn val="ctr"/>
        <c:lblOffset val="100"/>
        <c:noMultiLvlLbl val="0"/>
      </c:catAx>
      <c:valAx>
        <c:axId val="-91338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1" u="none" strike="noStrike" kern="1200" baseline="0">
                    <a:solidFill>
                      <a:schemeClr val="tx1"/>
                    </a:solidFill>
                    <a:latin typeface="+mn-lt"/>
                    <a:ea typeface="+mn-ea"/>
                    <a:cs typeface="+mn-cs"/>
                  </a:defRPr>
                </a:pPr>
                <a:r>
                  <a:rPr lang="en-GB" i="1"/>
                  <a:t>MCM</a:t>
                </a:r>
              </a:p>
            </c:rich>
          </c:tx>
          <c:layout>
            <c:manualLayout>
              <c:xMode val="edge"/>
              <c:yMode val="edge"/>
              <c:x val="8.3227116919475277E-2"/>
              <c:y val="8.23375901541719E-2"/>
            </c:manualLayout>
          </c:layout>
          <c:overlay val="0"/>
          <c:spPr>
            <a:noFill/>
            <a:ln>
              <a:noFill/>
            </a:ln>
            <a:effectLst/>
          </c:spPr>
          <c:txPr>
            <a:bodyPr rot="0" spcFirstLastPara="1" vertOverflow="ellipsis" wrap="square" anchor="ctr" anchorCtr="1"/>
            <a:lstStyle/>
            <a:p>
              <a:pPr>
                <a:defRPr sz="1000" b="0" i="1" u="none" strike="noStrike" kern="1200" baseline="0">
                  <a:solidFill>
                    <a:schemeClr val="tx1"/>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3380336"/>
        <c:crosses val="autoZero"/>
        <c:crossBetween val="between"/>
      </c:valAx>
      <c:spPr>
        <a:noFill/>
        <a:ln>
          <a:solidFill>
            <a:schemeClr val="bg1">
              <a:lumMod val="65000"/>
            </a:schemeClr>
          </a:solidFill>
        </a:ln>
        <a:effectLst/>
      </c:spPr>
    </c:plotArea>
    <c:legend>
      <c:legendPos val="b"/>
      <c:layout>
        <c:manualLayout>
          <c:xMode val="edge"/>
          <c:yMode val="edge"/>
          <c:x val="0.15343979485041143"/>
          <c:y val="0.8753232316548667"/>
          <c:w val="0.77342616181184631"/>
          <c:h val="0.1112313901938728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99803149606298"/>
          <c:y val="0.18822489294101397"/>
          <c:w val="0.8404464129483814"/>
          <c:h val="0.6540914472738617"/>
        </c:manualLayout>
      </c:layout>
      <c:barChart>
        <c:barDir val="col"/>
        <c:grouping val="clustered"/>
        <c:varyColors val="0"/>
        <c:ser>
          <c:idx val="0"/>
          <c:order val="0"/>
          <c:tx>
            <c:strRef>
              <c:f>Water_availability_per_capita!$E$4</c:f>
              <c:strCache>
                <c:ptCount val="1"/>
                <c:pt idx="0">
                  <c:v>Water availability: TRWR / capita </c:v>
                </c:pt>
              </c:strCache>
            </c:strRef>
          </c:tx>
          <c:spPr>
            <a:solidFill>
              <a:schemeClr val="accent1"/>
            </a:solidFill>
            <a:ln>
              <a:noFill/>
            </a:ln>
            <a:effectLst/>
          </c:spPr>
          <c:invertIfNegative val="0"/>
          <c:cat>
            <c:numRef>
              <c:f>Water_availability_per_capita!$B$6:$B$9</c:f>
              <c:numCache>
                <c:formatCode>General</c:formatCode>
                <c:ptCount val="4"/>
                <c:pt idx="0">
                  <c:v>2012</c:v>
                </c:pt>
                <c:pt idx="1">
                  <c:v>2013</c:v>
                </c:pt>
                <c:pt idx="2">
                  <c:v>2014</c:v>
                </c:pt>
                <c:pt idx="3">
                  <c:v>2015</c:v>
                </c:pt>
              </c:numCache>
            </c:numRef>
          </c:cat>
          <c:val>
            <c:numRef>
              <c:f>Water_availability_per_capita!$E$6:$E$9</c:f>
              <c:numCache>
                <c:formatCode>_(* #,##0.0_);_(* \(#,##0.0\);_(* "-"??_);_(@_)</c:formatCode>
                <c:ptCount val="4"/>
                <c:pt idx="0">
                  <c:v>1112</c:v>
                </c:pt>
                <c:pt idx="1">
                  <c:v>941</c:v>
                </c:pt>
                <c:pt idx="2">
                  <c:v>1084</c:v>
                </c:pt>
                <c:pt idx="3">
                  <c:v>999</c:v>
                </c:pt>
              </c:numCache>
            </c:numRef>
          </c:val>
          <c:extLst xmlns:c16r2="http://schemas.microsoft.com/office/drawing/2015/06/chart">
            <c:ext xmlns:c16="http://schemas.microsoft.com/office/drawing/2014/chart" uri="{C3380CC4-5D6E-409C-BE32-E72D297353CC}">
              <c16:uniqueId val="{00000000-BF7A-4C62-BB26-6C7D69E09864}"/>
            </c:ext>
          </c:extLst>
        </c:ser>
        <c:dLbls>
          <c:showLegendKey val="0"/>
          <c:showVal val="0"/>
          <c:showCatName val="0"/>
          <c:showSerName val="0"/>
          <c:showPercent val="0"/>
          <c:showBubbleSize val="0"/>
        </c:dLbls>
        <c:gapWidth val="219"/>
        <c:overlap val="-27"/>
        <c:axId val="-913385776"/>
        <c:axId val="-913390672"/>
      </c:barChart>
      <c:catAx>
        <c:axId val="-91338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layout>
            <c:manualLayout>
              <c:xMode val="edge"/>
              <c:yMode val="edge"/>
              <c:x val="0.45842959495806807"/>
              <c:y val="0.920582565321553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3390672"/>
        <c:crosses val="autoZero"/>
        <c:auto val="1"/>
        <c:lblAlgn val="ctr"/>
        <c:lblOffset val="100"/>
        <c:noMultiLvlLbl val="0"/>
      </c:catAx>
      <c:valAx>
        <c:axId val="-9133906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0" i="1" u="none" strike="noStrike" kern="1200" baseline="0">
                    <a:solidFill>
                      <a:schemeClr val="tx1">
                        <a:lumMod val="65000"/>
                        <a:lumOff val="35000"/>
                      </a:schemeClr>
                    </a:solidFill>
                    <a:latin typeface="+mn-lt"/>
                    <a:ea typeface="+mn-ea"/>
                    <a:cs typeface="+mn-cs"/>
                  </a:defRPr>
                </a:pPr>
                <a:r>
                  <a:rPr lang="en-GB" sz="1100" i="1"/>
                  <a:t> (m</a:t>
                </a:r>
                <a:r>
                  <a:rPr lang="en-GB" sz="1100" i="1" baseline="30000"/>
                  <a:t>3</a:t>
                </a:r>
                <a:r>
                  <a:rPr lang="en-GB" sz="1100" i="1"/>
                  <a:t> / capita ) </a:t>
                </a:r>
              </a:p>
            </c:rich>
          </c:tx>
          <c:layout>
            <c:manualLayout>
              <c:xMode val="edge"/>
              <c:yMode val="edge"/>
              <c:x val="0.10833333333333332"/>
              <c:y val="0.11222967098152979"/>
            </c:manualLayout>
          </c:layout>
          <c:overlay val="0"/>
          <c:spPr>
            <a:noFill/>
            <a:ln>
              <a:noFill/>
            </a:ln>
            <a:effectLst/>
          </c:spPr>
          <c:txPr>
            <a:bodyPr rot="0" spcFirstLastPara="1" vertOverflow="ellipsis" wrap="square" anchor="ctr" anchorCtr="1"/>
            <a:lstStyle/>
            <a:p>
              <a:pPr>
                <a:defRPr sz="1100" b="0" i="1"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13385776"/>
        <c:crosses val="autoZero"/>
        <c:crossBetween val="between"/>
      </c:valAx>
      <c:spPr>
        <a:noFill/>
        <a:ln>
          <a:solidFill>
            <a:schemeClr val="bg1">
              <a:lumMod val="6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99803149606298"/>
          <c:y val="0.18822489294101397"/>
          <c:w val="0.8404464129483814"/>
          <c:h val="0.6540914472738617"/>
        </c:manualLayout>
      </c:layout>
      <c:barChart>
        <c:barDir val="col"/>
        <c:grouping val="clustered"/>
        <c:varyColors val="0"/>
        <c:ser>
          <c:idx val="0"/>
          <c:order val="0"/>
          <c:tx>
            <c:strRef>
              <c:f>Water_availability_per_capita!$G$4</c:f>
              <c:strCache>
                <c:ptCount val="1"/>
                <c:pt idx="0">
                  <c:v>Water Stress %</c:v>
                </c:pt>
              </c:strCache>
            </c:strRef>
          </c:tx>
          <c:spPr>
            <a:solidFill>
              <a:schemeClr val="accent2"/>
            </a:solidFill>
            <a:ln>
              <a:noFill/>
            </a:ln>
            <a:effectLst/>
          </c:spPr>
          <c:invertIfNegative val="0"/>
          <c:cat>
            <c:numRef>
              <c:f>Water_availability_per_capita!$B$6:$B$9</c:f>
              <c:numCache>
                <c:formatCode>General</c:formatCode>
                <c:ptCount val="4"/>
                <c:pt idx="0">
                  <c:v>2012</c:v>
                </c:pt>
                <c:pt idx="1">
                  <c:v>2013</c:v>
                </c:pt>
                <c:pt idx="2">
                  <c:v>2014</c:v>
                </c:pt>
                <c:pt idx="3">
                  <c:v>2015</c:v>
                </c:pt>
              </c:numCache>
            </c:numRef>
          </c:cat>
          <c:val>
            <c:numRef>
              <c:f>Water_availability_per_capita!$G$6:$G$9</c:f>
              <c:numCache>
                <c:formatCode>0.0%</c:formatCode>
                <c:ptCount val="4"/>
                <c:pt idx="0">
                  <c:v>7.2062517732417231E-2</c:v>
                </c:pt>
                <c:pt idx="1">
                  <c:v>8.3464927408939474E-2</c:v>
                </c:pt>
                <c:pt idx="2">
                  <c:v>7.4669276888992539E-2</c:v>
                </c:pt>
                <c:pt idx="3">
                  <c:v>8.1462498124997174E-2</c:v>
                </c:pt>
              </c:numCache>
            </c:numRef>
          </c:val>
          <c:extLst xmlns:c16r2="http://schemas.microsoft.com/office/drawing/2015/06/chart">
            <c:ext xmlns:c16="http://schemas.microsoft.com/office/drawing/2014/chart" uri="{C3380CC4-5D6E-409C-BE32-E72D297353CC}">
              <c16:uniqueId val="{00000000-BF7A-4C62-BB26-6C7D69E09864}"/>
            </c:ext>
          </c:extLst>
        </c:ser>
        <c:dLbls>
          <c:showLegendKey val="0"/>
          <c:showVal val="0"/>
          <c:showCatName val="0"/>
          <c:showSerName val="0"/>
          <c:showPercent val="0"/>
          <c:showBubbleSize val="0"/>
        </c:dLbls>
        <c:gapWidth val="219"/>
        <c:overlap val="-27"/>
        <c:axId val="-913390128"/>
        <c:axId val="-913383056"/>
      </c:barChart>
      <c:catAx>
        <c:axId val="-91339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layout>
            <c:manualLayout>
              <c:xMode val="edge"/>
              <c:yMode val="edge"/>
              <c:x val="0.45842959495806807"/>
              <c:y val="0.920582565321553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3383056"/>
        <c:crosses val="autoZero"/>
        <c:auto val="1"/>
        <c:lblAlgn val="ctr"/>
        <c:lblOffset val="100"/>
        <c:noMultiLvlLbl val="0"/>
      </c:catAx>
      <c:valAx>
        <c:axId val="-91338305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0" i="1" u="none" strike="noStrike" kern="1200" baseline="0">
                    <a:solidFill>
                      <a:schemeClr val="tx1">
                        <a:lumMod val="65000"/>
                        <a:lumOff val="35000"/>
                      </a:schemeClr>
                    </a:solidFill>
                    <a:latin typeface="+mn-lt"/>
                    <a:ea typeface="+mn-ea"/>
                    <a:cs typeface="+mn-cs"/>
                  </a:defRPr>
                </a:pPr>
                <a:r>
                  <a:rPr lang="en-GB" sz="1100" i="1"/>
                  <a:t>TWW /</a:t>
                </a:r>
                <a:r>
                  <a:rPr lang="en-GB" sz="1100" i="1" baseline="0"/>
                  <a:t> TRWR</a:t>
                </a:r>
                <a:endParaRPr lang="en-GB" sz="1100" i="1"/>
              </a:p>
            </c:rich>
          </c:tx>
          <c:layout>
            <c:manualLayout>
              <c:xMode val="edge"/>
              <c:yMode val="edge"/>
              <c:x val="0.10833333333333332"/>
              <c:y val="0.11222967098152979"/>
            </c:manualLayout>
          </c:layout>
          <c:overlay val="0"/>
          <c:spPr>
            <a:noFill/>
            <a:ln>
              <a:noFill/>
            </a:ln>
            <a:effectLst/>
          </c:spPr>
          <c:txPr>
            <a:bodyPr rot="0" spcFirstLastPara="1" vertOverflow="ellipsis" wrap="square" anchor="ctr" anchorCtr="1"/>
            <a:lstStyle/>
            <a:p>
              <a:pPr>
                <a:defRPr sz="1100" b="0"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13390128"/>
        <c:crosses val="autoZero"/>
        <c:crossBetween val="between"/>
      </c:valAx>
      <c:spPr>
        <a:noFill/>
        <a:ln>
          <a:solidFill>
            <a:schemeClr val="bg1">
              <a:lumMod val="6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 Use Efficiency (SDG 6.4.1)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87657684751473"/>
          <c:y val="0.13083029211026867"/>
          <c:w val="0.86653862934743253"/>
          <c:h val="0.60387749076997999"/>
        </c:manualLayout>
      </c:layout>
      <c:barChart>
        <c:barDir val="col"/>
        <c:grouping val="clustered"/>
        <c:varyColors val="0"/>
        <c:ser>
          <c:idx val="0"/>
          <c:order val="0"/>
          <c:tx>
            <c:strRef>
              <c:f>'SDG_6.4.1__T-Series'!$C$24</c:f>
              <c:strCache>
                <c:ptCount val="1"/>
                <c:pt idx="0">
                  <c:v>Irrigated Agriculture Water Use Efficiency</c:v>
                </c:pt>
              </c:strCache>
            </c:strRef>
          </c:tx>
          <c:spPr>
            <a:solidFill>
              <a:schemeClr val="accent1"/>
            </a:solidFill>
            <a:ln>
              <a:noFill/>
            </a:ln>
            <a:effectLst/>
          </c:spPr>
          <c:invertIfNegative val="0"/>
          <c:cat>
            <c:numRef>
              <c:f>'SDG_6.4.1__T-Series'!$I$5:$L$5</c:f>
              <c:numCache>
                <c:formatCode>General</c:formatCode>
                <c:ptCount val="4"/>
                <c:pt idx="0">
                  <c:v>2012</c:v>
                </c:pt>
                <c:pt idx="1">
                  <c:v>2013</c:v>
                </c:pt>
                <c:pt idx="2">
                  <c:v>2014</c:v>
                </c:pt>
                <c:pt idx="3">
                  <c:v>2015</c:v>
                </c:pt>
              </c:numCache>
            </c:numRef>
          </c:cat>
          <c:val>
            <c:numRef>
              <c:f>'SDG_6.4.1__T-Series'!$I$24:$L$24</c:f>
              <c:numCache>
                <c:formatCode>0.00</c:formatCode>
                <c:ptCount val="4"/>
                <c:pt idx="0">
                  <c:v>283.19762612686026</c:v>
                </c:pt>
                <c:pt idx="1">
                  <c:v>294.90561827301372</c:v>
                </c:pt>
                <c:pt idx="2">
                  <c:v>314.89564679853999</c:v>
                </c:pt>
                <c:pt idx="3">
                  <c:v>324.54308518888439</c:v>
                </c:pt>
              </c:numCache>
            </c:numRef>
          </c:val>
          <c:extLst xmlns:c16r2="http://schemas.microsoft.com/office/drawing/2015/06/chart">
            <c:ext xmlns:c16="http://schemas.microsoft.com/office/drawing/2014/chart" uri="{C3380CC4-5D6E-409C-BE32-E72D297353CC}">
              <c16:uniqueId val="{00000000-0DB6-47BF-A65E-10E77052DAED}"/>
            </c:ext>
          </c:extLst>
        </c:ser>
        <c:ser>
          <c:idx val="1"/>
          <c:order val="1"/>
          <c:tx>
            <c:strRef>
              <c:f>'SDG_6.4.1__T-Series'!$C$32</c:f>
              <c:strCache>
                <c:ptCount val="1"/>
                <c:pt idx="0">
                  <c:v>Industrial Water Use Efficiency</c:v>
                </c:pt>
              </c:strCache>
            </c:strRef>
          </c:tx>
          <c:spPr>
            <a:solidFill>
              <a:schemeClr val="accent2"/>
            </a:solidFill>
            <a:ln>
              <a:noFill/>
            </a:ln>
            <a:effectLst/>
          </c:spPr>
          <c:invertIfNegative val="0"/>
          <c:cat>
            <c:numRef>
              <c:f>'SDG_6.4.1__T-Series'!$I$5:$L$5</c:f>
              <c:numCache>
                <c:formatCode>General</c:formatCode>
                <c:ptCount val="4"/>
                <c:pt idx="0">
                  <c:v>2012</c:v>
                </c:pt>
                <c:pt idx="1">
                  <c:v>2013</c:v>
                </c:pt>
                <c:pt idx="2">
                  <c:v>2014</c:v>
                </c:pt>
                <c:pt idx="3">
                  <c:v>2015</c:v>
                </c:pt>
              </c:numCache>
            </c:numRef>
          </c:cat>
          <c:val>
            <c:numRef>
              <c:f>'SDG_6.4.1__T-Series'!$I$32:$L$32</c:f>
              <c:numCache>
                <c:formatCode>_(* #,##0.00_);_(* \(#,##0.00\);_(* "-"??_);_(@_)</c:formatCode>
                <c:ptCount val="4"/>
                <c:pt idx="0">
                  <c:v>1175.2907125003076</c:v>
                </c:pt>
                <c:pt idx="1">
                  <c:v>1240.1888833705043</c:v>
                </c:pt>
                <c:pt idx="2">
                  <c:v>1349.7496862298042</c:v>
                </c:pt>
                <c:pt idx="3">
                  <c:v>1370.3119826724885</c:v>
                </c:pt>
              </c:numCache>
            </c:numRef>
          </c:val>
          <c:extLst xmlns:c16r2="http://schemas.microsoft.com/office/drawing/2015/06/chart">
            <c:ext xmlns:c16="http://schemas.microsoft.com/office/drawing/2014/chart" uri="{C3380CC4-5D6E-409C-BE32-E72D297353CC}">
              <c16:uniqueId val="{00000000-9B0F-4BE7-B0F6-1744995A6046}"/>
            </c:ext>
          </c:extLst>
        </c:ser>
        <c:ser>
          <c:idx val="2"/>
          <c:order val="2"/>
          <c:tx>
            <c:strRef>
              <c:f>'SDG_6.4.1__T-Series'!$C$40</c:f>
              <c:strCache>
                <c:ptCount val="1"/>
                <c:pt idx="0">
                  <c:v>Services Water Use Efficiency</c:v>
                </c:pt>
              </c:strCache>
            </c:strRef>
          </c:tx>
          <c:spPr>
            <a:solidFill>
              <a:schemeClr val="accent3"/>
            </a:solidFill>
            <a:ln>
              <a:noFill/>
            </a:ln>
            <a:effectLst/>
          </c:spPr>
          <c:invertIfNegative val="0"/>
          <c:cat>
            <c:numRef>
              <c:f>'SDG_6.4.1__T-Series'!$I$5:$L$5</c:f>
              <c:numCache>
                <c:formatCode>General</c:formatCode>
                <c:ptCount val="4"/>
                <c:pt idx="0">
                  <c:v>2012</c:v>
                </c:pt>
                <c:pt idx="1">
                  <c:v>2013</c:v>
                </c:pt>
                <c:pt idx="2">
                  <c:v>2014</c:v>
                </c:pt>
                <c:pt idx="3">
                  <c:v>2015</c:v>
                </c:pt>
              </c:numCache>
            </c:numRef>
          </c:cat>
          <c:val>
            <c:numRef>
              <c:f>'SDG_6.4.1__T-Series'!$I$40:$L$40</c:f>
              <c:numCache>
                <c:formatCode>_(* #,##0.00_);_(* \(#,##0.00\);_(* "-"??_);_(@_)</c:formatCode>
                <c:ptCount val="4"/>
                <c:pt idx="0">
                  <c:v>43200.385347825693</c:v>
                </c:pt>
                <c:pt idx="1">
                  <c:v>45412.823648678532</c:v>
                </c:pt>
                <c:pt idx="2">
                  <c:v>48150.735784975986</c:v>
                </c:pt>
                <c:pt idx="3">
                  <c:v>52910.44574637543</c:v>
                </c:pt>
              </c:numCache>
            </c:numRef>
          </c:val>
          <c:extLst xmlns:c16r2="http://schemas.microsoft.com/office/drawing/2015/06/chart">
            <c:ext xmlns:c16="http://schemas.microsoft.com/office/drawing/2014/chart" uri="{C3380CC4-5D6E-409C-BE32-E72D297353CC}">
              <c16:uniqueId val="{00000001-9B0F-4BE7-B0F6-1744995A6046}"/>
            </c:ext>
          </c:extLst>
        </c:ser>
        <c:dLbls>
          <c:showLegendKey val="0"/>
          <c:showVal val="0"/>
          <c:showCatName val="0"/>
          <c:showSerName val="0"/>
          <c:showPercent val="0"/>
          <c:showBubbleSize val="0"/>
        </c:dLbls>
        <c:gapWidth val="219"/>
        <c:overlap val="-27"/>
        <c:axId val="-913389584"/>
        <c:axId val="-913384144"/>
      </c:barChart>
      <c:catAx>
        <c:axId val="-913389584"/>
        <c:scaling>
          <c:orientation val="minMax"/>
        </c:scaling>
        <c:delete val="0"/>
        <c:axPos val="b"/>
        <c:title>
          <c:tx>
            <c:rich>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Year</a:t>
                </a:r>
              </a:p>
            </c:rich>
          </c:tx>
          <c:layout>
            <c:manualLayout>
              <c:xMode val="edge"/>
              <c:yMode val="edge"/>
              <c:x val="0.90322656696769776"/>
              <c:y val="0.90222703609537802"/>
            </c:manualLayout>
          </c:layout>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84144"/>
        <c:crosses val="autoZero"/>
        <c:auto val="1"/>
        <c:lblAlgn val="ctr"/>
        <c:lblOffset val="100"/>
        <c:noMultiLvlLbl val="0"/>
      </c:catAx>
      <c:valAx>
        <c:axId val="-91338414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Rwf / m</a:t>
                </a:r>
                <a:r>
                  <a:rPr lang="en-GB" sz="1200" b="1" i="1" baseline="30000"/>
                  <a:t>3 </a:t>
                </a:r>
              </a:p>
            </c:rich>
          </c:tx>
          <c:layout>
            <c:manualLayout>
              <c:xMode val="edge"/>
              <c:yMode val="edge"/>
              <c:x val="9.3567244568421457E-2"/>
              <c:y val="5.1697797581520377E-2"/>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89584"/>
        <c:crosses val="autoZero"/>
        <c:crossBetween val="between"/>
      </c:valAx>
      <c:spPr>
        <a:noFill/>
        <a:ln>
          <a:solidFill>
            <a:schemeClr val="tx1"/>
          </a:solidFill>
        </a:ln>
        <a:effectLst/>
      </c:spPr>
    </c:plotArea>
    <c:legend>
      <c:legendPos val="r"/>
      <c:layout>
        <c:manualLayout>
          <c:xMode val="edge"/>
          <c:yMode val="edge"/>
          <c:x val="0.14355572916658996"/>
          <c:y val="0.8232474408484608"/>
          <c:w val="0.39983611733951341"/>
          <c:h val="0.153323021847282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 Use Efficiency (SDG 6.4.1)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87657684751473"/>
          <c:y val="0.13083029211026867"/>
          <c:w val="0.86653862934743253"/>
          <c:h val="0.62879155812075238"/>
        </c:manualLayout>
      </c:layout>
      <c:barChart>
        <c:barDir val="col"/>
        <c:grouping val="clustered"/>
        <c:varyColors val="0"/>
        <c:ser>
          <c:idx val="0"/>
          <c:order val="0"/>
          <c:tx>
            <c:strRef>
              <c:f>'SDG_6.4.1__T-Series'!$C$24</c:f>
              <c:strCache>
                <c:ptCount val="1"/>
                <c:pt idx="0">
                  <c:v>Irrigated Agriculture Water Use Efficiency</c:v>
                </c:pt>
              </c:strCache>
            </c:strRef>
          </c:tx>
          <c:spPr>
            <a:solidFill>
              <a:schemeClr val="accent1"/>
            </a:solidFill>
            <a:ln>
              <a:noFill/>
            </a:ln>
            <a:effectLst/>
          </c:spPr>
          <c:invertIfNegative val="0"/>
          <c:cat>
            <c:numRef>
              <c:f>'SDG_6.4.1__T-Series'!$I$5:$L$5</c:f>
              <c:numCache>
                <c:formatCode>General</c:formatCode>
                <c:ptCount val="4"/>
                <c:pt idx="0">
                  <c:v>2012</c:v>
                </c:pt>
                <c:pt idx="1">
                  <c:v>2013</c:v>
                </c:pt>
                <c:pt idx="2">
                  <c:v>2014</c:v>
                </c:pt>
                <c:pt idx="3">
                  <c:v>2015</c:v>
                </c:pt>
              </c:numCache>
            </c:numRef>
          </c:cat>
          <c:val>
            <c:numRef>
              <c:f>'SDG_6.4.1__T-Series'!$I$24:$L$24</c:f>
              <c:numCache>
                <c:formatCode>0.00</c:formatCode>
                <c:ptCount val="4"/>
                <c:pt idx="0">
                  <c:v>283.19762612686026</c:v>
                </c:pt>
                <c:pt idx="1">
                  <c:v>294.90561827301372</c:v>
                </c:pt>
                <c:pt idx="2">
                  <c:v>314.89564679853999</c:v>
                </c:pt>
                <c:pt idx="3">
                  <c:v>324.54308518888439</c:v>
                </c:pt>
              </c:numCache>
            </c:numRef>
          </c:val>
          <c:extLst xmlns:c16r2="http://schemas.microsoft.com/office/drawing/2015/06/chart">
            <c:ext xmlns:c16="http://schemas.microsoft.com/office/drawing/2014/chart" uri="{C3380CC4-5D6E-409C-BE32-E72D297353CC}">
              <c16:uniqueId val="{00000000-0DB6-47BF-A65E-10E77052DAED}"/>
            </c:ext>
          </c:extLst>
        </c:ser>
        <c:ser>
          <c:idx val="1"/>
          <c:order val="1"/>
          <c:tx>
            <c:strRef>
              <c:f>'SDG_6.4.1__T-Series'!$C$32</c:f>
              <c:strCache>
                <c:ptCount val="1"/>
                <c:pt idx="0">
                  <c:v>Industrial Water Use Efficiency</c:v>
                </c:pt>
              </c:strCache>
            </c:strRef>
          </c:tx>
          <c:spPr>
            <a:solidFill>
              <a:schemeClr val="accent2"/>
            </a:solidFill>
            <a:ln>
              <a:noFill/>
            </a:ln>
            <a:effectLst/>
          </c:spPr>
          <c:invertIfNegative val="0"/>
          <c:cat>
            <c:numRef>
              <c:f>'SDG_6.4.1__T-Series'!$I$5:$L$5</c:f>
              <c:numCache>
                <c:formatCode>General</c:formatCode>
                <c:ptCount val="4"/>
                <c:pt idx="0">
                  <c:v>2012</c:v>
                </c:pt>
                <c:pt idx="1">
                  <c:v>2013</c:v>
                </c:pt>
                <c:pt idx="2">
                  <c:v>2014</c:v>
                </c:pt>
                <c:pt idx="3">
                  <c:v>2015</c:v>
                </c:pt>
              </c:numCache>
            </c:numRef>
          </c:cat>
          <c:val>
            <c:numRef>
              <c:f>'SDG_6.4.1__T-Series'!$I$32:$L$32</c:f>
              <c:numCache>
                <c:formatCode>_(* #,##0.00_);_(* \(#,##0.00\);_(* "-"??_);_(@_)</c:formatCode>
                <c:ptCount val="4"/>
                <c:pt idx="0">
                  <c:v>1175.2907125003076</c:v>
                </c:pt>
                <c:pt idx="1">
                  <c:v>1240.1888833705043</c:v>
                </c:pt>
                <c:pt idx="2">
                  <c:v>1349.7496862298042</c:v>
                </c:pt>
                <c:pt idx="3">
                  <c:v>1370.3119826724885</c:v>
                </c:pt>
              </c:numCache>
            </c:numRef>
          </c:val>
          <c:extLst xmlns:c16r2="http://schemas.microsoft.com/office/drawing/2015/06/chart">
            <c:ext xmlns:c16="http://schemas.microsoft.com/office/drawing/2014/chart" uri="{C3380CC4-5D6E-409C-BE32-E72D297353CC}">
              <c16:uniqueId val="{00000000-9B0F-4BE7-B0F6-1744995A6046}"/>
            </c:ext>
          </c:extLst>
        </c:ser>
        <c:dLbls>
          <c:showLegendKey val="0"/>
          <c:showVal val="0"/>
          <c:showCatName val="0"/>
          <c:showSerName val="0"/>
          <c:showPercent val="0"/>
          <c:showBubbleSize val="0"/>
        </c:dLbls>
        <c:gapWidth val="219"/>
        <c:overlap val="-27"/>
        <c:axId val="-913380880"/>
        <c:axId val="-913379792"/>
      </c:barChart>
      <c:catAx>
        <c:axId val="-913380880"/>
        <c:scaling>
          <c:orientation val="minMax"/>
        </c:scaling>
        <c:delete val="0"/>
        <c:axPos val="b"/>
        <c:title>
          <c:tx>
            <c:rich>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Year</a:t>
                </a:r>
              </a:p>
            </c:rich>
          </c:tx>
          <c:layout>
            <c:manualLayout>
              <c:xMode val="edge"/>
              <c:yMode val="edge"/>
              <c:x val="0.90322656696769776"/>
              <c:y val="0.90222703609537802"/>
            </c:manualLayout>
          </c:layout>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79792"/>
        <c:crosses val="autoZero"/>
        <c:auto val="1"/>
        <c:lblAlgn val="ctr"/>
        <c:lblOffset val="100"/>
        <c:noMultiLvlLbl val="0"/>
      </c:catAx>
      <c:valAx>
        <c:axId val="-91337979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Rwf / m</a:t>
                </a:r>
                <a:r>
                  <a:rPr lang="en-GB" sz="1200" b="1" i="1" baseline="30000"/>
                  <a:t>3 </a:t>
                </a:r>
              </a:p>
            </c:rich>
          </c:tx>
          <c:layout>
            <c:manualLayout>
              <c:xMode val="edge"/>
              <c:yMode val="edge"/>
              <c:x val="9.3567244568421457E-2"/>
              <c:y val="5.1697797581520377E-2"/>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80880"/>
        <c:crosses val="autoZero"/>
        <c:crossBetween val="between"/>
      </c:valAx>
      <c:spPr>
        <a:noFill/>
        <a:ln>
          <a:solidFill>
            <a:schemeClr val="tx1"/>
          </a:solidFill>
        </a:ln>
        <a:effectLst/>
      </c:spPr>
    </c:plotArea>
    <c:legend>
      <c:legendPos val="r"/>
      <c:layout>
        <c:manualLayout>
          <c:xMode val="edge"/>
          <c:yMode val="edge"/>
          <c:x val="0.15104110873206364"/>
          <c:y val="0.84918027782994976"/>
          <c:w val="0.41854956625319767"/>
          <c:h val="0.10551069032124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 Use Efficiency (SDG 6.4.1)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87657684751473"/>
          <c:y val="0.13083029211026867"/>
          <c:w val="0.86653862934743253"/>
          <c:h val="0.60387749076997999"/>
        </c:manualLayout>
      </c:layout>
      <c:barChart>
        <c:barDir val="col"/>
        <c:grouping val="clustered"/>
        <c:varyColors val="0"/>
        <c:ser>
          <c:idx val="0"/>
          <c:order val="0"/>
          <c:tx>
            <c:strRef>
              <c:f>'SDG_6.4.1__T-Series'!$E$58</c:f>
              <c:strCache>
                <c:ptCount val="1"/>
                <c:pt idx="0">
                  <c:v>Irrigated Agriculture Water Use Efficiency</c:v>
                </c:pt>
              </c:strCache>
            </c:strRef>
          </c:tx>
          <c:spPr>
            <a:solidFill>
              <a:schemeClr val="accent1"/>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'SDG_6.4.1__T-Series'!$I$58:$L$58</c:f>
              <c:numCache>
                <c:formatCode>0</c:formatCode>
                <c:ptCount val="4"/>
                <c:pt idx="0">
                  <c:v>100</c:v>
                </c:pt>
                <c:pt idx="1">
                  <c:v>104.13421267200479</c:v>
                </c:pt>
                <c:pt idx="2">
                  <c:v>111.19289773194652</c:v>
                </c:pt>
                <c:pt idx="3" formatCode="0.0">
                  <c:v>114.59950763976501</c:v>
                </c:pt>
              </c:numCache>
            </c:numRef>
          </c:val>
          <c:extLst xmlns:c16r2="http://schemas.microsoft.com/office/drawing/2015/06/chart">
            <c:ext xmlns:c16="http://schemas.microsoft.com/office/drawing/2014/chart" uri="{C3380CC4-5D6E-409C-BE32-E72D297353CC}">
              <c16:uniqueId val="{00000000-0DB6-47BF-A65E-10E77052DAED}"/>
            </c:ext>
          </c:extLst>
        </c:ser>
        <c:ser>
          <c:idx val="1"/>
          <c:order val="1"/>
          <c:tx>
            <c:strRef>
              <c:f>'SDG_6.4.1__T-Series'!$E$59</c:f>
              <c:strCache>
                <c:ptCount val="1"/>
                <c:pt idx="0">
                  <c:v>Industrial Water Use Efficiency</c:v>
                </c:pt>
              </c:strCache>
            </c:strRef>
          </c:tx>
          <c:spPr>
            <a:solidFill>
              <a:schemeClr val="accent2"/>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'SDG_6.4.1__T-Series'!$I$59:$L$59</c:f>
              <c:numCache>
                <c:formatCode>0</c:formatCode>
                <c:ptCount val="4"/>
                <c:pt idx="0">
                  <c:v>100</c:v>
                </c:pt>
                <c:pt idx="1">
                  <c:v>105.52188238875237</c:v>
                </c:pt>
                <c:pt idx="2">
                  <c:v>114.84389963044576</c:v>
                </c:pt>
                <c:pt idx="3" formatCode="0.0">
                  <c:v>116.59344944173802</c:v>
                </c:pt>
              </c:numCache>
            </c:numRef>
          </c:val>
          <c:extLst xmlns:c16r2="http://schemas.microsoft.com/office/drawing/2015/06/chart">
            <c:ext xmlns:c16="http://schemas.microsoft.com/office/drawing/2014/chart" uri="{C3380CC4-5D6E-409C-BE32-E72D297353CC}">
              <c16:uniqueId val="{00000000-9B0F-4BE7-B0F6-1744995A6046}"/>
            </c:ext>
          </c:extLst>
        </c:ser>
        <c:ser>
          <c:idx val="2"/>
          <c:order val="2"/>
          <c:tx>
            <c:strRef>
              <c:f>'SDG_6.4.1__T-Series'!$E$60</c:f>
              <c:strCache>
                <c:ptCount val="1"/>
                <c:pt idx="0">
                  <c:v>Services Water Use Efficiency</c:v>
                </c:pt>
              </c:strCache>
            </c:strRef>
          </c:tx>
          <c:spPr>
            <a:solidFill>
              <a:srgbClr val="FFC000"/>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'SDG_6.4.1__T-Series'!$I$60:$L$60</c:f>
              <c:numCache>
                <c:formatCode>0</c:formatCode>
                <c:ptCount val="4"/>
                <c:pt idx="0">
                  <c:v>100</c:v>
                </c:pt>
                <c:pt idx="1">
                  <c:v>105.12133927287802</c:v>
                </c:pt>
                <c:pt idx="2">
                  <c:v>111.45904231476827</c:v>
                </c:pt>
                <c:pt idx="3" formatCode="0.0">
                  <c:v>122.47679116834188</c:v>
                </c:pt>
              </c:numCache>
            </c:numRef>
          </c:val>
          <c:extLst xmlns:c16r2="http://schemas.microsoft.com/office/drawing/2015/06/chart">
            <c:ext xmlns:c16="http://schemas.microsoft.com/office/drawing/2014/chart" uri="{C3380CC4-5D6E-409C-BE32-E72D297353CC}">
              <c16:uniqueId val="{00000001-9B0F-4BE7-B0F6-1744995A6046}"/>
            </c:ext>
          </c:extLst>
        </c:ser>
        <c:ser>
          <c:idx val="3"/>
          <c:order val="3"/>
          <c:tx>
            <c:strRef>
              <c:f>'SDG_6.4.1__T-Series'!$E$61</c:f>
              <c:strCache>
                <c:ptCount val="1"/>
                <c:pt idx="0">
                  <c:v>Water Use Efficiency (Total)</c:v>
                </c:pt>
              </c:strCache>
            </c:strRef>
          </c:tx>
          <c:spPr>
            <a:solidFill>
              <a:schemeClr val="bg1">
                <a:lumMod val="65000"/>
              </a:schemeClr>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'SDG_6.4.1__T-Series'!$I$61:$L$61</c:f>
              <c:numCache>
                <c:formatCode>0</c:formatCode>
                <c:ptCount val="4"/>
                <c:pt idx="0">
                  <c:v>100</c:v>
                </c:pt>
                <c:pt idx="1">
                  <c:v>102.9851295947485</c:v>
                </c:pt>
                <c:pt idx="2">
                  <c:v>107.39292736087759</c:v>
                </c:pt>
                <c:pt idx="3" formatCode="0.0">
                  <c:v>113.16119172370487</c:v>
                </c:pt>
              </c:numCache>
            </c:numRef>
          </c:val>
          <c:extLst xmlns:c16r2="http://schemas.microsoft.com/office/drawing/2015/06/chart">
            <c:ext xmlns:c16="http://schemas.microsoft.com/office/drawing/2014/chart" uri="{C3380CC4-5D6E-409C-BE32-E72D297353CC}">
              <c16:uniqueId val="{00000000-B105-4E30-B78E-B7E07ABEDAC8}"/>
            </c:ext>
          </c:extLst>
        </c:ser>
        <c:dLbls>
          <c:showLegendKey val="0"/>
          <c:showVal val="0"/>
          <c:showCatName val="0"/>
          <c:showSerName val="0"/>
          <c:showPercent val="0"/>
          <c:showBubbleSize val="0"/>
        </c:dLbls>
        <c:gapWidth val="219"/>
        <c:overlap val="-27"/>
        <c:axId val="-913378704"/>
        <c:axId val="-913388496"/>
      </c:barChart>
      <c:catAx>
        <c:axId val="-913378704"/>
        <c:scaling>
          <c:orientation val="minMax"/>
        </c:scaling>
        <c:delete val="0"/>
        <c:axPos val="b"/>
        <c:title>
          <c:tx>
            <c:rich>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Year</a:t>
                </a:r>
              </a:p>
            </c:rich>
          </c:tx>
          <c:layout>
            <c:manualLayout>
              <c:xMode val="edge"/>
              <c:yMode val="edge"/>
              <c:x val="0.90322656696769776"/>
              <c:y val="0.90222703609537802"/>
            </c:manualLayout>
          </c:layout>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88496"/>
        <c:crosses val="autoZero"/>
        <c:auto val="1"/>
        <c:lblAlgn val="ctr"/>
        <c:lblOffset val="100"/>
        <c:noMultiLvlLbl val="0"/>
      </c:catAx>
      <c:valAx>
        <c:axId val="-91338849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Index (2012 = 100)</a:t>
                </a:r>
                <a:endParaRPr lang="en-GB" sz="1200" b="1" i="1" baseline="30000"/>
              </a:p>
            </c:rich>
          </c:tx>
          <c:layout>
            <c:manualLayout>
              <c:xMode val="edge"/>
              <c:yMode val="edge"/>
              <c:x val="9.3567244568421457E-2"/>
              <c:y val="5.1697797581520377E-2"/>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78704"/>
        <c:crosses val="autoZero"/>
        <c:crossBetween val="between"/>
      </c:valAx>
      <c:spPr>
        <a:noFill/>
        <a:ln>
          <a:solidFill>
            <a:sysClr val="windowText" lastClr="000000"/>
          </a:solidFill>
        </a:ln>
        <a:effectLst/>
      </c:spPr>
    </c:plotArea>
    <c:legend>
      <c:legendPos val="r"/>
      <c:layout>
        <c:manualLayout>
          <c:xMode val="edge"/>
          <c:yMode val="edge"/>
          <c:x val="0.14355572916658996"/>
          <c:y val="0.8232474408484608"/>
          <c:w val="0.3198468625892612"/>
          <c:h val="0.176752559151539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87657684751473"/>
          <c:y val="0.10425228093501766"/>
          <c:w val="0.86653862934743253"/>
          <c:h val="0.72691615416275268"/>
        </c:manualLayout>
      </c:layout>
      <c:barChart>
        <c:barDir val="col"/>
        <c:grouping val="clustered"/>
        <c:varyColors val="0"/>
        <c:ser>
          <c:idx val="0"/>
          <c:order val="0"/>
          <c:tx>
            <c:strRef>
              <c:f>'SDG_6.4.1__T-Series'!$C$50</c:f>
              <c:strCache>
                <c:ptCount val="1"/>
                <c:pt idx="0">
                  <c:v>Water Use Efficiency (Total)</c:v>
                </c:pt>
              </c:strCache>
            </c:strRef>
          </c:tx>
          <c:spPr>
            <a:solidFill>
              <a:schemeClr val="accent1"/>
            </a:solidFill>
            <a:ln>
              <a:noFill/>
            </a:ln>
            <a:effectLst/>
          </c:spPr>
          <c:invertIfNegative val="0"/>
          <c:cat>
            <c:numRef>
              <c:f>'SDG_6.4.1__T-Series'!$I$5:$L$5</c:f>
              <c:numCache>
                <c:formatCode>General</c:formatCode>
                <c:ptCount val="4"/>
                <c:pt idx="0">
                  <c:v>2012</c:v>
                </c:pt>
                <c:pt idx="1">
                  <c:v>2013</c:v>
                </c:pt>
                <c:pt idx="2">
                  <c:v>2014</c:v>
                </c:pt>
                <c:pt idx="3">
                  <c:v>2015</c:v>
                </c:pt>
              </c:numCache>
            </c:numRef>
          </c:cat>
          <c:val>
            <c:numRef>
              <c:f>'SDG_6.4.1__T-Series'!$I$50:$L$50</c:f>
              <c:numCache>
                <c:formatCode>0.00</c:formatCode>
                <c:ptCount val="4"/>
                <c:pt idx="0">
                  <c:v>4497.0015658459679</c:v>
                </c:pt>
                <c:pt idx="1">
                  <c:v>4631.2428904643393</c:v>
                </c:pt>
                <c:pt idx="2">
                  <c:v>4829.4616250264889</c:v>
                </c:pt>
                <c:pt idx="3">
                  <c:v>5088.8605637449655</c:v>
                </c:pt>
              </c:numCache>
            </c:numRef>
          </c:val>
          <c:extLst xmlns:c16r2="http://schemas.microsoft.com/office/drawing/2015/06/chart">
            <c:ext xmlns:c16="http://schemas.microsoft.com/office/drawing/2014/chart" uri="{C3380CC4-5D6E-409C-BE32-E72D297353CC}">
              <c16:uniqueId val="{00000000-0DB6-47BF-A65E-10E77052DAED}"/>
            </c:ext>
          </c:extLst>
        </c:ser>
        <c:dLbls>
          <c:showLegendKey val="0"/>
          <c:showVal val="0"/>
          <c:showCatName val="0"/>
          <c:showSerName val="0"/>
          <c:showPercent val="0"/>
          <c:showBubbleSize val="0"/>
        </c:dLbls>
        <c:gapWidth val="219"/>
        <c:overlap val="-27"/>
        <c:axId val="-913392304"/>
        <c:axId val="-913387952"/>
      </c:barChart>
      <c:catAx>
        <c:axId val="-913392304"/>
        <c:scaling>
          <c:orientation val="minMax"/>
        </c:scaling>
        <c:delete val="0"/>
        <c:axPos val="b"/>
        <c:title>
          <c:tx>
            <c:rich>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Year</a:t>
                </a:r>
              </a:p>
            </c:rich>
          </c:tx>
          <c:layout>
            <c:manualLayout>
              <c:xMode val="edge"/>
              <c:yMode val="edge"/>
              <c:x val="0.90322656696769776"/>
              <c:y val="0.90222703609537802"/>
            </c:manualLayout>
          </c:layout>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87952"/>
        <c:crosses val="autoZero"/>
        <c:auto val="1"/>
        <c:lblAlgn val="ctr"/>
        <c:lblOffset val="100"/>
        <c:noMultiLvlLbl val="0"/>
      </c:catAx>
      <c:valAx>
        <c:axId val="-913387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Rwf / m</a:t>
                </a:r>
                <a:r>
                  <a:rPr lang="en-GB" sz="1200" b="1" i="1" baseline="30000"/>
                  <a:t>3 </a:t>
                </a:r>
              </a:p>
            </c:rich>
          </c:tx>
          <c:layout>
            <c:manualLayout>
              <c:xMode val="edge"/>
              <c:yMode val="edge"/>
              <c:x val="9.9181279242526746E-2"/>
              <c:y val="1.9213405575440656E-2"/>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92304"/>
        <c:crosses val="autoZero"/>
        <c:crossBetween val="between"/>
      </c:valAx>
      <c:spPr>
        <a:noFill/>
        <a:ln>
          <a:solidFill>
            <a:schemeClr val="tx1"/>
          </a:solidFill>
        </a:ln>
        <a:effectLst/>
      </c:spPr>
    </c:plotArea>
    <c:legend>
      <c:legendPos val="r"/>
      <c:layout>
        <c:manualLayout>
          <c:xMode val="edge"/>
          <c:yMode val="edge"/>
          <c:x val="0.14368746005894295"/>
          <c:y val="0.89889641808503717"/>
          <c:w val="0.3005231072046336"/>
          <c:h val="8.527163688086539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50335441683332"/>
          <c:y val="8.843005478632758E-2"/>
          <c:w val="0.87591181832271781"/>
          <c:h val="0.69776352357118909"/>
        </c:manualLayout>
      </c:layout>
      <c:barChart>
        <c:barDir val="col"/>
        <c:grouping val="clustered"/>
        <c:varyColors val="0"/>
        <c:ser>
          <c:idx val="0"/>
          <c:order val="0"/>
          <c:tx>
            <c:strRef>
              <c:f>'SDG_6.4.1__T-Series'!$E$58</c:f>
              <c:strCache>
                <c:ptCount val="1"/>
                <c:pt idx="0">
                  <c:v>Irrigated Agriculture Water Use Efficiency</c:v>
                </c:pt>
              </c:strCache>
            </c:strRef>
          </c:tx>
          <c:spPr>
            <a:solidFill>
              <a:schemeClr val="accent1"/>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'SDG_6.4.1__T-Series'!$I$58:$L$58</c:f>
              <c:numCache>
                <c:formatCode>0</c:formatCode>
                <c:ptCount val="4"/>
                <c:pt idx="0">
                  <c:v>100</c:v>
                </c:pt>
                <c:pt idx="1">
                  <c:v>104.13421267200479</c:v>
                </c:pt>
                <c:pt idx="2">
                  <c:v>111.19289773194652</c:v>
                </c:pt>
                <c:pt idx="3" formatCode="0.0">
                  <c:v>114.59950763976501</c:v>
                </c:pt>
              </c:numCache>
            </c:numRef>
          </c:val>
          <c:extLst xmlns:c16r2="http://schemas.microsoft.com/office/drawing/2015/06/chart">
            <c:ext xmlns:c16="http://schemas.microsoft.com/office/drawing/2014/chart" uri="{C3380CC4-5D6E-409C-BE32-E72D297353CC}">
              <c16:uniqueId val="{00000000-0DB6-47BF-A65E-10E77052DAED}"/>
            </c:ext>
          </c:extLst>
        </c:ser>
        <c:ser>
          <c:idx val="1"/>
          <c:order val="1"/>
          <c:tx>
            <c:strRef>
              <c:f>'SDG_6.4.1__T-Series'!$E$59</c:f>
              <c:strCache>
                <c:ptCount val="1"/>
                <c:pt idx="0">
                  <c:v>Industrial Water Use Efficiency</c:v>
                </c:pt>
              </c:strCache>
            </c:strRef>
          </c:tx>
          <c:spPr>
            <a:solidFill>
              <a:schemeClr val="accent2"/>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'SDG_6.4.1__T-Series'!$I$59:$L$59</c:f>
              <c:numCache>
                <c:formatCode>0</c:formatCode>
                <c:ptCount val="4"/>
                <c:pt idx="0">
                  <c:v>100</c:v>
                </c:pt>
                <c:pt idx="1">
                  <c:v>105.52188238875237</c:v>
                </c:pt>
                <c:pt idx="2">
                  <c:v>114.84389963044576</c:v>
                </c:pt>
                <c:pt idx="3" formatCode="0.0">
                  <c:v>116.59344944173802</c:v>
                </c:pt>
              </c:numCache>
            </c:numRef>
          </c:val>
          <c:extLst xmlns:c16r2="http://schemas.microsoft.com/office/drawing/2015/06/chart">
            <c:ext xmlns:c16="http://schemas.microsoft.com/office/drawing/2014/chart" uri="{C3380CC4-5D6E-409C-BE32-E72D297353CC}">
              <c16:uniqueId val="{00000000-9B0F-4BE7-B0F6-1744995A6046}"/>
            </c:ext>
          </c:extLst>
        </c:ser>
        <c:ser>
          <c:idx val="2"/>
          <c:order val="2"/>
          <c:tx>
            <c:strRef>
              <c:f>'SDG_6.4.1__T-Series'!$E$60</c:f>
              <c:strCache>
                <c:ptCount val="1"/>
                <c:pt idx="0">
                  <c:v>Services Water Use Efficiency</c:v>
                </c:pt>
              </c:strCache>
            </c:strRef>
          </c:tx>
          <c:spPr>
            <a:solidFill>
              <a:srgbClr val="FFC000"/>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'SDG_6.4.1__T-Series'!$I$60:$L$60</c:f>
              <c:numCache>
                <c:formatCode>0</c:formatCode>
                <c:ptCount val="4"/>
                <c:pt idx="0">
                  <c:v>100</c:v>
                </c:pt>
                <c:pt idx="1">
                  <c:v>105.12133927287802</c:v>
                </c:pt>
                <c:pt idx="2">
                  <c:v>111.45904231476827</c:v>
                </c:pt>
                <c:pt idx="3" formatCode="0.0">
                  <c:v>122.47679116834188</c:v>
                </c:pt>
              </c:numCache>
            </c:numRef>
          </c:val>
          <c:extLst xmlns:c16r2="http://schemas.microsoft.com/office/drawing/2015/06/chart">
            <c:ext xmlns:c16="http://schemas.microsoft.com/office/drawing/2014/chart" uri="{C3380CC4-5D6E-409C-BE32-E72D297353CC}">
              <c16:uniqueId val="{00000001-9B0F-4BE7-B0F6-1744995A6046}"/>
            </c:ext>
          </c:extLst>
        </c:ser>
        <c:ser>
          <c:idx val="3"/>
          <c:order val="3"/>
          <c:tx>
            <c:strRef>
              <c:f>'SDG_6.4.1__T-Series'!$E$61</c:f>
              <c:strCache>
                <c:ptCount val="1"/>
                <c:pt idx="0">
                  <c:v>Water Use Efficiency (Total)</c:v>
                </c:pt>
              </c:strCache>
            </c:strRef>
          </c:tx>
          <c:spPr>
            <a:solidFill>
              <a:schemeClr val="bg1">
                <a:lumMod val="65000"/>
              </a:schemeClr>
            </a:solidFill>
            <a:ln>
              <a:noFill/>
            </a:ln>
            <a:effectLst/>
          </c:spPr>
          <c:invertIfNegative val="0"/>
          <c:cat>
            <c:numRef>
              <c:f>'SDG_6.4.1__T-Series'!$I$56:$L$56</c:f>
              <c:numCache>
                <c:formatCode>0</c:formatCode>
                <c:ptCount val="4"/>
                <c:pt idx="0">
                  <c:v>2012</c:v>
                </c:pt>
                <c:pt idx="1">
                  <c:v>2013</c:v>
                </c:pt>
                <c:pt idx="2">
                  <c:v>2014</c:v>
                </c:pt>
                <c:pt idx="3">
                  <c:v>2015</c:v>
                </c:pt>
              </c:numCache>
            </c:numRef>
          </c:cat>
          <c:val>
            <c:numRef>
              <c:f>'SDG_6.4.1__T-Series'!$I$61:$L$61</c:f>
              <c:numCache>
                <c:formatCode>0</c:formatCode>
                <c:ptCount val="4"/>
                <c:pt idx="0">
                  <c:v>100</c:v>
                </c:pt>
                <c:pt idx="1">
                  <c:v>102.9851295947485</c:v>
                </c:pt>
                <c:pt idx="2">
                  <c:v>107.39292736087759</c:v>
                </c:pt>
                <c:pt idx="3" formatCode="0.0">
                  <c:v>113.16119172370487</c:v>
                </c:pt>
              </c:numCache>
            </c:numRef>
          </c:val>
          <c:extLst xmlns:c16r2="http://schemas.microsoft.com/office/drawing/2015/06/chart">
            <c:ext xmlns:c16="http://schemas.microsoft.com/office/drawing/2014/chart" uri="{C3380CC4-5D6E-409C-BE32-E72D297353CC}">
              <c16:uniqueId val="{00000000-B105-4E30-B78E-B7E07ABEDAC8}"/>
            </c:ext>
          </c:extLst>
        </c:ser>
        <c:dLbls>
          <c:showLegendKey val="0"/>
          <c:showVal val="0"/>
          <c:showCatName val="0"/>
          <c:showSerName val="0"/>
          <c:showPercent val="0"/>
          <c:showBubbleSize val="0"/>
        </c:dLbls>
        <c:gapWidth val="219"/>
        <c:overlap val="-27"/>
        <c:axId val="-913385232"/>
        <c:axId val="-913379248"/>
      </c:barChart>
      <c:catAx>
        <c:axId val="-913385232"/>
        <c:scaling>
          <c:orientation val="minMax"/>
        </c:scaling>
        <c:delete val="0"/>
        <c:axPos val="b"/>
        <c:title>
          <c:tx>
            <c:rich>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Year</a:t>
                </a:r>
              </a:p>
            </c:rich>
          </c:tx>
          <c:layout>
            <c:manualLayout>
              <c:xMode val="edge"/>
              <c:yMode val="edge"/>
              <c:x val="0.90322656696769776"/>
              <c:y val="0.90222703609537802"/>
            </c:manualLayout>
          </c:layout>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79248"/>
        <c:crosses val="autoZero"/>
        <c:auto val="1"/>
        <c:lblAlgn val="ctr"/>
        <c:lblOffset val="100"/>
        <c:noMultiLvlLbl val="0"/>
      </c:catAx>
      <c:valAx>
        <c:axId val="-9133792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Index (2012 = 100)</a:t>
                </a:r>
                <a:endParaRPr lang="en-GB" sz="1200" b="1" i="1" baseline="30000"/>
              </a:p>
            </c:rich>
          </c:tx>
          <c:layout>
            <c:manualLayout>
              <c:xMode val="edge"/>
              <c:yMode val="edge"/>
              <c:x val="9.3567195353265478E-2"/>
              <c:y val="2.7469236048611841E-2"/>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85232"/>
        <c:crosses val="autoZero"/>
        <c:crossBetween val="between"/>
      </c:valAx>
      <c:spPr>
        <a:noFill/>
        <a:ln>
          <a:solidFill>
            <a:sysClr val="windowText" lastClr="000000"/>
          </a:solidFill>
        </a:ln>
        <a:effectLst/>
      </c:spPr>
    </c:plotArea>
    <c:legend>
      <c:legendPos val="r"/>
      <c:layout>
        <c:manualLayout>
          <c:xMode val="edge"/>
          <c:yMode val="edge"/>
          <c:x val="0.10418840825725316"/>
          <c:y val="0.87473332980396246"/>
          <c:w val="0.79983659672455398"/>
          <c:h val="0.1252666701960374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330238391395066E-2"/>
          <c:y val="5.0349773640723752E-2"/>
          <c:w val="0.87862596138540638"/>
          <c:h val="0.62407775403786103"/>
        </c:manualLayout>
      </c:layout>
      <c:scatterChart>
        <c:scatterStyle val="smoothMarker"/>
        <c:varyColors val="0"/>
        <c:ser>
          <c:idx val="0"/>
          <c:order val="0"/>
          <c:tx>
            <c:strRef>
              <c:f>'SDG_6.4.1__T-Series'!$H$72</c:f>
              <c:strCache>
                <c:ptCount val="1"/>
                <c:pt idx="0">
                  <c:v>Gross value added by Irrigated agriculture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'SDG_6.4.1__T-Series'!$I$72:$L$72</c:f>
              <c:numCache>
                <c:formatCode>0</c:formatCode>
                <c:ptCount val="4"/>
                <c:pt idx="0">
                  <c:v>100</c:v>
                </c:pt>
                <c:pt idx="1">
                  <c:v>107.14266418744592</c:v>
                </c:pt>
                <c:pt idx="2">
                  <c:v>119.9161511560207</c:v>
                </c:pt>
                <c:pt idx="3">
                  <c:v>131.15853460677627</c:v>
                </c:pt>
              </c:numCache>
            </c:numRef>
          </c:yVal>
          <c:smooth val="1"/>
          <c:extLst xmlns:c16r2="http://schemas.microsoft.com/office/drawing/2015/06/chart">
            <c:ext xmlns:c16="http://schemas.microsoft.com/office/drawing/2014/chart" uri="{C3380CC4-5D6E-409C-BE32-E72D297353CC}">
              <c16:uniqueId val="{00000000-36E0-4CFF-AC68-9132BC30E3AE}"/>
            </c:ext>
          </c:extLst>
        </c:ser>
        <c:ser>
          <c:idx val="1"/>
          <c:order val="1"/>
          <c:tx>
            <c:strRef>
              <c:f>'SDG_6.4.1__T-Series'!$H$76</c:f>
              <c:strCache>
                <c:ptCount val="1"/>
                <c:pt idx="0">
                  <c:v>Water Use - Irrigated Agriculture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'SDG_6.4.1__T-Series'!$I$76:$L$76</c:f>
              <c:numCache>
                <c:formatCode>0</c:formatCode>
                <c:ptCount val="4"/>
                <c:pt idx="0">
                  <c:v>100</c:v>
                </c:pt>
                <c:pt idx="1">
                  <c:v>102.88901355111494</c:v>
                </c:pt>
                <c:pt idx="2">
                  <c:v>107.84515342437011</c:v>
                </c:pt>
                <c:pt idx="3">
                  <c:v>114.44947479099415</c:v>
                </c:pt>
              </c:numCache>
            </c:numRef>
          </c:yVal>
          <c:smooth val="1"/>
          <c:extLst xmlns:c16r2="http://schemas.microsoft.com/office/drawing/2015/06/chart">
            <c:ext xmlns:c16="http://schemas.microsoft.com/office/drawing/2014/chart" uri="{C3380CC4-5D6E-409C-BE32-E72D297353CC}">
              <c16:uniqueId val="{00000001-36E0-4CFF-AC68-9132BC30E3AE}"/>
            </c:ext>
          </c:extLst>
        </c:ser>
        <c:ser>
          <c:idx val="2"/>
          <c:order val="2"/>
          <c:tx>
            <c:strRef>
              <c:f>'SDG_6.4.1__T-Series'!$H$80</c:f>
              <c:strCache>
                <c:ptCount val="1"/>
                <c:pt idx="0">
                  <c:v>Water Use Efficiency - Irrigated Agriculture</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'SDG_6.4.1__T-Series'!$I$80:$L$80</c:f>
              <c:numCache>
                <c:formatCode>0</c:formatCode>
                <c:ptCount val="4"/>
                <c:pt idx="0">
                  <c:v>100</c:v>
                </c:pt>
                <c:pt idx="1">
                  <c:v>104.13421267200479</c:v>
                </c:pt>
                <c:pt idx="2">
                  <c:v>111.19289773194652</c:v>
                </c:pt>
                <c:pt idx="3">
                  <c:v>114.59950763976501</c:v>
                </c:pt>
              </c:numCache>
            </c:numRef>
          </c:yVal>
          <c:smooth val="1"/>
          <c:extLst xmlns:c16r2="http://schemas.microsoft.com/office/drawing/2015/06/chart">
            <c:ext xmlns:c16="http://schemas.microsoft.com/office/drawing/2014/chart" uri="{C3380CC4-5D6E-409C-BE32-E72D297353CC}">
              <c16:uniqueId val="{00000002-36E0-4CFF-AC68-9132BC30E3AE}"/>
            </c:ext>
          </c:extLst>
        </c:ser>
        <c:dLbls>
          <c:showLegendKey val="0"/>
          <c:showVal val="0"/>
          <c:showCatName val="0"/>
          <c:showSerName val="0"/>
          <c:showPercent val="0"/>
          <c:showBubbleSize val="0"/>
        </c:dLbls>
        <c:axId val="-913392848"/>
        <c:axId val="-913382512"/>
      </c:scatterChart>
      <c:valAx>
        <c:axId val="-913392848"/>
        <c:scaling>
          <c:orientation val="minMax"/>
          <c:max val="2015"/>
          <c:min val="20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382512"/>
        <c:crosses val="autoZero"/>
        <c:crossBetween val="midCat"/>
        <c:majorUnit val="1"/>
        <c:minorUnit val="1"/>
      </c:valAx>
      <c:valAx>
        <c:axId val="-913382512"/>
        <c:scaling>
          <c:orientation val="minMax"/>
          <c:max val="135"/>
          <c:min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392848"/>
        <c:crosses val="autoZero"/>
        <c:crossBetween val="midCat"/>
        <c:majorUnit val="5"/>
        <c:minorUnit val="5"/>
      </c:valAx>
      <c:spPr>
        <a:noFill/>
        <a:ln>
          <a:solidFill>
            <a:schemeClr val="bg1">
              <a:lumMod val="50000"/>
            </a:schemeClr>
          </a:solidFill>
        </a:ln>
        <a:effectLst/>
      </c:spPr>
    </c:plotArea>
    <c:legend>
      <c:legendPos val="b"/>
      <c:layout>
        <c:manualLayout>
          <c:xMode val="edge"/>
          <c:yMode val="edge"/>
          <c:x val="0.1047781825450019"/>
          <c:y val="0.75867891513560803"/>
          <c:w val="0.78391854802395267"/>
          <c:h val="0.207116496585934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330238391395066E-2"/>
          <c:y val="5.0349773640723752E-2"/>
          <c:w val="0.87862596138540638"/>
          <c:h val="0.62407775403786103"/>
        </c:manualLayout>
      </c:layout>
      <c:scatterChart>
        <c:scatterStyle val="smoothMarker"/>
        <c:varyColors val="0"/>
        <c:ser>
          <c:idx val="0"/>
          <c:order val="0"/>
          <c:tx>
            <c:strRef>
              <c:f>'SDG_6.4.1__T-Series'!$H$73</c:f>
              <c:strCache>
                <c:ptCount val="1"/>
                <c:pt idx="0">
                  <c:v>Gross value added Industrial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'SDG_6.4.1__T-Series'!$I$73:$L$73</c:f>
              <c:numCache>
                <c:formatCode>0</c:formatCode>
                <c:ptCount val="4"/>
                <c:pt idx="0">
                  <c:v>100</c:v>
                </c:pt>
                <c:pt idx="1">
                  <c:v>108.74704491725768</c:v>
                </c:pt>
                <c:pt idx="2">
                  <c:v>121.98581560283688</c:v>
                </c:pt>
                <c:pt idx="3">
                  <c:v>127.65957446808511</c:v>
                </c:pt>
              </c:numCache>
            </c:numRef>
          </c:yVal>
          <c:smooth val="1"/>
          <c:extLst xmlns:c16r2="http://schemas.microsoft.com/office/drawing/2015/06/chart">
            <c:ext xmlns:c16="http://schemas.microsoft.com/office/drawing/2014/chart" uri="{C3380CC4-5D6E-409C-BE32-E72D297353CC}">
              <c16:uniqueId val="{00000000-36E0-4CFF-AC68-9132BC30E3AE}"/>
            </c:ext>
          </c:extLst>
        </c:ser>
        <c:ser>
          <c:idx val="1"/>
          <c:order val="1"/>
          <c:tx>
            <c:strRef>
              <c:f>'SDG_6.4.1__T-Series'!$H$77</c:f>
              <c:strCache>
                <c:ptCount val="1"/>
                <c:pt idx="0">
                  <c:v>Water Use - Industrial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'SDG_6.4.1__T-Series'!$I$77:$L$77</c:f>
              <c:numCache>
                <c:formatCode>0</c:formatCode>
                <c:ptCount val="4"/>
                <c:pt idx="0">
                  <c:v>100</c:v>
                </c:pt>
                <c:pt idx="1">
                  <c:v>103.05639214871425</c:v>
                </c:pt>
                <c:pt idx="2">
                  <c:v>106.21880308433707</c:v>
                </c:pt>
                <c:pt idx="3">
                  <c:v>109.4912064780079</c:v>
                </c:pt>
              </c:numCache>
            </c:numRef>
          </c:yVal>
          <c:smooth val="1"/>
          <c:extLst xmlns:c16r2="http://schemas.microsoft.com/office/drawing/2015/06/chart">
            <c:ext xmlns:c16="http://schemas.microsoft.com/office/drawing/2014/chart" uri="{C3380CC4-5D6E-409C-BE32-E72D297353CC}">
              <c16:uniqueId val="{00000001-36E0-4CFF-AC68-9132BC30E3AE}"/>
            </c:ext>
          </c:extLst>
        </c:ser>
        <c:ser>
          <c:idx val="2"/>
          <c:order val="2"/>
          <c:tx>
            <c:strRef>
              <c:f>'SDG_6.4.1__T-Series'!$H$81</c:f>
              <c:strCache>
                <c:ptCount val="1"/>
                <c:pt idx="0">
                  <c:v>Water Use Efficiency - Industrial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'SDG_6.4.1__T-Series'!$I$81:$L$81</c:f>
              <c:numCache>
                <c:formatCode>0</c:formatCode>
                <c:ptCount val="4"/>
                <c:pt idx="0">
                  <c:v>100</c:v>
                </c:pt>
                <c:pt idx="1">
                  <c:v>105.52188238875237</c:v>
                </c:pt>
                <c:pt idx="2">
                  <c:v>114.84389963044576</c:v>
                </c:pt>
                <c:pt idx="3">
                  <c:v>116.59344944173802</c:v>
                </c:pt>
              </c:numCache>
            </c:numRef>
          </c:yVal>
          <c:smooth val="1"/>
          <c:extLst xmlns:c16r2="http://schemas.microsoft.com/office/drawing/2015/06/chart">
            <c:ext xmlns:c16="http://schemas.microsoft.com/office/drawing/2014/chart" uri="{C3380CC4-5D6E-409C-BE32-E72D297353CC}">
              <c16:uniqueId val="{00000002-36E0-4CFF-AC68-9132BC30E3AE}"/>
            </c:ext>
          </c:extLst>
        </c:ser>
        <c:dLbls>
          <c:showLegendKey val="0"/>
          <c:showVal val="0"/>
          <c:showCatName val="0"/>
          <c:showSerName val="0"/>
          <c:showPercent val="0"/>
          <c:showBubbleSize val="0"/>
        </c:dLbls>
        <c:axId val="-913383600"/>
        <c:axId val="-913393936"/>
      </c:scatterChart>
      <c:valAx>
        <c:axId val="-913383600"/>
        <c:scaling>
          <c:orientation val="minMax"/>
          <c:max val="2015"/>
          <c:min val="20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393936"/>
        <c:crosses val="autoZero"/>
        <c:crossBetween val="midCat"/>
        <c:majorUnit val="1"/>
        <c:minorUnit val="1"/>
      </c:valAx>
      <c:valAx>
        <c:axId val="-913393936"/>
        <c:scaling>
          <c:orientation val="minMax"/>
          <c:max val="135"/>
          <c:min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383600"/>
        <c:crosses val="autoZero"/>
        <c:crossBetween val="midCat"/>
        <c:majorUnit val="5"/>
        <c:minorUnit val="5"/>
      </c:valAx>
      <c:spPr>
        <a:noFill/>
        <a:ln>
          <a:solidFill>
            <a:schemeClr val="bg1">
              <a:lumMod val="50000"/>
            </a:schemeClr>
          </a:solidFill>
        </a:ln>
        <a:effectLst/>
      </c:spPr>
    </c:plotArea>
    <c:legend>
      <c:legendPos val="b"/>
      <c:layout>
        <c:manualLayout>
          <c:xMode val="edge"/>
          <c:yMode val="edge"/>
          <c:x val="9.9877759526595986E-2"/>
          <c:y val="0.75867891513560803"/>
          <c:w val="0.74716537538590844"/>
          <c:h val="0.207116496585934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330238391395066E-2"/>
          <c:y val="5.0349773640723752E-2"/>
          <c:w val="0.87862596138540638"/>
          <c:h val="0.62407775403786103"/>
        </c:manualLayout>
      </c:layout>
      <c:scatterChart>
        <c:scatterStyle val="smoothMarker"/>
        <c:varyColors val="0"/>
        <c:ser>
          <c:idx val="0"/>
          <c:order val="0"/>
          <c:tx>
            <c:strRef>
              <c:f>'SDG_6.4.1__T-Series'!$H$74</c:f>
              <c:strCache>
                <c:ptCount val="1"/>
                <c:pt idx="0">
                  <c:v>Gross value added Services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'SDG_6.4.1__T-Series'!$I$74:$L$74</c:f>
              <c:numCache>
                <c:formatCode>0</c:formatCode>
                <c:ptCount val="4"/>
                <c:pt idx="0">
                  <c:v>100</c:v>
                </c:pt>
                <c:pt idx="1">
                  <c:v>105.24017467248908</c:v>
                </c:pt>
                <c:pt idx="2">
                  <c:v>112.57641921397379</c:v>
                </c:pt>
                <c:pt idx="3">
                  <c:v>124.32314410480349</c:v>
                </c:pt>
              </c:numCache>
            </c:numRef>
          </c:yVal>
          <c:smooth val="1"/>
          <c:extLst xmlns:c16r2="http://schemas.microsoft.com/office/drawing/2015/06/chart">
            <c:ext xmlns:c16="http://schemas.microsoft.com/office/drawing/2014/chart" uri="{C3380CC4-5D6E-409C-BE32-E72D297353CC}">
              <c16:uniqueId val="{00000000-36E0-4CFF-AC68-9132BC30E3AE}"/>
            </c:ext>
          </c:extLst>
        </c:ser>
        <c:ser>
          <c:idx val="1"/>
          <c:order val="1"/>
          <c:tx>
            <c:strRef>
              <c:f>'SDG_6.4.1__T-Series'!$H$78</c:f>
              <c:strCache>
                <c:ptCount val="1"/>
                <c:pt idx="0">
                  <c:v>Water Use - Services (Public water Supply)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'SDG_6.4.1__T-Series'!$I$78:$L$78</c:f>
              <c:numCache>
                <c:formatCode>0</c:formatCode>
                <c:ptCount val="4"/>
                <c:pt idx="0">
                  <c:v>100</c:v>
                </c:pt>
                <c:pt idx="1">
                  <c:v>100.11304593380663</c:v>
                </c:pt>
                <c:pt idx="2">
                  <c:v>101.0025</c:v>
                </c:pt>
                <c:pt idx="3">
                  <c:v>101.50751249999999</c:v>
                </c:pt>
              </c:numCache>
            </c:numRef>
          </c:yVal>
          <c:smooth val="1"/>
          <c:extLst xmlns:c16r2="http://schemas.microsoft.com/office/drawing/2015/06/chart">
            <c:ext xmlns:c16="http://schemas.microsoft.com/office/drawing/2014/chart" uri="{C3380CC4-5D6E-409C-BE32-E72D297353CC}">
              <c16:uniqueId val="{00000001-36E0-4CFF-AC68-9132BC30E3AE}"/>
            </c:ext>
          </c:extLst>
        </c:ser>
        <c:ser>
          <c:idx val="2"/>
          <c:order val="2"/>
          <c:tx>
            <c:strRef>
              <c:f>'SDG_6.4.1__T-Series'!$H$82</c:f>
              <c:strCache>
                <c:ptCount val="1"/>
                <c:pt idx="0">
                  <c:v>Water Use Efficiency - Services</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'SDG_6.4.1__T-Series'!$I$82:$L$82</c:f>
              <c:numCache>
                <c:formatCode>0</c:formatCode>
                <c:ptCount val="4"/>
                <c:pt idx="0">
                  <c:v>100</c:v>
                </c:pt>
                <c:pt idx="1">
                  <c:v>105.12133927287802</c:v>
                </c:pt>
                <c:pt idx="2">
                  <c:v>111.45904231476827</c:v>
                </c:pt>
                <c:pt idx="3">
                  <c:v>122.47679116834188</c:v>
                </c:pt>
              </c:numCache>
            </c:numRef>
          </c:yVal>
          <c:smooth val="1"/>
          <c:extLst xmlns:c16r2="http://schemas.microsoft.com/office/drawing/2015/06/chart">
            <c:ext xmlns:c16="http://schemas.microsoft.com/office/drawing/2014/chart" uri="{C3380CC4-5D6E-409C-BE32-E72D297353CC}">
              <c16:uniqueId val="{00000002-36E0-4CFF-AC68-9132BC30E3AE}"/>
            </c:ext>
          </c:extLst>
        </c:ser>
        <c:dLbls>
          <c:showLegendKey val="0"/>
          <c:showVal val="0"/>
          <c:showCatName val="0"/>
          <c:showSerName val="0"/>
          <c:showPercent val="0"/>
          <c:showBubbleSize val="0"/>
        </c:dLbls>
        <c:axId val="-913381968"/>
        <c:axId val="-913387408"/>
      </c:scatterChart>
      <c:valAx>
        <c:axId val="-913381968"/>
        <c:scaling>
          <c:orientation val="minMax"/>
          <c:max val="2015"/>
          <c:min val="20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387408"/>
        <c:crosses val="autoZero"/>
        <c:crossBetween val="midCat"/>
        <c:majorUnit val="1"/>
        <c:minorUnit val="1"/>
      </c:valAx>
      <c:valAx>
        <c:axId val="-913387408"/>
        <c:scaling>
          <c:orientation val="minMax"/>
          <c:max val="135"/>
          <c:min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381968"/>
        <c:crosses val="autoZero"/>
        <c:crossBetween val="midCat"/>
        <c:majorUnit val="5"/>
        <c:minorUnit val="5"/>
      </c:valAx>
      <c:spPr>
        <a:noFill/>
        <a:ln>
          <a:solidFill>
            <a:schemeClr val="bg1">
              <a:lumMod val="50000"/>
            </a:schemeClr>
          </a:solidFill>
        </a:ln>
        <a:effectLst/>
      </c:spPr>
    </c:plotArea>
    <c:legend>
      <c:legendPos val="b"/>
      <c:layout>
        <c:manualLayout>
          <c:xMode val="edge"/>
          <c:yMode val="edge"/>
          <c:x val="0.13418072065543737"/>
          <c:y val="0.75867891513560803"/>
          <c:w val="0.73736452934909658"/>
          <c:h val="0.207116496585934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 Use Efficiency (SDG 6.4.1)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87657684751473"/>
          <c:y val="0.13083029211026867"/>
          <c:w val="0.86653862934743253"/>
          <c:h val="0.65657095540814769"/>
        </c:manualLayout>
      </c:layout>
      <c:barChart>
        <c:barDir val="col"/>
        <c:grouping val="clustered"/>
        <c:varyColors val="0"/>
        <c:ser>
          <c:idx val="0"/>
          <c:order val="0"/>
          <c:tx>
            <c:strRef>
              <c:f>'SDG_6.4.1__T-Series'!$C$50</c:f>
              <c:strCache>
                <c:ptCount val="1"/>
                <c:pt idx="0">
                  <c:v>Water Use Efficiency (Total)</c:v>
                </c:pt>
              </c:strCache>
            </c:strRef>
          </c:tx>
          <c:spPr>
            <a:solidFill>
              <a:schemeClr val="accent1"/>
            </a:solidFill>
            <a:ln>
              <a:noFill/>
            </a:ln>
            <a:effectLst/>
          </c:spPr>
          <c:invertIfNegative val="0"/>
          <c:cat>
            <c:numRef>
              <c:f>'SDG_6.4.1__T-Series'!$I$5:$L$5</c:f>
              <c:numCache>
                <c:formatCode>General</c:formatCode>
                <c:ptCount val="4"/>
                <c:pt idx="0">
                  <c:v>2012</c:v>
                </c:pt>
                <c:pt idx="1">
                  <c:v>2013</c:v>
                </c:pt>
                <c:pt idx="2">
                  <c:v>2014</c:v>
                </c:pt>
                <c:pt idx="3">
                  <c:v>2015</c:v>
                </c:pt>
              </c:numCache>
            </c:numRef>
          </c:cat>
          <c:val>
            <c:numRef>
              <c:f>'SDG_6.4.1__T-Series'!$I$50:$L$50</c:f>
              <c:numCache>
                <c:formatCode>0.00</c:formatCode>
                <c:ptCount val="4"/>
                <c:pt idx="0">
                  <c:v>4497.0015658459679</c:v>
                </c:pt>
                <c:pt idx="1">
                  <c:v>4631.2428904643393</c:v>
                </c:pt>
                <c:pt idx="2">
                  <c:v>4829.4616250264889</c:v>
                </c:pt>
                <c:pt idx="3">
                  <c:v>5088.8605637449655</c:v>
                </c:pt>
              </c:numCache>
            </c:numRef>
          </c:val>
          <c:extLst xmlns:c16r2="http://schemas.microsoft.com/office/drawing/2015/06/chart">
            <c:ext xmlns:c16="http://schemas.microsoft.com/office/drawing/2014/chart" uri="{C3380CC4-5D6E-409C-BE32-E72D297353CC}">
              <c16:uniqueId val="{00000000-0DB6-47BF-A65E-10E77052DAED}"/>
            </c:ext>
          </c:extLst>
        </c:ser>
        <c:dLbls>
          <c:showLegendKey val="0"/>
          <c:showVal val="0"/>
          <c:showCatName val="0"/>
          <c:showSerName val="0"/>
          <c:showPercent val="0"/>
          <c:showBubbleSize val="0"/>
        </c:dLbls>
        <c:gapWidth val="219"/>
        <c:overlap val="-27"/>
        <c:axId val="-913386864"/>
        <c:axId val="-910595072"/>
      </c:barChart>
      <c:catAx>
        <c:axId val="-913386864"/>
        <c:scaling>
          <c:orientation val="minMax"/>
        </c:scaling>
        <c:delete val="0"/>
        <c:axPos val="b"/>
        <c:title>
          <c:tx>
            <c:rich>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r>
                  <a:rPr lang="en-GB" sz="1400" i="1"/>
                  <a:t>Year</a:t>
                </a:r>
              </a:p>
            </c:rich>
          </c:tx>
          <c:layout>
            <c:manualLayout>
              <c:xMode val="edge"/>
              <c:yMode val="edge"/>
              <c:x val="0.90322656696769776"/>
              <c:y val="0.90222703609537802"/>
            </c:manualLayout>
          </c:layout>
          <c:overlay val="0"/>
          <c:spPr>
            <a:noFill/>
            <a:ln>
              <a:noFill/>
            </a:ln>
            <a:effectLst/>
          </c:spPr>
          <c:txPr>
            <a:bodyPr rot="0" spcFirstLastPara="1" vertOverflow="ellipsis" vert="horz" wrap="square" anchor="ctr" anchorCtr="1"/>
            <a:lstStyle/>
            <a:p>
              <a:pPr>
                <a:defRPr sz="1400" b="0"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0595072"/>
        <c:crosses val="autoZero"/>
        <c:auto val="1"/>
        <c:lblAlgn val="ctr"/>
        <c:lblOffset val="100"/>
        <c:noMultiLvlLbl val="0"/>
      </c:catAx>
      <c:valAx>
        <c:axId val="-9105950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Rwf / m</a:t>
                </a:r>
                <a:r>
                  <a:rPr lang="en-GB" sz="1200" b="1" i="1" baseline="30000"/>
                  <a:t>3 </a:t>
                </a:r>
              </a:p>
            </c:rich>
          </c:tx>
          <c:layout>
            <c:manualLayout>
              <c:xMode val="edge"/>
              <c:yMode val="edge"/>
              <c:x val="9.3567244568421457E-2"/>
              <c:y val="5.1697797581520377E-2"/>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3386864"/>
        <c:crosses val="autoZero"/>
        <c:crossBetween val="between"/>
      </c:valAx>
      <c:spPr>
        <a:noFill/>
        <a:ln>
          <a:solidFill>
            <a:schemeClr val="tx1"/>
          </a:solidFill>
        </a:ln>
        <a:effectLst/>
      </c:spPr>
    </c:plotArea>
    <c:legend>
      <c:legendPos val="r"/>
      <c:layout>
        <c:manualLayout>
          <c:xMode val="edge"/>
          <c:yMode val="edge"/>
          <c:x val="0.13433073560210079"/>
          <c:y val="0.87388673838325859"/>
          <c:w val="0.3005231072046336"/>
          <c:h val="8.5271636880865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SDG 6.4.1 deteminants</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330238391395066E-2"/>
          <c:y val="0.13004629629629633"/>
          <c:w val="0.87862596138540638"/>
          <c:h val="0.54438137941090692"/>
        </c:manualLayout>
      </c:layout>
      <c:scatterChart>
        <c:scatterStyle val="smoothMarker"/>
        <c:varyColors val="0"/>
        <c:ser>
          <c:idx val="0"/>
          <c:order val="0"/>
          <c:tx>
            <c:strRef>
              <c:f>'SDG_6.4.1__T-Series'!$H$75</c:f>
              <c:strCache>
                <c:ptCount val="1"/>
                <c:pt idx="0">
                  <c:v>Gross value added 'Total' (irrig. Agric, Ind. &amp; Service)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'SDG_6.4.1__T-Series'!$I$75:$L$75</c:f>
              <c:numCache>
                <c:formatCode>0</c:formatCode>
                <c:ptCount val="4"/>
                <c:pt idx="0">
                  <c:v>100</c:v>
                </c:pt>
                <c:pt idx="1">
                  <c:v>105.81510591571276</c:v>
                </c:pt>
                <c:pt idx="2">
                  <c:v>114.16545227527837</c:v>
                </c:pt>
                <c:pt idx="3">
                  <c:v>124.97449491542385</c:v>
                </c:pt>
              </c:numCache>
            </c:numRef>
          </c:yVal>
          <c:smooth val="1"/>
          <c:extLst xmlns:c16r2="http://schemas.microsoft.com/office/drawing/2015/06/chart">
            <c:ext xmlns:c16="http://schemas.microsoft.com/office/drawing/2014/chart" uri="{C3380CC4-5D6E-409C-BE32-E72D297353CC}">
              <c16:uniqueId val="{00000000-36E0-4CFF-AC68-9132BC30E3AE}"/>
            </c:ext>
          </c:extLst>
        </c:ser>
        <c:ser>
          <c:idx val="1"/>
          <c:order val="1"/>
          <c:tx>
            <c:strRef>
              <c:f>'SDG_6.4.1__T-Series'!$H$79</c:f>
              <c:strCache>
                <c:ptCount val="1"/>
                <c:pt idx="0">
                  <c:v>Water Use - 'Total'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'SDG_6.4.1__T-Series'!$I$79:$L$79</c:f>
              <c:numCache>
                <c:formatCode>0</c:formatCode>
                <c:ptCount val="4"/>
                <c:pt idx="0">
                  <c:v>100</c:v>
                </c:pt>
                <c:pt idx="1">
                  <c:v>102.74794655510011</c:v>
                </c:pt>
                <c:pt idx="2">
                  <c:v>106.30630441019892</c:v>
                </c:pt>
                <c:pt idx="3">
                  <c:v>110.43935912283641</c:v>
                </c:pt>
              </c:numCache>
            </c:numRef>
          </c:yVal>
          <c:smooth val="1"/>
          <c:extLst xmlns:c16r2="http://schemas.microsoft.com/office/drawing/2015/06/chart">
            <c:ext xmlns:c16="http://schemas.microsoft.com/office/drawing/2014/chart" uri="{C3380CC4-5D6E-409C-BE32-E72D297353CC}">
              <c16:uniqueId val="{00000001-36E0-4CFF-AC68-9132BC30E3AE}"/>
            </c:ext>
          </c:extLst>
        </c:ser>
        <c:ser>
          <c:idx val="2"/>
          <c:order val="2"/>
          <c:tx>
            <c:strRef>
              <c:f>'SDG_6.4.1__T-Series'!$H$83</c:f>
              <c:strCache>
                <c:ptCount val="1"/>
                <c:pt idx="0">
                  <c:v>Water Use Efficiency - 'Total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'SDG_6.4.1__T-Series'!$I$83:$L$83</c:f>
              <c:numCache>
                <c:formatCode>0</c:formatCode>
                <c:ptCount val="4"/>
                <c:pt idx="0">
                  <c:v>100</c:v>
                </c:pt>
                <c:pt idx="1">
                  <c:v>102.9851295947485</c:v>
                </c:pt>
                <c:pt idx="2">
                  <c:v>107.39292736087759</c:v>
                </c:pt>
                <c:pt idx="3">
                  <c:v>113.16119172370487</c:v>
                </c:pt>
              </c:numCache>
            </c:numRef>
          </c:yVal>
          <c:smooth val="1"/>
          <c:extLst xmlns:c16r2="http://schemas.microsoft.com/office/drawing/2015/06/chart">
            <c:ext xmlns:c16="http://schemas.microsoft.com/office/drawing/2014/chart" uri="{C3380CC4-5D6E-409C-BE32-E72D297353CC}">
              <c16:uniqueId val="{00000002-36E0-4CFF-AC68-9132BC30E3AE}"/>
            </c:ext>
          </c:extLst>
        </c:ser>
        <c:dLbls>
          <c:showLegendKey val="0"/>
          <c:showVal val="0"/>
          <c:showCatName val="0"/>
          <c:showSerName val="0"/>
          <c:showPercent val="0"/>
          <c:showBubbleSize val="0"/>
        </c:dLbls>
        <c:axId val="-910606496"/>
        <c:axId val="-910610304"/>
      </c:scatterChart>
      <c:valAx>
        <c:axId val="-910606496"/>
        <c:scaling>
          <c:orientation val="minMax"/>
          <c:min val="20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0610304"/>
        <c:crosses val="autoZero"/>
        <c:crossBetween val="midCat"/>
        <c:majorUnit val="1"/>
        <c:minorUnit val="1"/>
      </c:valAx>
      <c:valAx>
        <c:axId val="-910610304"/>
        <c:scaling>
          <c:orientation val="minMax"/>
          <c:max val="135"/>
          <c:min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0606496"/>
        <c:crosses val="autoZero"/>
        <c:crossBetween val="midCat"/>
        <c:majorUnit val="5"/>
        <c:minorUnit val="5"/>
      </c:valAx>
      <c:spPr>
        <a:noFill/>
        <a:ln>
          <a:solidFill>
            <a:schemeClr val="bg1">
              <a:lumMod val="50000"/>
            </a:schemeClr>
          </a:solidFill>
        </a:ln>
        <a:effectLst/>
      </c:spPr>
    </c:plotArea>
    <c:legend>
      <c:legendPos val="b"/>
      <c:layout>
        <c:manualLayout>
          <c:xMode val="edge"/>
          <c:yMode val="edge"/>
          <c:x val="0.2005337143660379"/>
          <c:y val="0.75867891513560803"/>
          <c:w val="0.60738801203493176"/>
          <c:h val="0.207116496585934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330238391395066E-2"/>
          <c:y val="5.0349773640723752E-2"/>
          <c:w val="0.87862596138540638"/>
          <c:h val="0.62407775403786103"/>
        </c:manualLayout>
      </c:layout>
      <c:scatterChart>
        <c:scatterStyle val="smoothMarker"/>
        <c:varyColors val="0"/>
        <c:ser>
          <c:idx val="0"/>
          <c:order val="0"/>
          <c:tx>
            <c:strRef>
              <c:f>'SDG_6.4.1__T-Series'!$H$75</c:f>
              <c:strCache>
                <c:ptCount val="1"/>
                <c:pt idx="0">
                  <c:v>Gross value added 'Total' (irrig. Agric, Ind. &amp; Service)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'SDG_6.4.1__T-Series'!$I$75:$L$75</c:f>
              <c:numCache>
                <c:formatCode>0</c:formatCode>
                <c:ptCount val="4"/>
                <c:pt idx="0">
                  <c:v>100</c:v>
                </c:pt>
                <c:pt idx="1">
                  <c:v>105.81510591571276</c:v>
                </c:pt>
                <c:pt idx="2">
                  <c:v>114.16545227527837</c:v>
                </c:pt>
                <c:pt idx="3">
                  <c:v>124.97449491542385</c:v>
                </c:pt>
              </c:numCache>
            </c:numRef>
          </c:yVal>
          <c:smooth val="1"/>
          <c:extLst xmlns:c16r2="http://schemas.microsoft.com/office/drawing/2015/06/chart">
            <c:ext xmlns:c16="http://schemas.microsoft.com/office/drawing/2014/chart" uri="{C3380CC4-5D6E-409C-BE32-E72D297353CC}">
              <c16:uniqueId val="{00000000-36E0-4CFF-AC68-9132BC30E3AE}"/>
            </c:ext>
          </c:extLst>
        </c:ser>
        <c:ser>
          <c:idx val="1"/>
          <c:order val="1"/>
          <c:tx>
            <c:strRef>
              <c:f>'SDG_6.4.1__T-Series'!$H$79</c:f>
              <c:strCache>
                <c:ptCount val="1"/>
                <c:pt idx="0">
                  <c:v>Water Use - 'Total'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'SDG_6.4.1__T-Series'!$I$79:$L$79</c:f>
              <c:numCache>
                <c:formatCode>0</c:formatCode>
                <c:ptCount val="4"/>
                <c:pt idx="0">
                  <c:v>100</c:v>
                </c:pt>
                <c:pt idx="1">
                  <c:v>102.74794655510011</c:v>
                </c:pt>
                <c:pt idx="2">
                  <c:v>106.30630441019892</c:v>
                </c:pt>
                <c:pt idx="3">
                  <c:v>110.43935912283641</c:v>
                </c:pt>
              </c:numCache>
            </c:numRef>
          </c:yVal>
          <c:smooth val="1"/>
          <c:extLst xmlns:c16r2="http://schemas.microsoft.com/office/drawing/2015/06/chart">
            <c:ext xmlns:c16="http://schemas.microsoft.com/office/drawing/2014/chart" uri="{C3380CC4-5D6E-409C-BE32-E72D297353CC}">
              <c16:uniqueId val="{00000001-36E0-4CFF-AC68-9132BC30E3AE}"/>
            </c:ext>
          </c:extLst>
        </c:ser>
        <c:ser>
          <c:idx val="2"/>
          <c:order val="2"/>
          <c:tx>
            <c:strRef>
              <c:f>'SDG_6.4.1__T-Series'!$H$83</c:f>
              <c:strCache>
                <c:ptCount val="1"/>
                <c:pt idx="0">
                  <c:v>Water Use Efficiency - 'Total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'SDG_6.4.1__T-Series'!$I$71:$L$71</c:f>
              <c:numCache>
                <c:formatCode>General</c:formatCode>
                <c:ptCount val="4"/>
                <c:pt idx="0">
                  <c:v>2012</c:v>
                </c:pt>
                <c:pt idx="1">
                  <c:v>2013</c:v>
                </c:pt>
                <c:pt idx="2" formatCode="0">
                  <c:v>2014</c:v>
                </c:pt>
                <c:pt idx="3">
                  <c:v>2015</c:v>
                </c:pt>
              </c:numCache>
            </c:numRef>
          </c:xVal>
          <c:yVal>
            <c:numRef>
              <c:f>'SDG_6.4.1__T-Series'!$I$83:$L$83</c:f>
              <c:numCache>
                <c:formatCode>0</c:formatCode>
                <c:ptCount val="4"/>
                <c:pt idx="0">
                  <c:v>100</c:v>
                </c:pt>
                <c:pt idx="1">
                  <c:v>102.9851295947485</c:v>
                </c:pt>
                <c:pt idx="2">
                  <c:v>107.39292736087759</c:v>
                </c:pt>
                <c:pt idx="3">
                  <c:v>113.16119172370487</c:v>
                </c:pt>
              </c:numCache>
            </c:numRef>
          </c:yVal>
          <c:smooth val="1"/>
          <c:extLst xmlns:c16r2="http://schemas.microsoft.com/office/drawing/2015/06/chart">
            <c:ext xmlns:c16="http://schemas.microsoft.com/office/drawing/2014/chart" uri="{C3380CC4-5D6E-409C-BE32-E72D297353CC}">
              <c16:uniqueId val="{00000002-36E0-4CFF-AC68-9132BC30E3AE}"/>
            </c:ext>
          </c:extLst>
        </c:ser>
        <c:dLbls>
          <c:showLegendKey val="0"/>
          <c:showVal val="0"/>
          <c:showCatName val="0"/>
          <c:showSerName val="0"/>
          <c:showPercent val="0"/>
          <c:showBubbleSize val="0"/>
        </c:dLbls>
        <c:axId val="-910604864"/>
        <c:axId val="-910609760"/>
      </c:scatterChart>
      <c:valAx>
        <c:axId val="-910604864"/>
        <c:scaling>
          <c:orientation val="minMax"/>
          <c:max val="2015"/>
          <c:min val="20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0609760"/>
        <c:crosses val="autoZero"/>
        <c:crossBetween val="midCat"/>
        <c:majorUnit val="1"/>
        <c:minorUnit val="1"/>
      </c:valAx>
      <c:valAx>
        <c:axId val="-910609760"/>
        <c:scaling>
          <c:orientation val="minMax"/>
          <c:max val="135"/>
          <c:min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0604864"/>
        <c:crosses val="autoZero"/>
        <c:crossBetween val="midCat"/>
        <c:majorUnit val="5"/>
        <c:minorUnit val="5"/>
      </c:valAx>
      <c:spPr>
        <a:noFill/>
        <a:ln>
          <a:solidFill>
            <a:schemeClr val="bg1">
              <a:lumMod val="50000"/>
            </a:schemeClr>
          </a:solidFill>
        </a:ln>
        <a:effectLst/>
      </c:spPr>
    </c:plotArea>
    <c:legend>
      <c:legendPos val="b"/>
      <c:layout>
        <c:manualLayout>
          <c:xMode val="edge"/>
          <c:yMode val="edge"/>
          <c:x val="8.7645934380451318E-2"/>
          <c:y val="0.75867891513560803"/>
          <c:w val="0.83527622350432851"/>
          <c:h val="0.2071164965859343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7673738836801"/>
          <c:y val="0.13117095974946996"/>
          <c:w val="0.84064817623221832"/>
          <c:h val="0.71885738312497638"/>
        </c:manualLayout>
      </c:layout>
      <c:lineChart>
        <c:grouping val="standard"/>
        <c:varyColors val="0"/>
        <c:ser>
          <c:idx val="0"/>
          <c:order val="0"/>
          <c:tx>
            <c:strRef>
              <c:f>'SDG_6.4.1__T-Series'!$D$13</c:f>
              <c:strCache>
                <c:ptCount val="1"/>
                <c:pt idx="0">
                  <c:v>Irrigated land</c:v>
                </c:pt>
              </c:strCache>
            </c:strRef>
          </c:tx>
          <c:spPr>
            <a:ln w="28575" cap="rnd">
              <a:solidFill>
                <a:schemeClr val="accent1"/>
              </a:solidFill>
              <a:round/>
            </a:ln>
            <a:effectLst/>
          </c:spPr>
          <c:marker>
            <c:symbol val="none"/>
          </c:marker>
          <c:cat>
            <c:numRef>
              <c:f>'SDG_6.4.1__T-Series'!$I$5:$M$5</c:f>
              <c:numCache>
                <c:formatCode>General</c:formatCode>
                <c:ptCount val="5"/>
                <c:pt idx="0">
                  <c:v>2012</c:v>
                </c:pt>
                <c:pt idx="1">
                  <c:v>2013</c:v>
                </c:pt>
                <c:pt idx="2">
                  <c:v>2014</c:v>
                </c:pt>
                <c:pt idx="3">
                  <c:v>2015</c:v>
                </c:pt>
                <c:pt idx="4">
                  <c:v>2016</c:v>
                </c:pt>
              </c:numCache>
            </c:numRef>
          </c:cat>
          <c:val>
            <c:numRef>
              <c:f>'SDG_6.4.1__T-Series'!$I$13:$M$13</c:f>
              <c:numCache>
                <c:formatCode>_-* #,##0_-;\-* #,##0_-;_-* "-"??_-;_-@_-</c:formatCode>
                <c:ptCount val="5"/>
                <c:pt idx="0">
                  <c:v>23092</c:v>
                </c:pt>
                <c:pt idx="1">
                  <c:v>24027.589497227007</c:v>
                </c:pt>
                <c:pt idx="2">
                  <c:v>25001.085096451308</c:v>
                </c:pt>
                <c:pt idx="3">
                  <c:v>26014.022591493682</c:v>
                </c:pt>
                <c:pt idx="4">
                  <c:v>27068</c:v>
                </c:pt>
              </c:numCache>
            </c:numRef>
          </c:val>
          <c:smooth val="0"/>
          <c:extLst xmlns:c16r2="http://schemas.microsoft.com/office/drawing/2015/06/chart">
            <c:ext xmlns:c16="http://schemas.microsoft.com/office/drawing/2014/chart" uri="{C3380CC4-5D6E-409C-BE32-E72D297353CC}">
              <c16:uniqueId val="{00000000-C34C-48E3-92FD-98EFA55F3D0C}"/>
            </c:ext>
          </c:extLst>
        </c:ser>
        <c:dLbls>
          <c:showLegendKey val="0"/>
          <c:showVal val="0"/>
          <c:showCatName val="0"/>
          <c:showSerName val="0"/>
          <c:showPercent val="0"/>
          <c:showBubbleSize val="0"/>
        </c:dLbls>
        <c:smooth val="0"/>
        <c:axId val="-910599968"/>
        <c:axId val="-910595616"/>
      </c:lineChart>
      <c:catAx>
        <c:axId val="-910599968"/>
        <c:scaling>
          <c:orientation val="minMax"/>
        </c:scaling>
        <c:delete val="0"/>
        <c:axPos val="b"/>
        <c:title>
          <c:tx>
            <c:rich>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r>
                  <a:rPr lang="nl-NL" i="1"/>
                  <a:t>Year</a:t>
                </a:r>
              </a:p>
            </c:rich>
          </c:tx>
          <c:layout>
            <c:manualLayout>
              <c:xMode val="edge"/>
              <c:yMode val="edge"/>
              <c:x val="0.91772070801421979"/>
              <c:y val="0.91400867661350294"/>
            </c:manualLayout>
          </c:layout>
          <c:overlay val="0"/>
          <c:spPr>
            <a:noFill/>
            <a:ln>
              <a:noFill/>
            </a:ln>
            <a:effectLst/>
          </c:spPr>
          <c:txPr>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0595616"/>
        <c:crosses val="autoZero"/>
        <c:auto val="1"/>
        <c:lblAlgn val="ctr"/>
        <c:lblOffset val="100"/>
        <c:noMultiLvlLbl val="0"/>
      </c:catAx>
      <c:valAx>
        <c:axId val="-9105956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1" u="none" strike="noStrike" kern="1200" baseline="0">
                    <a:solidFill>
                      <a:schemeClr val="tx1">
                        <a:lumMod val="65000"/>
                        <a:lumOff val="35000"/>
                      </a:schemeClr>
                    </a:solidFill>
                    <a:latin typeface="+mn-lt"/>
                    <a:ea typeface="+mn-ea"/>
                    <a:cs typeface="+mn-cs"/>
                  </a:defRPr>
                </a:pPr>
                <a:r>
                  <a:rPr lang="en-US" i="1"/>
                  <a:t>Area (Ha) </a:t>
                </a:r>
              </a:p>
            </c:rich>
          </c:tx>
          <c:layout>
            <c:manualLayout>
              <c:xMode val="edge"/>
              <c:yMode val="edge"/>
              <c:x val="0.11245217752147507"/>
              <c:y val="3.6107408321176072E-2"/>
            </c:manualLayout>
          </c:layout>
          <c:overlay val="0"/>
          <c:spPr>
            <a:noFill/>
            <a:ln>
              <a:noFill/>
            </a:ln>
            <a:effectLst/>
          </c:spPr>
          <c:txPr>
            <a:bodyPr rot="0" spcFirstLastPara="1" vertOverflow="ellipsis"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0599968"/>
        <c:crosses val="autoZero"/>
        <c:crossBetween val="between"/>
      </c:valAx>
      <c:spPr>
        <a:noFill/>
        <a:ln>
          <a:noFill/>
        </a:ln>
        <a:effectLst/>
      </c:spPr>
    </c:plotArea>
    <c:legend>
      <c:legendPos val="b"/>
      <c:layout>
        <c:manualLayout>
          <c:xMode val="edge"/>
          <c:yMode val="edge"/>
          <c:x val="0.68633696642943176"/>
          <c:y val="0.50463610075013987"/>
          <c:w val="0.23314466997639269"/>
          <c:h val="8.651394501345544E-2"/>
        </c:manualLayout>
      </c:layout>
      <c:overlay val="0"/>
      <c:spPr>
        <a:solidFill>
          <a:schemeClr val="bg1"/>
        </a:solidFill>
        <a:ln>
          <a:solidFill>
            <a:schemeClr val="tx1">
              <a:lumMod val="65000"/>
              <a:lumOff val="35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7673738836801"/>
          <c:y val="0.13117095974946996"/>
          <c:w val="0.84064817623221832"/>
          <c:h val="0.71885738312497638"/>
        </c:manualLayout>
      </c:layout>
      <c:lineChart>
        <c:grouping val="standard"/>
        <c:varyColors val="0"/>
        <c:ser>
          <c:idx val="0"/>
          <c:order val="0"/>
          <c:tx>
            <c:strRef>
              <c:f>'SDG_6.4.1__T-Series'!$D$13</c:f>
              <c:strCache>
                <c:ptCount val="1"/>
                <c:pt idx="0">
                  <c:v>Irrigated land</c:v>
                </c:pt>
              </c:strCache>
            </c:strRef>
          </c:tx>
          <c:spPr>
            <a:ln w="28575" cap="rnd">
              <a:solidFill>
                <a:schemeClr val="accent1"/>
              </a:solidFill>
              <a:round/>
            </a:ln>
            <a:effectLst/>
          </c:spPr>
          <c:marker>
            <c:symbol val="none"/>
          </c:marker>
          <c:cat>
            <c:numRef>
              <c:f>'SDG_6.4.1__T-Series'!$I$5:$L$5</c:f>
              <c:numCache>
                <c:formatCode>General</c:formatCode>
                <c:ptCount val="4"/>
                <c:pt idx="0">
                  <c:v>2012</c:v>
                </c:pt>
                <c:pt idx="1">
                  <c:v>2013</c:v>
                </c:pt>
                <c:pt idx="2">
                  <c:v>2014</c:v>
                </c:pt>
                <c:pt idx="3">
                  <c:v>2015</c:v>
                </c:pt>
              </c:numCache>
            </c:numRef>
          </c:cat>
          <c:val>
            <c:numRef>
              <c:f>'SDG_6.4.1__T-Series'!$I$13:$L$13</c:f>
              <c:numCache>
                <c:formatCode>_-* #,##0_-;\-* #,##0_-;_-* "-"??_-;_-@_-</c:formatCode>
                <c:ptCount val="4"/>
                <c:pt idx="0">
                  <c:v>23092</c:v>
                </c:pt>
                <c:pt idx="1">
                  <c:v>24027.589497227007</c:v>
                </c:pt>
                <c:pt idx="2">
                  <c:v>25001.085096451308</c:v>
                </c:pt>
                <c:pt idx="3">
                  <c:v>26014.022591493682</c:v>
                </c:pt>
              </c:numCache>
            </c:numRef>
          </c:val>
          <c:smooth val="0"/>
          <c:extLst xmlns:c16r2="http://schemas.microsoft.com/office/drawing/2015/06/chart">
            <c:ext xmlns:c16="http://schemas.microsoft.com/office/drawing/2014/chart" uri="{C3380CC4-5D6E-409C-BE32-E72D297353CC}">
              <c16:uniqueId val="{00000000-C34C-48E3-92FD-98EFA55F3D0C}"/>
            </c:ext>
          </c:extLst>
        </c:ser>
        <c:dLbls>
          <c:showLegendKey val="0"/>
          <c:showVal val="0"/>
          <c:showCatName val="0"/>
          <c:showSerName val="0"/>
          <c:showPercent val="0"/>
          <c:showBubbleSize val="0"/>
        </c:dLbls>
        <c:smooth val="0"/>
        <c:axId val="-910608128"/>
        <c:axId val="-910596704"/>
      </c:lineChart>
      <c:catAx>
        <c:axId val="-910608128"/>
        <c:scaling>
          <c:orientation val="minMax"/>
        </c:scaling>
        <c:delete val="0"/>
        <c:axPos val="b"/>
        <c:title>
          <c:tx>
            <c:rich>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r>
                  <a:rPr lang="nl-NL" i="1"/>
                  <a:t>Year</a:t>
                </a:r>
              </a:p>
            </c:rich>
          </c:tx>
          <c:layout>
            <c:manualLayout>
              <c:xMode val="edge"/>
              <c:yMode val="edge"/>
              <c:x val="0.91772070801421979"/>
              <c:y val="0.91400867661350294"/>
            </c:manualLayout>
          </c:layout>
          <c:overlay val="0"/>
          <c:spPr>
            <a:noFill/>
            <a:ln>
              <a:noFill/>
            </a:ln>
            <a:effectLst/>
          </c:spPr>
          <c:txPr>
            <a:bodyPr rot="0" spcFirstLastPara="1" vertOverflow="ellipsis" vert="horz"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0596704"/>
        <c:crosses val="autoZero"/>
        <c:auto val="1"/>
        <c:lblAlgn val="ctr"/>
        <c:lblOffset val="100"/>
        <c:noMultiLvlLbl val="0"/>
      </c:catAx>
      <c:valAx>
        <c:axId val="-9105967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1" u="none" strike="noStrike" kern="1200" baseline="0">
                    <a:solidFill>
                      <a:schemeClr val="tx1">
                        <a:lumMod val="65000"/>
                        <a:lumOff val="35000"/>
                      </a:schemeClr>
                    </a:solidFill>
                    <a:latin typeface="+mn-lt"/>
                    <a:ea typeface="+mn-ea"/>
                    <a:cs typeface="+mn-cs"/>
                  </a:defRPr>
                </a:pPr>
                <a:r>
                  <a:rPr lang="en-US" i="1"/>
                  <a:t>Area (Ha) </a:t>
                </a:r>
              </a:p>
            </c:rich>
          </c:tx>
          <c:layout>
            <c:manualLayout>
              <c:xMode val="edge"/>
              <c:yMode val="edge"/>
              <c:x val="0.11245217752147507"/>
              <c:y val="3.6107408321176072E-2"/>
            </c:manualLayout>
          </c:layout>
          <c:overlay val="0"/>
          <c:spPr>
            <a:noFill/>
            <a:ln>
              <a:noFill/>
            </a:ln>
            <a:effectLst/>
          </c:spPr>
          <c:txPr>
            <a:bodyPr rot="0" spcFirstLastPara="1" vertOverflow="ellipsis"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solidFill>
              <a:schemeClr val="tx1">
                <a:lumMod val="65000"/>
                <a:lumOff val="35000"/>
              </a:schemeClr>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10608128"/>
        <c:crosses val="autoZero"/>
        <c:crossBetween val="between"/>
      </c:valAx>
      <c:spPr>
        <a:noFill/>
        <a:ln>
          <a:noFill/>
        </a:ln>
        <a:effectLst/>
      </c:spPr>
    </c:plotArea>
    <c:legend>
      <c:legendPos val="b"/>
      <c:layout>
        <c:manualLayout>
          <c:xMode val="edge"/>
          <c:yMode val="edge"/>
          <c:x val="0.68633696642943176"/>
          <c:y val="0.50463610075013987"/>
          <c:w val="0.23314466997639269"/>
          <c:h val="8.651394501345544E-2"/>
        </c:manualLayout>
      </c:layout>
      <c:overlay val="0"/>
      <c:spPr>
        <a:solidFill>
          <a:schemeClr val="bg1"/>
        </a:solidFill>
        <a:ln>
          <a:solidFill>
            <a:schemeClr val="tx1">
              <a:lumMod val="65000"/>
              <a:lumOff val="35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TRWR: SDG - Dependency ratio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17354465949006"/>
          <c:y val="0.17610491405806272"/>
          <c:w val="0.86442178088040922"/>
          <c:h val="0.66095301331784806"/>
        </c:manualLayout>
      </c:layout>
      <c:barChart>
        <c:barDir val="col"/>
        <c:grouping val="clustered"/>
        <c:varyColors val="0"/>
        <c:ser>
          <c:idx val="1"/>
          <c:order val="0"/>
          <c:tx>
            <c:strRef>
              <c:f>SDG_Resources_Sheet!$C$55</c:f>
              <c:strCache>
                <c:ptCount val="1"/>
                <c:pt idx="0">
                  <c:v>Dependency ratio (%)</c:v>
                </c:pt>
              </c:strCache>
            </c:strRef>
          </c:tx>
          <c:spPr>
            <a:solidFill>
              <a:schemeClr val="accent2"/>
            </a:solidFill>
            <a:ln>
              <a:noFill/>
            </a:ln>
            <a:effectLst/>
          </c:spPr>
          <c:invertIfNegative val="0"/>
          <c:cat>
            <c:numRef>
              <c:f>SDG_Resources_Sheet!$M$45:$P$45</c:f>
              <c:numCache>
                <c:formatCode>General</c:formatCode>
                <c:ptCount val="4"/>
                <c:pt idx="0">
                  <c:v>2012</c:v>
                </c:pt>
                <c:pt idx="1">
                  <c:v>2013</c:v>
                </c:pt>
                <c:pt idx="2">
                  <c:v>2014</c:v>
                </c:pt>
                <c:pt idx="3">
                  <c:v>2015</c:v>
                </c:pt>
              </c:numCache>
            </c:numRef>
          </c:cat>
          <c:val>
            <c:numRef>
              <c:f>SDG_Resources_Sheet!$M$55:$P$55</c:f>
              <c:numCache>
                <c:formatCode>0.000</c:formatCode>
                <c:ptCount val="4"/>
                <c:pt idx="0">
                  <c:v>7.2920447408856637</c:v>
                </c:pt>
                <c:pt idx="1">
                  <c:v>8.231021308581747</c:v>
                </c:pt>
                <c:pt idx="2">
                  <c:v>7.1293838955527935</c:v>
                </c:pt>
                <c:pt idx="3">
                  <c:v>7.553096182786688</c:v>
                </c:pt>
              </c:numCache>
            </c:numRef>
          </c:val>
          <c:extLst xmlns:c16r2="http://schemas.microsoft.com/office/drawing/2015/06/chart">
            <c:ext xmlns:c16="http://schemas.microsoft.com/office/drawing/2014/chart" uri="{C3380CC4-5D6E-409C-BE32-E72D297353CC}">
              <c16:uniqueId val="{00000001-EA15-4DD3-B3B1-8BCDCFDE4074}"/>
            </c:ext>
          </c:extLst>
        </c:ser>
        <c:dLbls>
          <c:showLegendKey val="0"/>
          <c:showVal val="0"/>
          <c:showCatName val="0"/>
          <c:showSerName val="0"/>
          <c:showPercent val="0"/>
          <c:showBubbleSize val="0"/>
        </c:dLbls>
        <c:gapWidth val="219"/>
        <c:overlap val="-27"/>
        <c:axId val="-910602688"/>
        <c:axId val="-910596160"/>
      </c:barChart>
      <c:catAx>
        <c:axId val="-91060268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YEAR</a:t>
                </a:r>
              </a:p>
            </c:rich>
          </c:tx>
          <c:layout>
            <c:manualLayout>
              <c:xMode val="edge"/>
              <c:yMode val="edge"/>
              <c:x val="0.47036218300530935"/>
              <c:y val="0.9185862236098274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596160"/>
        <c:crosses val="autoZero"/>
        <c:auto val="1"/>
        <c:lblAlgn val="ctr"/>
        <c:lblOffset val="100"/>
        <c:noMultiLvlLbl val="0"/>
      </c:catAx>
      <c:valAx>
        <c:axId val="-91059616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1" u="none" strike="noStrike" kern="1200" baseline="0">
                    <a:solidFill>
                      <a:schemeClr val="tx1">
                        <a:lumMod val="65000"/>
                        <a:lumOff val="35000"/>
                      </a:schemeClr>
                    </a:solidFill>
                    <a:latin typeface="+mn-lt"/>
                    <a:ea typeface="+mn-ea"/>
                    <a:cs typeface="+mn-cs"/>
                  </a:defRPr>
                </a:pPr>
                <a:r>
                  <a:rPr lang="en-GB" sz="1200" i="1"/>
                  <a:t>%</a:t>
                </a:r>
                <a:r>
                  <a:rPr lang="en-GB" sz="1200" i="1" baseline="0"/>
                  <a:t> </a:t>
                </a:r>
                <a:endParaRPr lang="en-GB" sz="1200" i="1"/>
              </a:p>
            </c:rich>
          </c:tx>
          <c:layout>
            <c:manualLayout>
              <c:xMode val="edge"/>
              <c:yMode val="edge"/>
              <c:x val="9.469015026037518E-2"/>
              <c:y val="9.0157771328164132E-2"/>
            </c:manualLayout>
          </c:layout>
          <c:overlay val="0"/>
          <c:spPr>
            <a:noFill/>
            <a:ln>
              <a:noFill/>
            </a:ln>
            <a:effectLst/>
          </c:spPr>
          <c:txPr>
            <a:bodyPr rot="0" spcFirstLastPara="1" vertOverflow="ellipsis" wrap="square" anchor="ctr" anchorCtr="1"/>
            <a:lstStyle/>
            <a:p>
              <a:pPr>
                <a:defRPr sz="1200" b="0" i="1"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02688"/>
        <c:crosses val="autoZero"/>
        <c:crossBetween val="between"/>
      </c:valAx>
      <c:spPr>
        <a:noFill/>
        <a:ln>
          <a:solidFill>
            <a:schemeClr val="bg1">
              <a:lumMod val="7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SDG 6.4.2:</a:t>
            </a:r>
            <a:r>
              <a:rPr lang="en-GB" baseline="0"/>
              <a:t>  </a:t>
            </a:r>
            <a:r>
              <a:rPr lang="en-GB"/>
              <a:t>Water Stress % (freshwater)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99803149606298"/>
          <c:y val="0.18822489294101397"/>
          <c:w val="0.8404464129483814"/>
          <c:h val="0.64181314158981173"/>
        </c:manualLayout>
      </c:layout>
      <c:barChart>
        <c:barDir val="col"/>
        <c:grouping val="clustered"/>
        <c:varyColors val="0"/>
        <c:ser>
          <c:idx val="0"/>
          <c:order val="0"/>
          <c:spPr>
            <a:solidFill>
              <a:schemeClr val="accent2"/>
            </a:solidFill>
            <a:ln>
              <a:noFill/>
            </a:ln>
            <a:effectLst/>
          </c:spPr>
          <c:invertIfNegative val="0"/>
          <c:cat>
            <c:numRef>
              <c:f>SDG_6.4.2!$H$8:$K$8</c:f>
              <c:numCache>
                <c:formatCode>0</c:formatCode>
                <c:ptCount val="4"/>
                <c:pt idx="0">
                  <c:v>2012</c:v>
                </c:pt>
                <c:pt idx="1">
                  <c:v>2013</c:v>
                </c:pt>
                <c:pt idx="2">
                  <c:v>2014</c:v>
                </c:pt>
                <c:pt idx="3">
                  <c:v>2015</c:v>
                </c:pt>
              </c:numCache>
            </c:numRef>
          </c:cat>
          <c:val>
            <c:numRef>
              <c:f>SDG_6.4.2!$H$21:$K$21</c:f>
              <c:numCache>
                <c:formatCode>0.000</c:formatCode>
                <c:ptCount val="4"/>
                <c:pt idx="0">
                  <c:v>7.2062517732417231</c:v>
                </c:pt>
                <c:pt idx="1">
                  <c:v>8.3464927408939467</c:v>
                </c:pt>
                <c:pt idx="2">
                  <c:v>7.4669276888992524</c:v>
                </c:pt>
                <c:pt idx="3">
                  <c:v>8.1462498124997182</c:v>
                </c:pt>
              </c:numCache>
            </c:numRef>
          </c:val>
          <c:extLst xmlns:c16r2="http://schemas.microsoft.com/office/drawing/2015/06/chart">
            <c:ext xmlns:c16="http://schemas.microsoft.com/office/drawing/2014/chart" uri="{C3380CC4-5D6E-409C-BE32-E72D297353CC}">
              <c16:uniqueId val="{00000000-9DA3-4225-B0B9-655900FC6041}"/>
            </c:ext>
          </c:extLst>
        </c:ser>
        <c:dLbls>
          <c:showLegendKey val="0"/>
          <c:showVal val="0"/>
          <c:showCatName val="0"/>
          <c:showSerName val="0"/>
          <c:showPercent val="0"/>
          <c:showBubbleSize val="0"/>
        </c:dLbls>
        <c:gapWidth val="219"/>
        <c:overlap val="-27"/>
        <c:axId val="-910598880"/>
        <c:axId val="-910609216"/>
      </c:barChart>
      <c:catAx>
        <c:axId val="-91059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layout>
            <c:manualLayout>
              <c:xMode val="edge"/>
              <c:yMode val="edge"/>
              <c:x val="0.45842959495806807"/>
              <c:y val="0.920582565321553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09216"/>
        <c:crosses val="autoZero"/>
        <c:auto val="1"/>
        <c:lblAlgn val="ctr"/>
        <c:lblOffset val="100"/>
        <c:noMultiLvlLbl val="0"/>
      </c:catAx>
      <c:valAx>
        <c:axId val="-9106092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0" i="1" u="none" strike="noStrike" kern="1200" baseline="0">
                    <a:solidFill>
                      <a:schemeClr val="tx1">
                        <a:lumMod val="65000"/>
                        <a:lumOff val="35000"/>
                      </a:schemeClr>
                    </a:solidFill>
                    <a:latin typeface="+mn-lt"/>
                    <a:ea typeface="+mn-ea"/>
                    <a:cs typeface="+mn-cs"/>
                  </a:defRPr>
                </a:pPr>
                <a:r>
                  <a:rPr lang="en-GB" sz="1100" i="1"/>
                  <a:t>TWW/</a:t>
                </a:r>
                <a:r>
                  <a:rPr lang="en-GB" sz="1100" i="1" baseline="0"/>
                  <a:t>TRWR (%)</a:t>
                </a:r>
              </a:p>
            </c:rich>
          </c:tx>
          <c:layout>
            <c:manualLayout>
              <c:xMode val="edge"/>
              <c:yMode val="edge"/>
              <c:x val="0.10833333333333332"/>
              <c:y val="0.11222967098152979"/>
            </c:manualLayout>
          </c:layout>
          <c:overlay val="0"/>
          <c:spPr>
            <a:noFill/>
            <a:ln>
              <a:noFill/>
            </a:ln>
            <a:effectLst/>
          </c:spPr>
          <c:txPr>
            <a:bodyPr rot="0" spcFirstLastPara="1" vertOverflow="ellipsis" wrap="square" anchor="ctr" anchorCtr="1"/>
            <a:lstStyle/>
            <a:p>
              <a:pPr>
                <a:defRPr sz="1100" b="0" i="1"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10598880"/>
        <c:crosses val="autoZero"/>
        <c:crossBetween val="between"/>
      </c:valAx>
      <c:spPr>
        <a:noFill/>
        <a:ln>
          <a:solidFill>
            <a:schemeClr val="bg1">
              <a:lumMod val="50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GDP / Total abstraction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CYGDP_KP__Transpo__IIA!$A$33</c:f>
              <c:strCache>
                <c:ptCount val="1"/>
                <c:pt idx="0">
                  <c:v>2012</c:v>
                </c:pt>
              </c:strCache>
            </c:strRef>
          </c:tx>
          <c:spPr>
            <a:solidFill>
              <a:schemeClr val="accent1"/>
            </a:solidFill>
            <a:ln>
              <a:noFill/>
            </a:ln>
            <a:effectLst/>
          </c:spPr>
          <c:invertIfNegative val="0"/>
          <c:cat>
            <c:strRef>
              <c:f>CYGDP_KP__Transpo__IIA!$B$5:$AO$5</c:f>
              <c:strCache>
                <c:ptCount val="40"/>
                <c:pt idx="0">
                  <c:v>Activity description</c:v>
                </c:pt>
                <c:pt idx="2">
                  <c:v>GROSS DOMESTIC PRODUCT (GDP)</c:v>
                </c:pt>
                <c:pt idx="4">
                  <c:v>AGRICULTURE, FORESTRY &amp; FISHING</c:v>
                </c:pt>
                <c:pt idx="5">
                  <c:v>Food crops</c:v>
                </c:pt>
                <c:pt idx="6">
                  <c:v>Export crops</c:v>
                </c:pt>
                <c:pt idx="7">
                  <c:v>Livestock &amp; livestock products</c:v>
                </c:pt>
                <c:pt idx="8">
                  <c:v>Forestry</c:v>
                </c:pt>
                <c:pt idx="9">
                  <c:v>Fishing</c:v>
                </c:pt>
                <c:pt idx="10">
                  <c:v>INDUSTRY</c:v>
                </c:pt>
                <c:pt idx="11">
                  <c:v>Mining &amp; quarrying</c:v>
                </c:pt>
                <c:pt idx="12">
                  <c:v>TOTAL MANUFACTURING</c:v>
                </c:pt>
                <c:pt idx="13">
                  <c:v>Of which: Food</c:v>
                </c:pt>
                <c:pt idx="14">
                  <c:v>              Beverages &amp; tobacco</c:v>
                </c:pt>
                <c:pt idx="15">
                  <c:v>             Textiles, clothing &amp; leather goods</c:v>
                </c:pt>
                <c:pt idx="16">
                  <c:v>             Wood &amp; paper; printing</c:v>
                </c:pt>
                <c:pt idx="17">
                  <c:v>             Chemicals, rubber &amp; plastic products</c:v>
                </c:pt>
                <c:pt idx="18">
                  <c:v>             Non-metallic mineral products</c:v>
                </c:pt>
                <c:pt idx="19">
                  <c:v>             Metal products, machinery &amp; equipment</c:v>
                </c:pt>
                <c:pt idx="20">
                  <c:v>             Furniture &amp; other manufacturing </c:v>
                </c:pt>
                <c:pt idx="21">
                  <c:v>Electricity</c:v>
                </c:pt>
                <c:pt idx="22">
                  <c:v>Water &amp; waste management</c:v>
                </c:pt>
                <c:pt idx="23">
                  <c:v>Construction</c:v>
                </c:pt>
                <c:pt idx="24">
                  <c:v>SERVICES</c:v>
                </c:pt>
                <c:pt idx="25">
                  <c:v>TRADE &amp;TRANSPORT</c:v>
                </c:pt>
                <c:pt idx="26">
                  <c:v>Maintenance and repair of motor vehicles</c:v>
                </c:pt>
                <c:pt idx="27">
                  <c:v>Wholesale &amp; retail trade</c:v>
                </c:pt>
                <c:pt idx="28">
                  <c:v>Transport services</c:v>
                </c:pt>
                <c:pt idx="29">
                  <c:v>OTHER SERVICES</c:v>
                </c:pt>
                <c:pt idx="30">
                  <c:v>Hotels &amp; restaurants</c:v>
                </c:pt>
                <c:pt idx="31">
                  <c:v>Information &amp; communication</c:v>
                </c:pt>
                <c:pt idx="32">
                  <c:v>Financial services</c:v>
                </c:pt>
                <c:pt idx="33">
                  <c:v>Real estate activities</c:v>
                </c:pt>
                <c:pt idx="34">
                  <c:v>Professional, scientific and technical activities</c:v>
                </c:pt>
                <c:pt idx="35">
                  <c:v>Administrative and support service activities</c:v>
                </c:pt>
                <c:pt idx="36">
                  <c:v>Public administration and defence; compulsory social security</c:v>
                </c:pt>
                <c:pt idx="37">
                  <c:v>Education</c:v>
                </c:pt>
                <c:pt idx="38">
                  <c:v>Human health and social work activities</c:v>
                </c:pt>
                <c:pt idx="39">
                  <c:v>Cultural, domestic &amp; other services</c:v>
                </c:pt>
              </c:strCache>
            </c:strRef>
          </c:cat>
          <c:val>
            <c:numRef>
              <c:f>CYGDP_KP__Transpo__IIA!$B$33:$AO$33</c:f>
              <c:numCache>
                <c:formatCode>#,##0</c:formatCode>
                <c:ptCount val="40"/>
                <c:pt idx="0">
                  <c:v>0</c:v>
                </c:pt>
                <c:pt idx="2">
                  <c:v>345.61218675897641</c:v>
                </c:pt>
                <c:pt idx="4">
                  <c:v>105.20975943053541</c:v>
                </c:pt>
                <c:pt idx="11">
                  <c:v>4376.8252029746</c:v>
                </c:pt>
                <c:pt idx="12">
                  <c:v>12056.793887467467</c:v>
                </c:pt>
                <c:pt idx="21">
                  <c:v>119.30676723111065</c:v>
                </c:pt>
                <c:pt idx="22">
                  <c:v>528.21431866337093</c:v>
                </c:pt>
                <c:pt idx="23">
                  <c:v>0</c:v>
                </c:pt>
                <c:pt idx="24">
                  <c:v>0</c:v>
                </c:pt>
                <c:pt idx="28">
                  <c:v>0</c:v>
                </c:pt>
                <c:pt idx="30">
                  <c:v>0</c:v>
                </c:pt>
                <c:pt idx="31">
                  <c:v>0</c:v>
                </c:pt>
                <c:pt idx="32">
                  <c:v>2333333333.3333335</c:v>
                </c:pt>
                <c:pt idx="33">
                  <c:v>0</c:v>
                </c:pt>
                <c:pt idx="34">
                  <c:v>0</c:v>
                </c:pt>
                <c:pt idx="35">
                  <c:v>0</c:v>
                </c:pt>
                <c:pt idx="36">
                  <c:v>0</c:v>
                </c:pt>
                <c:pt idx="37">
                  <c:v>1074255.8712215116</c:v>
                </c:pt>
                <c:pt idx="38">
                  <c:v>197017.72383666749</c:v>
                </c:pt>
                <c:pt idx="39">
                  <c:v>16823802.691808429</c:v>
                </c:pt>
              </c:numCache>
            </c:numRef>
          </c:val>
          <c:extLst xmlns:c16r2="http://schemas.microsoft.com/office/drawing/2015/06/chart">
            <c:ext xmlns:c16="http://schemas.microsoft.com/office/drawing/2014/chart" uri="{C3380CC4-5D6E-409C-BE32-E72D297353CC}">
              <c16:uniqueId val="{00000000-1B80-4565-83AD-2A54970E2A9C}"/>
            </c:ext>
          </c:extLst>
        </c:ser>
        <c:ser>
          <c:idx val="1"/>
          <c:order val="1"/>
          <c:tx>
            <c:strRef>
              <c:f>CYGDP_KP__Transpo__IIA!$A$34</c:f>
              <c:strCache>
                <c:ptCount val="1"/>
                <c:pt idx="0">
                  <c:v>2013</c:v>
                </c:pt>
              </c:strCache>
            </c:strRef>
          </c:tx>
          <c:spPr>
            <a:solidFill>
              <a:schemeClr val="accent2"/>
            </a:solidFill>
            <a:ln>
              <a:noFill/>
            </a:ln>
            <a:effectLst/>
          </c:spPr>
          <c:invertIfNegative val="0"/>
          <c:cat>
            <c:strRef>
              <c:f>CYGDP_KP__Transpo__IIA!$B$5:$AO$5</c:f>
              <c:strCache>
                <c:ptCount val="40"/>
                <c:pt idx="0">
                  <c:v>Activity description</c:v>
                </c:pt>
                <c:pt idx="2">
                  <c:v>GROSS DOMESTIC PRODUCT (GDP)</c:v>
                </c:pt>
                <c:pt idx="4">
                  <c:v>AGRICULTURE, FORESTRY &amp; FISHING</c:v>
                </c:pt>
                <c:pt idx="5">
                  <c:v>Food crops</c:v>
                </c:pt>
                <c:pt idx="6">
                  <c:v>Export crops</c:v>
                </c:pt>
                <c:pt idx="7">
                  <c:v>Livestock &amp; livestock products</c:v>
                </c:pt>
                <c:pt idx="8">
                  <c:v>Forestry</c:v>
                </c:pt>
                <c:pt idx="9">
                  <c:v>Fishing</c:v>
                </c:pt>
                <c:pt idx="10">
                  <c:v>INDUSTRY</c:v>
                </c:pt>
                <c:pt idx="11">
                  <c:v>Mining &amp; quarrying</c:v>
                </c:pt>
                <c:pt idx="12">
                  <c:v>TOTAL MANUFACTURING</c:v>
                </c:pt>
                <c:pt idx="13">
                  <c:v>Of which: Food</c:v>
                </c:pt>
                <c:pt idx="14">
                  <c:v>              Beverages &amp; tobacco</c:v>
                </c:pt>
                <c:pt idx="15">
                  <c:v>             Textiles, clothing &amp; leather goods</c:v>
                </c:pt>
                <c:pt idx="16">
                  <c:v>             Wood &amp; paper; printing</c:v>
                </c:pt>
                <c:pt idx="17">
                  <c:v>             Chemicals, rubber &amp; plastic products</c:v>
                </c:pt>
                <c:pt idx="18">
                  <c:v>             Non-metallic mineral products</c:v>
                </c:pt>
                <c:pt idx="19">
                  <c:v>             Metal products, machinery &amp; equipment</c:v>
                </c:pt>
                <c:pt idx="20">
                  <c:v>             Furniture &amp; other manufacturing </c:v>
                </c:pt>
                <c:pt idx="21">
                  <c:v>Electricity</c:v>
                </c:pt>
                <c:pt idx="22">
                  <c:v>Water &amp; waste management</c:v>
                </c:pt>
                <c:pt idx="23">
                  <c:v>Construction</c:v>
                </c:pt>
                <c:pt idx="24">
                  <c:v>SERVICES</c:v>
                </c:pt>
                <c:pt idx="25">
                  <c:v>TRADE &amp;TRANSPORT</c:v>
                </c:pt>
                <c:pt idx="26">
                  <c:v>Maintenance and repair of motor vehicles</c:v>
                </c:pt>
                <c:pt idx="27">
                  <c:v>Wholesale &amp; retail trade</c:v>
                </c:pt>
                <c:pt idx="28">
                  <c:v>Transport services</c:v>
                </c:pt>
                <c:pt idx="29">
                  <c:v>OTHER SERVICES</c:v>
                </c:pt>
                <c:pt idx="30">
                  <c:v>Hotels &amp; restaurants</c:v>
                </c:pt>
                <c:pt idx="31">
                  <c:v>Information &amp; communication</c:v>
                </c:pt>
                <c:pt idx="32">
                  <c:v>Financial services</c:v>
                </c:pt>
                <c:pt idx="33">
                  <c:v>Real estate activities</c:v>
                </c:pt>
                <c:pt idx="34">
                  <c:v>Professional, scientific and technical activities</c:v>
                </c:pt>
                <c:pt idx="35">
                  <c:v>Administrative and support service activities</c:v>
                </c:pt>
                <c:pt idx="36">
                  <c:v>Public administration and defence; compulsory social security</c:v>
                </c:pt>
                <c:pt idx="37">
                  <c:v>Education</c:v>
                </c:pt>
                <c:pt idx="38">
                  <c:v>Human health and social work activities</c:v>
                </c:pt>
                <c:pt idx="39">
                  <c:v>Cultural, domestic &amp; other services</c:v>
                </c:pt>
              </c:strCache>
            </c:strRef>
          </c:cat>
          <c:val>
            <c:numRef>
              <c:f>CYGDP_KP__Transpo__IIA!$B$34:$AO$34</c:f>
              <c:numCache>
                <c:formatCode>#,##0</c:formatCode>
                <c:ptCount val="40"/>
                <c:pt idx="0">
                  <c:v>0</c:v>
                </c:pt>
                <c:pt idx="2">
                  <c:v>376.31272513762212</c:v>
                </c:pt>
                <c:pt idx="4">
                  <c:v>113.29729849792503</c:v>
                </c:pt>
                <c:pt idx="11">
                  <c:v>5265.5064063337359</c:v>
                </c:pt>
                <c:pt idx="12">
                  <c:v>12490.610605508882</c:v>
                </c:pt>
                <c:pt idx="21">
                  <c:v>124.2949651934687</c:v>
                </c:pt>
                <c:pt idx="22">
                  <c:v>565.30485869724316</c:v>
                </c:pt>
                <c:pt idx="23">
                  <c:v>0</c:v>
                </c:pt>
                <c:pt idx="24">
                  <c:v>0</c:v>
                </c:pt>
                <c:pt idx="28">
                  <c:v>0</c:v>
                </c:pt>
                <c:pt idx="30">
                  <c:v>0</c:v>
                </c:pt>
                <c:pt idx="31">
                  <c:v>0</c:v>
                </c:pt>
                <c:pt idx="32">
                  <c:v>2566666666.666667</c:v>
                </c:pt>
                <c:pt idx="33">
                  <c:v>0</c:v>
                </c:pt>
                <c:pt idx="34">
                  <c:v>0</c:v>
                </c:pt>
                <c:pt idx="35">
                  <c:v>0</c:v>
                </c:pt>
                <c:pt idx="36">
                  <c:v>0</c:v>
                </c:pt>
                <c:pt idx="37">
                  <c:v>1119329.5441398968</c:v>
                </c:pt>
                <c:pt idx="38">
                  <c:v>208906.72441301812</c:v>
                </c:pt>
                <c:pt idx="39">
                  <c:v>18873403.019744482</c:v>
                </c:pt>
              </c:numCache>
            </c:numRef>
          </c:val>
          <c:extLst xmlns:c16r2="http://schemas.microsoft.com/office/drawing/2015/06/chart">
            <c:ext xmlns:c16="http://schemas.microsoft.com/office/drawing/2014/chart" uri="{C3380CC4-5D6E-409C-BE32-E72D297353CC}">
              <c16:uniqueId val="{00000001-1B80-4565-83AD-2A54970E2A9C}"/>
            </c:ext>
          </c:extLst>
        </c:ser>
        <c:ser>
          <c:idx val="2"/>
          <c:order val="2"/>
          <c:tx>
            <c:strRef>
              <c:f>CYGDP_KP__Transpo__IIA!$A$35</c:f>
              <c:strCache>
                <c:ptCount val="1"/>
                <c:pt idx="0">
                  <c:v>2014</c:v>
                </c:pt>
              </c:strCache>
            </c:strRef>
          </c:tx>
          <c:spPr>
            <a:solidFill>
              <a:schemeClr val="accent3"/>
            </a:solidFill>
            <a:ln>
              <a:noFill/>
            </a:ln>
            <a:effectLst/>
          </c:spPr>
          <c:invertIfNegative val="0"/>
          <c:cat>
            <c:strRef>
              <c:f>CYGDP_KP__Transpo__IIA!$B$5:$AO$5</c:f>
              <c:strCache>
                <c:ptCount val="40"/>
                <c:pt idx="0">
                  <c:v>Activity description</c:v>
                </c:pt>
                <c:pt idx="2">
                  <c:v>GROSS DOMESTIC PRODUCT (GDP)</c:v>
                </c:pt>
                <c:pt idx="4">
                  <c:v>AGRICULTURE, FORESTRY &amp; FISHING</c:v>
                </c:pt>
                <c:pt idx="5">
                  <c:v>Food crops</c:v>
                </c:pt>
                <c:pt idx="6">
                  <c:v>Export crops</c:v>
                </c:pt>
                <c:pt idx="7">
                  <c:v>Livestock &amp; livestock products</c:v>
                </c:pt>
                <c:pt idx="8">
                  <c:v>Forestry</c:v>
                </c:pt>
                <c:pt idx="9">
                  <c:v>Fishing</c:v>
                </c:pt>
                <c:pt idx="10">
                  <c:v>INDUSTRY</c:v>
                </c:pt>
                <c:pt idx="11">
                  <c:v>Mining &amp; quarrying</c:v>
                </c:pt>
                <c:pt idx="12">
                  <c:v>TOTAL MANUFACTURING</c:v>
                </c:pt>
                <c:pt idx="13">
                  <c:v>Of which: Food</c:v>
                </c:pt>
                <c:pt idx="14">
                  <c:v>              Beverages &amp; tobacco</c:v>
                </c:pt>
                <c:pt idx="15">
                  <c:v>             Textiles, clothing &amp; leather goods</c:v>
                </c:pt>
                <c:pt idx="16">
                  <c:v>             Wood &amp; paper; printing</c:v>
                </c:pt>
                <c:pt idx="17">
                  <c:v>             Chemicals, rubber &amp; plastic products</c:v>
                </c:pt>
                <c:pt idx="18">
                  <c:v>             Non-metallic mineral products</c:v>
                </c:pt>
                <c:pt idx="19">
                  <c:v>             Metal products, machinery &amp; equipment</c:v>
                </c:pt>
                <c:pt idx="20">
                  <c:v>             Furniture &amp; other manufacturing </c:v>
                </c:pt>
                <c:pt idx="21">
                  <c:v>Electricity</c:v>
                </c:pt>
                <c:pt idx="22">
                  <c:v>Water &amp; waste management</c:v>
                </c:pt>
                <c:pt idx="23">
                  <c:v>Construction</c:v>
                </c:pt>
                <c:pt idx="24">
                  <c:v>SERVICES</c:v>
                </c:pt>
                <c:pt idx="25">
                  <c:v>TRADE &amp;TRANSPORT</c:v>
                </c:pt>
                <c:pt idx="26">
                  <c:v>Maintenance and repair of motor vehicles</c:v>
                </c:pt>
                <c:pt idx="27">
                  <c:v>Wholesale &amp; retail trade</c:v>
                </c:pt>
                <c:pt idx="28">
                  <c:v>Transport services</c:v>
                </c:pt>
                <c:pt idx="29">
                  <c:v>OTHER SERVICES</c:v>
                </c:pt>
                <c:pt idx="30">
                  <c:v>Hotels &amp; restaurants</c:v>
                </c:pt>
                <c:pt idx="31">
                  <c:v>Information &amp; communication</c:v>
                </c:pt>
                <c:pt idx="32">
                  <c:v>Financial services</c:v>
                </c:pt>
                <c:pt idx="33">
                  <c:v>Real estate activities</c:v>
                </c:pt>
                <c:pt idx="34">
                  <c:v>Professional, scientific and technical activities</c:v>
                </c:pt>
                <c:pt idx="35">
                  <c:v>Administrative and support service activities</c:v>
                </c:pt>
                <c:pt idx="36">
                  <c:v>Public administration and defence; compulsory social security</c:v>
                </c:pt>
                <c:pt idx="37">
                  <c:v>Education</c:v>
                </c:pt>
                <c:pt idx="38">
                  <c:v>Human health and social work activities</c:v>
                </c:pt>
                <c:pt idx="39">
                  <c:v>Cultural, domestic &amp; other services</c:v>
                </c:pt>
              </c:strCache>
            </c:strRef>
          </c:cat>
          <c:val>
            <c:numRef>
              <c:f>CYGDP_KP__Transpo__IIA!$B$35:$AO$35</c:f>
              <c:numCache>
                <c:formatCode>#,##0</c:formatCode>
                <c:ptCount val="40"/>
                <c:pt idx="0">
                  <c:v>0</c:v>
                </c:pt>
                <c:pt idx="2">
                  <c:v>390.27146791397234</c:v>
                </c:pt>
                <c:pt idx="4">
                  <c:v>116.38540667558449</c:v>
                </c:pt>
                <c:pt idx="11">
                  <c:v>6553.8020177284579</c:v>
                </c:pt>
                <c:pt idx="12">
                  <c:v>13282.514116364151</c:v>
                </c:pt>
                <c:pt idx="21">
                  <c:v>131.64934987970557</c:v>
                </c:pt>
                <c:pt idx="22">
                  <c:v>579.00419291476157</c:v>
                </c:pt>
                <c:pt idx="23">
                  <c:v>0</c:v>
                </c:pt>
                <c:pt idx="24">
                  <c:v>0</c:v>
                </c:pt>
                <c:pt idx="28">
                  <c:v>0</c:v>
                </c:pt>
                <c:pt idx="30">
                  <c:v>0</c:v>
                </c:pt>
                <c:pt idx="31">
                  <c:v>0</c:v>
                </c:pt>
                <c:pt idx="32">
                  <c:v>2650000000</c:v>
                </c:pt>
                <c:pt idx="33">
                  <c:v>0</c:v>
                </c:pt>
                <c:pt idx="34">
                  <c:v>0</c:v>
                </c:pt>
                <c:pt idx="35">
                  <c:v>0</c:v>
                </c:pt>
                <c:pt idx="36">
                  <c:v>0</c:v>
                </c:pt>
                <c:pt idx="37">
                  <c:v>1156890.9382385509</c:v>
                </c:pt>
                <c:pt idx="38">
                  <c:v>225891.01095066188</c:v>
                </c:pt>
                <c:pt idx="39">
                  <c:v>21947803.511648558</c:v>
                </c:pt>
              </c:numCache>
            </c:numRef>
          </c:val>
          <c:extLst xmlns:c16r2="http://schemas.microsoft.com/office/drawing/2015/06/chart">
            <c:ext xmlns:c16="http://schemas.microsoft.com/office/drawing/2014/chart" uri="{C3380CC4-5D6E-409C-BE32-E72D297353CC}">
              <c16:uniqueId val="{00000002-1B80-4565-83AD-2A54970E2A9C}"/>
            </c:ext>
          </c:extLst>
        </c:ser>
        <c:ser>
          <c:idx val="3"/>
          <c:order val="3"/>
          <c:tx>
            <c:strRef>
              <c:f>CYGDP_KP__Transpo__IIA!$A$36</c:f>
              <c:strCache>
                <c:ptCount val="1"/>
                <c:pt idx="0">
                  <c:v>2015</c:v>
                </c:pt>
              </c:strCache>
            </c:strRef>
          </c:tx>
          <c:spPr>
            <a:solidFill>
              <a:schemeClr val="accent4"/>
            </a:solidFill>
            <a:ln>
              <a:noFill/>
            </a:ln>
            <a:effectLst/>
          </c:spPr>
          <c:invertIfNegative val="0"/>
          <c:cat>
            <c:strRef>
              <c:f>CYGDP_KP__Transpo__IIA!$B$5:$AO$5</c:f>
              <c:strCache>
                <c:ptCount val="40"/>
                <c:pt idx="0">
                  <c:v>Activity description</c:v>
                </c:pt>
                <c:pt idx="2">
                  <c:v>GROSS DOMESTIC PRODUCT (GDP)</c:v>
                </c:pt>
                <c:pt idx="4">
                  <c:v>AGRICULTURE, FORESTRY &amp; FISHING</c:v>
                </c:pt>
                <c:pt idx="5">
                  <c:v>Food crops</c:v>
                </c:pt>
                <c:pt idx="6">
                  <c:v>Export crops</c:v>
                </c:pt>
                <c:pt idx="7">
                  <c:v>Livestock &amp; livestock products</c:v>
                </c:pt>
                <c:pt idx="8">
                  <c:v>Forestry</c:v>
                </c:pt>
                <c:pt idx="9">
                  <c:v>Fishing</c:v>
                </c:pt>
                <c:pt idx="10">
                  <c:v>INDUSTRY</c:v>
                </c:pt>
                <c:pt idx="11">
                  <c:v>Mining &amp; quarrying</c:v>
                </c:pt>
                <c:pt idx="12">
                  <c:v>TOTAL MANUFACTURING</c:v>
                </c:pt>
                <c:pt idx="13">
                  <c:v>Of which: Food</c:v>
                </c:pt>
                <c:pt idx="14">
                  <c:v>              Beverages &amp; tobacco</c:v>
                </c:pt>
                <c:pt idx="15">
                  <c:v>             Textiles, clothing &amp; leather goods</c:v>
                </c:pt>
                <c:pt idx="16">
                  <c:v>             Wood &amp; paper; printing</c:v>
                </c:pt>
                <c:pt idx="17">
                  <c:v>             Chemicals, rubber &amp; plastic products</c:v>
                </c:pt>
                <c:pt idx="18">
                  <c:v>             Non-metallic mineral products</c:v>
                </c:pt>
                <c:pt idx="19">
                  <c:v>             Metal products, machinery &amp; equipment</c:v>
                </c:pt>
                <c:pt idx="20">
                  <c:v>             Furniture &amp; other manufacturing </c:v>
                </c:pt>
                <c:pt idx="21">
                  <c:v>Electricity</c:v>
                </c:pt>
                <c:pt idx="22">
                  <c:v>Water &amp; waste management</c:v>
                </c:pt>
                <c:pt idx="23">
                  <c:v>Construction</c:v>
                </c:pt>
                <c:pt idx="24">
                  <c:v>SERVICES</c:v>
                </c:pt>
                <c:pt idx="25">
                  <c:v>TRADE &amp;TRANSPORT</c:v>
                </c:pt>
                <c:pt idx="26">
                  <c:v>Maintenance and repair of motor vehicles</c:v>
                </c:pt>
                <c:pt idx="27">
                  <c:v>Wholesale &amp; retail trade</c:v>
                </c:pt>
                <c:pt idx="28">
                  <c:v>Transport services</c:v>
                </c:pt>
                <c:pt idx="29">
                  <c:v>OTHER SERVICES</c:v>
                </c:pt>
                <c:pt idx="30">
                  <c:v>Hotels &amp; restaurants</c:v>
                </c:pt>
                <c:pt idx="31">
                  <c:v>Information &amp; communication</c:v>
                </c:pt>
                <c:pt idx="32">
                  <c:v>Financial services</c:v>
                </c:pt>
                <c:pt idx="33">
                  <c:v>Real estate activities</c:v>
                </c:pt>
                <c:pt idx="34">
                  <c:v>Professional, scientific and technical activities</c:v>
                </c:pt>
                <c:pt idx="35">
                  <c:v>Administrative and support service activities</c:v>
                </c:pt>
                <c:pt idx="36">
                  <c:v>Public administration and defence; compulsory social security</c:v>
                </c:pt>
                <c:pt idx="37">
                  <c:v>Education</c:v>
                </c:pt>
                <c:pt idx="38">
                  <c:v>Human health and social work activities</c:v>
                </c:pt>
                <c:pt idx="39">
                  <c:v>Cultural, domestic &amp; other services</c:v>
                </c:pt>
              </c:strCache>
            </c:strRef>
          </c:cat>
          <c:val>
            <c:numRef>
              <c:f>CYGDP_KP__Transpo__IIA!$B$36:$AO$36</c:f>
              <c:numCache>
                <c:formatCode>#,##0</c:formatCode>
                <c:ptCount val="40"/>
                <c:pt idx="0">
                  <c:v>0</c:v>
                </c:pt>
                <c:pt idx="2">
                  <c:v>414.48364650055402</c:v>
                </c:pt>
                <c:pt idx="4">
                  <c:v>119.16293039038506</c:v>
                </c:pt>
                <c:pt idx="11">
                  <c:v>6236.121477436538</c:v>
                </c:pt>
                <c:pt idx="12">
                  <c:v>14215.043177074132</c:v>
                </c:pt>
                <c:pt idx="21">
                  <c:v>138.41486415466264</c:v>
                </c:pt>
                <c:pt idx="22">
                  <c:v>576.12357503956389</c:v>
                </c:pt>
                <c:pt idx="23">
                  <c:v>0</c:v>
                </c:pt>
                <c:pt idx="24">
                  <c:v>0</c:v>
                </c:pt>
                <c:pt idx="28">
                  <c:v>0</c:v>
                </c:pt>
                <c:pt idx="30">
                  <c:v>0</c:v>
                </c:pt>
                <c:pt idx="31">
                  <c:v>0</c:v>
                </c:pt>
                <c:pt idx="32">
                  <c:v>2983333333.3333335</c:v>
                </c:pt>
                <c:pt idx="33">
                  <c:v>0</c:v>
                </c:pt>
                <c:pt idx="34">
                  <c:v>0</c:v>
                </c:pt>
                <c:pt idx="35">
                  <c:v>0</c:v>
                </c:pt>
                <c:pt idx="36">
                  <c:v>0</c:v>
                </c:pt>
                <c:pt idx="37">
                  <c:v>1179427.7746977436</c:v>
                </c:pt>
                <c:pt idx="38">
                  <c:v>247970.58344959872</c:v>
                </c:pt>
                <c:pt idx="39">
                  <c:v>26132404.181184664</c:v>
                </c:pt>
              </c:numCache>
            </c:numRef>
          </c:val>
          <c:extLst xmlns:c16r2="http://schemas.microsoft.com/office/drawing/2015/06/chart">
            <c:ext xmlns:c16="http://schemas.microsoft.com/office/drawing/2014/chart" uri="{C3380CC4-5D6E-409C-BE32-E72D297353CC}">
              <c16:uniqueId val="{00000003-1B80-4565-83AD-2A54970E2A9C}"/>
            </c:ext>
          </c:extLst>
        </c:ser>
        <c:dLbls>
          <c:showLegendKey val="0"/>
          <c:showVal val="0"/>
          <c:showCatName val="0"/>
          <c:showSerName val="0"/>
          <c:showPercent val="0"/>
          <c:showBubbleSize val="0"/>
        </c:dLbls>
        <c:gapWidth val="219"/>
        <c:overlap val="-27"/>
        <c:axId val="-910605408"/>
        <c:axId val="-910602144"/>
      </c:barChart>
      <c:catAx>
        <c:axId val="-9106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2144"/>
        <c:crosses val="autoZero"/>
        <c:auto val="1"/>
        <c:lblAlgn val="ctr"/>
        <c:lblOffset val="100"/>
        <c:noMultiLvlLbl val="0"/>
      </c:catAx>
      <c:valAx>
        <c:axId val="-91060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5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GDP / Total abstraction (Industry</a:t>
            </a:r>
            <a:r>
              <a:rPr lang="en-GB" baseline="0"/>
              <a:t> </a:t>
            </a:r>
            <a:r>
              <a:rPr lang="en-GB"/>
              <a:t>selection)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(CYGDP_KP__Transpo__IIA!$D$6,CYGDP_KP__Transpo__IIA!$F$6,CYGDP_KP__Transpo__IIA!$M$6,CYGDP_KP__Transpo__IIA!$N$6,CYGDP_KP__Transpo__IIA!$W$6,CYGDP_KP__Transpo__IIA!$X$6,CYGDP_KP__Transpo__IIA!$AM$6,CYGDP_KP__Transpo__IIA!$AN$6,CYGDP_KP__Transpo__IIA!$AO$6)</c:f>
              <c:strCache>
                <c:ptCount val="9"/>
                <c:pt idx="0">
                  <c:v>A-T</c:v>
                </c:pt>
                <c:pt idx="1">
                  <c:v>A</c:v>
                </c:pt>
                <c:pt idx="2">
                  <c:v>B</c:v>
                </c:pt>
                <c:pt idx="3">
                  <c:v>C</c:v>
                </c:pt>
                <c:pt idx="4">
                  <c:v>D</c:v>
                </c:pt>
                <c:pt idx="5">
                  <c:v>E</c:v>
                </c:pt>
                <c:pt idx="6">
                  <c:v>P</c:v>
                </c:pt>
                <c:pt idx="7">
                  <c:v>Q</c:v>
                </c:pt>
                <c:pt idx="8">
                  <c:v>R-T</c:v>
                </c:pt>
              </c:strCache>
            </c:strRef>
          </c:cat>
          <c:val>
            <c:numRef>
              <c:f>(CYGDP_KP__Transpo__IIA!$D$33,CYGDP_KP__Transpo__IIA!$F$33,CYGDP_KP__Transpo__IIA!$M$33,CYGDP_KP__Transpo__IIA!$N$33,CYGDP_KP__Transpo__IIA!$W$33,CYGDP_KP__Transpo__IIA!$X$33,CYGDP_KP__Transpo__IIA!$AM$33,CYGDP_KP__Transpo__IIA!$AN$33,CYGDP_KP__Transpo__IIA!$AO$33)</c:f>
              <c:numCache>
                <c:formatCode>#,##0</c:formatCode>
                <c:ptCount val="9"/>
                <c:pt idx="0">
                  <c:v>345.61218675897641</c:v>
                </c:pt>
                <c:pt idx="1">
                  <c:v>105.20975943053541</c:v>
                </c:pt>
                <c:pt idx="2">
                  <c:v>4376.8252029746</c:v>
                </c:pt>
                <c:pt idx="3">
                  <c:v>12056.793887467467</c:v>
                </c:pt>
                <c:pt idx="4">
                  <c:v>119.30676723111065</c:v>
                </c:pt>
                <c:pt idx="5">
                  <c:v>528.21431866337093</c:v>
                </c:pt>
                <c:pt idx="6">
                  <c:v>1074255.8712215116</c:v>
                </c:pt>
                <c:pt idx="7">
                  <c:v>197017.72383666749</c:v>
                </c:pt>
                <c:pt idx="8">
                  <c:v>16823802.691808429</c:v>
                </c:pt>
              </c:numCache>
            </c:numRef>
          </c:val>
          <c:extLst xmlns:c16r2="http://schemas.microsoft.com/office/drawing/2015/06/chart">
            <c:ext xmlns:c16="http://schemas.microsoft.com/office/drawing/2014/chart" uri="{C3380CC4-5D6E-409C-BE32-E72D297353CC}">
              <c16:uniqueId val="{00000000-1E3E-41C3-B3D2-BA09C697945B}"/>
            </c:ext>
          </c:extLst>
        </c:ser>
        <c:dLbls>
          <c:showLegendKey val="0"/>
          <c:showVal val="0"/>
          <c:showCatName val="0"/>
          <c:showSerName val="0"/>
          <c:showPercent val="0"/>
          <c:showBubbleSize val="0"/>
        </c:dLbls>
        <c:gapWidth val="219"/>
        <c:overlap val="-27"/>
        <c:axId val="-910603776"/>
        <c:axId val="-910597248"/>
      </c:barChart>
      <c:catAx>
        <c:axId val="-91060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97248"/>
        <c:crosses val="autoZero"/>
        <c:auto val="1"/>
        <c:lblAlgn val="ctr"/>
        <c:lblOffset val="100"/>
        <c:noMultiLvlLbl val="0"/>
      </c:catAx>
      <c:valAx>
        <c:axId val="-910597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3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GDP / Total abstraction (Industry</a:t>
            </a:r>
            <a:r>
              <a:rPr lang="en-GB" baseline="0"/>
              <a:t> </a:t>
            </a:r>
            <a:r>
              <a:rPr lang="en-GB"/>
              <a:t>selection)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(CYGDP_KP__Transpo__IIA!$D$6,CYGDP_KP__Transpo__IIA!$F$6,CYGDP_KP__Transpo__IIA!$M$6,CYGDP_KP__Transpo__IIA!$N$6,CYGDP_KP__Transpo__IIA!$W$6,CYGDP_KP__Transpo__IIA!$X$6,CYGDP_KP__Transpo__IIA!$AM$6,CYGDP_KP__Transpo__IIA!$AN$6,CYGDP_KP__Transpo__IIA!$AO$6)</c:f>
              <c:strCache>
                <c:ptCount val="9"/>
                <c:pt idx="0">
                  <c:v>A-T</c:v>
                </c:pt>
                <c:pt idx="1">
                  <c:v>A</c:v>
                </c:pt>
                <c:pt idx="2">
                  <c:v>B</c:v>
                </c:pt>
                <c:pt idx="3">
                  <c:v>C</c:v>
                </c:pt>
                <c:pt idx="4">
                  <c:v>D</c:v>
                </c:pt>
                <c:pt idx="5">
                  <c:v>E</c:v>
                </c:pt>
                <c:pt idx="6">
                  <c:v>P</c:v>
                </c:pt>
                <c:pt idx="7">
                  <c:v>Q</c:v>
                </c:pt>
                <c:pt idx="8">
                  <c:v>R-T</c:v>
                </c:pt>
              </c:strCache>
            </c:strRef>
          </c:cat>
          <c:val>
            <c:numRef>
              <c:f>(CYGDP_KP__Transpo__IIA!$D$33,CYGDP_KP__Transpo__IIA!$F$33,CYGDP_KP__Transpo__IIA!$M$33,CYGDP_KP__Transpo__IIA!$N$33,CYGDP_KP__Transpo__IIA!$W$33,CYGDP_KP__Transpo__IIA!$X$33,CYGDP_KP__Transpo__IIA!$AM$33,CYGDP_KP__Transpo__IIA!$AN$33,CYGDP_KP__Transpo__IIA!$AO$33)</c:f>
              <c:numCache>
                <c:formatCode>#,##0</c:formatCode>
                <c:ptCount val="9"/>
                <c:pt idx="0">
                  <c:v>345.61218675897641</c:v>
                </c:pt>
                <c:pt idx="1">
                  <c:v>105.20975943053541</c:v>
                </c:pt>
                <c:pt idx="2">
                  <c:v>4376.8252029746</c:v>
                </c:pt>
                <c:pt idx="3">
                  <c:v>12056.793887467467</c:v>
                </c:pt>
                <c:pt idx="4">
                  <c:v>119.30676723111065</c:v>
                </c:pt>
                <c:pt idx="5">
                  <c:v>528.21431866337093</c:v>
                </c:pt>
                <c:pt idx="6">
                  <c:v>1074255.8712215116</c:v>
                </c:pt>
                <c:pt idx="7">
                  <c:v>197017.72383666749</c:v>
                </c:pt>
                <c:pt idx="8">
                  <c:v>16823802.691808429</c:v>
                </c:pt>
              </c:numCache>
            </c:numRef>
          </c:val>
          <c:extLst xmlns:c16r2="http://schemas.microsoft.com/office/drawing/2015/06/chart">
            <c:ext xmlns:c16="http://schemas.microsoft.com/office/drawing/2014/chart" uri="{C3380CC4-5D6E-409C-BE32-E72D297353CC}">
              <c16:uniqueId val="{00000000-1E3E-41C3-B3D2-BA09C697945B}"/>
            </c:ext>
          </c:extLst>
        </c:ser>
        <c:dLbls>
          <c:showLegendKey val="0"/>
          <c:showVal val="0"/>
          <c:showCatName val="0"/>
          <c:showSerName val="0"/>
          <c:showPercent val="0"/>
          <c:showBubbleSize val="0"/>
        </c:dLbls>
        <c:gapWidth val="219"/>
        <c:overlap val="-27"/>
        <c:axId val="-910603232"/>
        <c:axId val="-910608672"/>
      </c:barChart>
      <c:catAx>
        <c:axId val="-91060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8672"/>
        <c:crosses val="autoZero"/>
        <c:auto val="1"/>
        <c:lblAlgn val="ctr"/>
        <c:lblOffset val="100"/>
        <c:noMultiLvlLbl val="0"/>
      </c:catAx>
      <c:valAx>
        <c:axId val="-91060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3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0" i="0" baseline="0">
                <a:effectLst/>
              </a:rPr>
              <a:t>Water Productivity: GDP / Total water use</a:t>
            </a:r>
            <a:endParaRPr lang="en-GB" sz="1600">
              <a:effectLst/>
            </a:endParaRPr>
          </a:p>
        </c:rich>
      </c:tx>
      <c:layout>
        <c:manualLayout>
          <c:xMode val="edge"/>
          <c:yMode val="edge"/>
          <c:x val="0.18853299698757087"/>
          <c:y val="1.569506587911215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718008132263096E-2"/>
          <c:y val="0.12032883840652651"/>
          <c:w val="0.88851097287950098"/>
          <c:h val="0.65581291493640292"/>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CYGDP_KP__Transpo__IIB!$D$53:$AQ$53</c:f>
              <c:numCache>
                <c:formatCode>#,##0</c:formatCode>
                <c:ptCount val="8"/>
                <c:pt idx="0">
                  <c:v>319.22271211005909</c:v>
                </c:pt>
                <c:pt idx="2">
                  <c:v>104.51432675531389</c:v>
                </c:pt>
                <c:pt idx="3">
                  <c:v>4376.8252029746</c:v>
                </c:pt>
                <c:pt idx="4">
                  <c:v>427.669842568972</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CYGDP_KP__Transpo__IIB!$D$54:$AQ$54</c:f>
              <c:numCache>
                <c:formatCode>#,##0</c:formatCode>
                <c:ptCount val="8"/>
                <c:pt idx="0">
                  <c:v>346.51152005883165</c:v>
                </c:pt>
                <c:pt idx="2">
                  <c:v>112.5167739734662</c:v>
                </c:pt>
                <c:pt idx="3">
                  <c:v>5265.5064063337359</c:v>
                </c:pt>
                <c:pt idx="4">
                  <c:v>448.47638797685966</c:v>
                </c:pt>
                <c:pt idx="5">
                  <c:v>124.2949651934687</c:v>
                </c:pt>
                <c:pt idx="6">
                  <c:v>563.12827149613111</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CYGDP_KP__Transpo__IIB!$D$55:$AQ$55</c:f>
              <c:numCache>
                <c:formatCode>#,##0</c:formatCode>
                <c:ptCount val="8"/>
                <c:pt idx="0">
                  <c:v>360.40672589475537</c:v>
                </c:pt>
                <c:pt idx="2">
                  <c:v>115.61290485680546</c:v>
                </c:pt>
                <c:pt idx="3">
                  <c:v>6553.8020177284579</c:v>
                </c:pt>
                <c:pt idx="4">
                  <c:v>482.75414511112177</c:v>
                </c:pt>
                <c:pt idx="5">
                  <c:v>131.64934987970557</c:v>
                </c:pt>
                <c:pt idx="6">
                  <c:v>579.00419291476169</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CYGDP_KP__Transpo__IIB!$D$56:$AQ$56</c:f>
              <c:numCache>
                <c:formatCode>#,##0</c:formatCode>
                <c:ptCount val="8"/>
                <c:pt idx="0">
                  <c:v>383.48554116613838</c:v>
                </c:pt>
                <c:pt idx="2">
                  <c:v>118.39127368600147</c:v>
                </c:pt>
                <c:pt idx="3">
                  <c:v>6236.121477436538</c:v>
                </c:pt>
                <c:pt idx="4">
                  <c:v>522.99120220567329</c:v>
                </c:pt>
                <c:pt idx="5">
                  <c:v>138.41486415466264</c:v>
                </c:pt>
                <c:pt idx="6">
                  <c:v>576.123575039564</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10599424"/>
        <c:axId val="-910597792"/>
      </c:barChart>
      <c:catAx>
        <c:axId val="-91059942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36615496088407362"/>
              <c:y val="0.869569911147200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597792"/>
        <c:crosses val="autoZero"/>
        <c:auto val="1"/>
        <c:lblAlgn val="ctr"/>
        <c:lblOffset val="100"/>
        <c:noMultiLvlLbl val="0"/>
      </c:catAx>
      <c:valAx>
        <c:axId val="-910597792"/>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6.8555434433243204E-2"/>
              <c:y val="5.888162562983660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599424"/>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GDP / Total abstraction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CYGDP_KP__Transpo__IIB!$B$5:$Y$5</c:f>
              <c:strCache>
                <c:ptCount val="10"/>
                <c:pt idx="0">
                  <c:v>Activity description</c:v>
                </c:pt>
                <c:pt idx="2">
                  <c:v>GROSS DOMESTIC PRODUCT (GDP)</c:v>
                </c:pt>
                <c:pt idx="4">
                  <c:v>AGRICULTURE, FORESTRY &amp; FISHING</c:v>
                </c:pt>
                <c:pt idx="5">
                  <c:v>Mining &amp; quarrying</c:v>
                </c:pt>
                <c:pt idx="6">
                  <c:v>TOTAL MANUFACTURING</c:v>
                </c:pt>
                <c:pt idx="7">
                  <c:v>Electricity</c:v>
                </c:pt>
                <c:pt idx="8">
                  <c:v>Water &amp; waste management</c:v>
                </c:pt>
                <c:pt idx="9">
                  <c:v>Construction</c:v>
                </c:pt>
              </c:strCache>
            </c:strRef>
          </c:cat>
          <c:val>
            <c:numRef>
              <c:f>CYGDP_KP__Transpo__IIB!$B$33:$Y$33</c:f>
              <c:numCache>
                <c:formatCode>#,##0</c:formatCode>
                <c:ptCount val="10"/>
                <c:pt idx="0">
                  <c:v>0</c:v>
                </c:pt>
                <c:pt idx="2">
                  <c:v>345.61218675897641</c:v>
                </c:pt>
                <c:pt idx="4">
                  <c:v>105.20975943053541</c:v>
                </c:pt>
                <c:pt idx="5">
                  <c:v>4376.8252029746</c:v>
                </c:pt>
                <c:pt idx="6">
                  <c:v>12056.793887467467</c:v>
                </c:pt>
                <c:pt idx="7">
                  <c:v>119.30676723111065</c:v>
                </c:pt>
                <c:pt idx="8">
                  <c:v>528.21431866337093</c:v>
                </c:pt>
              </c:numCache>
            </c:numRef>
          </c:val>
          <c:extLst xmlns:c16r2="http://schemas.microsoft.com/office/drawing/2015/06/chart">
            <c:ext xmlns:c16="http://schemas.microsoft.com/office/drawing/2014/chart" uri="{C3380CC4-5D6E-409C-BE32-E72D297353CC}">
              <c16:uniqueId val="{00000000-55F6-4370-BF92-32BD064261EF}"/>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CYGDP_KP__Transpo__IIB!$B$5:$Y$5</c:f>
              <c:strCache>
                <c:ptCount val="10"/>
                <c:pt idx="0">
                  <c:v>Activity description</c:v>
                </c:pt>
                <c:pt idx="2">
                  <c:v>GROSS DOMESTIC PRODUCT (GDP)</c:v>
                </c:pt>
                <c:pt idx="4">
                  <c:v>AGRICULTURE, FORESTRY &amp; FISHING</c:v>
                </c:pt>
                <c:pt idx="5">
                  <c:v>Mining &amp; quarrying</c:v>
                </c:pt>
                <c:pt idx="6">
                  <c:v>TOTAL MANUFACTURING</c:v>
                </c:pt>
                <c:pt idx="7">
                  <c:v>Electricity</c:v>
                </c:pt>
                <c:pt idx="8">
                  <c:v>Water &amp; waste management</c:v>
                </c:pt>
                <c:pt idx="9">
                  <c:v>Construction</c:v>
                </c:pt>
              </c:strCache>
            </c:strRef>
          </c:cat>
          <c:val>
            <c:numRef>
              <c:f>CYGDP_KP__Transpo__IIB!$B$34:$Y$34</c:f>
              <c:numCache>
                <c:formatCode>#,##0</c:formatCode>
                <c:ptCount val="10"/>
                <c:pt idx="0">
                  <c:v>0</c:v>
                </c:pt>
                <c:pt idx="2">
                  <c:v>376.31272513762212</c:v>
                </c:pt>
                <c:pt idx="4">
                  <c:v>113.29729849792503</c:v>
                </c:pt>
                <c:pt idx="5">
                  <c:v>5265.5064063337359</c:v>
                </c:pt>
                <c:pt idx="6">
                  <c:v>12490.610605508882</c:v>
                </c:pt>
                <c:pt idx="7">
                  <c:v>124.2949651934687</c:v>
                </c:pt>
                <c:pt idx="8">
                  <c:v>565.30485869724316</c:v>
                </c:pt>
              </c:numCache>
            </c:numRef>
          </c:val>
          <c:extLst xmlns:c16r2="http://schemas.microsoft.com/office/drawing/2015/06/chart">
            <c:ext xmlns:c16="http://schemas.microsoft.com/office/drawing/2014/chart" uri="{C3380CC4-5D6E-409C-BE32-E72D297353CC}">
              <c16:uniqueId val="{00000001-55F6-4370-BF92-32BD064261EF}"/>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CYGDP_KP__Transpo__IIB!$B$5:$Y$5</c:f>
              <c:strCache>
                <c:ptCount val="10"/>
                <c:pt idx="0">
                  <c:v>Activity description</c:v>
                </c:pt>
                <c:pt idx="2">
                  <c:v>GROSS DOMESTIC PRODUCT (GDP)</c:v>
                </c:pt>
                <c:pt idx="4">
                  <c:v>AGRICULTURE, FORESTRY &amp; FISHING</c:v>
                </c:pt>
                <c:pt idx="5">
                  <c:v>Mining &amp; quarrying</c:v>
                </c:pt>
                <c:pt idx="6">
                  <c:v>TOTAL MANUFACTURING</c:v>
                </c:pt>
                <c:pt idx="7">
                  <c:v>Electricity</c:v>
                </c:pt>
                <c:pt idx="8">
                  <c:v>Water &amp; waste management</c:v>
                </c:pt>
                <c:pt idx="9">
                  <c:v>Construction</c:v>
                </c:pt>
              </c:strCache>
            </c:strRef>
          </c:cat>
          <c:val>
            <c:numRef>
              <c:f>CYGDP_KP__Transpo__IIB!$B$35:$Y$35</c:f>
              <c:numCache>
                <c:formatCode>#,##0</c:formatCode>
                <c:ptCount val="10"/>
                <c:pt idx="0">
                  <c:v>0</c:v>
                </c:pt>
                <c:pt idx="2">
                  <c:v>390.27146791397234</c:v>
                </c:pt>
                <c:pt idx="4">
                  <c:v>116.38540667558449</c:v>
                </c:pt>
                <c:pt idx="5">
                  <c:v>6553.8020177284579</c:v>
                </c:pt>
                <c:pt idx="6">
                  <c:v>13282.514116364151</c:v>
                </c:pt>
                <c:pt idx="7">
                  <c:v>131.64934987970557</c:v>
                </c:pt>
                <c:pt idx="8">
                  <c:v>579.00419291476157</c:v>
                </c:pt>
              </c:numCache>
            </c:numRef>
          </c:val>
          <c:extLst xmlns:c16r2="http://schemas.microsoft.com/office/drawing/2015/06/chart">
            <c:ext xmlns:c16="http://schemas.microsoft.com/office/drawing/2014/chart" uri="{C3380CC4-5D6E-409C-BE32-E72D297353CC}">
              <c16:uniqueId val="{00000002-55F6-4370-BF92-32BD064261EF}"/>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CYGDP_KP__Transpo__IIB!$B$5:$Y$5</c:f>
              <c:strCache>
                <c:ptCount val="10"/>
                <c:pt idx="0">
                  <c:v>Activity description</c:v>
                </c:pt>
                <c:pt idx="2">
                  <c:v>GROSS DOMESTIC PRODUCT (GDP)</c:v>
                </c:pt>
                <c:pt idx="4">
                  <c:v>AGRICULTURE, FORESTRY &amp; FISHING</c:v>
                </c:pt>
                <c:pt idx="5">
                  <c:v>Mining &amp; quarrying</c:v>
                </c:pt>
                <c:pt idx="6">
                  <c:v>TOTAL MANUFACTURING</c:v>
                </c:pt>
                <c:pt idx="7">
                  <c:v>Electricity</c:v>
                </c:pt>
                <c:pt idx="8">
                  <c:v>Water &amp; waste management</c:v>
                </c:pt>
                <c:pt idx="9">
                  <c:v>Construction</c:v>
                </c:pt>
              </c:strCache>
            </c:strRef>
          </c:cat>
          <c:val>
            <c:numRef>
              <c:f>CYGDP_KP__Transpo__IIB!$B$36:$Y$36</c:f>
              <c:numCache>
                <c:formatCode>#,##0</c:formatCode>
                <c:ptCount val="10"/>
                <c:pt idx="0">
                  <c:v>0</c:v>
                </c:pt>
                <c:pt idx="2">
                  <c:v>414.48364650055402</c:v>
                </c:pt>
                <c:pt idx="4">
                  <c:v>119.16293039038506</c:v>
                </c:pt>
                <c:pt idx="5">
                  <c:v>6236.121477436538</c:v>
                </c:pt>
                <c:pt idx="6">
                  <c:v>14215.043177074132</c:v>
                </c:pt>
                <c:pt idx="7">
                  <c:v>138.41486415466264</c:v>
                </c:pt>
                <c:pt idx="8">
                  <c:v>576.12357503956389</c:v>
                </c:pt>
              </c:numCache>
            </c:numRef>
          </c:val>
          <c:extLst xmlns:c16r2="http://schemas.microsoft.com/office/drawing/2015/06/chart">
            <c:ext xmlns:c16="http://schemas.microsoft.com/office/drawing/2014/chart" uri="{C3380CC4-5D6E-409C-BE32-E72D297353CC}">
              <c16:uniqueId val="{00000003-55F6-4370-BF92-32BD064261EF}"/>
            </c:ext>
          </c:extLst>
        </c:ser>
        <c:dLbls>
          <c:showLegendKey val="0"/>
          <c:showVal val="0"/>
          <c:showCatName val="0"/>
          <c:showSerName val="0"/>
          <c:showPercent val="0"/>
          <c:showBubbleSize val="0"/>
        </c:dLbls>
        <c:gapWidth val="219"/>
        <c:overlap val="-27"/>
        <c:axId val="-910600512"/>
        <c:axId val="-910607584"/>
      </c:barChart>
      <c:catAx>
        <c:axId val="-91060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7584"/>
        <c:crosses val="autoZero"/>
        <c:auto val="1"/>
        <c:lblAlgn val="ctr"/>
        <c:lblOffset val="100"/>
        <c:noMultiLvlLbl val="0"/>
      </c:catAx>
      <c:valAx>
        <c:axId val="-910607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GDP / Total abstraction (Industry</a:t>
            </a:r>
            <a:r>
              <a:rPr lang="en-GB" baseline="0"/>
              <a:t> </a:t>
            </a:r>
            <a:r>
              <a:rPr lang="en-GB"/>
              <a:t>selection)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(CYGDP_KP__Transpo__IIB!$D$6,CYGDP_KP__Transpo__IIB!$F$6,CYGDP_KP__Transpo__IIB!$M$6,CYGDP_KP__Transpo__IIB!$N$6,CYGDP_KP__Transpo__IIB!$W$6,CYGDP_KP__Transpo__IIB!$X$6,CYGDP_KP__Transpo__IIB!$AM$6,CYGDP_KP__Transpo__IIB!$AN$6,CYGDP_KP__Transpo__IIB!$AO$6)</c:f>
              <c:strCache>
                <c:ptCount val="6"/>
                <c:pt idx="0">
                  <c:v>A-T</c:v>
                </c:pt>
                <c:pt idx="1">
                  <c:v>A</c:v>
                </c:pt>
                <c:pt idx="2">
                  <c:v>B</c:v>
                </c:pt>
                <c:pt idx="3">
                  <c:v>C</c:v>
                </c:pt>
                <c:pt idx="4">
                  <c:v>D</c:v>
                </c:pt>
                <c:pt idx="5">
                  <c:v>E</c:v>
                </c:pt>
              </c:strCache>
            </c:strRef>
          </c:cat>
          <c:val>
            <c:numRef>
              <c:f>(CYGDP_KP__Transpo__IIB!$D$33,CYGDP_KP__Transpo__IIB!$F$33,CYGDP_KP__Transpo__IIB!$M$33,CYGDP_KP__Transpo__IIB!$N$33,CYGDP_KP__Transpo__IIB!$W$33,CYGDP_KP__Transpo__IIB!$X$33,CYGDP_KP__Transpo__IIB!$AM$33,CYGDP_KP__Transpo__IIB!$AN$33,CYGDP_KP__Transpo__IIB!$AO$33)</c:f>
              <c:numCache>
                <c:formatCode>#,##0</c:formatCode>
                <c:ptCount val="6"/>
                <c:pt idx="0">
                  <c:v>345.61218675897641</c:v>
                </c:pt>
                <c:pt idx="1">
                  <c:v>105.20975943053541</c:v>
                </c:pt>
                <c:pt idx="2">
                  <c:v>4376.8252029746</c:v>
                </c:pt>
                <c:pt idx="3">
                  <c:v>12056.793887467467</c:v>
                </c:pt>
                <c:pt idx="4">
                  <c:v>119.30676723111065</c:v>
                </c:pt>
                <c:pt idx="5">
                  <c:v>528.21431866337093</c:v>
                </c:pt>
              </c:numCache>
            </c:numRef>
          </c:val>
          <c:extLst xmlns:c16r2="http://schemas.microsoft.com/office/drawing/2015/06/chart">
            <c:ext xmlns:c16="http://schemas.microsoft.com/office/drawing/2014/chart" uri="{C3380CC4-5D6E-409C-BE32-E72D297353CC}">
              <c16:uniqueId val="{00000000-D0DD-4FD9-A6F0-116C38106D4E}"/>
            </c:ext>
          </c:extLst>
        </c:ser>
        <c:dLbls>
          <c:showLegendKey val="0"/>
          <c:showVal val="0"/>
          <c:showCatName val="0"/>
          <c:showSerName val="0"/>
          <c:showPercent val="0"/>
          <c:showBubbleSize val="0"/>
        </c:dLbls>
        <c:gapWidth val="219"/>
        <c:overlap val="-27"/>
        <c:axId val="-910601056"/>
        <c:axId val="-910605952"/>
      </c:barChart>
      <c:catAx>
        <c:axId val="-91060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5952"/>
        <c:crosses val="autoZero"/>
        <c:auto val="1"/>
        <c:lblAlgn val="ctr"/>
        <c:lblOffset val="100"/>
        <c:noMultiLvlLbl val="0"/>
      </c:catAx>
      <c:valAx>
        <c:axId val="-910605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1056"/>
        <c:crosses val="autoZero"/>
        <c:crossBetween val="between"/>
      </c:valAx>
      <c:spPr>
        <a:noFill/>
        <a:ln>
          <a:solidFill>
            <a:schemeClr val="bg1">
              <a:lumMod val="50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multiLvlStrRef>
              <c:f>CYGDP_KP__Transpo__IIB!$D$5:$Y$6</c:f>
              <c:multiLvlStrCache>
                <c:ptCount val="8"/>
                <c:lvl>
                  <c:pt idx="0">
                    <c:v>A-T</c:v>
                  </c:pt>
                  <c:pt idx="2">
                    <c:v>A</c:v>
                  </c:pt>
                  <c:pt idx="3">
                    <c:v>B</c:v>
                  </c:pt>
                  <c:pt idx="4">
                    <c:v>C</c:v>
                  </c:pt>
                  <c:pt idx="5">
                    <c:v>D</c:v>
                  </c:pt>
                  <c:pt idx="6">
                    <c:v>E</c:v>
                  </c:pt>
                  <c:pt idx="7">
                    <c:v>F</c:v>
                  </c:pt>
                </c:lvl>
                <c:lvl>
                  <c:pt idx="0">
                    <c:v>GROSS DOMESTIC PRODUCT (GDP)</c:v>
                  </c:pt>
                  <c:pt idx="2">
                    <c:v>AGRICULTURE, FORESTRY &amp; FISHING</c:v>
                  </c:pt>
                  <c:pt idx="3">
                    <c:v>Mining &amp; quarrying</c:v>
                  </c:pt>
                  <c:pt idx="4">
                    <c:v>TOTAL MANUFACTURING</c:v>
                  </c:pt>
                  <c:pt idx="5">
                    <c:v>Electricity</c:v>
                  </c:pt>
                  <c:pt idx="6">
                    <c:v>Water &amp; waste management</c:v>
                  </c:pt>
                  <c:pt idx="7">
                    <c:v>Construction</c:v>
                  </c:pt>
                </c:lvl>
              </c:multiLvlStrCache>
            </c:multiLvlStrRef>
          </c:cat>
          <c:val>
            <c:numRef>
              <c:f>CYGDP_KP__Transpo__IIB!$D$33:$AQ$33</c:f>
              <c:numCache>
                <c:formatCode>#,##0</c:formatCode>
                <c:ptCount val="8"/>
                <c:pt idx="0">
                  <c:v>345.61218675897641</c:v>
                </c:pt>
                <c:pt idx="2">
                  <c:v>105.20975943053541</c:v>
                </c:pt>
                <c:pt idx="3">
                  <c:v>4376.8252029746</c:v>
                </c:pt>
                <c:pt idx="4">
                  <c:v>12056.793887467467</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6092-41F5-BBEB-5F8DF92AFD11}"/>
            </c:ext>
          </c:extLst>
        </c:ser>
        <c:ser>
          <c:idx val="1"/>
          <c:order val="1"/>
          <c:tx>
            <c:strRef>
              <c:f>CYGDP_KP__Transpo__IIB!$A$34</c:f>
              <c:strCache>
                <c:ptCount val="1"/>
                <c:pt idx="0">
                  <c:v>2013</c:v>
                </c:pt>
              </c:strCache>
            </c:strRef>
          </c:tx>
          <c:spPr>
            <a:solidFill>
              <a:schemeClr val="accent2"/>
            </a:solidFill>
            <a:ln>
              <a:noFill/>
            </a:ln>
            <a:effectLst/>
          </c:spPr>
          <c:invertIfNegative val="0"/>
          <c:cat>
            <c:multiLvlStrRef>
              <c:f>CYGDP_KP__Transpo__IIB!$D$5:$Y$6</c:f>
              <c:multiLvlStrCache>
                <c:ptCount val="8"/>
                <c:lvl>
                  <c:pt idx="0">
                    <c:v>A-T</c:v>
                  </c:pt>
                  <c:pt idx="2">
                    <c:v>A</c:v>
                  </c:pt>
                  <c:pt idx="3">
                    <c:v>B</c:v>
                  </c:pt>
                  <c:pt idx="4">
                    <c:v>C</c:v>
                  </c:pt>
                  <c:pt idx="5">
                    <c:v>D</c:v>
                  </c:pt>
                  <c:pt idx="6">
                    <c:v>E</c:v>
                  </c:pt>
                  <c:pt idx="7">
                    <c:v>F</c:v>
                  </c:pt>
                </c:lvl>
                <c:lvl>
                  <c:pt idx="0">
                    <c:v>GROSS DOMESTIC PRODUCT (GDP)</c:v>
                  </c:pt>
                  <c:pt idx="2">
                    <c:v>AGRICULTURE, FORESTRY &amp; FISHING</c:v>
                  </c:pt>
                  <c:pt idx="3">
                    <c:v>Mining &amp; quarrying</c:v>
                  </c:pt>
                  <c:pt idx="4">
                    <c:v>TOTAL MANUFACTURING</c:v>
                  </c:pt>
                  <c:pt idx="5">
                    <c:v>Electricity</c:v>
                  </c:pt>
                  <c:pt idx="6">
                    <c:v>Water &amp; waste management</c:v>
                  </c:pt>
                  <c:pt idx="7">
                    <c:v>Construction</c:v>
                  </c:pt>
                </c:lvl>
              </c:multiLvlStrCache>
            </c:multiLvlStrRef>
          </c:cat>
          <c:val>
            <c:numRef>
              <c:f>CYGDP_KP__Transpo__IIB!$D$34:$AQ$34</c:f>
              <c:numCache>
                <c:formatCode>#,##0</c:formatCode>
                <c:ptCount val="8"/>
                <c:pt idx="0">
                  <c:v>376.31272513762212</c:v>
                </c:pt>
                <c:pt idx="2">
                  <c:v>113.29729849792503</c:v>
                </c:pt>
                <c:pt idx="3">
                  <c:v>5265.5064063337359</c:v>
                </c:pt>
                <c:pt idx="4">
                  <c:v>12490.610605508882</c:v>
                </c:pt>
                <c:pt idx="5">
                  <c:v>124.2949651934687</c:v>
                </c:pt>
                <c:pt idx="6">
                  <c:v>565.30485869724316</c:v>
                </c:pt>
              </c:numCache>
            </c:numRef>
          </c:val>
          <c:extLst xmlns:c16r2="http://schemas.microsoft.com/office/drawing/2015/06/chart">
            <c:ext xmlns:c16="http://schemas.microsoft.com/office/drawing/2014/chart" uri="{C3380CC4-5D6E-409C-BE32-E72D297353CC}">
              <c16:uniqueId val="{00000001-6092-41F5-BBEB-5F8DF92AFD11}"/>
            </c:ext>
          </c:extLst>
        </c:ser>
        <c:ser>
          <c:idx val="2"/>
          <c:order val="2"/>
          <c:tx>
            <c:strRef>
              <c:f>CYGDP_KP__Transpo__IIB!$A$35</c:f>
              <c:strCache>
                <c:ptCount val="1"/>
                <c:pt idx="0">
                  <c:v>2014</c:v>
                </c:pt>
              </c:strCache>
            </c:strRef>
          </c:tx>
          <c:spPr>
            <a:solidFill>
              <a:schemeClr val="accent3"/>
            </a:solidFill>
            <a:ln>
              <a:noFill/>
            </a:ln>
            <a:effectLst/>
          </c:spPr>
          <c:invertIfNegative val="0"/>
          <c:cat>
            <c:multiLvlStrRef>
              <c:f>CYGDP_KP__Transpo__IIB!$D$5:$Y$6</c:f>
              <c:multiLvlStrCache>
                <c:ptCount val="8"/>
                <c:lvl>
                  <c:pt idx="0">
                    <c:v>A-T</c:v>
                  </c:pt>
                  <c:pt idx="2">
                    <c:v>A</c:v>
                  </c:pt>
                  <c:pt idx="3">
                    <c:v>B</c:v>
                  </c:pt>
                  <c:pt idx="4">
                    <c:v>C</c:v>
                  </c:pt>
                  <c:pt idx="5">
                    <c:v>D</c:v>
                  </c:pt>
                  <c:pt idx="6">
                    <c:v>E</c:v>
                  </c:pt>
                  <c:pt idx="7">
                    <c:v>F</c:v>
                  </c:pt>
                </c:lvl>
                <c:lvl>
                  <c:pt idx="0">
                    <c:v>GROSS DOMESTIC PRODUCT (GDP)</c:v>
                  </c:pt>
                  <c:pt idx="2">
                    <c:v>AGRICULTURE, FORESTRY &amp; FISHING</c:v>
                  </c:pt>
                  <c:pt idx="3">
                    <c:v>Mining &amp; quarrying</c:v>
                  </c:pt>
                  <c:pt idx="4">
                    <c:v>TOTAL MANUFACTURING</c:v>
                  </c:pt>
                  <c:pt idx="5">
                    <c:v>Electricity</c:v>
                  </c:pt>
                  <c:pt idx="6">
                    <c:v>Water &amp; waste management</c:v>
                  </c:pt>
                  <c:pt idx="7">
                    <c:v>Construction</c:v>
                  </c:pt>
                </c:lvl>
              </c:multiLvlStrCache>
            </c:multiLvlStrRef>
          </c:cat>
          <c:val>
            <c:numRef>
              <c:f>CYGDP_KP__Transpo__IIB!$D$35:$AQ$35</c:f>
              <c:numCache>
                <c:formatCode>#,##0</c:formatCode>
                <c:ptCount val="8"/>
                <c:pt idx="0">
                  <c:v>390.27146791397234</c:v>
                </c:pt>
                <c:pt idx="2">
                  <c:v>116.38540667558449</c:v>
                </c:pt>
                <c:pt idx="3">
                  <c:v>6553.8020177284579</c:v>
                </c:pt>
                <c:pt idx="4">
                  <c:v>13282.514116364151</c:v>
                </c:pt>
                <c:pt idx="5">
                  <c:v>131.64934987970557</c:v>
                </c:pt>
                <c:pt idx="6">
                  <c:v>579.00419291476157</c:v>
                </c:pt>
              </c:numCache>
            </c:numRef>
          </c:val>
          <c:extLst xmlns:c16r2="http://schemas.microsoft.com/office/drawing/2015/06/chart">
            <c:ext xmlns:c16="http://schemas.microsoft.com/office/drawing/2014/chart" uri="{C3380CC4-5D6E-409C-BE32-E72D297353CC}">
              <c16:uniqueId val="{00000002-6092-41F5-BBEB-5F8DF92AFD11}"/>
            </c:ext>
          </c:extLst>
        </c:ser>
        <c:ser>
          <c:idx val="3"/>
          <c:order val="3"/>
          <c:tx>
            <c:strRef>
              <c:f>CYGDP_KP__Transpo__IIB!$A$36</c:f>
              <c:strCache>
                <c:ptCount val="1"/>
                <c:pt idx="0">
                  <c:v>2015</c:v>
                </c:pt>
              </c:strCache>
            </c:strRef>
          </c:tx>
          <c:spPr>
            <a:solidFill>
              <a:schemeClr val="accent4"/>
            </a:solidFill>
            <a:ln>
              <a:noFill/>
            </a:ln>
            <a:effectLst/>
          </c:spPr>
          <c:invertIfNegative val="0"/>
          <c:cat>
            <c:multiLvlStrRef>
              <c:f>CYGDP_KP__Transpo__IIB!$D$5:$Y$6</c:f>
              <c:multiLvlStrCache>
                <c:ptCount val="8"/>
                <c:lvl>
                  <c:pt idx="0">
                    <c:v>A-T</c:v>
                  </c:pt>
                  <c:pt idx="2">
                    <c:v>A</c:v>
                  </c:pt>
                  <c:pt idx="3">
                    <c:v>B</c:v>
                  </c:pt>
                  <c:pt idx="4">
                    <c:v>C</c:v>
                  </c:pt>
                  <c:pt idx="5">
                    <c:v>D</c:v>
                  </c:pt>
                  <c:pt idx="6">
                    <c:v>E</c:v>
                  </c:pt>
                  <c:pt idx="7">
                    <c:v>F</c:v>
                  </c:pt>
                </c:lvl>
                <c:lvl>
                  <c:pt idx="0">
                    <c:v>GROSS DOMESTIC PRODUCT (GDP)</c:v>
                  </c:pt>
                  <c:pt idx="2">
                    <c:v>AGRICULTURE, FORESTRY &amp; FISHING</c:v>
                  </c:pt>
                  <c:pt idx="3">
                    <c:v>Mining &amp; quarrying</c:v>
                  </c:pt>
                  <c:pt idx="4">
                    <c:v>TOTAL MANUFACTURING</c:v>
                  </c:pt>
                  <c:pt idx="5">
                    <c:v>Electricity</c:v>
                  </c:pt>
                  <c:pt idx="6">
                    <c:v>Water &amp; waste management</c:v>
                  </c:pt>
                  <c:pt idx="7">
                    <c:v>Construction</c:v>
                  </c:pt>
                </c:lvl>
              </c:multiLvlStrCache>
            </c:multiLvlStrRef>
          </c:cat>
          <c:val>
            <c:numRef>
              <c:f>CYGDP_KP__Transpo__IIB!$D$36:$AQ$36</c:f>
              <c:numCache>
                <c:formatCode>#,##0</c:formatCode>
                <c:ptCount val="8"/>
                <c:pt idx="0">
                  <c:v>414.48364650055402</c:v>
                </c:pt>
                <c:pt idx="2">
                  <c:v>119.16293039038506</c:v>
                </c:pt>
                <c:pt idx="3">
                  <c:v>6236.121477436538</c:v>
                </c:pt>
                <c:pt idx="4">
                  <c:v>14215.043177074132</c:v>
                </c:pt>
                <c:pt idx="5">
                  <c:v>138.41486415466264</c:v>
                </c:pt>
                <c:pt idx="6">
                  <c:v>576.12357503956389</c:v>
                </c:pt>
              </c:numCache>
            </c:numRef>
          </c:val>
          <c:extLst xmlns:c16r2="http://schemas.microsoft.com/office/drawing/2015/06/chart">
            <c:ext xmlns:c16="http://schemas.microsoft.com/office/drawing/2014/chart" uri="{C3380CC4-5D6E-409C-BE32-E72D297353CC}">
              <c16:uniqueId val="{00000003-6092-41F5-BBEB-5F8DF92AFD11}"/>
            </c:ext>
          </c:extLst>
        </c:ser>
        <c:dLbls>
          <c:showLegendKey val="0"/>
          <c:showVal val="0"/>
          <c:showCatName val="0"/>
          <c:showSerName val="0"/>
          <c:showPercent val="0"/>
          <c:showBubbleSize val="0"/>
        </c:dLbls>
        <c:gapWidth val="182"/>
        <c:axId val="-910607040"/>
        <c:axId val="-910604320"/>
      </c:barChart>
      <c:catAx>
        <c:axId val="-910607040"/>
        <c:scaling>
          <c:orientation val="minMax"/>
        </c:scaling>
        <c:delete val="0"/>
        <c:axPos val="l"/>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910604320"/>
        <c:crosses val="autoZero"/>
        <c:auto val="1"/>
        <c:lblAlgn val="ctr"/>
        <c:lblOffset val="100"/>
        <c:noMultiLvlLbl val="0"/>
      </c:catAx>
      <c:valAx>
        <c:axId val="-9106043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607040"/>
        <c:crosses val="autoZero"/>
        <c:crossBetween val="between"/>
      </c:valAx>
      <c:spPr>
        <a:noFill/>
        <a:ln>
          <a:solidFill>
            <a:schemeClr val="bg1">
              <a:lumMod val="50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GB"/>
              <a:t>Water Productivity:</a:t>
            </a:r>
            <a:r>
              <a:rPr lang="en-GB" baseline="0"/>
              <a:t> </a:t>
            </a:r>
            <a:r>
              <a:rPr lang="en-GB"/>
              <a:t>GDP / Total water abstraction</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759281434170435E-2"/>
          <c:y val="0.12032883840652651"/>
          <c:w val="0.8904696995775937"/>
          <c:h val="0.67852179667721857"/>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CYGDP_KP__Transpo__IIB!$D$33:$AQ$33</c:f>
              <c:numCache>
                <c:formatCode>#,##0</c:formatCode>
                <c:ptCount val="8"/>
                <c:pt idx="0">
                  <c:v>345.61218675897641</c:v>
                </c:pt>
                <c:pt idx="2">
                  <c:v>105.20975943053541</c:v>
                </c:pt>
                <c:pt idx="3">
                  <c:v>4376.8252029746</c:v>
                </c:pt>
                <c:pt idx="4">
                  <c:v>12056.793887467467</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F74E-448E-97DF-8E1D26B72DC0}"/>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CYGDP_KP__Transpo__IIB!$D$34:$AQ$34</c:f>
              <c:numCache>
                <c:formatCode>#,##0</c:formatCode>
                <c:ptCount val="8"/>
                <c:pt idx="0">
                  <c:v>376.31272513762212</c:v>
                </c:pt>
                <c:pt idx="2">
                  <c:v>113.29729849792503</c:v>
                </c:pt>
                <c:pt idx="3">
                  <c:v>5265.5064063337359</c:v>
                </c:pt>
                <c:pt idx="4">
                  <c:v>12490.610605508882</c:v>
                </c:pt>
                <c:pt idx="5">
                  <c:v>124.2949651934687</c:v>
                </c:pt>
                <c:pt idx="6">
                  <c:v>565.30485869724316</c:v>
                </c:pt>
              </c:numCache>
            </c:numRef>
          </c:val>
          <c:extLst xmlns:c16r2="http://schemas.microsoft.com/office/drawing/2015/06/chart">
            <c:ext xmlns:c16="http://schemas.microsoft.com/office/drawing/2014/chart" uri="{C3380CC4-5D6E-409C-BE32-E72D297353CC}">
              <c16:uniqueId val="{00000001-F74E-448E-97DF-8E1D26B72DC0}"/>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CYGDP_KP__Transpo__IIB!$D$35:$AQ$35</c:f>
              <c:numCache>
                <c:formatCode>#,##0</c:formatCode>
                <c:ptCount val="8"/>
                <c:pt idx="0">
                  <c:v>390.27146791397234</c:v>
                </c:pt>
                <c:pt idx="2">
                  <c:v>116.38540667558449</c:v>
                </c:pt>
                <c:pt idx="3">
                  <c:v>6553.8020177284579</c:v>
                </c:pt>
                <c:pt idx="4">
                  <c:v>13282.514116364151</c:v>
                </c:pt>
                <c:pt idx="5">
                  <c:v>131.64934987970557</c:v>
                </c:pt>
                <c:pt idx="6">
                  <c:v>579.00419291476157</c:v>
                </c:pt>
              </c:numCache>
            </c:numRef>
          </c:val>
          <c:extLst xmlns:c16r2="http://schemas.microsoft.com/office/drawing/2015/06/chart">
            <c:ext xmlns:c16="http://schemas.microsoft.com/office/drawing/2014/chart" uri="{C3380CC4-5D6E-409C-BE32-E72D297353CC}">
              <c16:uniqueId val="{00000002-F74E-448E-97DF-8E1D26B72DC0}"/>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CYGDP_KP__Transpo__IIB!$D$36:$AQ$36</c:f>
              <c:numCache>
                <c:formatCode>#,##0</c:formatCode>
                <c:ptCount val="8"/>
                <c:pt idx="0">
                  <c:v>414.48364650055402</c:v>
                </c:pt>
                <c:pt idx="2">
                  <c:v>119.16293039038506</c:v>
                </c:pt>
                <c:pt idx="3">
                  <c:v>6236.121477436538</c:v>
                </c:pt>
                <c:pt idx="4">
                  <c:v>14215.043177074132</c:v>
                </c:pt>
                <c:pt idx="5">
                  <c:v>138.41486415466264</c:v>
                </c:pt>
                <c:pt idx="6">
                  <c:v>576.12357503956389</c:v>
                </c:pt>
              </c:numCache>
            </c:numRef>
          </c:val>
          <c:extLst xmlns:c16r2="http://schemas.microsoft.com/office/drawing/2015/06/chart">
            <c:ext xmlns:c16="http://schemas.microsoft.com/office/drawing/2014/chart" uri="{C3380CC4-5D6E-409C-BE32-E72D297353CC}">
              <c16:uniqueId val="{00000003-F74E-448E-97DF-8E1D26B72DC0}"/>
            </c:ext>
          </c:extLst>
        </c:ser>
        <c:dLbls>
          <c:showLegendKey val="0"/>
          <c:showVal val="0"/>
          <c:showCatName val="0"/>
          <c:showSerName val="0"/>
          <c:showPercent val="0"/>
          <c:showBubbleSize val="0"/>
        </c:dLbls>
        <c:gapWidth val="182"/>
        <c:axId val="-906202960"/>
        <c:axId val="-906193168"/>
      </c:barChart>
      <c:catAx>
        <c:axId val="-906202960"/>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3168"/>
        <c:crosses val="autoZero"/>
        <c:auto val="1"/>
        <c:lblAlgn val="ctr"/>
        <c:lblOffset val="100"/>
        <c:noMultiLvlLbl val="0"/>
      </c:catAx>
      <c:valAx>
        <c:axId val="-90619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6.8555434433243204E-2"/>
              <c:y val="5.888162562983660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202960"/>
        <c:crosses val="autoZero"/>
        <c:crossBetween val="between"/>
      </c:valAx>
      <c:spPr>
        <a:noFill/>
        <a:ln>
          <a:solidFill>
            <a:schemeClr val="bg1">
              <a:lumMod val="50000"/>
            </a:schemeClr>
          </a:solidFill>
        </a:ln>
        <a:effectLst/>
      </c:spPr>
    </c:plotArea>
    <c:legend>
      <c:legendPos val="r"/>
      <c:layout>
        <c:manualLayout>
          <c:xMode val="edge"/>
          <c:yMode val="edge"/>
          <c:x val="0.81512133926318564"/>
          <c:y val="0.17816268450713682"/>
          <c:w val="0.1261168597940345"/>
          <c:h val="0.25421475340312077"/>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0" i="0" baseline="0">
                <a:effectLst/>
              </a:rPr>
              <a:t>Water Productivity: GDP / Water Consumption</a:t>
            </a:r>
            <a:endParaRPr lang="en-GB" sz="1600">
              <a:effectLst/>
            </a:endParaRPr>
          </a:p>
        </c:rich>
      </c:tx>
      <c:layout>
        <c:manualLayout>
          <c:xMode val="edge"/>
          <c:yMode val="edge"/>
          <c:x val="0.18853299698757087"/>
          <c:y val="1.569506587911215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718008132263096E-2"/>
          <c:y val="0.12032883840652651"/>
          <c:w val="0.88851097287950098"/>
          <c:h val="0.64673647308245286"/>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CYGDP_KP__Transpo__IIB!$D$63:$AQ$63</c:f>
              <c:numCache>
                <c:formatCode>#,##0</c:formatCode>
                <c:ptCount val="8"/>
                <c:pt idx="0">
                  <c:v>387.29692016168815</c:v>
                </c:pt>
                <c:pt idx="2">
                  <c:v>117.70073197044327</c:v>
                </c:pt>
                <c:pt idx="3">
                  <c:v>91991.740474784645</c:v>
                </c:pt>
                <c:pt idx="4">
                  <c:v>1888.8460644456738</c:v>
                </c:pt>
                <c:pt idx="5">
                  <c:v>2386.1353446222101</c:v>
                </c:pt>
                <c:pt idx="6">
                  <c:v>555.13197910323117</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CYGDP_KP__Transpo__IIB!$D$64:$AQ$64</c:f>
              <c:numCache>
                <c:formatCode>#,##0</c:formatCode>
                <c:ptCount val="8"/>
                <c:pt idx="0">
                  <c:v>422.15492300516826</c:v>
                </c:pt>
                <c:pt idx="2">
                  <c:v>126.78541018000988</c:v>
                </c:pt>
                <c:pt idx="3">
                  <c:v>110665.10540241827</c:v>
                </c:pt>
                <c:pt idx="4">
                  <c:v>1977.7011886069547</c:v>
                </c:pt>
                <c:pt idx="5">
                  <c:v>2485.8993038693739</c:v>
                </c:pt>
                <c:pt idx="6">
                  <c:v>591.67512964467392</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CYGDP_KP__Transpo__IIB!$D$65:$AQ$65</c:f>
              <c:numCache>
                <c:formatCode>#,##0</c:formatCode>
                <c:ptCount val="8"/>
                <c:pt idx="0">
                  <c:v>437.99484151572136</c:v>
                </c:pt>
                <c:pt idx="2">
                  <c:v>130.20693616347577</c:v>
                </c:pt>
                <c:pt idx="3">
                  <c:v>137735.04358862899</c:v>
                </c:pt>
                <c:pt idx="4">
                  <c:v>2125.5521774077115</c:v>
                </c:pt>
                <c:pt idx="5">
                  <c:v>2632.9869975941078</c:v>
                </c:pt>
                <c:pt idx="6">
                  <c:v>608.20246255409893</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CYGDP_KP__Transpo__IIB!$D$66:$AQ$66</c:f>
              <c:numCache>
                <c:formatCode>#,##0</c:formatCode>
                <c:ptCount val="8"/>
                <c:pt idx="0">
                  <c:v>465.40483243283381</c:v>
                </c:pt>
                <c:pt idx="2">
                  <c:v>133.29180539936146</c:v>
                </c:pt>
                <c:pt idx="3">
                  <c:v>131052.68515505003</c:v>
                </c:pt>
                <c:pt idx="4">
                  <c:v>2299.0912986166172</c:v>
                </c:pt>
                <c:pt idx="5">
                  <c:v>2768.2972830932517</c:v>
                </c:pt>
                <c:pt idx="6">
                  <c:v>605.0247863862121</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195888"/>
        <c:axId val="-906188272"/>
      </c:barChart>
      <c:catAx>
        <c:axId val="-90619588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3974945880535562"/>
              <c:y val="0.8739796323502476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88272"/>
        <c:crosses val="autoZero"/>
        <c:auto val="1"/>
        <c:lblAlgn val="ctr"/>
        <c:lblOffset val="100"/>
        <c:noMultiLvlLbl val="0"/>
      </c:catAx>
      <c:valAx>
        <c:axId val="-906188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6.8555434433243204E-2"/>
              <c:y val="5.888162562983660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5888"/>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GB"/>
              <a:t>Water Productivity:</a:t>
            </a:r>
            <a:r>
              <a:rPr lang="en-GB" baseline="0"/>
              <a:t> </a:t>
            </a:r>
            <a:r>
              <a:rPr lang="en-GB"/>
              <a:t>GDP / Total water abstraction</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759281434170435E-2"/>
          <c:y val="0.12032883840652651"/>
          <c:w val="0.8904696995775937"/>
          <c:h val="0.70206439549588684"/>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CYGDP_KP__Transpo__IIB!$D$33:$AQ$33</c:f>
              <c:numCache>
                <c:formatCode>#,##0</c:formatCode>
                <c:ptCount val="8"/>
                <c:pt idx="0">
                  <c:v>345.61218675897641</c:v>
                </c:pt>
                <c:pt idx="2">
                  <c:v>105.20975943053541</c:v>
                </c:pt>
                <c:pt idx="3">
                  <c:v>4376.8252029746</c:v>
                </c:pt>
                <c:pt idx="4">
                  <c:v>12056.793887467467</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F74E-448E-97DF-8E1D26B72DC0}"/>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CYGDP_KP__Transpo__IIB!$D$34:$AQ$34</c:f>
              <c:numCache>
                <c:formatCode>#,##0</c:formatCode>
                <c:ptCount val="8"/>
                <c:pt idx="0">
                  <c:v>376.31272513762212</c:v>
                </c:pt>
                <c:pt idx="2">
                  <c:v>113.29729849792503</c:v>
                </c:pt>
                <c:pt idx="3">
                  <c:v>5265.5064063337359</c:v>
                </c:pt>
                <c:pt idx="4">
                  <c:v>12490.610605508882</c:v>
                </c:pt>
                <c:pt idx="5">
                  <c:v>124.2949651934687</c:v>
                </c:pt>
                <c:pt idx="6">
                  <c:v>565.30485869724316</c:v>
                </c:pt>
              </c:numCache>
            </c:numRef>
          </c:val>
          <c:extLst xmlns:c16r2="http://schemas.microsoft.com/office/drawing/2015/06/chart">
            <c:ext xmlns:c16="http://schemas.microsoft.com/office/drawing/2014/chart" uri="{C3380CC4-5D6E-409C-BE32-E72D297353CC}">
              <c16:uniqueId val="{00000001-F74E-448E-97DF-8E1D26B72DC0}"/>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CYGDP_KP__Transpo__IIB!$D$35:$AQ$35</c:f>
              <c:numCache>
                <c:formatCode>#,##0</c:formatCode>
                <c:ptCount val="8"/>
                <c:pt idx="0">
                  <c:v>390.27146791397234</c:v>
                </c:pt>
                <c:pt idx="2">
                  <c:v>116.38540667558449</c:v>
                </c:pt>
                <c:pt idx="3">
                  <c:v>6553.8020177284579</c:v>
                </c:pt>
                <c:pt idx="4">
                  <c:v>13282.514116364151</c:v>
                </c:pt>
                <c:pt idx="5">
                  <c:v>131.64934987970557</c:v>
                </c:pt>
                <c:pt idx="6">
                  <c:v>579.00419291476157</c:v>
                </c:pt>
              </c:numCache>
            </c:numRef>
          </c:val>
          <c:extLst xmlns:c16r2="http://schemas.microsoft.com/office/drawing/2015/06/chart">
            <c:ext xmlns:c16="http://schemas.microsoft.com/office/drawing/2014/chart" uri="{C3380CC4-5D6E-409C-BE32-E72D297353CC}">
              <c16:uniqueId val="{00000002-F74E-448E-97DF-8E1D26B72DC0}"/>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CYGDP_KP__Transpo__IIB!$D$36:$AQ$36</c:f>
              <c:numCache>
                <c:formatCode>#,##0</c:formatCode>
                <c:ptCount val="8"/>
                <c:pt idx="0">
                  <c:v>414.48364650055402</c:v>
                </c:pt>
                <c:pt idx="2">
                  <c:v>119.16293039038506</c:v>
                </c:pt>
                <c:pt idx="3">
                  <c:v>6236.121477436538</c:v>
                </c:pt>
                <c:pt idx="4">
                  <c:v>14215.043177074132</c:v>
                </c:pt>
                <c:pt idx="5">
                  <c:v>138.41486415466264</c:v>
                </c:pt>
                <c:pt idx="6">
                  <c:v>576.12357503956389</c:v>
                </c:pt>
              </c:numCache>
            </c:numRef>
          </c:val>
          <c:extLst xmlns:c16r2="http://schemas.microsoft.com/office/drawing/2015/06/chart">
            <c:ext xmlns:c16="http://schemas.microsoft.com/office/drawing/2014/chart" uri="{C3380CC4-5D6E-409C-BE32-E72D297353CC}">
              <c16:uniqueId val="{00000003-F74E-448E-97DF-8E1D26B72DC0}"/>
            </c:ext>
          </c:extLst>
        </c:ser>
        <c:dLbls>
          <c:showLegendKey val="0"/>
          <c:showVal val="0"/>
          <c:showCatName val="0"/>
          <c:showSerName val="0"/>
          <c:showPercent val="0"/>
          <c:showBubbleSize val="0"/>
        </c:dLbls>
        <c:gapWidth val="182"/>
        <c:axId val="-906189904"/>
        <c:axId val="-906189360"/>
      </c:barChart>
      <c:catAx>
        <c:axId val="-9061899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40256290905770747"/>
              <c:y val="0.925309611950824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89360"/>
        <c:crosses val="autoZero"/>
        <c:auto val="1"/>
        <c:lblAlgn val="ctr"/>
        <c:lblOffset val="100"/>
        <c:noMultiLvlLbl val="0"/>
      </c:catAx>
      <c:valAx>
        <c:axId val="-906189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6.8555434433243204E-2"/>
              <c:y val="5.888162562983660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89904"/>
        <c:crosses val="autoZero"/>
        <c:crossBetween val="between"/>
      </c:valAx>
      <c:spPr>
        <a:noFill/>
        <a:ln>
          <a:solidFill>
            <a:schemeClr val="bg1">
              <a:lumMod val="50000"/>
            </a:schemeClr>
          </a:solidFill>
        </a:ln>
        <a:effectLst/>
      </c:spPr>
    </c:plotArea>
    <c:legend>
      <c:legendPos val="r"/>
      <c:layout>
        <c:manualLayout>
          <c:xMode val="edge"/>
          <c:yMode val="edge"/>
          <c:x val="0.81512133926318564"/>
          <c:y val="0.17816268450713682"/>
          <c:w val="0.1261168597940345"/>
          <c:h val="0.25421475340312077"/>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0" i="0" baseline="0">
                <a:effectLst/>
              </a:rPr>
              <a:t>Water Productivity: GDP / Water Consumption</a:t>
            </a:r>
            <a:endParaRPr lang="en-GB" sz="1600">
              <a:effectLst/>
            </a:endParaRPr>
          </a:p>
        </c:rich>
      </c:tx>
      <c:layout>
        <c:manualLayout>
          <c:xMode val="edge"/>
          <c:yMode val="edge"/>
          <c:x val="0.18853299698757087"/>
          <c:y val="1.569506587911215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718008132263096E-2"/>
          <c:y val="0.12032883840652651"/>
          <c:w val="0.88851097287950098"/>
          <c:h val="0.74209251333357751"/>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(CYGDP_KP__Transpo__IIB!$D$63:$AQ$63,CYGDP_KP__Transpo__IIB!$AV$63)</c:f>
              <c:numCache>
                <c:formatCode>#,##0</c:formatCode>
                <c:ptCount val="9"/>
                <c:pt idx="0">
                  <c:v>387.29692016168815</c:v>
                </c:pt>
                <c:pt idx="2">
                  <c:v>117.70073197044327</c:v>
                </c:pt>
                <c:pt idx="3">
                  <c:v>91991.740474784645</c:v>
                </c:pt>
                <c:pt idx="4">
                  <c:v>1888.8460644456738</c:v>
                </c:pt>
                <c:pt idx="5">
                  <c:v>2386.1353446222101</c:v>
                </c:pt>
                <c:pt idx="6">
                  <c:v>555.13197910323117</c:v>
                </c:pt>
                <c:pt idx="8">
                  <c:v>45938.800522985861</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(CYGDP_KP__Transpo__IIB!$D$64:$AQ$64,CYGDP_KP__Transpo__IIB!$AV$64)</c:f>
              <c:numCache>
                <c:formatCode>#,##0</c:formatCode>
                <c:ptCount val="9"/>
                <c:pt idx="0">
                  <c:v>422.15492300516826</c:v>
                </c:pt>
                <c:pt idx="2">
                  <c:v>126.78541018000988</c:v>
                </c:pt>
                <c:pt idx="3">
                  <c:v>110665.10540241827</c:v>
                </c:pt>
                <c:pt idx="4">
                  <c:v>1977.7011886069547</c:v>
                </c:pt>
                <c:pt idx="5">
                  <c:v>2485.8993038693739</c:v>
                </c:pt>
                <c:pt idx="6">
                  <c:v>591.67512964467392</c:v>
                </c:pt>
                <c:pt idx="8">
                  <c:v>48346.073912836648</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(CYGDP_KP__Transpo__IIB!$D$65:$AQ$65,CYGDP_KP__Transpo__IIB!$AV$65)</c:f>
              <c:numCache>
                <c:formatCode>#,##0</c:formatCode>
                <c:ptCount val="9"/>
                <c:pt idx="0">
                  <c:v>437.99484151572136</c:v>
                </c:pt>
                <c:pt idx="2">
                  <c:v>130.20693616347577</c:v>
                </c:pt>
                <c:pt idx="3">
                  <c:v>137735.04358862899</c:v>
                </c:pt>
                <c:pt idx="4">
                  <c:v>2125.5521774077115</c:v>
                </c:pt>
                <c:pt idx="5">
                  <c:v>2632.9869975941078</c:v>
                </c:pt>
                <c:pt idx="6">
                  <c:v>608.20246255409893</c:v>
                </c:pt>
                <c:pt idx="8">
                  <c:v>51716.256658627753</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(CYGDP_KP__Transpo__IIB!$D$66:$AQ$66,CYGDP_KP__Transpo__IIB!$AV$66)</c:f>
              <c:numCache>
                <c:formatCode>#,##0</c:formatCode>
                <c:ptCount val="9"/>
                <c:pt idx="0">
                  <c:v>465.40483243283381</c:v>
                </c:pt>
                <c:pt idx="2">
                  <c:v>133.29180539936146</c:v>
                </c:pt>
                <c:pt idx="3">
                  <c:v>131052.68515505003</c:v>
                </c:pt>
                <c:pt idx="4">
                  <c:v>2299.0912986166172</c:v>
                </c:pt>
                <c:pt idx="5">
                  <c:v>2768.2972830932517</c:v>
                </c:pt>
                <c:pt idx="6">
                  <c:v>605.0247863862121</c:v>
                </c:pt>
                <c:pt idx="8">
                  <c:v>57112.561174209935</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187728"/>
        <c:axId val="-906195344"/>
      </c:barChart>
      <c:catAx>
        <c:axId val="-90618772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39945331475164886"/>
              <c:y val="0.8653109014183272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5344"/>
        <c:crosses val="autoZero"/>
        <c:auto val="1"/>
        <c:lblAlgn val="ctr"/>
        <c:lblOffset val="100"/>
        <c:noMultiLvlLbl val="0"/>
      </c:catAx>
      <c:valAx>
        <c:axId val="-906195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6.8555434433243204E-2"/>
              <c:y val="5.888162562983660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87728"/>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718008132263096E-2"/>
          <c:y val="9.1144011670286823E-2"/>
          <c:w val="0.88851097287950098"/>
          <c:h val="0.68499785364526411"/>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CYGDP_KP__Transpo__IIB!$D$53:$AQ$53</c:f>
              <c:numCache>
                <c:formatCode>#,##0</c:formatCode>
                <c:ptCount val="8"/>
                <c:pt idx="0">
                  <c:v>319.22271211005909</c:v>
                </c:pt>
                <c:pt idx="2">
                  <c:v>104.51432675531389</c:v>
                </c:pt>
                <c:pt idx="3">
                  <c:v>4376.8252029746</c:v>
                </c:pt>
                <c:pt idx="4">
                  <c:v>427.669842568972</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CYGDP_KP__Transpo__IIB!$D$54:$AQ$54</c:f>
              <c:numCache>
                <c:formatCode>#,##0</c:formatCode>
                <c:ptCount val="8"/>
                <c:pt idx="0">
                  <c:v>346.51152005883165</c:v>
                </c:pt>
                <c:pt idx="2">
                  <c:v>112.5167739734662</c:v>
                </c:pt>
                <c:pt idx="3">
                  <c:v>5265.5064063337359</c:v>
                </c:pt>
                <c:pt idx="4">
                  <c:v>448.47638797685966</c:v>
                </c:pt>
                <c:pt idx="5">
                  <c:v>124.2949651934687</c:v>
                </c:pt>
                <c:pt idx="6">
                  <c:v>563.12827149613111</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CYGDP_KP__Transpo__IIB!$D$55:$AQ$55</c:f>
              <c:numCache>
                <c:formatCode>#,##0</c:formatCode>
                <c:ptCount val="8"/>
                <c:pt idx="0">
                  <c:v>360.40672589475537</c:v>
                </c:pt>
                <c:pt idx="2">
                  <c:v>115.61290485680546</c:v>
                </c:pt>
                <c:pt idx="3">
                  <c:v>6553.8020177284579</c:v>
                </c:pt>
                <c:pt idx="4">
                  <c:v>482.75414511112177</c:v>
                </c:pt>
                <c:pt idx="5">
                  <c:v>131.64934987970557</c:v>
                </c:pt>
                <c:pt idx="6">
                  <c:v>579.00419291476169</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CYGDP_KP__Transpo__IIB!$D$6:$Y$6</c:f>
              <c:strCache>
                <c:ptCount val="8"/>
                <c:pt idx="0">
                  <c:v>A-T</c:v>
                </c:pt>
                <c:pt idx="2">
                  <c:v>A</c:v>
                </c:pt>
                <c:pt idx="3">
                  <c:v>B</c:v>
                </c:pt>
                <c:pt idx="4">
                  <c:v>C</c:v>
                </c:pt>
                <c:pt idx="5">
                  <c:v>D</c:v>
                </c:pt>
                <c:pt idx="6">
                  <c:v>E</c:v>
                </c:pt>
                <c:pt idx="7">
                  <c:v>F</c:v>
                </c:pt>
              </c:strCache>
            </c:strRef>
          </c:cat>
          <c:val>
            <c:numRef>
              <c:f>CYGDP_KP__Transpo__IIB!$D$56:$AQ$56</c:f>
              <c:numCache>
                <c:formatCode>#,##0</c:formatCode>
                <c:ptCount val="8"/>
                <c:pt idx="0">
                  <c:v>383.48554116613838</c:v>
                </c:pt>
                <c:pt idx="2">
                  <c:v>118.39127368600147</c:v>
                </c:pt>
                <c:pt idx="3">
                  <c:v>6236.121477436538</c:v>
                </c:pt>
                <c:pt idx="4">
                  <c:v>522.99120220567329</c:v>
                </c:pt>
                <c:pt idx="5">
                  <c:v>138.41486415466264</c:v>
                </c:pt>
                <c:pt idx="6">
                  <c:v>576.123575039564</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202416"/>
        <c:axId val="-906196976"/>
      </c:barChart>
      <c:catAx>
        <c:axId val="-90620241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36615496088407362"/>
              <c:y val="0.869569911147200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6976"/>
        <c:crosses val="autoZero"/>
        <c:auto val="1"/>
        <c:lblAlgn val="ctr"/>
        <c:lblOffset val="100"/>
        <c:noMultiLvlLbl val="0"/>
      </c:catAx>
      <c:valAx>
        <c:axId val="-906196976"/>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7.2472887829428512E-2"/>
              <c:y val="2.6778188255992558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202416"/>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718008132263096E-2"/>
          <c:y val="9.1144011670286823E-2"/>
          <c:w val="0.88851097287950098"/>
          <c:h val="0.68499785364526411"/>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(CYGDP_KP__Transpo__IIB!$D$53:$AQ$53,CYGDP_KP__Transpo__IIB!$AV$53)</c:f>
              <c:numCache>
                <c:formatCode>#,##0</c:formatCode>
                <c:ptCount val="9"/>
                <c:pt idx="0">
                  <c:v>319.22271211005909</c:v>
                </c:pt>
                <c:pt idx="2">
                  <c:v>104.51432675531389</c:v>
                </c:pt>
                <c:pt idx="3">
                  <c:v>4376.8252029746</c:v>
                </c:pt>
                <c:pt idx="4">
                  <c:v>427.669842568972</c:v>
                </c:pt>
                <c:pt idx="5">
                  <c:v>119.30676723111065</c:v>
                </c:pt>
                <c:pt idx="6">
                  <c:v>528.21431866337093</c:v>
                </c:pt>
                <c:pt idx="8">
                  <c:v>9314.5971728036657</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(CYGDP_KP__Transpo__IIB!$D$54:$AQ$54,CYGDP_KP__Transpo__IIB!$AV$54)</c:f>
              <c:numCache>
                <c:formatCode>#,##0</c:formatCode>
                <c:ptCount val="9"/>
                <c:pt idx="0">
                  <c:v>346.51152005883165</c:v>
                </c:pt>
                <c:pt idx="2">
                  <c:v>112.5167739734662</c:v>
                </c:pt>
                <c:pt idx="3">
                  <c:v>5265.5064063337359</c:v>
                </c:pt>
                <c:pt idx="4">
                  <c:v>448.47638797685966</c:v>
                </c:pt>
                <c:pt idx="5">
                  <c:v>124.2949651934687</c:v>
                </c:pt>
                <c:pt idx="6">
                  <c:v>563.12827149613111</c:v>
                </c:pt>
                <c:pt idx="8">
                  <c:v>9802.6983346973084</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(CYGDP_KP__Transpo__IIB!$D$55:$AQ$55,CYGDP_KP__Transpo__IIB!$AV$55)</c:f>
              <c:numCache>
                <c:formatCode>#,##0</c:formatCode>
                <c:ptCount val="9"/>
                <c:pt idx="0">
                  <c:v>360.40672589475537</c:v>
                </c:pt>
                <c:pt idx="2">
                  <c:v>115.61290485680546</c:v>
                </c:pt>
                <c:pt idx="3">
                  <c:v>6553.8020177284579</c:v>
                </c:pt>
                <c:pt idx="4">
                  <c:v>482.75414511112177</c:v>
                </c:pt>
                <c:pt idx="5">
                  <c:v>131.64934987970557</c:v>
                </c:pt>
                <c:pt idx="6">
                  <c:v>579.00419291476169</c:v>
                </c:pt>
                <c:pt idx="8">
                  <c:v>10486.039961348406</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(CYGDP_KP__Transpo__IIB!$D$6:$Y$6,CYGDP_KP__Transpo__IIB!$AV$6)</c:f>
              <c:strCache>
                <c:ptCount val="9"/>
                <c:pt idx="0">
                  <c:v>A-T</c:v>
                </c:pt>
                <c:pt idx="2">
                  <c:v>A</c:v>
                </c:pt>
                <c:pt idx="3">
                  <c:v>B</c:v>
                </c:pt>
                <c:pt idx="4">
                  <c:v>C</c:v>
                </c:pt>
                <c:pt idx="5">
                  <c:v>D</c:v>
                </c:pt>
                <c:pt idx="6">
                  <c:v>E</c:v>
                </c:pt>
                <c:pt idx="7">
                  <c:v>F</c:v>
                </c:pt>
                <c:pt idx="8">
                  <c:v>G-T</c:v>
                </c:pt>
              </c:strCache>
            </c:strRef>
          </c:cat>
          <c:val>
            <c:numRef>
              <c:f>(CYGDP_KP__Transpo__IIB!$D$56:$AQ$56,CYGDP_KP__Transpo__IIB!$AV$56)</c:f>
              <c:numCache>
                <c:formatCode>#,##0</c:formatCode>
                <c:ptCount val="9"/>
                <c:pt idx="0">
                  <c:v>383.48554116613838</c:v>
                </c:pt>
                <c:pt idx="2">
                  <c:v>118.39127368600147</c:v>
                </c:pt>
                <c:pt idx="3">
                  <c:v>6236.121477436538</c:v>
                </c:pt>
                <c:pt idx="4">
                  <c:v>522.99120220567329</c:v>
                </c:pt>
                <c:pt idx="5">
                  <c:v>138.41486415466264</c:v>
                </c:pt>
                <c:pt idx="6">
                  <c:v>576.123575039564</c:v>
                </c:pt>
                <c:pt idx="8">
                  <c:v>11580.200065926654</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188816"/>
        <c:axId val="-906201872"/>
      </c:barChart>
      <c:catAx>
        <c:axId val="-90618881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36615496088407362"/>
              <c:y val="0.8695699111472009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201872"/>
        <c:crosses val="autoZero"/>
        <c:auto val="1"/>
        <c:lblAlgn val="ctr"/>
        <c:lblOffset val="100"/>
        <c:noMultiLvlLbl val="0"/>
      </c:catAx>
      <c:valAx>
        <c:axId val="-906201872"/>
        <c:scaling>
          <c:orientation val="minMax"/>
          <c:max val="12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7.2472887829428512E-2"/>
              <c:y val="2.6778188255992558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88816"/>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718008132263096E-2"/>
          <c:y val="9.3913642738933559E-2"/>
          <c:w val="0.88851097287950098"/>
          <c:h val="0.6675887684764128"/>
        </c:manualLayout>
      </c:layout>
      <c:barChart>
        <c:barDir val="col"/>
        <c:grouping val="clustered"/>
        <c:varyColors val="0"/>
        <c:ser>
          <c:idx val="0"/>
          <c:order val="0"/>
          <c:tx>
            <c:strRef>
              <c:f>CYGDP_KP__Transpo__IIB!$A$53</c:f>
              <c:strCache>
                <c:ptCount val="1"/>
                <c:pt idx="0">
                  <c:v>2012</c:v>
                </c:pt>
              </c:strCache>
            </c:strRef>
          </c:tx>
          <c:spPr>
            <a:solidFill>
              <a:schemeClr val="accent1"/>
            </a:solidFill>
            <a:ln>
              <a:noFill/>
            </a:ln>
            <a:effectLst/>
          </c:spPr>
          <c:invertIfNegative val="0"/>
          <c:cat>
            <c:strRef>
              <c:f>(CYGDP_KP__Transpo__IIB!$D$4:$Y$4,CYGDP_KP__Transpo__IIB!$AV$4)</c:f>
              <c:strCache>
                <c:ptCount val="9"/>
                <c:pt idx="0">
                  <c:v>Total Economy</c:v>
                </c:pt>
                <c:pt idx="2">
                  <c:v>agriculture, forestry &amp; fishing</c:v>
                </c:pt>
                <c:pt idx="3">
                  <c:v>mining &amp; quarrying</c:v>
                </c:pt>
                <c:pt idx="4">
                  <c:v>total manufacturing</c:v>
                </c:pt>
                <c:pt idx="5">
                  <c:v>electricity</c:v>
                </c:pt>
                <c:pt idx="6">
                  <c:v>water &amp; waste management</c:v>
                </c:pt>
                <c:pt idx="7">
                  <c:v>construction</c:v>
                </c:pt>
                <c:pt idx="8">
                  <c:v>services</c:v>
                </c:pt>
              </c:strCache>
            </c:strRef>
          </c:cat>
          <c:val>
            <c:numRef>
              <c:f>(CYGDP_KP__Transpo__IIB!$D$53:$AQ$53,CYGDP_KP__Transpo__IIB!$AV$53)</c:f>
              <c:numCache>
                <c:formatCode>#,##0</c:formatCode>
                <c:ptCount val="9"/>
                <c:pt idx="0">
                  <c:v>319.22271211005909</c:v>
                </c:pt>
                <c:pt idx="2">
                  <c:v>104.51432675531389</c:v>
                </c:pt>
                <c:pt idx="3">
                  <c:v>4376.8252029746</c:v>
                </c:pt>
                <c:pt idx="4">
                  <c:v>427.669842568972</c:v>
                </c:pt>
                <c:pt idx="5">
                  <c:v>119.30676723111065</c:v>
                </c:pt>
                <c:pt idx="6">
                  <c:v>528.21431866337093</c:v>
                </c:pt>
                <c:pt idx="8">
                  <c:v>9314.5971728036657</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CYGDP_KP__Transpo__IIB!$A$54</c:f>
              <c:strCache>
                <c:ptCount val="1"/>
                <c:pt idx="0">
                  <c:v>2013</c:v>
                </c:pt>
              </c:strCache>
            </c:strRef>
          </c:tx>
          <c:spPr>
            <a:solidFill>
              <a:schemeClr val="accent2"/>
            </a:solidFill>
            <a:ln>
              <a:noFill/>
            </a:ln>
            <a:effectLst/>
          </c:spPr>
          <c:invertIfNegative val="0"/>
          <c:cat>
            <c:strRef>
              <c:f>(CYGDP_KP__Transpo__IIB!$D$4:$Y$4,CYGDP_KP__Transpo__IIB!$AV$4)</c:f>
              <c:strCache>
                <c:ptCount val="9"/>
                <c:pt idx="0">
                  <c:v>Total Economy</c:v>
                </c:pt>
                <c:pt idx="2">
                  <c:v>agriculture, forestry &amp; fishing</c:v>
                </c:pt>
                <c:pt idx="3">
                  <c:v>mining &amp; quarrying</c:v>
                </c:pt>
                <c:pt idx="4">
                  <c:v>total manufacturing</c:v>
                </c:pt>
                <c:pt idx="5">
                  <c:v>electricity</c:v>
                </c:pt>
                <c:pt idx="6">
                  <c:v>water &amp; waste management</c:v>
                </c:pt>
                <c:pt idx="7">
                  <c:v>construction</c:v>
                </c:pt>
                <c:pt idx="8">
                  <c:v>services</c:v>
                </c:pt>
              </c:strCache>
            </c:strRef>
          </c:cat>
          <c:val>
            <c:numRef>
              <c:f>(CYGDP_KP__Transpo__IIB!$D$54:$AQ$54,CYGDP_KP__Transpo__IIB!$AV$54)</c:f>
              <c:numCache>
                <c:formatCode>#,##0</c:formatCode>
                <c:ptCount val="9"/>
                <c:pt idx="0">
                  <c:v>346.51152005883165</c:v>
                </c:pt>
                <c:pt idx="2">
                  <c:v>112.5167739734662</c:v>
                </c:pt>
                <c:pt idx="3">
                  <c:v>5265.5064063337359</c:v>
                </c:pt>
                <c:pt idx="4">
                  <c:v>448.47638797685966</c:v>
                </c:pt>
                <c:pt idx="5">
                  <c:v>124.2949651934687</c:v>
                </c:pt>
                <c:pt idx="6">
                  <c:v>563.12827149613111</c:v>
                </c:pt>
                <c:pt idx="8">
                  <c:v>9802.6983346973084</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CYGDP_KP__Transpo__IIB!$A$55</c:f>
              <c:strCache>
                <c:ptCount val="1"/>
                <c:pt idx="0">
                  <c:v>2014</c:v>
                </c:pt>
              </c:strCache>
            </c:strRef>
          </c:tx>
          <c:spPr>
            <a:solidFill>
              <a:schemeClr val="accent3"/>
            </a:solidFill>
            <a:ln>
              <a:noFill/>
            </a:ln>
            <a:effectLst/>
          </c:spPr>
          <c:invertIfNegative val="0"/>
          <c:cat>
            <c:strRef>
              <c:f>(CYGDP_KP__Transpo__IIB!$D$4:$Y$4,CYGDP_KP__Transpo__IIB!$AV$4)</c:f>
              <c:strCache>
                <c:ptCount val="9"/>
                <c:pt idx="0">
                  <c:v>Total Economy</c:v>
                </c:pt>
                <c:pt idx="2">
                  <c:v>agriculture, forestry &amp; fishing</c:v>
                </c:pt>
                <c:pt idx="3">
                  <c:v>mining &amp; quarrying</c:v>
                </c:pt>
                <c:pt idx="4">
                  <c:v>total manufacturing</c:v>
                </c:pt>
                <c:pt idx="5">
                  <c:v>electricity</c:v>
                </c:pt>
                <c:pt idx="6">
                  <c:v>water &amp; waste management</c:v>
                </c:pt>
                <c:pt idx="7">
                  <c:v>construction</c:v>
                </c:pt>
                <c:pt idx="8">
                  <c:v>services</c:v>
                </c:pt>
              </c:strCache>
            </c:strRef>
          </c:cat>
          <c:val>
            <c:numRef>
              <c:f>(CYGDP_KP__Transpo__IIB!$D$55:$AQ$55,CYGDP_KP__Transpo__IIB!$AV$55)</c:f>
              <c:numCache>
                <c:formatCode>#,##0</c:formatCode>
                <c:ptCount val="9"/>
                <c:pt idx="0">
                  <c:v>360.40672589475537</c:v>
                </c:pt>
                <c:pt idx="2">
                  <c:v>115.61290485680546</c:v>
                </c:pt>
                <c:pt idx="3">
                  <c:v>6553.8020177284579</c:v>
                </c:pt>
                <c:pt idx="4">
                  <c:v>482.75414511112177</c:v>
                </c:pt>
                <c:pt idx="5">
                  <c:v>131.64934987970557</c:v>
                </c:pt>
                <c:pt idx="6">
                  <c:v>579.00419291476169</c:v>
                </c:pt>
                <c:pt idx="8">
                  <c:v>10486.039961348406</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CYGDP_KP__Transpo__IIB!$A$56</c:f>
              <c:strCache>
                <c:ptCount val="1"/>
                <c:pt idx="0">
                  <c:v>2015</c:v>
                </c:pt>
              </c:strCache>
            </c:strRef>
          </c:tx>
          <c:spPr>
            <a:solidFill>
              <a:schemeClr val="accent4"/>
            </a:solidFill>
            <a:ln>
              <a:noFill/>
            </a:ln>
            <a:effectLst/>
          </c:spPr>
          <c:invertIfNegative val="0"/>
          <c:cat>
            <c:strRef>
              <c:f>(CYGDP_KP__Transpo__IIB!$D$4:$Y$4,CYGDP_KP__Transpo__IIB!$AV$4)</c:f>
              <c:strCache>
                <c:ptCount val="9"/>
                <c:pt idx="0">
                  <c:v>Total Economy</c:v>
                </c:pt>
                <c:pt idx="2">
                  <c:v>agriculture, forestry &amp; fishing</c:v>
                </c:pt>
                <c:pt idx="3">
                  <c:v>mining &amp; quarrying</c:v>
                </c:pt>
                <c:pt idx="4">
                  <c:v>total manufacturing</c:v>
                </c:pt>
                <c:pt idx="5">
                  <c:v>electricity</c:v>
                </c:pt>
                <c:pt idx="6">
                  <c:v>water &amp; waste management</c:v>
                </c:pt>
                <c:pt idx="7">
                  <c:v>construction</c:v>
                </c:pt>
                <c:pt idx="8">
                  <c:v>services</c:v>
                </c:pt>
              </c:strCache>
            </c:strRef>
          </c:cat>
          <c:val>
            <c:numRef>
              <c:f>(CYGDP_KP__Transpo__IIB!$D$56:$AQ$56,CYGDP_KP__Transpo__IIB!$AV$56)</c:f>
              <c:numCache>
                <c:formatCode>#,##0</c:formatCode>
                <c:ptCount val="9"/>
                <c:pt idx="0">
                  <c:v>383.48554116613838</c:v>
                </c:pt>
                <c:pt idx="2">
                  <c:v>118.39127368600147</c:v>
                </c:pt>
                <c:pt idx="3">
                  <c:v>6236.121477436538</c:v>
                </c:pt>
                <c:pt idx="4">
                  <c:v>522.99120220567329</c:v>
                </c:pt>
                <c:pt idx="5">
                  <c:v>138.41486415466264</c:v>
                </c:pt>
                <c:pt idx="6">
                  <c:v>576.123575039564</c:v>
                </c:pt>
                <c:pt idx="8">
                  <c:v>11580.200065926654</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191536"/>
        <c:axId val="-906192080"/>
      </c:barChart>
      <c:catAx>
        <c:axId val="-90619153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06192080"/>
        <c:crosses val="autoZero"/>
        <c:auto val="1"/>
        <c:lblAlgn val="ctr"/>
        <c:lblOffset val="100"/>
        <c:noMultiLvlLbl val="0"/>
      </c:catAx>
      <c:valAx>
        <c:axId val="-906192080"/>
        <c:scaling>
          <c:orientation val="minMax"/>
          <c:max val="12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7.2472887829428512E-2"/>
              <c:y val="3.2466534521850929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1536"/>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718008132263096E-2"/>
          <c:y val="9.3913642738933559E-2"/>
          <c:w val="0.88851097287950098"/>
          <c:h val="0.6675887684764128"/>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CYGDP_KP__Transpo__IIB!$D$53:$AQ$53</c:f>
              <c:numCache>
                <c:formatCode>#,##0</c:formatCode>
                <c:ptCount val="8"/>
                <c:pt idx="0">
                  <c:v>319.22271211005909</c:v>
                </c:pt>
                <c:pt idx="2">
                  <c:v>104.51432675531389</c:v>
                </c:pt>
                <c:pt idx="3">
                  <c:v>4376.8252029746</c:v>
                </c:pt>
                <c:pt idx="4">
                  <c:v>427.669842568972</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CYGDP_KP__Transpo__IIB!$D$54:$AQ$54</c:f>
              <c:numCache>
                <c:formatCode>#,##0</c:formatCode>
                <c:ptCount val="8"/>
                <c:pt idx="0">
                  <c:v>346.51152005883165</c:v>
                </c:pt>
                <c:pt idx="2">
                  <c:v>112.5167739734662</c:v>
                </c:pt>
                <c:pt idx="3">
                  <c:v>5265.5064063337359</c:v>
                </c:pt>
                <c:pt idx="4">
                  <c:v>448.47638797685966</c:v>
                </c:pt>
                <c:pt idx="5">
                  <c:v>124.2949651934687</c:v>
                </c:pt>
                <c:pt idx="6">
                  <c:v>563.12827149613111</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CYGDP_KP__Transpo__IIB!$D$55:$AQ$55</c:f>
              <c:numCache>
                <c:formatCode>#,##0</c:formatCode>
                <c:ptCount val="8"/>
                <c:pt idx="0">
                  <c:v>360.40672589475537</c:v>
                </c:pt>
                <c:pt idx="2">
                  <c:v>115.61290485680546</c:v>
                </c:pt>
                <c:pt idx="3">
                  <c:v>6553.8020177284579</c:v>
                </c:pt>
                <c:pt idx="4">
                  <c:v>482.75414511112177</c:v>
                </c:pt>
                <c:pt idx="5">
                  <c:v>131.64934987970557</c:v>
                </c:pt>
                <c:pt idx="6">
                  <c:v>579.00419291476169</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CYGDP_KP__Transpo__IIB!$D$56:$AQ$56</c:f>
              <c:numCache>
                <c:formatCode>#,##0</c:formatCode>
                <c:ptCount val="8"/>
                <c:pt idx="0">
                  <c:v>383.48554116613838</c:v>
                </c:pt>
                <c:pt idx="2">
                  <c:v>118.39127368600147</c:v>
                </c:pt>
                <c:pt idx="3">
                  <c:v>6236.121477436538</c:v>
                </c:pt>
                <c:pt idx="4">
                  <c:v>522.99120220567329</c:v>
                </c:pt>
                <c:pt idx="5">
                  <c:v>138.41486415466264</c:v>
                </c:pt>
                <c:pt idx="6">
                  <c:v>576.123575039564</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198064"/>
        <c:axId val="-906201328"/>
      </c:barChart>
      <c:catAx>
        <c:axId val="-90619806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201328"/>
        <c:crosses val="autoZero"/>
        <c:auto val="1"/>
        <c:lblAlgn val="ctr"/>
        <c:lblOffset val="100"/>
        <c:noMultiLvlLbl val="0"/>
      </c:catAx>
      <c:valAx>
        <c:axId val="-906201328"/>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7.2472887829428512E-2"/>
              <c:y val="3.2466534521850929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8064"/>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0" i="0" baseline="0">
                <a:effectLst/>
              </a:rPr>
              <a:t>Water Productivity: GDP / Total water use</a:t>
            </a:r>
            <a:endParaRPr lang="en-GB" sz="1600">
              <a:effectLst/>
            </a:endParaRPr>
          </a:p>
        </c:rich>
      </c:tx>
      <c:layout>
        <c:manualLayout>
          <c:xMode val="edge"/>
          <c:yMode val="edge"/>
          <c:x val="0.18853299698757087"/>
          <c:y val="1.569506587911215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718008132263096E-2"/>
          <c:y val="0.12032883840652651"/>
          <c:w val="0.88851097287950098"/>
          <c:h val="0.65878368477190319"/>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CYGDP_KP__Transpo__IIB!$D$5:$Y$5</c:f>
              <c:strCache>
                <c:ptCount val="8"/>
                <c:pt idx="0">
                  <c:v>GROSS DOMESTIC PRODUCT (GDP)</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CYGDP_KP__Transpo__IIB!$D$53:$AQ$53</c:f>
              <c:numCache>
                <c:formatCode>#,##0</c:formatCode>
                <c:ptCount val="8"/>
                <c:pt idx="0">
                  <c:v>319.22271211005909</c:v>
                </c:pt>
                <c:pt idx="2">
                  <c:v>104.51432675531389</c:v>
                </c:pt>
                <c:pt idx="3">
                  <c:v>4376.8252029746</c:v>
                </c:pt>
                <c:pt idx="4">
                  <c:v>427.669842568972</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CYGDP_KP__Transpo__IIB!$D$5:$Y$5</c:f>
              <c:strCache>
                <c:ptCount val="8"/>
                <c:pt idx="0">
                  <c:v>GROSS DOMESTIC PRODUCT (GDP)</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CYGDP_KP__Transpo__IIB!$D$54:$AQ$54</c:f>
              <c:numCache>
                <c:formatCode>#,##0</c:formatCode>
                <c:ptCount val="8"/>
                <c:pt idx="0">
                  <c:v>346.51152005883165</c:v>
                </c:pt>
                <c:pt idx="2">
                  <c:v>112.5167739734662</c:v>
                </c:pt>
                <c:pt idx="3">
                  <c:v>5265.5064063337359</c:v>
                </c:pt>
                <c:pt idx="4">
                  <c:v>448.47638797685966</c:v>
                </c:pt>
                <c:pt idx="5">
                  <c:v>124.2949651934687</c:v>
                </c:pt>
                <c:pt idx="6">
                  <c:v>563.12827149613111</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CYGDP_KP__Transpo__IIB!$D$5:$Y$5</c:f>
              <c:strCache>
                <c:ptCount val="8"/>
                <c:pt idx="0">
                  <c:v>GROSS DOMESTIC PRODUCT (GDP)</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CYGDP_KP__Transpo__IIB!$D$55:$AQ$55</c:f>
              <c:numCache>
                <c:formatCode>#,##0</c:formatCode>
                <c:ptCount val="8"/>
                <c:pt idx="0">
                  <c:v>360.40672589475537</c:v>
                </c:pt>
                <c:pt idx="2">
                  <c:v>115.61290485680546</c:v>
                </c:pt>
                <c:pt idx="3">
                  <c:v>6553.8020177284579</c:v>
                </c:pt>
                <c:pt idx="4">
                  <c:v>482.75414511112177</c:v>
                </c:pt>
                <c:pt idx="5">
                  <c:v>131.64934987970557</c:v>
                </c:pt>
                <c:pt idx="6">
                  <c:v>579.00419291476169</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CYGDP_KP__Transpo__IIB!$D$5:$Y$5</c:f>
              <c:strCache>
                <c:ptCount val="8"/>
                <c:pt idx="0">
                  <c:v>GROSS DOMESTIC PRODUCT (GDP)</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CYGDP_KP__Transpo__IIB!$D$56:$AQ$56</c:f>
              <c:numCache>
                <c:formatCode>#,##0</c:formatCode>
                <c:ptCount val="8"/>
                <c:pt idx="0">
                  <c:v>383.48554116613838</c:v>
                </c:pt>
                <c:pt idx="2">
                  <c:v>118.39127368600147</c:v>
                </c:pt>
                <c:pt idx="3">
                  <c:v>6236.121477436538</c:v>
                </c:pt>
                <c:pt idx="4">
                  <c:v>522.99120220567329</c:v>
                </c:pt>
                <c:pt idx="5">
                  <c:v>138.41486415466264</c:v>
                </c:pt>
                <c:pt idx="6">
                  <c:v>576.123575039564</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199696"/>
        <c:axId val="-906200784"/>
      </c:barChart>
      <c:catAx>
        <c:axId val="-90619969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06200784"/>
        <c:crosses val="autoZero"/>
        <c:auto val="1"/>
        <c:lblAlgn val="ctr"/>
        <c:lblOffset val="100"/>
        <c:noMultiLvlLbl val="0"/>
      </c:catAx>
      <c:valAx>
        <c:axId val="-906200784"/>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6.8555434433243204E-2"/>
              <c:y val="5.888162562983660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9696"/>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672593170531496E-2"/>
          <c:y val="0.10059072408216407"/>
          <c:w val="0.92038950185113955"/>
          <c:h val="0.63947128300138967"/>
        </c:manualLayout>
      </c:layout>
      <c:barChart>
        <c:barDir val="col"/>
        <c:grouping val="clustered"/>
        <c:varyColors val="0"/>
        <c:ser>
          <c:idx val="0"/>
          <c:order val="0"/>
          <c:tx>
            <c:strRef>
              <c:f>CYGDP_KP__Transpo__IIB!$A$33</c:f>
              <c:strCache>
                <c:ptCount val="1"/>
                <c:pt idx="0">
                  <c:v>2012</c:v>
                </c:pt>
              </c:strCache>
            </c:strRef>
          </c:tx>
          <c:spPr>
            <a:solidFill>
              <a:schemeClr val="accent1"/>
            </a:solidFill>
            <a:ln>
              <a:noFill/>
            </a:ln>
            <a:effectLst/>
          </c:spPr>
          <c:invertIfNegative val="0"/>
          <c:cat>
            <c:strRef>
              <c:f>CYGDP_KP__Transpo__IIB!$D$4:$X$4</c:f>
              <c:strCache>
                <c:ptCount val="7"/>
                <c:pt idx="0">
                  <c:v>Total Economy</c:v>
                </c:pt>
                <c:pt idx="2">
                  <c:v>agriculture, forestry &amp; fishing</c:v>
                </c:pt>
                <c:pt idx="3">
                  <c:v>mining &amp; quarrying</c:v>
                </c:pt>
                <c:pt idx="4">
                  <c:v>total manufacturing</c:v>
                </c:pt>
                <c:pt idx="5">
                  <c:v>electricity</c:v>
                </c:pt>
                <c:pt idx="6">
                  <c:v>water &amp; waste management</c:v>
                </c:pt>
              </c:strCache>
            </c:strRef>
          </c:cat>
          <c:val>
            <c:numRef>
              <c:f>CYGDP_KP__Transpo__IIB!$D$53:$X$53</c:f>
              <c:numCache>
                <c:formatCode>#,##0</c:formatCode>
                <c:ptCount val="7"/>
                <c:pt idx="0">
                  <c:v>319.22271211005909</c:v>
                </c:pt>
                <c:pt idx="2">
                  <c:v>104.51432675531389</c:v>
                </c:pt>
                <c:pt idx="3">
                  <c:v>4376.8252029746</c:v>
                </c:pt>
                <c:pt idx="4">
                  <c:v>427.669842568972</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57DD-45AB-977F-D96C9F7A66E1}"/>
            </c:ext>
          </c:extLst>
        </c:ser>
        <c:ser>
          <c:idx val="1"/>
          <c:order val="1"/>
          <c:tx>
            <c:strRef>
              <c:f>CYGDP_KP__Transpo__IIB!$A$34</c:f>
              <c:strCache>
                <c:ptCount val="1"/>
                <c:pt idx="0">
                  <c:v>2013</c:v>
                </c:pt>
              </c:strCache>
            </c:strRef>
          </c:tx>
          <c:spPr>
            <a:solidFill>
              <a:schemeClr val="accent2"/>
            </a:solidFill>
            <a:ln>
              <a:noFill/>
            </a:ln>
            <a:effectLst/>
          </c:spPr>
          <c:invertIfNegative val="0"/>
          <c:cat>
            <c:strRef>
              <c:f>CYGDP_KP__Transpo__IIB!$D$4:$X$4</c:f>
              <c:strCache>
                <c:ptCount val="7"/>
                <c:pt idx="0">
                  <c:v>Total Economy</c:v>
                </c:pt>
                <c:pt idx="2">
                  <c:v>agriculture, forestry &amp; fishing</c:v>
                </c:pt>
                <c:pt idx="3">
                  <c:v>mining &amp; quarrying</c:v>
                </c:pt>
                <c:pt idx="4">
                  <c:v>total manufacturing</c:v>
                </c:pt>
                <c:pt idx="5">
                  <c:v>electricity</c:v>
                </c:pt>
                <c:pt idx="6">
                  <c:v>water &amp; waste management</c:v>
                </c:pt>
              </c:strCache>
            </c:strRef>
          </c:cat>
          <c:val>
            <c:numRef>
              <c:f>CYGDP_KP__Transpo__IIB!$D$54:$X$54</c:f>
              <c:numCache>
                <c:formatCode>#,##0</c:formatCode>
                <c:ptCount val="7"/>
                <c:pt idx="0">
                  <c:v>346.51152005883165</c:v>
                </c:pt>
                <c:pt idx="2">
                  <c:v>112.5167739734662</c:v>
                </c:pt>
                <c:pt idx="3">
                  <c:v>5265.5064063337359</c:v>
                </c:pt>
                <c:pt idx="4">
                  <c:v>448.47638797685966</c:v>
                </c:pt>
                <c:pt idx="5">
                  <c:v>124.2949651934687</c:v>
                </c:pt>
                <c:pt idx="6">
                  <c:v>563.12827149613111</c:v>
                </c:pt>
              </c:numCache>
            </c:numRef>
          </c:val>
          <c:extLst xmlns:c16r2="http://schemas.microsoft.com/office/drawing/2015/06/chart">
            <c:ext xmlns:c16="http://schemas.microsoft.com/office/drawing/2014/chart" uri="{C3380CC4-5D6E-409C-BE32-E72D297353CC}">
              <c16:uniqueId val="{00000001-57DD-45AB-977F-D96C9F7A66E1}"/>
            </c:ext>
          </c:extLst>
        </c:ser>
        <c:ser>
          <c:idx val="2"/>
          <c:order val="2"/>
          <c:tx>
            <c:strRef>
              <c:f>CYGDP_KP__Transpo__IIB!$A$35</c:f>
              <c:strCache>
                <c:ptCount val="1"/>
                <c:pt idx="0">
                  <c:v>2014</c:v>
                </c:pt>
              </c:strCache>
            </c:strRef>
          </c:tx>
          <c:spPr>
            <a:solidFill>
              <a:schemeClr val="accent3"/>
            </a:solidFill>
            <a:ln>
              <a:noFill/>
            </a:ln>
            <a:effectLst/>
          </c:spPr>
          <c:invertIfNegative val="0"/>
          <c:cat>
            <c:strRef>
              <c:f>CYGDP_KP__Transpo__IIB!$D$4:$X$4</c:f>
              <c:strCache>
                <c:ptCount val="7"/>
                <c:pt idx="0">
                  <c:v>Total Economy</c:v>
                </c:pt>
                <c:pt idx="2">
                  <c:v>agriculture, forestry &amp; fishing</c:v>
                </c:pt>
                <c:pt idx="3">
                  <c:v>mining &amp; quarrying</c:v>
                </c:pt>
                <c:pt idx="4">
                  <c:v>total manufacturing</c:v>
                </c:pt>
                <c:pt idx="5">
                  <c:v>electricity</c:v>
                </c:pt>
                <c:pt idx="6">
                  <c:v>water &amp; waste management</c:v>
                </c:pt>
              </c:strCache>
            </c:strRef>
          </c:cat>
          <c:val>
            <c:numRef>
              <c:f>CYGDP_KP__Transpo__IIB!$D$55:$X$55</c:f>
              <c:numCache>
                <c:formatCode>#,##0</c:formatCode>
                <c:ptCount val="7"/>
                <c:pt idx="0">
                  <c:v>360.40672589475537</c:v>
                </c:pt>
                <c:pt idx="2">
                  <c:v>115.61290485680546</c:v>
                </c:pt>
                <c:pt idx="3">
                  <c:v>6553.8020177284579</c:v>
                </c:pt>
                <c:pt idx="4">
                  <c:v>482.75414511112177</c:v>
                </c:pt>
                <c:pt idx="5">
                  <c:v>131.64934987970557</c:v>
                </c:pt>
                <c:pt idx="6">
                  <c:v>579.00419291476169</c:v>
                </c:pt>
              </c:numCache>
            </c:numRef>
          </c:val>
          <c:extLst xmlns:c16r2="http://schemas.microsoft.com/office/drawing/2015/06/chart">
            <c:ext xmlns:c16="http://schemas.microsoft.com/office/drawing/2014/chart" uri="{C3380CC4-5D6E-409C-BE32-E72D297353CC}">
              <c16:uniqueId val="{00000002-57DD-45AB-977F-D96C9F7A66E1}"/>
            </c:ext>
          </c:extLst>
        </c:ser>
        <c:ser>
          <c:idx val="3"/>
          <c:order val="3"/>
          <c:tx>
            <c:strRef>
              <c:f>CYGDP_KP__Transpo__IIB!$A$36</c:f>
              <c:strCache>
                <c:ptCount val="1"/>
                <c:pt idx="0">
                  <c:v>2015</c:v>
                </c:pt>
              </c:strCache>
            </c:strRef>
          </c:tx>
          <c:spPr>
            <a:solidFill>
              <a:schemeClr val="accent4"/>
            </a:solidFill>
            <a:ln>
              <a:noFill/>
            </a:ln>
            <a:effectLst/>
          </c:spPr>
          <c:invertIfNegative val="0"/>
          <c:cat>
            <c:strRef>
              <c:f>CYGDP_KP__Transpo__IIB!$D$4:$X$4</c:f>
              <c:strCache>
                <c:ptCount val="7"/>
                <c:pt idx="0">
                  <c:v>Total Economy</c:v>
                </c:pt>
                <c:pt idx="2">
                  <c:v>agriculture, forestry &amp; fishing</c:v>
                </c:pt>
                <c:pt idx="3">
                  <c:v>mining &amp; quarrying</c:v>
                </c:pt>
                <c:pt idx="4">
                  <c:v>total manufacturing</c:v>
                </c:pt>
                <c:pt idx="5">
                  <c:v>electricity</c:v>
                </c:pt>
                <c:pt idx="6">
                  <c:v>water &amp; waste management</c:v>
                </c:pt>
              </c:strCache>
            </c:strRef>
          </c:cat>
          <c:val>
            <c:numRef>
              <c:f>CYGDP_KP__Transpo__IIB!$D$56:$X$56</c:f>
              <c:numCache>
                <c:formatCode>#,##0</c:formatCode>
                <c:ptCount val="7"/>
                <c:pt idx="0">
                  <c:v>383.48554116613838</c:v>
                </c:pt>
                <c:pt idx="2">
                  <c:v>118.39127368600147</c:v>
                </c:pt>
                <c:pt idx="3">
                  <c:v>6236.121477436538</c:v>
                </c:pt>
                <c:pt idx="4">
                  <c:v>522.99120220567329</c:v>
                </c:pt>
                <c:pt idx="5">
                  <c:v>138.41486415466264</c:v>
                </c:pt>
                <c:pt idx="6">
                  <c:v>576.123575039564</c:v>
                </c:pt>
              </c:numCache>
            </c:numRef>
          </c:val>
          <c:extLst xmlns:c16r2="http://schemas.microsoft.com/office/drawing/2015/06/chart">
            <c:ext xmlns:c16="http://schemas.microsoft.com/office/drawing/2014/chart" uri="{C3380CC4-5D6E-409C-BE32-E72D297353CC}">
              <c16:uniqueId val="{00000003-57DD-45AB-977F-D96C9F7A66E1}"/>
            </c:ext>
          </c:extLst>
        </c:ser>
        <c:dLbls>
          <c:showLegendKey val="0"/>
          <c:showVal val="0"/>
          <c:showCatName val="0"/>
          <c:showSerName val="0"/>
          <c:showPercent val="0"/>
          <c:showBubbleSize val="0"/>
        </c:dLbls>
        <c:gapWidth val="182"/>
        <c:axId val="-906194800"/>
        <c:axId val="-906190992"/>
      </c:barChart>
      <c:catAx>
        <c:axId val="-906194800"/>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407406341441516"/>
              <c:y val="0.8778975586838616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0992"/>
        <c:crosses val="autoZero"/>
        <c:auto val="1"/>
        <c:lblAlgn val="ctr"/>
        <c:lblOffset val="100"/>
        <c:noMultiLvlLbl val="0"/>
      </c:catAx>
      <c:valAx>
        <c:axId val="-906190992"/>
        <c:scaling>
          <c:orientation val="minMax"/>
          <c:max val="6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7.4514995802498596E-2"/>
              <c:y val="2.504482717890284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4800"/>
        <c:crosses val="autoZero"/>
        <c:crossBetween val="between"/>
      </c:valAx>
      <c:spPr>
        <a:noFill/>
        <a:ln>
          <a:solidFill>
            <a:schemeClr val="bg1">
              <a:lumMod val="50000"/>
            </a:schemeClr>
          </a:solidFill>
        </a:ln>
        <a:effectLst/>
      </c:spPr>
    </c:plotArea>
    <c:legend>
      <c:legendPos val="b"/>
      <c:layout>
        <c:manualLayout>
          <c:xMode val="edge"/>
          <c:yMode val="edge"/>
          <c:x val="0.21791960398556157"/>
          <c:y val="0.93067085696089558"/>
          <c:w val="0.57787172468507686"/>
          <c:h val="5.3634077159992244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GB"/>
              <a:t>Water Productivity:</a:t>
            </a:r>
            <a:r>
              <a:rPr lang="en-GB" baseline="0"/>
              <a:t> </a:t>
            </a:r>
            <a:r>
              <a:rPr lang="en-GB"/>
              <a:t>GDP / Surface water &amp; Groundwater abstraction</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759281434170435E-2"/>
          <c:y val="0.12032883840652651"/>
          <c:w val="0.8904696995775937"/>
          <c:h val="0.70206439549588684"/>
        </c:manualLayout>
      </c:layout>
      <c:barChart>
        <c:barDir val="col"/>
        <c:grouping val="clustered"/>
        <c:varyColors val="0"/>
        <c:ser>
          <c:idx val="0"/>
          <c:order val="0"/>
          <c:tx>
            <c:strRef>
              <c:f>CYGDP_KP__Transpo__IIB!$A$38</c:f>
              <c:strCache>
                <c:ptCount val="1"/>
                <c:pt idx="0">
                  <c:v>2012</c:v>
                </c:pt>
              </c:strCache>
            </c:strRef>
          </c:tx>
          <c:spPr>
            <a:solidFill>
              <a:schemeClr val="accent1"/>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CYGDP_KP__Transpo__IIB!$D$38:$AQ$38</c:f>
              <c:numCache>
                <c:formatCode>#,##0</c:formatCode>
                <c:ptCount val="8"/>
                <c:pt idx="0">
                  <c:v>7394.1317369833378</c:v>
                </c:pt>
                <c:pt idx="2">
                  <c:v>7023.8327667885706</c:v>
                </c:pt>
                <c:pt idx="3">
                  <c:v>95066.360694324161</c:v>
                </c:pt>
                <c:pt idx="4">
                  <c:v>12071.194678187234</c:v>
                </c:pt>
                <c:pt idx="5">
                  <c:v>119.30676723111065</c:v>
                </c:pt>
                <c:pt idx="6">
                  <c:v>528.21431866337093</c:v>
                </c:pt>
              </c:numCache>
            </c:numRef>
          </c:val>
          <c:extLst xmlns:c16r2="http://schemas.microsoft.com/office/drawing/2015/06/chart">
            <c:ext xmlns:c16="http://schemas.microsoft.com/office/drawing/2014/chart" uri="{C3380CC4-5D6E-409C-BE32-E72D297353CC}">
              <c16:uniqueId val="{00000000-6F92-43E8-9F6B-6AD17170236E}"/>
            </c:ext>
          </c:extLst>
        </c:ser>
        <c:ser>
          <c:idx val="1"/>
          <c:order val="1"/>
          <c:tx>
            <c:strRef>
              <c:f>CYGDP_KP__Transpo__IIB!$A$39</c:f>
              <c:strCache>
                <c:ptCount val="1"/>
                <c:pt idx="0">
                  <c:v>2013</c:v>
                </c:pt>
              </c:strCache>
            </c:strRef>
          </c:tx>
          <c:spPr>
            <a:solidFill>
              <a:schemeClr val="accent2"/>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CYGDP_KP__Transpo__IIB!$D$39:$AQ$39</c:f>
              <c:numCache>
                <c:formatCode>#,##0</c:formatCode>
                <c:ptCount val="8"/>
                <c:pt idx="0">
                  <c:v>7543.1790644299736</c:v>
                </c:pt>
                <c:pt idx="2">
                  <c:v>7051.4538791248769</c:v>
                </c:pt>
                <c:pt idx="3">
                  <c:v>112359.52142342206</c:v>
                </c:pt>
                <c:pt idx="4">
                  <c:v>12505.342451790215</c:v>
                </c:pt>
                <c:pt idx="5">
                  <c:v>124.2949651934687</c:v>
                </c:pt>
                <c:pt idx="6">
                  <c:v>565.30485869724316</c:v>
                </c:pt>
              </c:numCache>
            </c:numRef>
          </c:val>
          <c:extLst xmlns:c16r2="http://schemas.microsoft.com/office/drawing/2015/06/chart">
            <c:ext xmlns:c16="http://schemas.microsoft.com/office/drawing/2014/chart" uri="{C3380CC4-5D6E-409C-BE32-E72D297353CC}">
              <c16:uniqueId val="{00000001-6F92-43E8-9F6B-6AD17170236E}"/>
            </c:ext>
          </c:extLst>
        </c:ser>
        <c:ser>
          <c:idx val="2"/>
          <c:order val="2"/>
          <c:tx>
            <c:strRef>
              <c:f>CYGDP_KP__Transpo__IIB!$A$40</c:f>
              <c:strCache>
                <c:ptCount val="1"/>
                <c:pt idx="0">
                  <c:v>2014</c:v>
                </c:pt>
              </c:strCache>
            </c:strRef>
          </c:tx>
          <c:spPr>
            <a:solidFill>
              <a:schemeClr val="accent3"/>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CYGDP_KP__Transpo__IIB!$D$40:$AQ$40</c:f>
              <c:numCache>
                <c:formatCode>#,##0</c:formatCode>
                <c:ptCount val="8"/>
                <c:pt idx="0">
                  <c:v>7859.7038281260311</c:v>
                </c:pt>
                <c:pt idx="2">
                  <c:v>7174.6727798520687</c:v>
                </c:pt>
                <c:pt idx="3">
                  <c:v>137392.3565098418</c:v>
                </c:pt>
                <c:pt idx="4">
                  <c:v>13297.983011542328</c:v>
                </c:pt>
                <c:pt idx="5">
                  <c:v>131.64934987970557</c:v>
                </c:pt>
                <c:pt idx="6">
                  <c:v>579.00419291476157</c:v>
                </c:pt>
              </c:numCache>
            </c:numRef>
          </c:val>
          <c:extLst xmlns:c16r2="http://schemas.microsoft.com/office/drawing/2015/06/chart">
            <c:ext xmlns:c16="http://schemas.microsoft.com/office/drawing/2014/chart" uri="{C3380CC4-5D6E-409C-BE32-E72D297353CC}">
              <c16:uniqueId val="{00000002-6F92-43E8-9F6B-6AD17170236E}"/>
            </c:ext>
          </c:extLst>
        </c:ser>
        <c:ser>
          <c:idx val="3"/>
          <c:order val="3"/>
          <c:tx>
            <c:strRef>
              <c:f>CYGDP_KP__Transpo__IIB!$A$41</c:f>
              <c:strCache>
                <c:ptCount val="1"/>
                <c:pt idx="0">
                  <c:v>2015</c:v>
                </c:pt>
              </c:strCache>
            </c:strRef>
          </c:tx>
          <c:spPr>
            <a:solidFill>
              <a:schemeClr val="accent4"/>
            </a:solidFill>
            <a:ln>
              <a:noFill/>
            </a:ln>
            <a:effectLst/>
          </c:spPr>
          <c:invertIfNegative val="0"/>
          <c:cat>
            <c:strRef>
              <c:f>CYGDP_KP__Transpo__IIB!$D$4:$Y$4</c:f>
              <c:strCache>
                <c:ptCount val="8"/>
                <c:pt idx="0">
                  <c:v>Total Economy</c:v>
                </c:pt>
                <c:pt idx="2">
                  <c:v>agriculture, forestry &amp; fishing</c:v>
                </c:pt>
                <c:pt idx="3">
                  <c:v>mining &amp; quarrying</c:v>
                </c:pt>
                <c:pt idx="4">
                  <c:v>total manufacturing</c:v>
                </c:pt>
                <c:pt idx="5">
                  <c:v>electricity</c:v>
                </c:pt>
                <c:pt idx="6">
                  <c:v>water &amp; waste management</c:v>
                </c:pt>
                <c:pt idx="7">
                  <c:v>construction</c:v>
                </c:pt>
              </c:strCache>
            </c:strRef>
          </c:cat>
          <c:val>
            <c:numRef>
              <c:f>CYGDP_KP__Transpo__IIB!$D$41:$AQ$41</c:f>
              <c:numCache>
                <c:formatCode>#,##0</c:formatCode>
                <c:ptCount val="8"/>
                <c:pt idx="0">
                  <c:v>8309.6692892723895</c:v>
                </c:pt>
                <c:pt idx="2">
                  <c:v>7250.7022397856781</c:v>
                </c:pt>
                <c:pt idx="3">
                  <c:v>128434.31961296283</c:v>
                </c:pt>
                <c:pt idx="4">
                  <c:v>14231.389465909435</c:v>
                </c:pt>
                <c:pt idx="5">
                  <c:v>138.41486415466264</c:v>
                </c:pt>
                <c:pt idx="6">
                  <c:v>576.12357503956389</c:v>
                </c:pt>
              </c:numCache>
            </c:numRef>
          </c:val>
          <c:extLst xmlns:c16r2="http://schemas.microsoft.com/office/drawing/2015/06/chart">
            <c:ext xmlns:c16="http://schemas.microsoft.com/office/drawing/2014/chart" uri="{C3380CC4-5D6E-409C-BE32-E72D297353CC}">
              <c16:uniqueId val="{00000003-6F92-43E8-9F6B-6AD17170236E}"/>
            </c:ext>
          </c:extLst>
        </c:ser>
        <c:dLbls>
          <c:showLegendKey val="0"/>
          <c:showVal val="0"/>
          <c:showCatName val="0"/>
          <c:showSerName val="0"/>
          <c:showPercent val="0"/>
          <c:showBubbleSize val="0"/>
        </c:dLbls>
        <c:gapWidth val="182"/>
        <c:axId val="-906200240"/>
        <c:axId val="-906197520"/>
      </c:barChart>
      <c:catAx>
        <c:axId val="-906200240"/>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Economic sector (ISIC Rev.4)</a:t>
                </a:r>
              </a:p>
            </c:rich>
          </c:tx>
          <c:layout>
            <c:manualLayout>
              <c:xMode val="edge"/>
              <c:yMode val="edge"/>
              <c:x val="0.40256290905770747"/>
              <c:y val="0.925309611950824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1">
                <a:lumMod val="50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97520"/>
        <c:crosses val="autoZero"/>
        <c:auto val="1"/>
        <c:lblAlgn val="ctr"/>
        <c:lblOffset val="100"/>
        <c:noMultiLvlLbl val="0"/>
      </c:catAx>
      <c:valAx>
        <c:axId val="-90619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Rwf / m</a:t>
                </a:r>
                <a:r>
                  <a:rPr lang="en-GB" sz="1200" baseline="30000"/>
                  <a:t>3</a:t>
                </a:r>
              </a:p>
            </c:rich>
          </c:tx>
          <c:layout>
            <c:manualLayout>
              <c:xMode val="edge"/>
              <c:yMode val="edge"/>
              <c:x val="6.8555434433243204E-2"/>
              <c:y val="5.8881625629836606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200240"/>
        <c:crosses val="autoZero"/>
        <c:crossBetween val="between"/>
      </c:valAx>
      <c:spPr>
        <a:noFill/>
        <a:ln>
          <a:solidFill>
            <a:schemeClr val="bg1">
              <a:lumMod val="50000"/>
            </a:schemeClr>
          </a:solidFill>
        </a:ln>
        <a:effectLst/>
      </c:spPr>
    </c:plotArea>
    <c:legend>
      <c:legendPos val="r"/>
      <c:layout>
        <c:manualLayout>
          <c:xMode val="edge"/>
          <c:yMode val="edge"/>
          <c:x val="0.81512133926318564"/>
          <c:y val="0.17816268450713682"/>
          <c:w val="0.1261168597940345"/>
          <c:h val="0.25421475340312077"/>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242534659395803E-2"/>
          <c:y val="6.9267733994448022E-2"/>
          <c:w val="0.91041401599760396"/>
          <c:h val="0.82525119285462456"/>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extLst>
                <c:ext xmlns:c15="http://schemas.microsoft.com/office/drawing/2012/chart" uri="{02D57815-91ED-43cb-92C2-25804820EDAC}">
                  <c15:fullRef>
                    <c15:sqref>L_Force_Tbl22_Transp__II!$E$39:$Y$39</c15:sqref>
                  </c15:fullRef>
                </c:ext>
              </c:extLst>
              <c:f>(L_Force_Tbl22_Transp__II!$E$39:$K$39,L_Force_Tbl22_Transp__II!$Y$39)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Services</c:v>
                </c:pt>
              </c:strCache>
            </c:strRef>
          </c:cat>
          <c:val>
            <c:numRef>
              <c:extLst>
                <c:ext xmlns:c15="http://schemas.microsoft.com/office/drawing/2012/chart" uri="{02D57815-91ED-43cb-92C2-25804820EDAC}">
                  <c15:fullRef>
                    <c15:sqref>L_Force_Tbl22_Transp__II!$E$65:$Y$65</c15:sqref>
                  </c15:fullRef>
                </c:ext>
              </c:extLst>
              <c:f>(L_Force_Tbl22_Transp__II!$E$65:$K$65,L_Force_Tbl22_Transp__II!$Y$65)</c:f>
              <c:numCache>
                <c:formatCode>0.0</c:formatCode>
                <c:ptCount val="8"/>
                <c:pt idx="0">
                  <c:v>29.885890237275859</c:v>
                </c:pt>
                <c:pt idx="1">
                  <c:v>2.5357725049809816</c:v>
                </c:pt>
                <c:pt idx="2">
                  <c:v>6.3213186017025897</c:v>
                </c:pt>
                <c:pt idx="3">
                  <c:v>0.92374569824307196</c:v>
                </c:pt>
                <c:pt idx="4">
                  <c:v>0.56149248324578882</c:v>
                </c:pt>
                <c:pt idx="5">
                  <c:v>8.2050353196884629</c:v>
                </c:pt>
                <c:pt idx="6">
                  <c:v>8.8027531244339787</c:v>
                </c:pt>
                <c:pt idx="7">
                  <c:v>51.566745154863249</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extLst>
                <c:ext xmlns:c15="http://schemas.microsoft.com/office/drawing/2012/chart" uri="{02D57815-91ED-43cb-92C2-25804820EDAC}">
                  <c15:fullRef>
                    <c15:sqref>L_Force_Tbl22_Transp__II!$E$39:$Y$39</c15:sqref>
                  </c15:fullRef>
                </c:ext>
              </c:extLst>
              <c:f>(L_Force_Tbl22_Transp__II!$E$39:$K$39,L_Force_Tbl22_Transp__II!$Y$39)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Services</c:v>
                </c:pt>
              </c:strCache>
            </c:strRef>
          </c:cat>
          <c:val>
            <c:numRef>
              <c:extLst>
                <c:ext xmlns:c15="http://schemas.microsoft.com/office/drawing/2012/chart" uri="{02D57815-91ED-43cb-92C2-25804820EDAC}">
                  <c15:fullRef>
                    <c15:sqref>L_Force_Tbl22_Transp__II!$E$66:$Y$66</c15:sqref>
                  </c15:fullRef>
                </c:ext>
              </c:extLst>
              <c:f>(L_Force_Tbl22_Transp__II!$E$66:$K$66,L_Force_Tbl22_Transp__II!$Y$66)</c:f>
              <c:numCache>
                <c:formatCode>0.0</c:formatCode>
                <c:ptCount val="8"/>
                <c:pt idx="0">
                  <c:v>47.048829495499049</c:v>
                </c:pt>
                <c:pt idx="1">
                  <c:v>2.8313964998685126</c:v>
                </c:pt>
                <c:pt idx="2">
                  <c:v>4.5101214710602138</c:v>
                </c:pt>
                <c:pt idx="3">
                  <c:v>0.37218521190045678</c:v>
                </c:pt>
                <c:pt idx="4">
                  <c:v>1.3442676133142368E-2</c:v>
                </c:pt>
                <c:pt idx="5">
                  <c:v>7.5313549448047228</c:v>
                </c:pt>
                <c:pt idx="6">
                  <c:v>14.182954286442886</c:v>
                </c:pt>
                <c:pt idx="7">
                  <c:v>37.679227024600749</c:v>
                </c:pt>
              </c:numCache>
            </c:numRef>
          </c:val>
          <c:extLst xmlns:c16r2="http://schemas.microsoft.com/office/drawing/2015/06/chart">
            <c:ext xmlns:c16="http://schemas.microsoft.com/office/drawing/2014/chart" uri="{C3380CC4-5D6E-409C-BE32-E72D297353CC}">
              <c16:uniqueId val="{00000001-188E-42E5-9694-A3749D23B26B}"/>
            </c:ext>
          </c:extLst>
        </c:ser>
        <c:ser>
          <c:idx val="2"/>
          <c:order val="2"/>
          <c:tx>
            <c:strRef>
              <c:f>L_Force_Tbl22_Transp__II!$B$67</c:f>
              <c:strCache>
                <c:ptCount val="1"/>
                <c:pt idx="0">
                  <c:v>Water Consumed</c:v>
                </c:pt>
              </c:strCache>
            </c:strRef>
          </c:tx>
          <c:spPr>
            <a:solidFill>
              <a:schemeClr val="accent3"/>
            </a:solidFill>
            <a:ln>
              <a:noFill/>
            </a:ln>
            <a:effectLst/>
          </c:spPr>
          <c:invertIfNegative val="0"/>
          <c:cat>
            <c:strRef>
              <c:extLst>
                <c:ext xmlns:c15="http://schemas.microsoft.com/office/drawing/2012/chart" uri="{02D57815-91ED-43cb-92C2-25804820EDAC}">
                  <c15:fullRef>
                    <c15:sqref>L_Force_Tbl22_Transp__II!$E$39:$Y$39</c15:sqref>
                  </c15:fullRef>
                </c:ext>
              </c:extLst>
              <c:f>(L_Force_Tbl22_Transp__II!$E$39:$K$39,L_Force_Tbl22_Transp__II!$Y$39)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Services</c:v>
                </c:pt>
              </c:strCache>
            </c:strRef>
          </c:cat>
          <c:val>
            <c:numRef>
              <c:extLst>
                <c:ext xmlns:c15="http://schemas.microsoft.com/office/drawing/2012/chart" uri="{02D57815-91ED-43cb-92C2-25804820EDAC}">
                  <c15:fullRef>
                    <c15:sqref>L_Force_Tbl22_Transp__II!$E$67:$Y$67</c15:sqref>
                  </c15:fullRef>
                </c:ext>
              </c:extLst>
              <c:f>(L_Force_Tbl22_Transp__II!$E$67:$K$67,L_Force_Tbl22_Transp__II!$Y$67)</c:f>
              <c:numCache>
                <c:formatCode>0.0</c:formatCode>
                <c:ptCount val="8"/>
                <c:pt idx="0">
                  <c:v>81.701971796726184</c:v>
                </c:pt>
                <c:pt idx="1">
                  <c:v>7.0507311678896806E-3</c:v>
                </c:pt>
                <c:pt idx="2">
                  <c:v>1.0018927946899294</c:v>
                </c:pt>
                <c:pt idx="3">
                  <c:v>16.621901326480586</c:v>
                </c:pt>
                <c:pt idx="4">
                  <c:v>0.33817427758032492</c:v>
                </c:pt>
                <c:pt idx="5">
                  <c:v>0</c:v>
                </c:pt>
                <c:pt idx="6">
                  <c:v>0</c:v>
                </c:pt>
                <c:pt idx="7">
                  <c:v>0.32900907335508112</c:v>
                </c:pt>
              </c:numCache>
            </c:numRef>
          </c:val>
          <c:extLst xmlns:c16r2="http://schemas.microsoft.com/office/drawing/2015/06/chart">
            <c:ext xmlns:c16="http://schemas.microsoft.com/office/drawing/2014/chart" uri="{C3380CC4-5D6E-409C-BE32-E72D297353CC}">
              <c16:uniqueId val="{00000002-188E-42E5-9694-A3749D23B26B}"/>
            </c:ext>
          </c:extLst>
        </c:ser>
        <c:ser>
          <c:idx val="3"/>
          <c:order val="3"/>
          <c:tx>
            <c:strRef>
              <c:f>L_Force_Tbl22_Transp__II!$B$68</c:f>
              <c:strCache>
                <c:ptCount val="1"/>
                <c:pt idx="0">
                  <c:v>Water Used</c:v>
                </c:pt>
              </c:strCache>
            </c:strRef>
          </c:tx>
          <c:spPr>
            <a:solidFill>
              <a:schemeClr val="accent4"/>
            </a:solidFill>
            <a:ln>
              <a:noFill/>
            </a:ln>
            <a:effectLst/>
          </c:spPr>
          <c:invertIfNegative val="0"/>
          <c:cat>
            <c:strRef>
              <c:extLst>
                <c:ext xmlns:c15="http://schemas.microsoft.com/office/drawing/2012/chart" uri="{02D57815-91ED-43cb-92C2-25804820EDAC}">
                  <c15:fullRef>
                    <c15:sqref>L_Force_Tbl22_Transp__II!$E$39:$Y$39</c15:sqref>
                  </c15:fullRef>
                </c:ext>
              </c:extLst>
              <c:f>(L_Force_Tbl22_Transp__II!$E$39:$K$39,L_Force_Tbl22_Transp__II!$Y$39)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Services</c:v>
                </c:pt>
              </c:strCache>
            </c:strRef>
          </c:cat>
          <c:val>
            <c:numRef>
              <c:extLst>
                <c:ext xmlns:c15="http://schemas.microsoft.com/office/drawing/2012/chart" uri="{02D57815-91ED-43cb-92C2-25804820EDAC}">
                  <c15:fullRef>
                    <c15:sqref>L_Force_Tbl22_Transp__II!$E$68:$Y$68</c15:sqref>
                  </c15:fullRef>
                </c:ext>
              </c:extLst>
              <c:f>(L_Force_Tbl22_Transp__II!$E$68:$K$68,L_Force_Tbl22_Transp__II!$Y$68)</c:f>
              <c:numCache>
                <c:formatCode>0.0</c:formatCode>
                <c:ptCount val="8"/>
                <c:pt idx="0">
                  <c:v>91.122749524833281</c:v>
                </c:pt>
                <c:pt idx="1">
                  <c:v>0.14678309250747287</c:v>
                </c:pt>
                <c:pt idx="2">
                  <c:v>4.3630843386443789</c:v>
                </c:pt>
                <c:pt idx="3">
                  <c:v>2.4090732733251823</c:v>
                </c:pt>
                <c:pt idx="4">
                  <c:v>0.35181034933191097</c:v>
                </c:pt>
                <c:pt idx="5">
                  <c:v>0</c:v>
                </c:pt>
                <c:pt idx="6">
                  <c:v>0</c:v>
                </c:pt>
                <c:pt idx="7">
                  <c:v>1.6074370300484033</c:v>
                </c:pt>
              </c:numCache>
            </c:numRef>
          </c:val>
          <c:extLst xmlns:c16r2="http://schemas.microsoft.com/office/drawing/2015/06/chart">
            <c:ext xmlns:c16="http://schemas.microsoft.com/office/drawing/2014/chart" uri="{C3380CC4-5D6E-409C-BE32-E72D297353CC}">
              <c16:uniqueId val="{00000003-188E-42E5-9694-A3749D23B26B}"/>
            </c:ext>
          </c:extLst>
        </c:ser>
        <c:dLbls>
          <c:showLegendKey val="0"/>
          <c:showVal val="0"/>
          <c:showCatName val="0"/>
          <c:showSerName val="0"/>
          <c:showPercent val="0"/>
          <c:showBubbleSize val="0"/>
        </c:dLbls>
        <c:gapWidth val="219"/>
        <c:overlap val="-27"/>
        <c:axId val="-906199152"/>
        <c:axId val="-906198608"/>
      </c:barChart>
      <c:catAx>
        <c:axId val="-90619915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98608"/>
        <c:crosses val="autoZero"/>
        <c:auto val="1"/>
        <c:lblAlgn val="ctr"/>
        <c:lblOffset val="100"/>
        <c:noMultiLvlLbl val="0"/>
      </c:catAx>
      <c:valAx>
        <c:axId val="-90619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Share</a:t>
                </a:r>
                <a:r>
                  <a:rPr lang="en-GB" sz="1200" b="1" i="1" baseline="0"/>
                  <a:t> of total </a:t>
                </a:r>
                <a:endParaRPr lang="en-GB" sz="1200" b="1" i="1"/>
              </a:p>
            </c:rich>
          </c:tx>
          <c:layout>
            <c:manualLayout>
              <c:xMode val="edge"/>
              <c:yMode val="edge"/>
              <c:x val="3.7723398679760912E-2"/>
              <c:y val="4.1287107768245386E-3"/>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9152"/>
        <c:crosses val="autoZero"/>
        <c:crossBetween val="between"/>
      </c:valAx>
      <c:spPr>
        <a:noFill/>
        <a:ln>
          <a:solidFill>
            <a:schemeClr val="bg1">
              <a:lumMod val="50000"/>
            </a:schemeClr>
          </a:solidFill>
        </a:ln>
        <a:effectLst/>
      </c:spPr>
    </c:plotArea>
    <c:legend>
      <c:legendPos val="b"/>
      <c:layout>
        <c:manualLayout>
          <c:xMode val="edge"/>
          <c:yMode val="edge"/>
          <c:x val="0.67423590896430829"/>
          <c:y val="0.10539308972187789"/>
          <c:w val="0.26047417065314277"/>
          <c:h val="0.25425214309408661"/>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5.6723085167019932E-2"/>
          <c:w val="0.88632525671556139"/>
          <c:h val="0.59923451051063348"/>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L_Force_Tbl22_Transp__II!$E$65:$V$65</c:f>
              <c:numCache>
                <c:formatCode>0.0</c:formatCode>
                <c:ptCount val="1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pt idx="8">
                  <c:v>1.9018293787357361</c:v>
                </c:pt>
                <c:pt idx="9">
                  <c:v>1.7025901104872305</c:v>
                </c:pt>
                <c:pt idx="10">
                  <c:v>3.2421662742256836</c:v>
                </c:pt>
                <c:pt idx="11">
                  <c:v>8.5491758739358819</c:v>
                </c:pt>
                <c:pt idx="12">
                  <c:v>2.9885890237275858</c:v>
                </c:pt>
                <c:pt idx="13">
                  <c:v>4.2564752762180769</c:v>
                </c:pt>
                <c:pt idx="14">
                  <c:v>4.9809817062126429</c:v>
                </c:pt>
                <c:pt idx="15">
                  <c:v>2.843687737728672</c:v>
                </c:pt>
                <c:pt idx="16">
                  <c:v>2.6444484694801664</c:v>
                </c:pt>
                <c:pt idx="17">
                  <c:v>5.5424741894584315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L_Force_Tbl22_Transp__II!$E$66:$V$66</c:f>
              <c:numCache>
                <c:formatCode>0.0</c:formatCode>
                <c:ptCount val="1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pt idx="8">
                  <c:v>1.7155199123614018</c:v>
                </c:pt>
                <c:pt idx="9">
                  <c:v>0.1682533150510119</c:v>
                </c:pt>
                <c:pt idx="10">
                  <c:v>0.39069370910204188</c:v>
                </c:pt>
                <c:pt idx="11">
                  <c:v>0</c:v>
                </c:pt>
                <c:pt idx="12">
                  <c:v>0</c:v>
                </c:pt>
                <c:pt idx="13">
                  <c:v>2.1761674707061562</c:v>
                </c:pt>
                <c:pt idx="14">
                  <c:v>2.1137998540799625</c:v>
                </c:pt>
                <c:pt idx="15">
                  <c:v>2.380752053735506</c:v>
                </c:pt>
                <c:pt idx="16">
                  <c:v>2.9641784695038891</c:v>
                </c:pt>
                <c:pt idx="17">
                  <c:v>8.7324699232738929</c:v>
                </c:pt>
              </c:numCache>
            </c:numRef>
          </c:val>
          <c:extLst xmlns:c16r2="http://schemas.microsoft.com/office/drawing/2015/06/chart">
            <c:ext xmlns:c16="http://schemas.microsoft.com/office/drawing/2014/chart" uri="{C3380CC4-5D6E-409C-BE32-E72D297353CC}">
              <c16:uniqueId val="{00000001-188E-42E5-9694-A3749D23B26B}"/>
            </c:ext>
          </c:extLst>
        </c:ser>
        <c:ser>
          <c:idx val="2"/>
          <c:order val="2"/>
          <c:tx>
            <c:strRef>
              <c:f>L_Force_Tbl22_Transp__II!$B$67</c:f>
              <c:strCache>
                <c:ptCount val="1"/>
                <c:pt idx="0">
                  <c:v>Water Consumed</c:v>
                </c:pt>
              </c:strCache>
            </c:strRef>
          </c:tx>
          <c:spPr>
            <a:solidFill>
              <a:schemeClr val="accent3"/>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L_Force_Tbl22_Transp__II!$E$67:$V$67</c:f>
              <c:numCache>
                <c:formatCode>0.0</c:formatCode>
                <c:ptCount val="18"/>
                <c:pt idx="0">
                  <c:v>81.701971796726184</c:v>
                </c:pt>
                <c:pt idx="1">
                  <c:v>7.0507311678896806E-3</c:v>
                </c:pt>
                <c:pt idx="2">
                  <c:v>1.0018927946899294</c:v>
                </c:pt>
                <c:pt idx="3">
                  <c:v>16.621901326480586</c:v>
                </c:pt>
                <c:pt idx="4">
                  <c:v>0.33817427758032492</c:v>
                </c:pt>
                <c:pt idx="5">
                  <c:v>0</c:v>
                </c:pt>
                <c:pt idx="6">
                  <c:v>0</c:v>
                </c:pt>
                <c:pt idx="7">
                  <c:v>0</c:v>
                </c:pt>
                <c:pt idx="8">
                  <c:v>2.4423194388928805E-2</c:v>
                </c:pt>
                <c:pt idx="9">
                  <c:v>0</c:v>
                </c:pt>
                <c:pt idx="10">
                  <c:v>8.9836403410635638E-5</c:v>
                </c:pt>
                <c:pt idx="11">
                  <c:v>0</c:v>
                </c:pt>
                <c:pt idx="12">
                  <c:v>0</c:v>
                </c:pt>
                <c:pt idx="13">
                  <c:v>0</c:v>
                </c:pt>
                <c:pt idx="14">
                  <c:v>0</c:v>
                </c:pt>
                <c:pt idx="15">
                  <c:v>0.29705558341441934</c:v>
                </c:pt>
                <c:pt idx="16">
                  <c:v>5.6889395832426769E-3</c:v>
                </c:pt>
                <c:pt idx="17" formatCode="0.000">
                  <c:v>1.7515195650796328E-3</c:v>
                </c:pt>
              </c:numCache>
            </c:numRef>
          </c:val>
          <c:extLst xmlns:c16r2="http://schemas.microsoft.com/office/drawing/2015/06/chart">
            <c:ext xmlns:c16="http://schemas.microsoft.com/office/drawing/2014/chart" uri="{C3380CC4-5D6E-409C-BE32-E72D297353CC}">
              <c16:uniqueId val="{00000002-188E-42E5-9694-A3749D23B26B}"/>
            </c:ext>
          </c:extLst>
        </c:ser>
        <c:ser>
          <c:idx val="3"/>
          <c:order val="3"/>
          <c:tx>
            <c:strRef>
              <c:f>L_Force_Tbl22_Transp__II!$B$68</c:f>
              <c:strCache>
                <c:ptCount val="1"/>
                <c:pt idx="0">
                  <c:v>Water Used</c:v>
                </c:pt>
              </c:strCache>
            </c:strRef>
          </c:tx>
          <c:spPr>
            <a:solidFill>
              <a:schemeClr val="accent4"/>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L_Force_Tbl22_Transp__II!$E$68:$V$68</c:f>
              <c:numCache>
                <c:formatCode>0.0</c:formatCode>
                <c:ptCount val="18"/>
                <c:pt idx="0">
                  <c:v>91.122749524833281</c:v>
                </c:pt>
                <c:pt idx="1">
                  <c:v>0.14678309250747287</c:v>
                </c:pt>
                <c:pt idx="2">
                  <c:v>4.3630843386443789</c:v>
                </c:pt>
                <c:pt idx="3">
                  <c:v>2.4090732733251823</c:v>
                </c:pt>
                <c:pt idx="4">
                  <c:v>0.35181034933191097</c:v>
                </c:pt>
                <c:pt idx="5">
                  <c:v>0</c:v>
                </c:pt>
                <c:pt idx="6">
                  <c:v>0</c:v>
                </c:pt>
                <c:pt idx="7">
                  <c:v>0</c:v>
                </c:pt>
                <c:pt idx="8">
                  <c:v>0.10900995381980906</c:v>
                </c:pt>
                <c:pt idx="9">
                  <c:v>0</c:v>
                </c:pt>
                <c:pt idx="10">
                  <c:v>4.9750020187367143E-4</c:v>
                </c:pt>
                <c:pt idx="11">
                  <c:v>0</c:v>
                </c:pt>
                <c:pt idx="12">
                  <c:v>0</c:v>
                </c:pt>
                <c:pt idx="13">
                  <c:v>0</c:v>
                </c:pt>
                <c:pt idx="14">
                  <c:v>0</c:v>
                </c:pt>
                <c:pt idx="15">
                  <c:v>1.4678762494504258</c:v>
                </c:pt>
                <c:pt idx="16">
                  <c:v>2.8178109195045022E-2</c:v>
                </c:pt>
                <c:pt idx="17" formatCode="0.000">
                  <c:v>1.875217381249757E-3</c:v>
                </c:pt>
              </c:numCache>
            </c:numRef>
          </c:val>
          <c:extLst xmlns:c16r2="http://schemas.microsoft.com/office/drawing/2015/06/chart">
            <c:ext xmlns:c16="http://schemas.microsoft.com/office/drawing/2014/chart" uri="{C3380CC4-5D6E-409C-BE32-E72D297353CC}">
              <c16:uniqueId val="{00000003-188E-42E5-9694-A3749D23B26B}"/>
            </c:ext>
          </c:extLst>
        </c:ser>
        <c:ser>
          <c:idx val="4"/>
          <c:order val="4"/>
          <c:tx>
            <c:strRef>
              <c:f>L_Force_Tbl22_Transp__II!$B$69</c:f>
              <c:strCache>
                <c:ptCount val="1"/>
                <c:pt idx="0">
                  <c:v>Water 'Abstracted (Gr. &amp; Surfacewater)'</c:v>
                </c:pt>
              </c:strCache>
            </c:strRef>
          </c:tx>
          <c:spPr>
            <a:solidFill>
              <a:schemeClr val="accent5"/>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L_Force_Tbl22_Transp__II!$E$69:$V$69</c:f>
              <c:numCache>
                <c:formatCode>0.0</c:formatCode>
                <c:ptCount val="18"/>
                <c:pt idx="0">
                  <c:v>33.67983466625045</c:v>
                </c:pt>
                <c:pt idx="1">
                  <c:v>0.16132921610121953</c:v>
                </c:pt>
                <c:pt idx="2">
                  <c:v>3.629478266785422</c:v>
                </c:pt>
                <c:pt idx="3">
                  <c:v>54.53226324561281</c:v>
                </c:pt>
                <c:pt idx="4">
                  <c:v>7.9636492566364279</c:v>
                </c:pt>
                <c:pt idx="5">
                  <c:v>0</c:v>
                </c:pt>
                <c:pt idx="6">
                  <c:v>0</c:v>
                </c:pt>
                <c:pt idx="7">
                  <c:v>0</c:v>
                </c:pt>
                <c:pt idx="8">
                  <c:v>0</c:v>
                </c:pt>
                <c:pt idx="9">
                  <c:v>0</c:v>
                </c:pt>
                <c:pt idx="10">
                  <c:v>0</c:v>
                </c:pt>
                <c:pt idx="11">
                  <c:v>0</c:v>
                </c:pt>
                <c:pt idx="12">
                  <c:v>0</c:v>
                </c:pt>
                <c:pt idx="13">
                  <c:v>0</c:v>
                </c:pt>
                <c:pt idx="14">
                  <c:v>0</c:v>
                </c:pt>
                <c:pt idx="15">
                  <c:v>1.9701277070007007E-2</c:v>
                </c:pt>
                <c:pt idx="16">
                  <c:v>1.3437175661349174E-2</c:v>
                </c:pt>
                <c:pt idx="17" formatCode="0.000">
                  <c:v>3.0689588231238869E-4</c:v>
                </c:pt>
              </c:numCache>
            </c:numRef>
          </c:val>
          <c:extLst xmlns:c16r2="http://schemas.microsoft.com/office/drawing/2015/06/chart">
            <c:ext xmlns:c16="http://schemas.microsoft.com/office/drawing/2014/chart" uri="{C3380CC4-5D6E-409C-BE32-E72D297353CC}">
              <c16:uniqueId val="{00000001-E5A7-47DA-AA22-229721DBE997}"/>
            </c:ext>
          </c:extLst>
        </c:ser>
        <c:dLbls>
          <c:showLegendKey val="0"/>
          <c:showVal val="0"/>
          <c:showCatName val="0"/>
          <c:showSerName val="0"/>
          <c:showPercent val="0"/>
          <c:showBubbleSize val="0"/>
        </c:dLbls>
        <c:gapWidth val="219"/>
        <c:overlap val="-27"/>
        <c:axId val="-906196432"/>
        <c:axId val="-906194256"/>
      </c:barChart>
      <c:catAx>
        <c:axId val="-90619643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94256"/>
        <c:crosses val="autoZero"/>
        <c:auto val="1"/>
        <c:lblAlgn val="ctr"/>
        <c:lblOffset val="100"/>
        <c:noMultiLvlLbl val="0"/>
      </c:catAx>
      <c:valAx>
        <c:axId val="-90619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r>
                  <a:rPr lang="en-GB" sz="1100" b="1" i="1"/>
                  <a:t>Share</a:t>
                </a:r>
                <a:r>
                  <a:rPr lang="en-GB" sz="1100" b="1" i="1" baseline="0"/>
                  <a:t> of Total</a:t>
                </a:r>
                <a:endParaRPr lang="en-GB" sz="1100" b="1" i="1"/>
              </a:p>
            </c:rich>
          </c:tx>
          <c:layout>
            <c:manualLayout>
              <c:xMode val="edge"/>
              <c:yMode val="edge"/>
              <c:x val="7.5208480505969497E-2"/>
              <c:y val="1.006372252883214E-2"/>
            </c:manualLayout>
          </c:layout>
          <c:overlay val="0"/>
          <c:spPr>
            <a:noFill/>
            <a:ln>
              <a:noFill/>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6432"/>
        <c:crosses val="autoZero"/>
        <c:crossBetween val="between"/>
      </c:valAx>
      <c:spPr>
        <a:noFill/>
        <a:ln>
          <a:solidFill>
            <a:schemeClr val="bg1">
              <a:lumMod val="50000"/>
            </a:schemeClr>
          </a:solidFill>
        </a:ln>
        <a:effectLst/>
      </c:spPr>
    </c:plotArea>
    <c:legend>
      <c:legendPos val="b"/>
      <c:layout>
        <c:manualLayout>
          <c:xMode val="edge"/>
          <c:yMode val="edge"/>
          <c:x val="0.66015910500188923"/>
          <c:y val="8.5678984535255576E-2"/>
          <c:w val="0.30197121866774967"/>
          <c:h val="0.40803579656574135"/>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5.6723085167019932E-2"/>
          <c:w val="0.88632525671556139"/>
          <c:h val="0.63336712299779174"/>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L_Force_Tbl22_Transp__II!$E$65:$V$65</c:f>
              <c:numCache>
                <c:formatCode>0.0</c:formatCode>
                <c:ptCount val="1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pt idx="8">
                  <c:v>1.9018293787357361</c:v>
                </c:pt>
                <c:pt idx="9">
                  <c:v>1.7025901104872305</c:v>
                </c:pt>
                <c:pt idx="10">
                  <c:v>3.2421662742256836</c:v>
                </c:pt>
                <c:pt idx="11">
                  <c:v>8.5491758739358819</c:v>
                </c:pt>
                <c:pt idx="12">
                  <c:v>2.9885890237275858</c:v>
                </c:pt>
                <c:pt idx="13">
                  <c:v>4.2564752762180769</c:v>
                </c:pt>
                <c:pt idx="14">
                  <c:v>4.9809817062126429</c:v>
                </c:pt>
                <c:pt idx="15">
                  <c:v>2.843687737728672</c:v>
                </c:pt>
                <c:pt idx="16">
                  <c:v>2.6444484694801664</c:v>
                </c:pt>
                <c:pt idx="17">
                  <c:v>5.5424741894584315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L_Force_Tbl22_Transp__II!$E$66:$V$66</c:f>
              <c:numCache>
                <c:formatCode>0.0</c:formatCode>
                <c:ptCount val="1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pt idx="8">
                  <c:v>1.7155199123614018</c:v>
                </c:pt>
                <c:pt idx="9">
                  <c:v>0.1682533150510119</c:v>
                </c:pt>
                <c:pt idx="10">
                  <c:v>0.39069370910204188</c:v>
                </c:pt>
                <c:pt idx="11">
                  <c:v>0</c:v>
                </c:pt>
                <c:pt idx="12">
                  <c:v>0</c:v>
                </c:pt>
                <c:pt idx="13">
                  <c:v>2.1761674707061562</c:v>
                </c:pt>
                <c:pt idx="14">
                  <c:v>2.1137998540799625</c:v>
                </c:pt>
                <c:pt idx="15">
                  <c:v>2.380752053735506</c:v>
                </c:pt>
                <c:pt idx="16">
                  <c:v>2.9641784695038891</c:v>
                </c:pt>
                <c:pt idx="17">
                  <c:v>8.7324699232738929</c:v>
                </c:pt>
              </c:numCache>
            </c:numRef>
          </c:val>
          <c:extLst xmlns:c16r2="http://schemas.microsoft.com/office/drawing/2015/06/chart">
            <c:ext xmlns:c16="http://schemas.microsoft.com/office/drawing/2014/chart" uri="{C3380CC4-5D6E-409C-BE32-E72D297353CC}">
              <c16:uniqueId val="{00000001-188E-42E5-9694-A3749D23B26B}"/>
            </c:ext>
          </c:extLst>
        </c:ser>
        <c:ser>
          <c:idx val="2"/>
          <c:order val="2"/>
          <c:tx>
            <c:strRef>
              <c:f>L_Force_Tbl22_Transp__II!$B$67</c:f>
              <c:strCache>
                <c:ptCount val="1"/>
                <c:pt idx="0">
                  <c:v>Water Consumed</c:v>
                </c:pt>
              </c:strCache>
            </c:strRef>
          </c:tx>
          <c:spPr>
            <a:solidFill>
              <a:schemeClr val="accent3"/>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L_Force_Tbl22_Transp__II!$E$67:$V$67</c:f>
              <c:numCache>
                <c:formatCode>0.0</c:formatCode>
                <c:ptCount val="18"/>
                <c:pt idx="0">
                  <c:v>81.701971796726184</c:v>
                </c:pt>
                <c:pt idx="1">
                  <c:v>7.0507311678896806E-3</c:v>
                </c:pt>
                <c:pt idx="2">
                  <c:v>1.0018927946899294</c:v>
                </c:pt>
                <c:pt idx="3">
                  <c:v>16.621901326480586</c:v>
                </c:pt>
                <c:pt idx="4">
                  <c:v>0.33817427758032492</c:v>
                </c:pt>
                <c:pt idx="5">
                  <c:v>0</c:v>
                </c:pt>
                <c:pt idx="6">
                  <c:v>0</c:v>
                </c:pt>
                <c:pt idx="7">
                  <c:v>0</c:v>
                </c:pt>
                <c:pt idx="8">
                  <c:v>2.4423194388928805E-2</c:v>
                </c:pt>
                <c:pt idx="9">
                  <c:v>0</c:v>
                </c:pt>
                <c:pt idx="10">
                  <c:v>8.9836403410635638E-5</c:v>
                </c:pt>
                <c:pt idx="11">
                  <c:v>0</c:v>
                </c:pt>
                <c:pt idx="12">
                  <c:v>0</c:v>
                </c:pt>
                <c:pt idx="13">
                  <c:v>0</c:v>
                </c:pt>
                <c:pt idx="14">
                  <c:v>0</c:v>
                </c:pt>
                <c:pt idx="15">
                  <c:v>0.29705558341441934</c:v>
                </c:pt>
                <c:pt idx="16">
                  <c:v>5.6889395832426769E-3</c:v>
                </c:pt>
                <c:pt idx="17" formatCode="0.000">
                  <c:v>1.7515195650796328E-3</c:v>
                </c:pt>
              </c:numCache>
            </c:numRef>
          </c:val>
          <c:extLst xmlns:c16r2="http://schemas.microsoft.com/office/drawing/2015/06/chart">
            <c:ext xmlns:c16="http://schemas.microsoft.com/office/drawing/2014/chart" uri="{C3380CC4-5D6E-409C-BE32-E72D297353CC}">
              <c16:uniqueId val="{00000002-188E-42E5-9694-A3749D23B26B}"/>
            </c:ext>
          </c:extLst>
        </c:ser>
        <c:ser>
          <c:idx val="3"/>
          <c:order val="3"/>
          <c:tx>
            <c:strRef>
              <c:f>L_Force_Tbl22_Transp__II!$B$68</c:f>
              <c:strCache>
                <c:ptCount val="1"/>
                <c:pt idx="0">
                  <c:v>Water Used</c:v>
                </c:pt>
              </c:strCache>
            </c:strRef>
          </c:tx>
          <c:spPr>
            <a:solidFill>
              <a:schemeClr val="accent4"/>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L_Force_Tbl22_Transp__II!$E$68:$V$68</c:f>
              <c:numCache>
                <c:formatCode>0.0</c:formatCode>
                <c:ptCount val="18"/>
                <c:pt idx="0">
                  <c:v>91.122749524833281</c:v>
                </c:pt>
                <c:pt idx="1">
                  <c:v>0.14678309250747287</c:v>
                </c:pt>
                <c:pt idx="2">
                  <c:v>4.3630843386443789</c:v>
                </c:pt>
                <c:pt idx="3">
                  <c:v>2.4090732733251823</c:v>
                </c:pt>
                <c:pt idx="4">
                  <c:v>0.35181034933191097</c:v>
                </c:pt>
                <c:pt idx="5">
                  <c:v>0</c:v>
                </c:pt>
                <c:pt idx="6">
                  <c:v>0</c:v>
                </c:pt>
                <c:pt idx="7">
                  <c:v>0</c:v>
                </c:pt>
                <c:pt idx="8">
                  <c:v>0.10900995381980906</c:v>
                </c:pt>
                <c:pt idx="9">
                  <c:v>0</c:v>
                </c:pt>
                <c:pt idx="10">
                  <c:v>4.9750020187367143E-4</c:v>
                </c:pt>
                <c:pt idx="11">
                  <c:v>0</c:v>
                </c:pt>
                <c:pt idx="12">
                  <c:v>0</c:v>
                </c:pt>
                <c:pt idx="13">
                  <c:v>0</c:v>
                </c:pt>
                <c:pt idx="14">
                  <c:v>0</c:v>
                </c:pt>
                <c:pt idx="15">
                  <c:v>1.4678762494504258</c:v>
                </c:pt>
                <c:pt idx="16">
                  <c:v>2.8178109195045022E-2</c:v>
                </c:pt>
                <c:pt idx="17" formatCode="0.000">
                  <c:v>1.875217381249757E-3</c:v>
                </c:pt>
              </c:numCache>
            </c:numRef>
          </c:val>
          <c:extLst xmlns:c16r2="http://schemas.microsoft.com/office/drawing/2015/06/chart">
            <c:ext xmlns:c16="http://schemas.microsoft.com/office/drawing/2014/chart" uri="{C3380CC4-5D6E-409C-BE32-E72D297353CC}">
              <c16:uniqueId val="{00000003-188E-42E5-9694-A3749D23B26B}"/>
            </c:ext>
          </c:extLst>
        </c:ser>
        <c:ser>
          <c:idx val="4"/>
          <c:order val="4"/>
          <c:tx>
            <c:strRef>
              <c:f>L_Force_Tbl22_Transp__II!$B$69</c:f>
              <c:strCache>
                <c:ptCount val="1"/>
                <c:pt idx="0">
                  <c:v>Water 'Abstracted (Gr. &amp; Surfacewater)'</c:v>
                </c:pt>
              </c:strCache>
            </c:strRef>
          </c:tx>
          <c:spPr>
            <a:solidFill>
              <a:schemeClr val="accent5"/>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L_Force_Tbl22_Transp__II!$E$69:$V$69</c:f>
              <c:numCache>
                <c:formatCode>0.0</c:formatCode>
                <c:ptCount val="18"/>
                <c:pt idx="0">
                  <c:v>33.67983466625045</c:v>
                </c:pt>
                <c:pt idx="1">
                  <c:v>0.16132921610121953</c:v>
                </c:pt>
                <c:pt idx="2">
                  <c:v>3.629478266785422</c:v>
                </c:pt>
                <c:pt idx="3">
                  <c:v>54.53226324561281</c:v>
                </c:pt>
                <c:pt idx="4">
                  <c:v>7.9636492566364279</c:v>
                </c:pt>
                <c:pt idx="5">
                  <c:v>0</c:v>
                </c:pt>
                <c:pt idx="6">
                  <c:v>0</c:v>
                </c:pt>
                <c:pt idx="7">
                  <c:v>0</c:v>
                </c:pt>
                <c:pt idx="8">
                  <c:v>0</c:v>
                </c:pt>
                <c:pt idx="9">
                  <c:v>0</c:v>
                </c:pt>
                <c:pt idx="10">
                  <c:v>0</c:v>
                </c:pt>
                <c:pt idx="11">
                  <c:v>0</c:v>
                </c:pt>
                <c:pt idx="12">
                  <c:v>0</c:v>
                </c:pt>
                <c:pt idx="13">
                  <c:v>0</c:v>
                </c:pt>
                <c:pt idx="14">
                  <c:v>0</c:v>
                </c:pt>
                <c:pt idx="15">
                  <c:v>1.9701277070007007E-2</c:v>
                </c:pt>
                <c:pt idx="16">
                  <c:v>1.3437175661349174E-2</c:v>
                </c:pt>
                <c:pt idx="17" formatCode="0.000">
                  <c:v>3.0689588231238869E-4</c:v>
                </c:pt>
              </c:numCache>
            </c:numRef>
          </c:val>
          <c:extLst xmlns:c16r2="http://schemas.microsoft.com/office/drawing/2015/06/chart">
            <c:ext xmlns:c16="http://schemas.microsoft.com/office/drawing/2014/chart" uri="{C3380CC4-5D6E-409C-BE32-E72D297353CC}">
              <c16:uniqueId val="{00000001-E5A7-47DA-AA22-229721DBE997}"/>
            </c:ext>
          </c:extLst>
        </c:ser>
        <c:ser>
          <c:idx val="5"/>
          <c:order val="5"/>
          <c:tx>
            <c:strRef>
              <c:f>L_Force_Tbl22_Transp__II!$B$70</c:f>
              <c:strCache>
                <c:ptCount val="1"/>
                <c:pt idx="0">
                  <c:v>Water 'Abstracted (Incl. Soil water)'</c:v>
                </c:pt>
              </c:strCache>
            </c:strRef>
          </c:tx>
          <c:spPr>
            <a:solidFill>
              <a:schemeClr val="accent6"/>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L_Force_Tbl22_Transp__II!$E$70:$V$70</c:f>
              <c:numCache>
                <c:formatCode>0.0</c:formatCode>
                <c:ptCount val="18"/>
                <c:pt idx="0">
                  <c:v>96.717092114075044</c:v>
                </c:pt>
                <c:pt idx="1">
                  <c:v>0.15681006331385197</c:v>
                </c:pt>
                <c:pt idx="2">
                  <c:v>0.17148956739671212</c:v>
                </c:pt>
                <c:pt idx="3">
                  <c:v>2.5736406425596869</c:v>
                </c:pt>
                <c:pt idx="4">
                  <c:v>0.37584303621615495</c:v>
                </c:pt>
                <c:pt idx="5">
                  <c:v>0</c:v>
                </c:pt>
                <c:pt idx="6">
                  <c:v>0</c:v>
                </c:pt>
                <c:pt idx="7">
                  <c:v>0</c:v>
                </c:pt>
                <c:pt idx="8">
                  <c:v>0</c:v>
                </c:pt>
                <c:pt idx="9">
                  <c:v>0</c:v>
                </c:pt>
                <c:pt idx="10">
                  <c:v>4.1909425873272671E-7</c:v>
                </c:pt>
                <c:pt idx="11">
                  <c:v>0</c:v>
                </c:pt>
                <c:pt idx="12">
                  <c:v>0</c:v>
                </c:pt>
                <c:pt idx="13">
                  <c:v>0</c:v>
                </c:pt>
                <c:pt idx="14">
                  <c:v>0</c:v>
                </c:pt>
                <c:pt idx="15">
                  <c:v>9.2979833148184004E-4</c:v>
                </c:pt>
                <c:pt idx="16">
                  <c:v>4.1125685772733884E-3</c:v>
                </c:pt>
                <c:pt idx="17" formatCode="0.000">
                  <c:v>1.6358087106855792E-4</c:v>
                </c:pt>
              </c:numCache>
            </c:numRef>
          </c:val>
          <c:extLst xmlns:c16r2="http://schemas.microsoft.com/office/drawing/2015/06/chart">
            <c:ext xmlns:c16="http://schemas.microsoft.com/office/drawing/2014/chart" uri="{C3380CC4-5D6E-409C-BE32-E72D297353CC}">
              <c16:uniqueId val="{00000000-8394-43F7-8DA8-943E579F8E82}"/>
            </c:ext>
          </c:extLst>
        </c:ser>
        <c:dLbls>
          <c:showLegendKey val="0"/>
          <c:showVal val="0"/>
          <c:showCatName val="0"/>
          <c:showSerName val="0"/>
          <c:showPercent val="0"/>
          <c:showBubbleSize val="0"/>
        </c:dLbls>
        <c:gapWidth val="219"/>
        <c:overlap val="-27"/>
        <c:axId val="-906193712"/>
        <c:axId val="-906192624"/>
      </c:barChart>
      <c:catAx>
        <c:axId val="-90619371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92624"/>
        <c:crosses val="autoZero"/>
        <c:auto val="1"/>
        <c:lblAlgn val="ctr"/>
        <c:lblOffset val="100"/>
        <c:noMultiLvlLbl val="0"/>
      </c:catAx>
      <c:valAx>
        <c:axId val="-90619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r>
                  <a:rPr lang="en-GB" sz="1100" b="1" i="1"/>
                  <a:t>Share</a:t>
                </a:r>
                <a:r>
                  <a:rPr lang="en-GB" sz="1100" b="1" i="1" baseline="0"/>
                  <a:t> of Total</a:t>
                </a:r>
                <a:endParaRPr lang="en-GB" sz="1100" b="1" i="1"/>
              </a:p>
            </c:rich>
          </c:tx>
          <c:layout>
            <c:manualLayout>
              <c:xMode val="edge"/>
              <c:yMode val="edge"/>
              <c:x val="7.2782400489647903E-2"/>
              <c:y val="4.2853485967049732E-3"/>
            </c:manualLayout>
          </c:layout>
          <c:overlay val="0"/>
          <c:spPr>
            <a:noFill/>
            <a:ln>
              <a:noFill/>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3712"/>
        <c:crosses val="autoZero"/>
        <c:crossBetween val="between"/>
      </c:valAx>
      <c:spPr>
        <a:noFill/>
        <a:ln>
          <a:solidFill>
            <a:schemeClr val="bg1">
              <a:lumMod val="50000"/>
            </a:schemeClr>
          </a:solidFill>
        </a:ln>
        <a:effectLst/>
      </c:spPr>
    </c:plotArea>
    <c:legend>
      <c:legendPos val="b"/>
      <c:layout>
        <c:manualLayout>
          <c:xMode val="edge"/>
          <c:yMode val="edge"/>
          <c:x val="0.60448801879428793"/>
          <c:y val="7.8450044199611588E-2"/>
          <c:w val="0.36600492627964265"/>
          <c:h val="0.39272464153944348"/>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6.9267733994448022E-2"/>
          <c:w val="0.88632525671556139"/>
          <c:h val="0.58644523979957053"/>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L_Force_Tbl22_Transp__II!$E$65:$V$65</c:f>
              <c:numCache>
                <c:formatCode>0.0</c:formatCode>
                <c:ptCount val="1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pt idx="8">
                  <c:v>1.9018293787357361</c:v>
                </c:pt>
                <c:pt idx="9">
                  <c:v>1.7025901104872305</c:v>
                </c:pt>
                <c:pt idx="10">
                  <c:v>3.2421662742256836</c:v>
                </c:pt>
                <c:pt idx="11">
                  <c:v>8.5491758739358819</c:v>
                </c:pt>
                <c:pt idx="12">
                  <c:v>2.9885890237275858</c:v>
                </c:pt>
                <c:pt idx="13">
                  <c:v>4.2564752762180769</c:v>
                </c:pt>
                <c:pt idx="14">
                  <c:v>4.9809817062126429</c:v>
                </c:pt>
                <c:pt idx="15">
                  <c:v>2.843687737728672</c:v>
                </c:pt>
                <c:pt idx="16">
                  <c:v>2.6444484694801664</c:v>
                </c:pt>
                <c:pt idx="17">
                  <c:v>5.5424741894584315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L_Force_Tbl22_Transp__II!$E$66:$V$66</c:f>
              <c:numCache>
                <c:formatCode>0.0</c:formatCode>
                <c:ptCount val="1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pt idx="8">
                  <c:v>1.7155199123614018</c:v>
                </c:pt>
                <c:pt idx="9">
                  <c:v>0.1682533150510119</c:v>
                </c:pt>
                <c:pt idx="10">
                  <c:v>0.39069370910204188</c:v>
                </c:pt>
                <c:pt idx="11">
                  <c:v>0</c:v>
                </c:pt>
                <c:pt idx="12">
                  <c:v>0</c:v>
                </c:pt>
                <c:pt idx="13">
                  <c:v>2.1761674707061562</c:v>
                </c:pt>
                <c:pt idx="14">
                  <c:v>2.1137998540799625</c:v>
                </c:pt>
                <c:pt idx="15">
                  <c:v>2.380752053735506</c:v>
                </c:pt>
                <c:pt idx="16">
                  <c:v>2.9641784695038891</c:v>
                </c:pt>
                <c:pt idx="17">
                  <c:v>8.7324699232738929</c:v>
                </c:pt>
              </c:numCache>
            </c:numRef>
          </c:val>
          <c:extLst xmlns:c16r2="http://schemas.microsoft.com/office/drawing/2015/06/chart">
            <c:ext xmlns:c16="http://schemas.microsoft.com/office/drawing/2014/chart" uri="{C3380CC4-5D6E-409C-BE32-E72D297353CC}">
              <c16:uniqueId val="{00000001-188E-42E5-9694-A3749D23B26B}"/>
            </c:ext>
          </c:extLst>
        </c:ser>
        <c:ser>
          <c:idx val="3"/>
          <c:order val="2"/>
          <c:tx>
            <c:strRef>
              <c:f>L_Force_Tbl22_Transp__II!$B$68</c:f>
              <c:strCache>
                <c:ptCount val="1"/>
                <c:pt idx="0">
                  <c:v>Water Used</c:v>
                </c:pt>
              </c:strCache>
            </c:strRef>
          </c:tx>
          <c:spPr>
            <a:solidFill>
              <a:schemeClr val="accent4"/>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L_Force_Tbl22_Transp__II!$E$68:$V$68</c:f>
              <c:numCache>
                <c:formatCode>0.0</c:formatCode>
                <c:ptCount val="18"/>
                <c:pt idx="0">
                  <c:v>91.122749524833281</c:v>
                </c:pt>
                <c:pt idx="1">
                  <c:v>0.14678309250747287</c:v>
                </c:pt>
                <c:pt idx="2">
                  <c:v>4.3630843386443789</c:v>
                </c:pt>
                <c:pt idx="3">
                  <c:v>2.4090732733251823</c:v>
                </c:pt>
                <c:pt idx="4">
                  <c:v>0.35181034933191097</c:v>
                </c:pt>
                <c:pt idx="5">
                  <c:v>0</c:v>
                </c:pt>
                <c:pt idx="6">
                  <c:v>0</c:v>
                </c:pt>
                <c:pt idx="7">
                  <c:v>0</c:v>
                </c:pt>
                <c:pt idx="8">
                  <c:v>0.10900995381980906</c:v>
                </c:pt>
                <c:pt idx="9">
                  <c:v>0</c:v>
                </c:pt>
                <c:pt idx="10">
                  <c:v>4.9750020187367143E-4</c:v>
                </c:pt>
                <c:pt idx="11">
                  <c:v>0</c:v>
                </c:pt>
                <c:pt idx="12">
                  <c:v>0</c:v>
                </c:pt>
                <c:pt idx="13">
                  <c:v>0</c:v>
                </c:pt>
                <c:pt idx="14">
                  <c:v>0</c:v>
                </c:pt>
                <c:pt idx="15">
                  <c:v>1.4678762494504258</c:v>
                </c:pt>
                <c:pt idx="16">
                  <c:v>2.8178109195045022E-2</c:v>
                </c:pt>
                <c:pt idx="17" formatCode="0.000">
                  <c:v>1.875217381249757E-3</c:v>
                </c:pt>
              </c:numCache>
            </c:numRef>
          </c:val>
          <c:extLst xmlns:c16r2="http://schemas.microsoft.com/office/drawing/2015/06/chart">
            <c:ext xmlns:c16="http://schemas.microsoft.com/office/drawing/2014/chart" uri="{C3380CC4-5D6E-409C-BE32-E72D297353CC}">
              <c16:uniqueId val="{00000003-188E-42E5-9694-A3749D23B26B}"/>
            </c:ext>
          </c:extLst>
        </c:ser>
        <c:dLbls>
          <c:showLegendKey val="0"/>
          <c:showVal val="0"/>
          <c:showCatName val="0"/>
          <c:showSerName val="0"/>
          <c:showPercent val="0"/>
          <c:showBubbleSize val="0"/>
        </c:dLbls>
        <c:gapWidth val="219"/>
        <c:overlap val="-27"/>
        <c:axId val="-906190448"/>
        <c:axId val="-904504016"/>
      </c:barChart>
      <c:catAx>
        <c:axId val="-90619044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04016"/>
        <c:crosses val="autoZero"/>
        <c:auto val="1"/>
        <c:lblAlgn val="ctr"/>
        <c:lblOffset val="100"/>
        <c:noMultiLvlLbl val="0"/>
      </c:catAx>
      <c:valAx>
        <c:axId val="-904504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r>
                  <a:rPr lang="en-GB" sz="1100" b="1" i="1"/>
                  <a:t>Share</a:t>
                </a:r>
                <a:r>
                  <a:rPr lang="en-GB" sz="1100" b="1" i="1" baseline="0"/>
                  <a:t> of total </a:t>
                </a:r>
                <a:endParaRPr lang="en-GB" sz="1100" b="1" i="1"/>
              </a:p>
            </c:rich>
          </c:tx>
          <c:layout>
            <c:manualLayout>
              <c:xMode val="edge"/>
              <c:yMode val="edge"/>
              <c:x val="7.9561765895886399E-2"/>
              <c:y val="2.0845086160238831E-2"/>
            </c:manualLayout>
          </c:layout>
          <c:overlay val="0"/>
          <c:spPr>
            <a:noFill/>
            <a:ln>
              <a:noFill/>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6190448"/>
        <c:crosses val="autoZero"/>
        <c:crossBetween val="between"/>
      </c:valAx>
      <c:spPr>
        <a:noFill/>
        <a:ln>
          <a:solidFill>
            <a:schemeClr val="bg1">
              <a:lumMod val="50000"/>
            </a:schemeClr>
          </a:solidFill>
        </a:ln>
        <a:effectLst/>
      </c:spPr>
    </c:plotArea>
    <c:legend>
      <c:legendPos val="b"/>
      <c:layout>
        <c:manualLayout>
          <c:xMode val="edge"/>
          <c:yMode val="edge"/>
          <c:x val="0.70334886916016748"/>
          <c:y val="0.10539308972187789"/>
          <c:w val="0.20588737028590684"/>
          <c:h val="0.30746722069940813"/>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4.6319964230739037E-2"/>
          <c:w val="0.88632525671556139"/>
          <c:h val="0.56402963933799566"/>
        </c:manualLayout>
      </c:layout>
      <c:barChart>
        <c:barDir val="col"/>
        <c:grouping val="clustered"/>
        <c:varyColors val="0"/>
        <c:ser>
          <c:idx val="0"/>
          <c:order val="0"/>
          <c:tx>
            <c:strRef>
              <c:f>L_Force_Tbl22_Transp__II!$B$65</c:f>
              <c:strCache>
                <c:ptCount val="1"/>
                <c:pt idx="0">
                  <c:v>GDP</c:v>
                </c:pt>
              </c:strCache>
            </c:strRef>
          </c:tx>
          <c:spPr>
            <a:solidFill>
              <a:srgbClr val="C00000"/>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L_Force_Tbl22_Transp__II!$E$65:$V$65</c:f>
              <c:numCache>
                <c:formatCode>0.0</c:formatCode>
                <c:ptCount val="1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pt idx="8">
                  <c:v>1.9018293787357361</c:v>
                </c:pt>
                <c:pt idx="9">
                  <c:v>1.7025901104872305</c:v>
                </c:pt>
                <c:pt idx="10">
                  <c:v>3.2421662742256836</c:v>
                </c:pt>
                <c:pt idx="11">
                  <c:v>8.5491758739358819</c:v>
                </c:pt>
                <c:pt idx="12">
                  <c:v>2.9885890237275858</c:v>
                </c:pt>
                <c:pt idx="13">
                  <c:v>4.2564752762180769</c:v>
                </c:pt>
                <c:pt idx="14">
                  <c:v>4.9809817062126429</c:v>
                </c:pt>
                <c:pt idx="15">
                  <c:v>2.843687737728672</c:v>
                </c:pt>
                <c:pt idx="16">
                  <c:v>2.6444484694801664</c:v>
                </c:pt>
                <c:pt idx="17">
                  <c:v>5.5424741894584315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4"/>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L_Force_Tbl22_Transp__II!$E$66:$V$66</c:f>
              <c:numCache>
                <c:formatCode>0.0</c:formatCode>
                <c:ptCount val="1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pt idx="8">
                  <c:v>1.7155199123614018</c:v>
                </c:pt>
                <c:pt idx="9">
                  <c:v>0.1682533150510119</c:v>
                </c:pt>
                <c:pt idx="10">
                  <c:v>0.39069370910204188</c:v>
                </c:pt>
                <c:pt idx="11">
                  <c:v>0</c:v>
                </c:pt>
                <c:pt idx="12">
                  <c:v>0</c:v>
                </c:pt>
                <c:pt idx="13">
                  <c:v>2.1761674707061562</c:v>
                </c:pt>
                <c:pt idx="14">
                  <c:v>2.1137998540799625</c:v>
                </c:pt>
                <c:pt idx="15">
                  <c:v>2.380752053735506</c:v>
                </c:pt>
                <c:pt idx="16">
                  <c:v>2.9641784695038891</c:v>
                </c:pt>
                <c:pt idx="17">
                  <c:v>8.7324699232738929</c:v>
                </c:pt>
              </c:numCache>
            </c:numRef>
          </c:val>
          <c:extLst xmlns:c16r2="http://schemas.microsoft.com/office/drawing/2015/06/chart">
            <c:ext xmlns:c16="http://schemas.microsoft.com/office/drawing/2014/chart" uri="{C3380CC4-5D6E-409C-BE32-E72D297353CC}">
              <c16:uniqueId val="{00000001-188E-42E5-9694-A3749D23B26B}"/>
            </c:ext>
          </c:extLst>
        </c:ser>
        <c:ser>
          <c:idx val="4"/>
          <c:order val="2"/>
          <c:tx>
            <c:strRef>
              <c:f>L_Force_Tbl22_Transp__II!$B$69</c:f>
              <c:strCache>
                <c:ptCount val="1"/>
                <c:pt idx="0">
                  <c:v>Water 'Abstracted (Gr. &amp; Surfacewater)'</c:v>
                </c:pt>
              </c:strCache>
            </c:strRef>
          </c:tx>
          <c:spPr>
            <a:solidFill>
              <a:srgbClr val="4472C4"/>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L_Force_Tbl22_Transp__II!$E$69:$V$69</c:f>
              <c:numCache>
                <c:formatCode>0.0</c:formatCode>
                <c:ptCount val="18"/>
                <c:pt idx="0">
                  <c:v>33.67983466625045</c:v>
                </c:pt>
                <c:pt idx="1">
                  <c:v>0.16132921610121953</c:v>
                </c:pt>
                <c:pt idx="2">
                  <c:v>3.629478266785422</c:v>
                </c:pt>
                <c:pt idx="3">
                  <c:v>54.53226324561281</c:v>
                </c:pt>
                <c:pt idx="4">
                  <c:v>7.9636492566364279</c:v>
                </c:pt>
                <c:pt idx="5">
                  <c:v>0</c:v>
                </c:pt>
                <c:pt idx="6">
                  <c:v>0</c:v>
                </c:pt>
                <c:pt idx="7">
                  <c:v>0</c:v>
                </c:pt>
                <c:pt idx="8">
                  <c:v>0</c:v>
                </c:pt>
                <c:pt idx="9">
                  <c:v>0</c:v>
                </c:pt>
                <c:pt idx="10">
                  <c:v>0</c:v>
                </c:pt>
                <c:pt idx="11">
                  <c:v>0</c:v>
                </c:pt>
                <c:pt idx="12">
                  <c:v>0</c:v>
                </c:pt>
                <c:pt idx="13">
                  <c:v>0</c:v>
                </c:pt>
                <c:pt idx="14">
                  <c:v>0</c:v>
                </c:pt>
                <c:pt idx="15">
                  <c:v>1.9701277070007007E-2</c:v>
                </c:pt>
                <c:pt idx="16">
                  <c:v>1.3437175661349174E-2</c:v>
                </c:pt>
                <c:pt idx="17" formatCode="0.000">
                  <c:v>3.0689588231238869E-4</c:v>
                </c:pt>
              </c:numCache>
            </c:numRef>
          </c:val>
          <c:extLst xmlns:c16r2="http://schemas.microsoft.com/office/drawing/2015/06/chart">
            <c:ext xmlns:c16="http://schemas.microsoft.com/office/drawing/2014/chart" uri="{C3380CC4-5D6E-409C-BE32-E72D297353CC}">
              <c16:uniqueId val="{00000001-E5A7-47DA-AA22-229721DBE997}"/>
            </c:ext>
          </c:extLst>
        </c:ser>
        <c:dLbls>
          <c:showLegendKey val="0"/>
          <c:showVal val="0"/>
          <c:showCatName val="0"/>
          <c:showSerName val="0"/>
          <c:showPercent val="0"/>
          <c:showBubbleSize val="0"/>
        </c:dLbls>
        <c:gapWidth val="219"/>
        <c:overlap val="-27"/>
        <c:axId val="-904493136"/>
        <c:axId val="-904503472"/>
      </c:barChart>
      <c:catAx>
        <c:axId val="-904493136"/>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04503472"/>
        <c:crosses val="autoZero"/>
        <c:auto val="1"/>
        <c:lblAlgn val="ctr"/>
        <c:lblOffset val="100"/>
        <c:noMultiLvlLbl val="0"/>
      </c:catAx>
      <c:valAx>
        <c:axId val="-90450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r>
                  <a:rPr lang="en-GB" sz="1200" b="1" i="1"/>
                  <a:t>Share</a:t>
                </a:r>
                <a:r>
                  <a:rPr lang="en-GB" sz="1200" b="1" i="1" baseline="0"/>
                  <a:t> of Total</a:t>
                </a:r>
                <a:endParaRPr lang="en-GB" sz="1200" b="1" i="1"/>
              </a:p>
            </c:rich>
          </c:tx>
          <c:layout>
            <c:manualLayout>
              <c:xMode val="edge"/>
              <c:yMode val="edge"/>
              <c:x val="7.2782400489647903E-2"/>
              <c:y val="4.2853485967049732E-3"/>
            </c:manualLayout>
          </c:layout>
          <c:overlay val="0"/>
          <c:spPr>
            <a:noFill/>
            <a:ln>
              <a:noFill/>
            </a:ln>
            <a:effectLst/>
          </c:spPr>
          <c:txPr>
            <a:bodyPr rot="0" spcFirstLastPara="1" vertOverflow="ellipsis"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4493136"/>
        <c:crosses val="autoZero"/>
        <c:crossBetween val="between"/>
      </c:valAx>
      <c:spPr>
        <a:noFill/>
        <a:ln>
          <a:solidFill>
            <a:schemeClr val="bg1">
              <a:lumMod val="50000"/>
            </a:schemeClr>
          </a:solidFill>
        </a:ln>
        <a:effectLst/>
      </c:spPr>
    </c:plotArea>
    <c:legend>
      <c:legendPos val="b"/>
      <c:layout>
        <c:manualLayout>
          <c:xMode val="edge"/>
          <c:yMode val="edge"/>
          <c:x val="0.58507937866371518"/>
          <c:y val="8.7119311646512321E-2"/>
          <c:w val="0.36600492627964265"/>
          <c:h val="0.25575021587841179"/>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5.6723085167019932E-2"/>
          <c:w val="0.88632525671556139"/>
          <c:h val="0.63336712299779174"/>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L_Force_Tbl22_Transp__II!$E$65:$V$65</c:f>
              <c:numCache>
                <c:formatCode>0.0</c:formatCode>
                <c:ptCount val="1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pt idx="8">
                  <c:v>1.9018293787357361</c:v>
                </c:pt>
                <c:pt idx="9">
                  <c:v>1.7025901104872305</c:v>
                </c:pt>
                <c:pt idx="10">
                  <c:v>3.2421662742256836</c:v>
                </c:pt>
                <c:pt idx="11">
                  <c:v>8.5491758739358819</c:v>
                </c:pt>
                <c:pt idx="12">
                  <c:v>2.9885890237275858</c:v>
                </c:pt>
                <c:pt idx="13">
                  <c:v>4.2564752762180769</c:v>
                </c:pt>
                <c:pt idx="14">
                  <c:v>4.9809817062126429</c:v>
                </c:pt>
                <c:pt idx="15">
                  <c:v>2.843687737728672</c:v>
                </c:pt>
                <c:pt idx="16">
                  <c:v>2.6444484694801664</c:v>
                </c:pt>
                <c:pt idx="17">
                  <c:v>5.5424741894584315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L_Force_Tbl22_Transp__II!$E$66:$V$66</c:f>
              <c:numCache>
                <c:formatCode>0.0</c:formatCode>
                <c:ptCount val="1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pt idx="8">
                  <c:v>1.7155199123614018</c:v>
                </c:pt>
                <c:pt idx="9">
                  <c:v>0.1682533150510119</c:v>
                </c:pt>
                <c:pt idx="10">
                  <c:v>0.39069370910204188</c:v>
                </c:pt>
                <c:pt idx="11">
                  <c:v>0</c:v>
                </c:pt>
                <c:pt idx="12">
                  <c:v>0</c:v>
                </c:pt>
                <c:pt idx="13">
                  <c:v>2.1761674707061562</c:v>
                </c:pt>
                <c:pt idx="14">
                  <c:v>2.1137998540799625</c:v>
                </c:pt>
                <c:pt idx="15">
                  <c:v>2.380752053735506</c:v>
                </c:pt>
                <c:pt idx="16">
                  <c:v>2.9641784695038891</c:v>
                </c:pt>
                <c:pt idx="17">
                  <c:v>8.7324699232738929</c:v>
                </c:pt>
              </c:numCache>
            </c:numRef>
          </c:val>
          <c:extLst xmlns:c16r2="http://schemas.microsoft.com/office/drawing/2015/06/chart">
            <c:ext xmlns:c16="http://schemas.microsoft.com/office/drawing/2014/chart" uri="{C3380CC4-5D6E-409C-BE32-E72D297353CC}">
              <c16:uniqueId val="{00000001-188E-42E5-9694-A3749D23B26B}"/>
            </c:ext>
          </c:extLst>
        </c:ser>
        <c:ser>
          <c:idx val="5"/>
          <c:order val="2"/>
          <c:tx>
            <c:strRef>
              <c:f>L_Force_Tbl22_Transp__II!$B$70</c:f>
              <c:strCache>
                <c:ptCount val="1"/>
                <c:pt idx="0">
                  <c:v>Water 'Abstracted (Incl. Soil water)'</c:v>
                </c:pt>
              </c:strCache>
            </c:strRef>
          </c:tx>
          <c:spPr>
            <a:solidFill>
              <a:schemeClr val="accent6"/>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L_Force_Tbl22_Transp__II!$E$70:$V$70</c:f>
              <c:numCache>
                <c:formatCode>0.0</c:formatCode>
                <c:ptCount val="18"/>
                <c:pt idx="0">
                  <c:v>96.717092114075044</c:v>
                </c:pt>
                <c:pt idx="1">
                  <c:v>0.15681006331385197</c:v>
                </c:pt>
                <c:pt idx="2">
                  <c:v>0.17148956739671212</c:v>
                </c:pt>
                <c:pt idx="3">
                  <c:v>2.5736406425596869</c:v>
                </c:pt>
                <c:pt idx="4">
                  <c:v>0.37584303621615495</c:v>
                </c:pt>
                <c:pt idx="5">
                  <c:v>0</c:v>
                </c:pt>
                <c:pt idx="6">
                  <c:v>0</c:v>
                </c:pt>
                <c:pt idx="7">
                  <c:v>0</c:v>
                </c:pt>
                <c:pt idx="8">
                  <c:v>0</c:v>
                </c:pt>
                <c:pt idx="9">
                  <c:v>0</c:v>
                </c:pt>
                <c:pt idx="10">
                  <c:v>4.1909425873272671E-7</c:v>
                </c:pt>
                <c:pt idx="11">
                  <c:v>0</c:v>
                </c:pt>
                <c:pt idx="12">
                  <c:v>0</c:v>
                </c:pt>
                <c:pt idx="13">
                  <c:v>0</c:v>
                </c:pt>
                <c:pt idx="14">
                  <c:v>0</c:v>
                </c:pt>
                <c:pt idx="15">
                  <c:v>9.2979833148184004E-4</c:v>
                </c:pt>
                <c:pt idx="16">
                  <c:v>4.1125685772733884E-3</c:v>
                </c:pt>
                <c:pt idx="17" formatCode="0.000">
                  <c:v>1.6358087106855792E-4</c:v>
                </c:pt>
              </c:numCache>
            </c:numRef>
          </c:val>
          <c:extLst xmlns:c16r2="http://schemas.microsoft.com/office/drawing/2015/06/chart">
            <c:ext xmlns:c16="http://schemas.microsoft.com/office/drawing/2014/chart" uri="{C3380CC4-5D6E-409C-BE32-E72D297353CC}">
              <c16:uniqueId val="{00000000-8394-43F7-8DA8-943E579F8E82}"/>
            </c:ext>
          </c:extLst>
        </c:ser>
        <c:dLbls>
          <c:showLegendKey val="0"/>
          <c:showVal val="0"/>
          <c:showCatName val="0"/>
          <c:showSerName val="0"/>
          <c:showPercent val="0"/>
          <c:showBubbleSize val="0"/>
        </c:dLbls>
        <c:gapWidth val="219"/>
        <c:overlap val="-27"/>
        <c:axId val="-904497488"/>
        <c:axId val="-904500752"/>
      </c:barChart>
      <c:catAx>
        <c:axId val="-90449748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00752"/>
        <c:crosses val="autoZero"/>
        <c:auto val="1"/>
        <c:lblAlgn val="ctr"/>
        <c:lblOffset val="100"/>
        <c:noMultiLvlLbl val="0"/>
      </c:catAx>
      <c:valAx>
        <c:axId val="-904500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r>
                  <a:rPr lang="en-GB" sz="1100" b="1" i="1"/>
                  <a:t>Share</a:t>
                </a:r>
                <a:r>
                  <a:rPr lang="en-GB" sz="1100" b="1" i="1" baseline="0"/>
                  <a:t> of Total</a:t>
                </a:r>
                <a:endParaRPr lang="en-GB" sz="1100" b="1" i="1"/>
              </a:p>
            </c:rich>
          </c:tx>
          <c:layout>
            <c:manualLayout>
              <c:xMode val="edge"/>
              <c:yMode val="edge"/>
              <c:x val="7.2782400489647903E-2"/>
              <c:y val="4.2853485967049732E-3"/>
            </c:manualLayout>
          </c:layout>
          <c:overlay val="0"/>
          <c:spPr>
            <a:noFill/>
            <a:ln>
              <a:noFill/>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4497488"/>
        <c:crosses val="autoZero"/>
        <c:crossBetween val="between"/>
      </c:valAx>
      <c:spPr>
        <a:noFill/>
        <a:ln>
          <a:solidFill>
            <a:schemeClr val="bg1">
              <a:lumMod val="50000"/>
            </a:schemeClr>
          </a:solidFill>
        </a:ln>
        <a:effectLst/>
      </c:spPr>
    </c:plotArea>
    <c:legend>
      <c:legendPos val="b"/>
      <c:layout>
        <c:manualLayout>
          <c:xMode val="edge"/>
          <c:yMode val="edge"/>
          <c:x val="0.60448801879428793"/>
          <c:y val="7.8450044199611588E-2"/>
          <c:w val="0.36600492627964265"/>
          <c:h val="0.39272464153944348"/>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6.9267733994448022E-2"/>
          <c:w val="0.88632525671556139"/>
          <c:h val="0.79946307599124056"/>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f>L_Force_Tbl22_Transp__II!$E$39:$L$39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strCache>
            </c:strRef>
          </c:cat>
          <c:val>
            <c:numRef>
              <c:f>L_Force_Tbl22_Transp__II!$E$65:$L$65</c:f>
              <c:numCache>
                <c:formatCode>0.0</c:formatCode>
                <c:ptCount val="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f>L_Force_Tbl22_Transp__II!$E$39:$L$39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strCache>
            </c:strRef>
          </c:cat>
          <c:val>
            <c:numRef>
              <c:f>L_Force_Tbl22_Transp__II!$E$66:$L$66</c:f>
              <c:numCache>
                <c:formatCode>0.0</c:formatCode>
                <c:ptCount val="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numCache>
            </c:numRef>
          </c:val>
          <c:extLst xmlns:c16r2="http://schemas.microsoft.com/office/drawing/2015/06/chart">
            <c:ext xmlns:c16="http://schemas.microsoft.com/office/drawing/2014/chart" uri="{C3380CC4-5D6E-409C-BE32-E72D297353CC}">
              <c16:uniqueId val="{00000001-188E-42E5-9694-A3749D23B26B}"/>
            </c:ext>
          </c:extLst>
        </c:ser>
        <c:ser>
          <c:idx val="2"/>
          <c:order val="2"/>
          <c:tx>
            <c:strRef>
              <c:f>L_Force_Tbl22_Transp__II!$B$67</c:f>
              <c:strCache>
                <c:ptCount val="1"/>
                <c:pt idx="0">
                  <c:v>Water Consumed</c:v>
                </c:pt>
              </c:strCache>
            </c:strRef>
          </c:tx>
          <c:spPr>
            <a:solidFill>
              <a:schemeClr val="accent3"/>
            </a:solidFill>
            <a:ln>
              <a:noFill/>
            </a:ln>
            <a:effectLst/>
          </c:spPr>
          <c:invertIfNegative val="0"/>
          <c:cat>
            <c:strRef>
              <c:f>L_Force_Tbl22_Transp__II!$E$39:$L$39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strCache>
            </c:strRef>
          </c:cat>
          <c:val>
            <c:numRef>
              <c:f>L_Force_Tbl22_Transp__II!$E$67:$L$67</c:f>
              <c:numCache>
                <c:formatCode>0.0</c:formatCode>
                <c:ptCount val="8"/>
                <c:pt idx="0">
                  <c:v>81.701971796726184</c:v>
                </c:pt>
                <c:pt idx="1">
                  <c:v>7.0507311678896806E-3</c:v>
                </c:pt>
                <c:pt idx="2">
                  <c:v>1.0018927946899294</c:v>
                </c:pt>
                <c:pt idx="3">
                  <c:v>16.621901326480586</c:v>
                </c:pt>
                <c:pt idx="4">
                  <c:v>0.33817427758032492</c:v>
                </c:pt>
                <c:pt idx="5">
                  <c:v>0</c:v>
                </c:pt>
                <c:pt idx="6">
                  <c:v>0</c:v>
                </c:pt>
                <c:pt idx="7">
                  <c:v>0</c:v>
                </c:pt>
              </c:numCache>
            </c:numRef>
          </c:val>
          <c:extLst xmlns:c16r2="http://schemas.microsoft.com/office/drawing/2015/06/chart">
            <c:ext xmlns:c16="http://schemas.microsoft.com/office/drawing/2014/chart" uri="{C3380CC4-5D6E-409C-BE32-E72D297353CC}">
              <c16:uniqueId val="{00000002-188E-42E5-9694-A3749D23B26B}"/>
            </c:ext>
          </c:extLst>
        </c:ser>
        <c:dLbls>
          <c:showLegendKey val="0"/>
          <c:showVal val="0"/>
          <c:showCatName val="0"/>
          <c:showSerName val="0"/>
          <c:showPercent val="0"/>
          <c:showBubbleSize val="0"/>
        </c:dLbls>
        <c:gapWidth val="219"/>
        <c:overlap val="-27"/>
        <c:axId val="-904501840"/>
        <c:axId val="-904494224"/>
      </c:barChart>
      <c:catAx>
        <c:axId val="-904501840"/>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94224"/>
        <c:crosses val="autoZero"/>
        <c:auto val="1"/>
        <c:lblAlgn val="ctr"/>
        <c:lblOffset val="100"/>
        <c:noMultiLvlLbl val="0"/>
      </c:catAx>
      <c:valAx>
        <c:axId val="-90449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r>
                  <a:rPr lang="en-GB" sz="1100" b="1" i="1"/>
                  <a:t>Share</a:t>
                </a:r>
                <a:r>
                  <a:rPr lang="en-GB" sz="1100" b="1" i="1" baseline="0"/>
                  <a:t> of total </a:t>
                </a:r>
                <a:endParaRPr lang="en-GB" sz="1100" b="1" i="1"/>
              </a:p>
            </c:rich>
          </c:tx>
          <c:layout>
            <c:manualLayout>
              <c:xMode val="edge"/>
              <c:yMode val="edge"/>
              <c:x val="7.9561765895886399E-2"/>
              <c:y val="2.0845086160238831E-2"/>
            </c:manualLayout>
          </c:layout>
          <c:overlay val="0"/>
          <c:spPr>
            <a:noFill/>
            <a:ln>
              <a:noFill/>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4501840"/>
        <c:crosses val="autoZero"/>
        <c:crossBetween val="between"/>
      </c:valAx>
      <c:spPr>
        <a:noFill/>
        <a:ln>
          <a:solidFill>
            <a:schemeClr val="bg1">
              <a:lumMod val="50000"/>
            </a:schemeClr>
          </a:solidFill>
        </a:ln>
        <a:effectLst/>
      </c:spPr>
    </c:plotArea>
    <c:legend>
      <c:legendPos val="b"/>
      <c:layout>
        <c:manualLayout>
          <c:xMode val="edge"/>
          <c:yMode val="edge"/>
          <c:x val="0.67423590896430829"/>
          <c:y val="0.10539308972187789"/>
          <c:w val="0.26047417065314277"/>
          <c:h val="0.25425214309408661"/>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6.9267733994448022E-2"/>
          <c:w val="0.88632525671556139"/>
          <c:h val="0.81399009854307136"/>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f>L_Force_Tbl22_Transp__II!$E$39:$L$39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strCache>
            </c:strRef>
          </c:cat>
          <c:val>
            <c:numRef>
              <c:f>L_Force_Tbl22_Transp__II!$E$65:$L$65</c:f>
              <c:numCache>
                <c:formatCode>0.0</c:formatCode>
                <c:ptCount val="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f>L_Force_Tbl22_Transp__II!$E$39:$L$39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strCache>
            </c:strRef>
          </c:cat>
          <c:val>
            <c:numRef>
              <c:f>L_Force_Tbl22_Transp__II!$E$66:$L$66</c:f>
              <c:numCache>
                <c:formatCode>0.0</c:formatCode>
                <c:ptCount val="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numCache>
            </c:numRef>
          </c:val>
          <c:extLst xmlns:c16r2="http://schemas.microsoft.com/office/drawing/2015/06/chart">
            <c:ext xmlns:c16="http://schemas.microsoft.com/office/drawing/2014/chart" uri="{C3380CC4-5D6E-409C-BE32-E72D297353CC}">
              <c16:uniqueId val="{00000001-188E-42E5-9694-A3749D23B26B}"/>
            </c:ext>
          </c:extLst>
        </c:ser>
        <c:ser>
          <c:idx val="3"/>
          <c:order val="2"/>
          <c:tx>
            <c:strRef>
              <c:f>L_Force_Tbl22_Transp__II!$B$68</c:f>
              <c:strCache>
                <c:ptCount val="1"/>
                <c:pt idx="0">
                  <c:v>Water Used</c:v>
                </c:pt>
              </c:strCache>
            </c:strRef>
          </c:tx>
          <c:spPr>
            <a:solidFill>
              <a:schemeClr val="accent4"/>
            </a:solidFill>
            <a:ln>
              <a:noFill/>
            </a:ln>
            <a:effectLst/>
          </c:spPr>
          <c:invertIfNegative val="0"/>
          <c:cat>
            <c:strRef>
              <c:f>L_Force_Tbl22_Transp__II!$E$39:$L$39</c:f>
              <c:strCache>
                <c:ptCount val="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strCache>
            </c:strRef>
          </c:cat>
          <c:val>
            <c:numRef>
              <c:f>L_Force_Tbl22_Transp__II!$E$68:$L$68</c:f>
              <c:numCache>
                <c:formatCode>0.0</c:formatCode>
                <c:ptCount val="8"/>
                <c:pt idx="0">
                  <c:v>91.122749524833281</c:v>
                </c:pt>
                <c:pt idx="1">
                  <c:v>0.14678309250747287</c:v>
                </c:pt>
                <c:pt idx="2">
                  <c:v>4.3630843386443789</c:v>
                </c:pt>
                <c:pt idx="3">
                  <c:v>2.4090732733251823</c:v>
                </c:pt>
                <c:pt idx="4">
                  <c:v>0.35181034933191097</c:v>
                </c:pt>
                <c:pt idx="5">
                  <c:v>0</c:v>
                </c:pt>
                <c:pt idx="6">
                  <c:v>0</c:v>
                </c:pt>
                <c:pt idx="7">
                  <c:v>0</c:v>
                </c:pt>
              </c:numCache>
            </c:numRef>
          </c:val>
          <c:extLst xmlns:c16r2="http://schemas.microsoft.com/office/drawing/2015/06/chart">
            <c:ext xmlns:c16="http://schemas.microsoft.com/office/drawing/2014/chart" uri="{C3380CC4-5D6E-409C-BE32-E72D297353CC}">
              <c16:uniqueId val="{00000003-188E-42E5-9694-A3749D23B26B}"/>
            </c:ext>
          </c:extLst>
        </c:ser>
        <c:dLbls>
          <c:showLegendKey val="0"/>
          <c:showVal val="0"/>
          <c:showCatName val="0"/>
          <c:showSerName val="0"/>
          <c:showPercent val="0"/>
          <c:showBubbleSize val="0"/>
        </c:dLbls>
        <c:gapWidth val="219"/>
        <c:overlap val="-27"/>
        <c:axId val="-904495312"/>
        <c:axId val="-904498576"/>
      </c:barChart>
      <c:catAx>
        <c:axId val="-904495312"/>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98576"/>
        <c:crosses val="autoZero"/>
        <c:auto val="1"/>
        <c:lblAlgn val="ctr"/>
        <c:lblOffset val="100"/>
        <c:noMultiLvlLbl val="0"/>
      </c:catAx>
      <c:valAx>
        <c:axId val="-90449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r>
                  <a:rPr lang="en-GB" sz="1100" b="1" i="1"/>
                  <a:t>Share</a:t>
                </a:r>
                <a:r>
                  <a:rPr lang="en-GB" sz="1100" b="1" i="1" baseline="0"/>
                  <a:t> of total </a:t>
                </a:r>
                <a:endParaRPr lang="en-GB" sz="1100" b="1" i="1"/>
              </a:p>
            </c:rich>
          </c:tx>
          <c:layout>
            <c:manualLayout>
              <c:xMode val="edge"/>
              <c:yMode val="edge"/>
              <c:x val="7.9561765895886399E-2"/>
              <c:y val="2.0845086160238831E-2"/>
            </c:manualLayout>
          </c:layout>
          <c:overlay val="0"/>
          <c:spPr>
            <a:noFill/>
            <a:ln>
              <a:noFill/>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4495312"/>
        <c:crosses val="autoZero"/>
        <c:crossBetween val="between"/>
      </c:valAx>
      <c:spPr>
        <a:noFill/>
        <a:ln>
          <a:solidFill>
            <a:schemeClr val="bg1">
              <a:lumMod val="50000"/>
            </a:schemeClr>
          </a:solidFill>
        </a:ln>
        <a:effectLst/>
      </c:spPr>
    </c:plotArea>
    <c:legend>
      <c:legendPos val="b"/>
      <c:layout>
        <c:manualLayout>
          <c:xMode val="edge"/>
          <c:yMode val="edge"/>
          <c:x val="0.67423590896430829"/>
          <c:y val="0.10539308972187789"/>
          <c:w val="0.23257425046544442"/>
          <c:h val="0.25425214309408661"/>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3313031946698"/>
          <c:y val="5.6723085167019932E-2"/>
          <c:w val="0.88632525671556139"/>
          <c:h val="0.63336712299779174"/>
        </c:manualLayout>
      </c:layout>
      <c:barChart>
        <c:barDir val="col"/>
        <c:grouping val="clustered"/>
        <c:varyColors val="0"/>
        <c:ser>
          <c:idx val="0"/>
          <c:order val="0"/>
          <c:tx>
            <c:strRef>
              <c:f>L_Force_Tbl22_Transp__II!$B$65</c:f>
              <c:strCache>
                <c:ptCount val="1"/>
                <c:pt idx="0">
                  <c:v>GDP</c:v>
                </c:pt>
              </c:strCache>
            </c:strRef>
          </c:tx>
          <c:spPr>
            <a:solidFill>
              <a:schemeClr val="accent1"/>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L_Force_Tbl22_Transp__II!$E$65:$V$65</c:f>
              <c:numCache>
                <c:formatCode>0.0</c:formatCode>
                <c:ptCount val="18"/>
                <c:pt idx="0">
                  <c:v>29.885890237275859</c:v>
                </c:pt>
                <c:pt idx="1">
                  <c:v>2.5357725049809816</c:v>
                </c:pt>
                <c:pt idx="2">
                  <c:v>6.3213186017025897</c:v>
                </c:pt>
                <c:pt idx="3">
                  <c:v>0.92374569824307196</c:v>
                </c:pt>
                <c:pt idx="4">
                  <c:v>0.56149248324578882</c:v>
                </c:pt>
                <c:pt idx="5">
                  <c:v>8.2050353196884629</c:v>
                </c:pt>
                <c:pt idx="6">
                  <c:v>8.8027531244339787</c:v>
                </c:pt>
                <c:pt idx="7">
                  <c:v>4.1115739902191635</c:v>
                </c:pt>
                <c:pt idx="8">
                  <c:v>1.9018293787357361</c:v>
                </c:pt>
                <c:pt idx="9">
                  <c:v>1.7025901104872305</c:v>
                </c:pt>
                <c:pt idx="10">
                  <c:v>3.2421662742256836</c:v>
                </c:pt>
                <c:pt idx="11">
                  <c:v>8.5491758739358819</c:v>
                </c:pt>
                <c:pt idx="12">
                  <c:v>2.9885890237275858</c:v>
                </c:pt>
                <c:pt idx="13">
                  <c:v>4.2564752762180769</c:v>
                </c:pt>
                <c:pt idx="14">
                  <c:v>4.9809817062126429</c:v>
                </c:pt>
                <c:pt idx="15">
                  <c:v>2.843687737728672</c:v>
                </c:pt>
                <c:pt idx="16">
                  <c:v>2.6444484694801664</c:v>
                </c:pt>
                <c:pt idx="17">
                  <c:v>5.5424741894584315</c:v>
                </c:pt>
              </c:numCache>
            </c:numRef>
          </c:val>
          <c:extLst xmlns:c16r2="http://schemas.microsoft.com/office/drawing/2015/06/chart">
            <c:ext xmlns:c16="http://schemas.microsoft.com/office/drawing/2014/chart" uri="{C3380CC4-5D6E-409C-BE32-E72D297353CC}">
              <c16:uniqueId val="{00000000-188E-42E5-9694-A3749D23B26B}"/>
            </c:ext>
          </c:extLst>
        </c:ser>
        <c:ser>
          <c:idx val="1"/>
          <c:order val="1"/>
          <c:tx>
            <c:strRef>
              <c:f>L_Force_Tbl22_Transp__II!$B$66</c:f>
              <c:strCache>
                <c:ptCount val="1"/>
                <c:pt idx="0">
                  <c:v>Employment ('2016')</c:v>
                </c:pt>
              </c:strCache>
            </c:strRef>
          </c:tx>
          <c:spPr>
            <a:solidFill>
              <a:schemeClr val="accent2"/>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L_Force_Tbl22_Transp__II!$E$66:$V$66</c:f>
              <c:numCache>
                <c:formatCode>0.0</c:formatCode>
                <c:ptCount val="18"/>
                <c:pt idx="0">
                  <c:v>47.048829495499049</c:v>
                </c:pt>
                <c:pt idx="1">
                  <c:v>2.8313964998685126</c:v>
                </c:pt>
                <c:pt idx="2">
                  <c:v>4.5101214710602138</c:v>
                </c:pt>
                <c:pt idx="3">
                  <c:v>0.37218521190045678</c:v>
                </c:pt>
                <c:pt idx="4">
                  <c:v>1.3442676133142368E-2</c:v>
                </c:pt>
                <c:pt idx="5">
                  <c:v>7.5313549448047228</c:v>
                </c:pt>
                <c:pt idx="6">
                  <c:v>14.182954286442886</c:v>
                </c:pt>
                <c:pt idx="7">
                  <c:v>2.8544380303439985</c:v>
                </c:pt>
                <c:pt idx="8">
                  <c:v>1.7155199123614018</c:v>
                </c:pt>
                <c:pt idx="9">
                  <c:v>0.1682533150510119</c:v>
                </c:pt>
                <c:pt idx="10">
                  <c:v>0.39069370910204188</c:v>
                </c:pt>
                <c:pt idx="11">
                  <c:v>0</c:v>
                </c:pt>
                <c:pt idx="12">
                  <c:v>0</c:v>
                </c:pt>
                <c:pt idx="13">
                  <c:v>2.1761674707061562</c:v>
                </c:pt>
                <c:pt idx="14">
                  <c:v>2.1137998540799625</c:v>
                </c:pt>
                <c:pt idx="15">
                  <c:v>2.380752053735506</c:v>
                </c:pt>
                <c:pt idx="16">
                  <c:v>2.9641784695038891</c:v>
                </c:pt>
                <c:pt idx="17">
                  <c:v>8.7324699232738929</c:v>
                </c:pt>
              </c:numCache>
            </c:numRef>
          </c:val>
          <c:extLst xmlns:c16r2="http://schemas.microsoft.com/office/drawing/2015/06/chart">
            <c:ext xmlns:c16="http://schemas.microsoft.com/office/drawing/2014/chart" uri="{C3380CC4-5D6E-409C-BE32-E72D297353CC}">
              <c16:uniqueId val="{00000001-188E-42E5-9694-A3749D23B26B}"/>
            </c:ext>
          </c:extLst>
        </c:ser>
        <c:ser>
          <c:idx val="4"/>
          <c:order val="2"/>
          <c:tx>
            <c:strRef>
              <c:f>L_Force_Tbl22_Transp__II!$B$69</c:f>
              <c:strCache>
                <c:ptCount val="1"/>
                <c:pt idx="0">
                  <c:v>Water 'Abstracted (Gr. &amp; Surfacewater)'</c:v>
                </c:pt>
              </c:strCache>
            </c:strRef>
          </c:tx>
          <c:spPr>
            <a:solidFill>
              <a:schemeClr val="accent5"/>
            </a:solidFill>
            <a:ln>
              <a:noFill/>
            </a:ln>
            <a:effectLst/>
          </c:spPr>
          <c:invertIfNegative val="0"/>
          <c:cat>
            <c:strRef>
              <c:f>L_Force_Tbl22_Transp__II!$E$39:$V$39</c:f>
              <c:strCache>
                <c:ptCount val="18"/>
                <c:pt idx="0">
                  <c:v>AGRICULTURE, FORESTRY &amp; FISHING</c:v>
                </c:pt>
                <c:pt idx="1">
                  <c:v>Mining &amp; quarrying</c:v>
                </c:pt>
                <c:pt idx="2">
                  <c:v>TOTAL MANUFACTURING</c:v>
                </c:pt>
                <c:pt idx="3">
                  <c:v>Electricity</c:v>
                </c:pt>
                <c:pt idx="4">
                  <c:v>Water &amp; waste management</c:v>
                </c:pt>
                <c:pt idx="5">
                  <c:v>Construction</c:v>
                </c:pt>
                <c:pt idx="6">
                  <c:v>Maintenance and repair of motor vehicles &amp; Wholesale &amp; retail trade</c:v>
                </c:pt>
                <c:pt idx="7">
                  <c:v>Transport services</c:v>
                </c:pt>
                <c:pt idx="8">
                  <c:v>Hotels &amp; restaurants</c:v>
                </c:pt>
                <c:pt idx="9">
                  <c:v>Information &amp; communication</c:v>
                </c:pt>
                <c:pt idx="10">
                  <c:v>Financial services</c:v>
                </c:pt>
                <c:pt idx="11">
                  <c:v>Real estate activities</c:v>
                </c:pt>
                <c:pt idx="12">
                  <c:v>Professional, scientific and technical activities</c:v>
                </c:pt>
                <c:pt idx="13">
                  <c:v>Administrative and support service activities</c:v>
                </c:pt>
                <c:pt idx="14">
                  <c:v>Public administration and defence; compulsory social security</c:v>
                </c:pt>
                <c:pt idx="15">
                  <c:v>Education</c:v>
                </c:pt>
                <c:pt idx="16">
                  <c:v>Human health and social work activities</c:v>
                </c:pt>
                <c:pt idx="17">
                  <c:v>Cultural, domestic &amp; other services</c:v>
                </c:pt>
              </c:strCache>
            </c:strRef>
          </c:cat>
          <c:val>
            <c:numRef>
              <c:f>L_Force_Tbl22_Transp__II!$E$69:$V$69</c:f>
              <c:numCache>
                <c:formatCode>0.0</c:formatCode>
                <c:ptCount val="18"/>
                <c:pt idx="0">
                  <c:v>33.67983466625045</c:v>
                </c:pt>
                <c:pt idx="1">
                  <c:v>0.16132921610121953</c:v>
                </c:pt>
                <c:pt idx="2">
                  <c:v>3.629478266785422</c:v>
                </c:pt>
                <c:pt idx="3">
                  <c:v>54.53226324561281</c:v>
                </c:pt>
                <c:pt idx="4">
                  <c:v>7.9636492566364279</c:v>
                </c:pt>
                <c:pt idx="5">
                  <c:v>0</c:v>
                </c:pt>
                <c:pt idx="6">
                  <c:v>0</c:v>
                </c:pt>
                <c:pt idx="7">
                  <c:v>0</c:v>
                </c:pt>
                <c:pt idx="8">
                  <c:v>0</c:v>
                </c:pt>
                <c:pt idx="9">
                  <c:v>0</c:v>
                </c:pt>
                <c:pt idx="10">
                  <c:v>0</c:v>
                </c:pt>
                <c:pt idx="11">
                  <c:v>0</c:v>
                </c:pt>
                <c:pt idx="12">
                  <c:v>0</c:v>
                </c:pt>
                <c:pt idx="13">
                  <c:v>0</c:v>
                </c:pt>
                <c:pt idx="14">
                  <c:v>0</c:v>
                </c:pt>
                <c:pt idx="15">
                  <c:v>1.9701277070007007E-2</c:v>
                </c:pt>
                <c:pt idx="16">
                  <c:v>1.3437175661349174E-2</c:v>
                </c:pt>
                <c:pt idx="17" formatCode="0.000">
                  <c:v>3.0689588231238869E-4</c:v>
                </c:pt>
              </c:numCache>
            </c:numRef>
          </c:val>
          <c:extLst xmlns:c16r2="http://schemas.microsoft.com/office/drawing/2015/06/chart">
            <c:ext xmlns:c16="http://schemas.microsoft.com/office/drawing/2014/chart" uri="{C3380CC4-5D6E-409C-BE32-E72D297353CC}">
              <c16:uniqueId val="{00000001-E5A7-47DA-AA22-229721DBE997}"/>
            </c:ext>
          </c:extLst>
        </c:ser>
        <c:dLbls>
          <c:showLegendKey val="0"/>
          <c:showVal val="0"/>
          <c:showCatName val="0"/>
          <c:showSerName val="0"/>
          <c:showPercent val="0"/>
          <c:showBubbleSize val="0"/>
        </c:dLbls>
        <c:gapWidth val="219"/>
        <c:overlap val="-27"/>
        <c:axId val="-904492048"/>
        <c:axId val="-904501296"/>
      </c:barChart>
      <c:catAx>
        <c:axId val="-90449204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01296"/>
        <c:crosses val="autoZero"/>
        <c:auto val="1"/>
        <c:lblAlgn val="ctr"/>
        <c:lblOffset val="100"/>
        <c:noMultiLvlLbl val="0"/>
      </c:catAx>
      <c:valAx>
        <c:axId val="-904501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r>
                  <a:rPr lang="en-GB" sz="1100" b="1" i="1"/>
                  <a:t>Share</a:t>
                </a:r>
                <a:r>
                  <a:rPr lang="en-GB" sz="1100" b="1" i="1" baseline="0"/>
                  <a:t> of Total</a:t>
                </a:r>
                <a:endParaRPr lang="en-GB" sz="1100" b="1" i="1"/>
              </a:p>
            </c:rich>
          </c:tx>
          <c:layout>
            <c:manualLayout>
              <c:xMode val="edge"/>
              <c:yMode val="edge"/>
              <c:x val="7.2782400489647903E-2"/>
              <c:y val="4.2853485967049732E-3"/>
            </c:manualLayout>
          </c:layout>
          <c:overlay val="0"/>
          <c:spPr>
            <a:noFill/>
            <a:ln>
              <a:noFill/>
            </a:ln>
            <a:effectLst/>
          </c:spPr>
          <c:txPr>
            <a:bodyPr rot="0" spcFirstLastPara="1" vertOverflow="ellipsis" wrap="square" anchor="ctr" anchorCtr="1"/>
            <a:lstStyle/>
            <a:p>
              <a:pPr>
                <a:defRPr sz="11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4492048"/>
        <c:crosses val="autoZero"/>
        <c:crossBetween val="between"/>
      </c:valAx>
      <c:spPr>
        <a:noFill/>
        <a:ln>
          <a:solidFill>
            <a:schemeClr val="bg1">
              <a:lumMod val="50000"/>
            </a:schemeClr>
          </a:solidFill>
        </a:ln>
        <a:effectLst/>
      </c:spPr>
    </c:plotArea>
    <c:legend>
      <c:legendPos val="b"/>
      <c:layout>
        <c:manualLayout>
          <c:xMode val="edge"/>
          <c:yMode val="edge"/>
          <c:x val="0.60448801879428793"/>
          <c:y val="7.8450044199611588E-2"/>
          <c:w val="0.36600492627964265"/>
          <c:h val="0.39272464153944348"/>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949299633736257E-2"/>
          <c:y val="7.0687055948194563E-2"/>
          <c:w val="0.90970733591436959"/>
          <c:h val="0.76034678940286482"/>
        </c:manualLayout>
      </c:layout>
      <c:barChart>
        <c:barDir val="col"/>
        <c:grouping val="clustered"/>
        <c:varyColors val="0"/>
        <c:ser>
          <c:idx val="0"/>
          <c:order val="0"/>
          <c:tx>
            <c:strRef>
              <c:f>L_Force_Tbl22_Transp__II!$B$74</c:f>
              <c:strCache>
                <c:ptCount val="1"/>
                <c:pt idx="0">
                  <c:v>GDP</c:v>
                </c:pt>
              </c:strCache>
            </c:strRef>
          </c:tx>
          <c:spPr>
            <a:solidFill>
              <a:srgbClr val="C00000"/>
            </a:solidFill>
            <a:ln>
              <a:noFill/>
            </a:ln>
            <a:effectLst/>
          </c:spPr>
          <c:invertIfNegative val="0"/>
          <c:cat>
            <c:strRef>
              <c:f>L_Force_Tbl22_Transp__II!$E$73:$J$73</c:f>
              <c:strCache>
                <c:ptCount val="6"/>
                <c:pt idx="0">
                  <c:v>AGRICULTURE, FORESTRY &amp; FISHING</c:v>
                </c:pt>
                <c:pt idx="1">
                  <c:v>Mining &amp; quarrying</c:v>
                </c:pt>
                <c:pt idx="2">
                  <c:v>TOTAL MANUFACTURING</c:v>
                </c:pt>
                <c:pt idx="3">
                  <c:v>Electricity</c:v>
                </c:pt>
                <c:pt idx="4">
                  <c:v>Water &amp; waste management</c:v>
                </c:pt>
                <c:pt idx="5">
                  <c:v>Service sectors</c:v>
                </c:pt>
              </c:strCache>
            </c:strRef>
          </c:cat>
          <c:val>
            <c:numRef>
              <c:f>L_Force_Tbl22_Transp__II!$E$74:$J$74</c:f>
              <c:numCache>
                <c:formatCode>0.0</c:formatCode>
                <c:ptCount val="6"/>
                <c:pt idx="0">
                  <c:v>29.885890237275859</c:v>
                </c:pt>
                <c:pt idx="1">
                  <c:v>2.5357725049809816</c:v>
                </c:pt>
                <c:pt idx="2">
                  <c:v>6.3213186017025897</c:v>
                </c:pt>
                <c:pt idx="3">
                  <c:v>0.92374569824307196</c:v>
                </c:pt>
                <c:pt idx="4">
                  <c:v>0.56149248324578882</c:v>
                </c:pt>
                <c:pt idx="5">
                  <c:v>59.771780474551711</c:v>
                </c:pt>
              </c:numCache>
            </c:numRef>
          </c:val>
          <c:extLst xmlns:c16r2="http://schemas.microsoft.com/office/drawing/2015/06/chart">
            <c:ext xmlns:c16="http://schemas.microsoft.com/office/drawing/2014/chart" uri="{C3380CC4-5D6E-409C-BE32-E72D297353CC}">
              <c16:uniqueId val="{00000000-9E41-43BB-8657-DEB7A47C0E03}"/>
            </c:ext>
          </c:extLst>
        </c:ser>
        <c:ser>
          <c:idx val="1"/>
          <c:order val="1"/>
          <c:tx>
            <c:strRef>
              <c:f>L_Force_Tbl22_Transp__II!$B$75</c:f>
              <c:strCache>
                <c:ptCount val="1"/>
                <c:pt idx="0">
                  <c:v>Employment ('2016')</c:v>
                </c:pt>
              </c:strCache>
            </c:strRef>
          </c:tx>
          <c:spPr>
            <a:solidFill>
              <a:schemeClr val="accent4"/>
            </a:solidFill>
            <a:ln>
              <a:noFill/>
            </a:ln>
            <a:effectLst/>
          </c:spPr>
          <c:invertIfNegative val="0"/>
          <c:cat>
            <c:strRef>
              <c:f>L_Force_Tbl22_Transp__II!$E$73:$J$73</c:f>
              <c:strCache>
                <c:ptCount val="6"/>
                <c:pt idx="0">
                  <c:v>AGRICULTURE, FORESTRY &amp; FISHING</c:v>
                </c:pt>
                <c:pt idx="1">
                  <c:v>Mining &amp; quarrying</c:v>
                </c:pt>
                <c:pt idx="2">
                  <c:v>TOTAL MANUFACTURING</c:v>
                </c:pt>
                <c:pt idx="3">
                  <c:v>Electricity</c:v>
                </c:pt>
                <c:pt idx="4">
                  <c:v>Water &amp; waste management</c:v>
                </c:pt>
                <c:pt idx="5">
                  <c:v>Service sectors</c:v>
                </c:pt>
              </c:strCache>
            </c:strRef>
          </c:cat>
          <c:val>
            <c:numRef>
              <c:f>L_Force_Tbl22_Transp__II!$E$75:$J$75</c:f>
              <c:numCache>
                <c:formatCode>0.0</c:formatCode>
                <c:ptCount val="6"/>
                <c:pt idx="0">
                  <c:v>47.048829495499049</c:v>
                </c:pt>
                <c:pt idx="1">
                  <c:v>2.8313964998685126</c:v>
                </c:pt>
                <c:pt idx="2">
                  <c:v>4.5101214710602138</c:v>
                </c:pt>
                <c:pt idx="3">
                  <c:v>0.37218521190045678</c:v>
                </c:pt>
                <c:pt idx="4">
                  <c:v>1.3442676133142368E-2</c:v>
                </c:pt>
                <c:pt idx="5">
                  <c:v>45.210581969405467</c:v>
                </c:pt>
              </c:numCache>
            </c:numRef>
          </c:val>
          <c:extLst xmlns:c16r2="http://schemas.microsoft.com/office/drawing/2015/06/chart">
            <c:ext xmlns:c16="http://schemas.microsoft.com/office/drawing/2014/chart" uri="{C3380CC4-5D6E-409C-BE32-E72D297353CC}">
              <c16:uniqueId val="{00000001-9E41-43BB-8657-DEB7A47C0E03}"/>
            </c:ext>
          </c:extLst>
        </c:ser>
        <c:ser>
          <c:idx val="4"/>
          <c:order val="2"/>
          <c:tx>
            <c:strRef>
              <c:f>L_Force_Tbl22_Transp__II!$B$76</c:f>
              <c:strCache>
                <c:ptCount val="1"/>
                <c:pt idx="0">
                  <c:v>Water 'Abstracted (Gr. &amp; Surfacewater)'</c:v>
                </c:pt>
              </c:strCache>
            </c:strRef>
          </c:tx>
          <c:spPr>
            <a:solidFill>
              <a:srgbClr val="4472C4"/>
            </a:solidFill>
            <a:ln>
              <a:noFill/>
            </a:ln>
            <a:effectLst/>
          </c:spPr>
          <c:invertIfNegative val="0"/>
          <c:cat>
            <c:strRef>
              <c:f>L_Force_Tbl22_Transp__II!$E$73:$J$73</c:f>
              <c:strCache>
                <c:ptCount val="6"/>
                <c:pt idx="0">
                  <c:v>AGRICULTURE, FORESTRY &amp; FISHING</c:v>
                </c:pt>
                <c:pt idx="1">
                  <c:v>Mining &amp; quarrying</c:v>
                </c:pt>
                <c:pt idx="2">
                  <c:v>TOTAL MANUFACTURING</c:v>
                </c:pt>
                <c:pt idx="3">
                  <c:v>Electricity</c:v>
                </c:pt>
                <c:pt idx="4">
                  <c:v>Water &amp; waste management</c:v>
                </c:pt>
                <c:pt idx="5">
                  <c:v>Service sectors</c:v>
                </c:pt>
              </c:strCache>
            </c:strRef>
          </c:cat>
          <c:val>
            <c:numRef>
              <c:f>L_Force_Tbl22_Transp__II!$E$76:$J$76</c:f>
              <c:numCache>
                <c:formatCode>0.0</c:formatCode>
                <c:ptCount val="6"/>
                <c:pt idx="0">
                  <c:v>33.67983466625045</c:v>
                </c:pt>
                <c:pt idx="1">
                  <c:v>0.16132921610121953</c:v>
                </c:pt>
                <c:pt idx="2">
                  <c:v>3.629478266785422</c:v>
                </c:pt>
                <c:pt idx="3">
                  <c:v>54.53226324561281</c:v>
                </c:pt>
                <c:pt idx="4">
                  <c:v>7.9636492566364279</c:v>
                </c:pt>
                <c:pt idx="5">
                  <c:v>3.3445348613668574E-2</c:v>
                </c:pt>
              </c:numCache>
            </c:numRef>
          </c:val>
          <c:extLst xmlns:c16r2="http://schemas.microsoft.com/office/drawing/2015/06/chart">
            <c:ext xmlns:c16="http://schemas.microsoft.com/office/drawing/2014/chart" uri="{C3380CC4-5D6E-409C-BE32-E72D297353CC}">
              <c16:uniqueId val="{00000002-9E41-43BB-8657-DEB7A47C0E03}"/>
            </c:ext>
          </c:extLst>
        </c:ser>
        <c:dLbls>
          <c:showLegendKey val="0"/>
          <c:showVal val="0"/>
          <c:showCatName val="0"/>
          <c:showSerName val="0"/>
          <c:showPercent val="0"/>
          <c:showBubbleSize val="0"/>
        </c:dLbls>
        <c:gapWidth val="219"/>
        <c:overlap val="-27"/>
        <c:axId val="-904496944"/>
        <c:axId val="-904500208"/>
      </c:barChart>
      <c:catAx>
        <c:axId val="-904496944"/>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4500208"/>
        <c:crosses val="autoZero"/>
        <c:auto val="1"/>
        <c:lblAlgn val="ctr"/>
        <c:lblOffset val="100"/>
        <c:noMultiLvlLbl val="0"/>
      </c:catAx>
      <c:valAx>
        <c:axId val="-90450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1" i="1" u="none" strike="noStrike" kern="1200" baseline="0">
                    <a:solidFill>
                      <a:schemeClr val="tx1">
                        <a:lumMod val="65000"/>
                        <a:lumOff val="35000"/>
                      </a:schemeClr>
                    </a:solidFill>
                    <a:latin typeface="+mn-lt"/>
                    <a:ea typeface="+mn-ea"/>
                    <a:cs typeface="+mn-cs"/>
                  </a:defRPr>
                </a:pPr>
                <a:r>
                  <a:rPr lang="en-GB" sz="1400" b="1" i="1"/>
                  <a:t>Share</a:t>
                </a:r>
                <a:r>
                  <a:rPr lang="en-GB" sz="1400" b="1" i="1" baseline="0"/>
                  <a:t> of Total</a:t>
                </a:r>
                <a:endParaRPr lang="en-GB" sz="1400" b="1" i="1"/>
              </a:p>
            </c:rich>
          </c:tx>
          <c:layout>
            <c:manualLayout>
              <c:xMode val="edge"/>
              <c:yMode val="edge"/>
              <c:x val="5.3092253150858436E-2"/>
              <c:y val="1.051676416465889E-2"/>
            </c:manualLayout>
          </c:layout>
          <c:overlay val="0"/>
          <c:spPr>
            <a:noFill/>
            <a:ln>
              <a:noFill/>
            </a:ln>
            <a:effectLst/>
          </c:spPr>
          <c:txPr>
            <a:bodyPr rot="0" spcFirstLastPara="1" vertOverflow="ellipsis"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04496944"/>
        <c:crosses val="autoZero"/>
        <c:crossBetween val="between"/>
      </c:valAx>
      <c:spPr>
        <a:noFill/>
        <a:ln>
          <a:solidFill>
            <a:schemeClr val="bg1">
              <a:lumMod val="50000"/>
            </a:schemeClr>
          </a:solidFill>
        </a:ln>
        <a:effectLst/>
      </c:spPr>
    </c:plotArea>
    <c:legend>
      <c:legendPos val="b"/>
      <c:layout>
        <c:manualLayout>
          <c:xMode val="edge"/>
          <c:yMode val="edge"/>
          <c:x val="0.1305663288227509"/>
          <c:y val="0.92660459528015615"/>
          <c:w val="0.74007401373927306"/>
          <c:h val="5.2623891852055148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Water</a:t>
            </a:r>
            <a:r>
              <a:rPr lang="nl-NL" baseline="0"/>
              <a:t> Productivity of water used (VA / m</a:t>
            </a:r>
            <a:r>
              <a:rPr lang="nl-NL" baseline="30000"/>
              <a:t>3</a:t>
            </a:r>
            <a:r>
              <a:rPr lang="nl-NL" baseline="0"/>
              <a:t>) </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79039811378371"/>
          <c:y val="7.5842110561412449E-2"/>
          <c:w val="0.8777066532294453"/>
          <c:h val="0.7369942924386832"/>
        </c:manualLayout>
      </c:layout>
      <c:barChart>
        <c:barDir val="col"/>
        <c:grouping val="clustered"/>
        <c:varyColors val="0"/>
        <c:ser>
          <c:idx val="0"/>
          <c:order val="0"/>
          <c:tx>
            <c:v>'mainly natural resource &amp; manufacturing sectors' and education</c:v>
          </c:tx>
          <c:spPr>
            <a:pattFill prst="wdDnDiag">
              <a:fgClr>
                <a:srgbClr val="C00000"/>
              </a:fgClr>
              <a:bgClr>
                <a:srgbClr val="0070C0"/>
              </a:bgClr>
            </a:pattFill>
            <a:ln>
              <a:noFill/>
            </a:ln>
            <a:effectLst/>
          </c:spPr>
          <c:invertIfNegative val="0"/>
          <c:cat>
            <c:strRef>
              <c:f>L_Force_Tbl22_Transp__II!$U$106:$U$110</c:f>
              <c:strCache>
                <c:ptCount val="5"/>
                <c:pt idx="0">
                  <c:v>Agriculture</c:v>
                </c:pt>
                <c:pt idx="1">
                  <c:v>Manufacturing</c:v>
                </c:pt>
                <c:pt idx="2">
                  <c:v>Electricity</c:v>
                </c:pt>
                <c:pt idx="3">
                  <c:v>Water &amp; waste management</c:v>
                </c:pt>
                <c:pt idx="4">
                  <c:v>Education</c:v>
                </c:pt>
              </c:strCache>
            </c:strRef>
          </c:cat>
          <c:val>
            <c:numRef>
              <c:f>L_Force_Tbl22_Transp__II!$V$106:$V$110</c:f>
              <c:numCache>
                <c:formatCode>_(* #,##0.0_);_(* \(#,##0.0\);_(* "-"??_);_(@_)</c:formatCode>
                <c:ptCount val="5"/>
                <c:pt idx="0">
                  <c:v>118.39127368600147</c:v>
                </c:pt>
                <c:pt idx="1">
                  <c:v>522.99120220567329</c:v>
                </c:pt>
                <c:pt idx="2">
                  <c:v>138.41486415466264</c:v>
                </c:pt>
                <c:pt idx="3">
                  <c:v>576.12357503956389</c:v>
                </c:pt>
                <c:pt idx="4">
                  <c:v>699.31488619473816</c:v>
                </c:pt>
              </c:numCache>
            </c:numRef>
          </c:val>
          <c:extLst xmlns:c16r2="http://schemas.microsoft.com/office/drawing/2015/06/chart">
            <c:ext xmlns:c16="http://schemas.microsoft.com/office/drawing/2014/chart" uri="{C3380CC4-5D6E-409C-BE32-E72D297353CC}">
              <c16:uniqueId val="{00000000-9E41-43BB-8657-DEB7A47C0E03}"/>
            </c:ext>
          </c:extLst>
        </c:ser>
        <c:dLbls>
          <c:showLegendKey val="0"/>
          <c:showVal val="0"/>
          <c:showCatName val="0"/>
          <c:showSerName val="0"/>
          <c:showPercent val="0"/>
          <c:showBubbleSize val="0"/>
        </c:dLbls>
        <c:gapWidth val="219"/>
        <c:overlap val="-27"/>
        <c:axId val="-904502928"/>
        <c:axId val="-904499664"/>
      </c:barChart>
      <c:catAx>
        <c:axId val="-904502928"/>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4499664"/>
        <c:crosses val="autoZero"/>
        <c:auto val="1"/>
        <c:lblAlgn val="ctr"/>
        <c:lblOffset val="100"/>
        <c:noMultiLvlLbl val="0"/>
      </c:catAx>
      <c:valAx>
        <c:axId val="-904499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1" i="1" u="none" strike="noStrike" kern="1200" baseline="0">
                    <a:solidFill>
                      <a:schemeClr val="tx1">
                        <a:lumMod val="65000"/>
                        <a:lumOff val="35000"/>
                      </a:schemeClr>
                    </a:solidFill>
                    <a:latin typeface="+mn-lt"/>
                    <a:ea typeface="+mn-ea"/>
                    <a:cs typeface="+mn-cs"/>
                  </a:defRPr>
                </a:pPr>
                <a:r>
                  <a:rPr lang="en-GB" sz="1400" b="1" i="1"/>
                  <a:t>RWF / m</a:t>
                </a:r>
                <a:r>
                  <a:rPr lang="en-GB" sz="1400" b="1" i="1" baseline="30000"/>
                  <a:t> 3</a:t>
                </a:r>
                <a:r>
                  <a:rPr lang="en-GB" sz="1400" b="1" i="1"/>
                  <a:t>  </a:t>
                </a:r>
              </a:p>
            </c:rich>
          </c:tx>
          <c:layout>
            <c:manualLayout>
              <c:xMode val="edge"/>
              <c:yMode val="edge"/>
              <c:x val="5.3092253150858436E-2"/>
              <c:y val="1.051676416465889E-2"/>
            </c:manualLayout>
          </c:layout>
          <c:overlay val="0"/>
          <c:spPr>
            <a:noFill/>
            <a:ln>
              <a:noFill/>
            </a:ln>
            <a:effectLst/>
          </c:spPr>
          <c:txPr>
            <a:bodyPr rot="0" spcFirstLastPara="1" vertOverflow="ellipsis"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04502928"/>
        <c:crosses val="autoZero"/>
        <c:crossBetween val="between"/>
      </c:valAx>
      <c:spPr>
        <a:noFill/>
        <a:ln>
          <a:solidFill>
            <a:schemeClr val="bg1">
              <a:lumMod val="50000"/>
            </a:schemeClr>
          </a:solidFill>
        </a:ln>
        <a:effectLst/>
      </c:spPr>
    </c:plotArea>
    <c:legend>
      <c:legendPos val="b"/>
      <c:layout>
        <c:manualLayout>
          <c:xMode val="edge"/>
          <c:yMode val="edge"/>
          <c:x val="8.229046653760852E-2"/>
          <c:y val="0.92403422070855223"/>
          <c:w val="0.87734522640351897"/>
          <c:h val="6.5121678870277006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Water</a:t>
            </a:r>
            <a:r>
              <a:rPr lang="nl-NL" baseline="0"/>
              <a:t> Productivity of water used (VA / m</a:t>
            </a:r>
            <a:r>
              <a:rPr lang="nl-NL" baseline="30000"/>
              <a:t>3</a:t>
            </a:r>
            <a:r>
              <a:rPr lang="nl-NL" baseline="0"/>
              <a:t>) </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18628859678406"/>
          <c:y val="7.8398405424600429E-2"/>
          <c:w val="0.81233424782146013"/>
          <c:h val="0.72821257125663219"/>
        </c:manualLayout>
      </c:layout>
      <c:barChart>
        <c:barDir val="col"/>
        <c:grouping val="clustered"/>
        <c:varyColors val="0"/>
        <c:ser>
          <c:idx val="0"/>
          <c:order val="0"/>
          <c:tx>
            <c:v>Mining and 'mainly service sectors'</c:v>
          </c:tx>
          <c:spPr>
            <a:pattFill prst="wdDnDiag">
              <a:fgClr>
                <a:srgbClr val="C00000"/>
              </a:fgClr>
              <a:bgClr>
                <a:srgbClr val="0070C0"/>
              </a:bgClr>
            </a:pattFill>
            <a:ln>
              <a:noFill/>
            </a:ln>
            <a:effectLst/>
          </c:spPr>
          <c:invertIfNegative val="0"/>
          <c:cat>
            <c:strRef>
              <c:f>L_Force_Tbl22_Transp__II!$U$115:$U$119</c:f>
              <c:strCache>
                <c:ptCount val="5"/>
                <c:pt idx="0">
                  <c:v>Mining</c:v>
                </c:pt>
                <c:pt idx="1">
                  <c:v>Accommodation</c:v>
                </c:pt>
                <c:pt idx="2">
                  <c:v>Financial services</c:v>
                </c:pt>
                <c:pt idx="3">
                  <c:v>Human health</c:v>
                </c:pt>
                <c:pt idx="4">
                  <c:v>Cultural, domestic &amp; other services</c:v>
                </c:pt>
              </c:strCache>
            </c:strRef>
          </c:cat>
          <c:val>
            <c:numRef>
              <c:f>L_Force_Tbl22_Transp__II!$V$115:$V$119</c:f>
              <c:numCache>
                <c:formatCode>_(* #,##0.0_);_(* \(#,##0.0\);_(* "-"??_);_(@_)</c:formatCode>
                <c:ptCount val="5"/>
                <c:pt idx="0">
                  <c:v>6236.121477436538</c:v>
                </c:pt>
                <c:pt idx="1">
                  <c:v>6297.7542208448467</c:v>
                </c:pt>
                <c:pt idx="2">
                  <c:v>2352460.4672819278</c:v>
                </c:pt>
                <c:pt idx="3">
                  <c:v>33876.89298826833</c:v>
                </c:pt>
                <c:pt idx="4">
                  <c:v>2133842.5285522994</c:v>
                </c:pt>
              </c:numCache>
            </c:numRef>
          </c:val>
          <c:extLst xmlns:c16r2="http://schemas.microsoft.com/office/drawing/2015/06/chart">
            <c:ext xmlns:c16="http://schemas.microsoft.com/office/drawing/2014/chart" uri="{C3380CC4-5D6E-409C-BE32-E72D297353CC}">
              <c16:uniqueId val="{00000000-9E41-43BB-8657-DEB7A47C0E03}"/>
            </c:ext>
          </c:extLst>
        </c:ser>
        <c:dLbls>
          <c:showLegendKey val="0"/>
          <c:showVal val="0"/>
          <c:showCatName val="0"/>
          <c:showSerName val="0"/>
          <c:showPercent val="0"/>
          <c:showBubbleSize val="0"/>
        </c:dLbls>
        <c:gapWidth val="219"/>
        <c:overlap val="-27"/>
        <c:axId val="-904496400"/>
        <c:axId val="-904505104"/>
      </c:barChart>
      <c:catAx>
        <c:axId val="-904496400"/>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04505104"/>
        <c:crosses val="autoZero"/>
        <c:auto val="1"/>
        <c:lblAlgn val="ctr"/>
        <c:lblOffset val="100"/>
        <c:noMultiLvlLbl val="0"/>
      </c:catAx>
      <c:valAx>
        <c:axId val="-904505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1" i="1" u="none" strike="noStrike" kern="1200" baseline="0">
                    <a:solidFill>
                      <a:schemeClr val="tx1">
                        <a:lumMod val="65000"/>
                        <a:lumOff val="35000"/>
                      </a:schemeClr>
                    </a:solidFill>
                    <a:latin typeface="+mn-lt"/>
                    <a:ea typeface="+mn-ea"/>
                    <a:cs typeface="+mn-cs"/>
                  </a:defRPr>
                </a:pPr>
                <a:r>
                  <a:rPr lang="en-GB" sz="1400" b="1" i="1"/>
                  <a:t>RWF / m</a:t>
                </a:r>
                <a:r>
                  <a:rPr lang="en-GB" sz="1400" b="1" i="1" baseline="30000"/>
                  <a:t> 3</a:t>
                </a:r>
                <a:r>
                  <a:rPr lang="en-GB" sz="1400" b="1" i="1"/>
                  <a:t>  </a:t>
                </a:r>
              </a:p>
            </c:rich>
          </c:tx>
          <c:layout>
            <c:manualLayout>
              <c:xMode val="edge"/>
              <c:yMode val="edge"/>
              <c:x val="5.3092253150858436E-2"/>
              <c:y val="1.051676416465889E-2"/>
            </c:manualLayout>
          </c:layout>
          <c:overlay val="0"/>
          <c:spPr>
            <a:noFill/>
            <a:ln>
              <a:noFill/>
            </a:ln>
            <a:effectLst/>
          </c:spPr>
          <c:txPr>
            <a:bodyPr rot="0" spcFirstLastPara="1" vertOverflow="ellipsis"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04496400"/>
        <c:crosses val="autoZero"/>
        <c:crossBetween val="between"/>
      </c:valAx>
      <c:spPr>
        <a:noFill/>
        <a:ln>
          <a:solidFill>
            <a:schemeClr val="bg1">
              <a:lumMod val="50000"/>
            </a:schemeClr>
          </a:solidFill>
        </a:ln>
        <a:effectLst/>
      </c:spPr>
    </c:plotArea>
    <c:legend>
      <c:legendPos val="b"/>
      <c:layout>
        <c:manualLayout>
          <c:xMode val="edge"/>
          <c:yMode val="edge"/>
          <c:x val="8.229046653760852E-2"/>
          <c:y val="0.92403422070855223"/>
          <c:w val="0.87734522640351897"/>
          <c:h val="6.5121678870277006E-2"/>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214646041585542"/>
          <c:y val="0"/>
        </c:manualLayout>
      </c:layout>
      <c:overlay val="0"/>
      <c:txPr>
        <a:bodyPr/>
        <a:lstStyle/>
        <a:p>
          <a:pPr>
            <a:defRPr lang="nl-NL"/>
          </a:pPr>
          <a:endParaRPr lang="en-US"/>
        </a:p>
      </c:txPr>
    </c:title>
    <c:autoTitleDeleted val="0"/>
    <c:plotArea>
      <c:layout/>
      <c:lineChart>
        <c:grouping val="standard"/>
        <c:varyColors val="0"/>
        <c:ser>
          <c:idx val="0"/>
          <c:order val="0"/>
          <c:tx>
            <c:strRef>
              <c:f>WASAC_abstraction!$B$4</c:f>
              <c:strCache>
                <c:ptCount val="1"/>
                <c:pt idx="0">
                  <c:v>Water Abstraction (m3)</c:v>
                </c:pt>
              </c:strCache>
            </c:strRef>
          </c:tx>
          <c:dLbls>
            <c:spPr>
              <a:solidFill>
                <a:schemeClr val="lt1"/>
              </a:solidFill>
              <a:ln w="25400" cap="flat" cmpd="sng" algn="ctr">
                <a:solidFill>
                  <a:schemeClr val="accent5"/>
                </a:solidFill>
                <a:prstDash val="solid"/>
              </a:ln>
              <a:effectLst/>
            </c:spPr>
            <c:txPr>
              <a:bodyPr/>
              <a:lstStyle/>
              <a:p>
                <a:pPr>
                  <a:defRPr lang="nl-NL">
                    <a:solidFill>
                      <a:schemeClr val="dk1"/>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WASAC_abstraction!$A$5:$A$9</c:f>
              <c:numCache>
                <c:formatCode>General</c:formatCode>
                <c:ptCount val="5"/>
                <c:pt idx="0">
                  <c:v>2010</c:v>
                </c:pt>
                <c:pt idx="1">
                  <c:v>2011</c:v>
                </c:pt>
                <c:pt idx="2">
                  <c:v>2012</c:v>
                </c:pt>
                <c:pt idx="3">
                  <c:v>2013</c:v>
                </c:pt>
                <c:pt idx="4">
                  <c:v>2014</c:v>
                </c:pt>
              </c:numCache>
            </c:numRef>
          </c:cat>
          <c:val>
            <c:numRef>
              <c:f>WASAC_abstraction!$B$5:$B$9</c:f>
              <c:numCache>
                <c:formatCode>#,##0</c:formatCode>
                <c:ptCount val="5"/>
                <c:pt idx="0">
                  <c:v>29749917</c:v>
                </c:pt>
                <c:pt idx="1">
                  <c:v>31946049</c:v>
                </c:pt>
                <c:pt idx="2">
                  <c:v>38273987</c:v>
                </c:pt>
                <c:pt idx="3">
                  <c:v>41351135</c:v>
                </c:pt>
                <c:pt idx="4">
                  <c:v>43509293</c:v>
                </c:pt>
              </c:numCache>
            </c:numRef>
          </c:val>
          <c:smooth val="0"/>
          <c:extLst xmlns:c16r2="http://schemas.microsoft.com/office/drawing/2015/06/chart">
            <c:ext xmlns:c16="http://schemas.microsoft.com/office/drawing/2014/chart" uri="{C3380CC4-5D6E-409C-BE32-E72D297353CC}">
              <c16:uniqueId val="{00000000-A0C6-433C-8BE4-55026ADD7780}"/>
            </c:ext>
          </c:extLst>
        </c:ser>
        <c:dLbls>
          <c:showLegendKey val="0"/>
          <c:showVal val="0"/>
          <c:showCatName val="0"/>
          <c:showSerName val="0"/>
          <c:showPercent val="0"/>
          <c:showBubbleSize val="0"/>
        </c:dLbls>
        <c:marker val="1"/>
        <c:smooth val="0"/>
        <c:axId val="-904492592"/>
        <c:axId val="-904507280"/>
      </c:lineChart>
      <c:catAx>
        <c:axId val="-904492592"/>
        <c:scaling>
          <c:orientation val="minMax"/>
        </c:scaling>
        <c:delete val="0"/>
        <c:axPos val="b"/>
        <c:majorGridlines/>
        <c:numFmt formatCode="General" sourceLinked="1"/>
        <c:majorTickMark val="out"/>
        <c:minorTickMark val="none"/>
        <c:tickLblPos val="nextTo"/>
        <c:txPr>
          <a:bodyPr/>
          <a:lstStyle/>
          <a:p>
            <a:pPr>
              <a:defRPr lang="nl-NL"/>
            </a:pPr>
            <a:endParaRPr lang="en-US"/>
          </a:p>
        </c:txPr>
        <c:crossAx val="-904507280"/>
        <c:crosses val="autoZero"/>
        <c:auto val="1"/>
        <c:lblAlgn val="ctr"/>
        <c:lblOffset val="100"/>
        <c:noMultiLvlLbl val="0"/>
      </c:catAx>
      <c:valAx>
        <c:axId val="-904507280"/>
        <c:scaling>
          <c:orientation val="minMax"/>
        </c:scaling>
        <c:delete val="0"/>
        <c:axPos val="l"/>
        <c:majorGridlines/>
        <c:numFmt formatCode="#,##0" sourceLinked="1"/>
        <c:majorTickMark val="out"/>
        <c:minorTickMark val="none"/>
        <c:tickLblPos val="nextTo"/>
        <c:txPr>
          <a:bodyPr/>
          <a:lstStyle/>
          <a:p>
            <a:pPr>
              <a:defRPr lang="nl-NL"/>
            </a:pPr>
            <a:endParaRPr lang="en-US"/>
          </a:p>
        </c:txPr>
        <c:crossAx val="-904492592"/>
        <c:crosses val="autoZero"/>
        <c:crossBetween val="between"/>
      </c:valAx>
      <c:spPr>
        <a:blipFill>
          <a:blip xmlns:r="http://schemas.openxmlformats.org/officeDocument/2006/relationships" r:embed="rId1"/>
          <a:tile tx="0" ty="0" sx="100000" sy="100000" flip="none" algn="tl"/>
        </a:blipFill>
      </c:spPr>
    </c:plotArea>
    <c:legend>
      <c:legendPos val="b"/>
      <c:overlay val="0"/>
      <c:txPr>
        <a:bodyPr/>
        <a:lstStyle/>
        <a:p>
          <a:pPr>
            <a:defRPr lang="nl-NL"/>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printSettings>
    <c:headerFooter/>
    <c:pageMargins b="0.75000000000000433" l="0.70000000000000062" r="0.70000000000000062" t="0.75000000000000433" header="0.30000000000000032" footer="0.30000000000000032"/>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nl-NL"/>
            </a:pPr>
            <a:r>
              <a:rPr lang="en-US"/>
              <a:t>WASAC Water Abstraction (m</a:t>
            </a:r>
            <a:r>
              <a:rPr lang="en-US" baseline="30000"/>
              <a:t>3</a:t>
            </a:r>
            <a:r>
              <a:rPr lang="en-US"/>
              <a:t>) from 2010</a:t>
            </a:r>
            <a:r>
              <a:rPr lang="en-US" baseline="0"/>
              <a:t> to 2015</a:t>
            </a:r>
            <a:endParaRPr lang="en-US"/>
          </a:p>
        </c:rich>
      </c:tx>
      <c:layout>
        <c:manualLayout>
          <c:xMode val="edge"/>
          <c:yMode val="edge"/>
          <c:x val="0.37214646041585553"/>
          <c:y val="0"/>
        </c:manualLayout>
      </c:layout>
      <c:overlay val="0"/>
    </c:title>
    <c:autoTitleDeleted val="0"/>
    <c:plotArea>
      <c:layout/>
      <c:lineChart>
        <c:grouping val="standard"/>
        <c:varyColors val="0"/>
        <c:ser>
          <c:idx val="0"/>
          <c:order val="0"/>
          <c:tx>
            <c:strRef>
              <c:f>WASAC_abstraction!$B$4</c:f>
              <c:strCache>
                <c:ptCount val="1"/>
                <c:pt idx="0">
                  <c:v>Water Abstraction (m3)</c:v>
                </c:pt>
              </c:strCache>
            </c:strRef>
          </c:tx>
          <c:dLbls>
            <c:spPr>
              <a:solidFill>
                <a:schemeClr val="lt1"/>
              </a:solidFill>
              <a:ln w="25400" cap="flat" cmpd="sng" algn="ctr">
                <a:solidFill>
                  <a:schemeClr val="accent5"/>
                </a:solidFill>
                <a:prstDash val="solid"/>
              </a:ln>
              <a:effectLst/>
            </c:spPr>
            <c:txPr>
              <a:bodyPr/>
              <a:lstStyle/>
              <a:p>
                <a:pPr>
                  <a:defRPr lang="nl-NL"/>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WASAC_abstraction!$A$5:$A$9</c:f>
              <c:numCache>
                <c:formatCode>General</c:formatCode>
                <c:ptCount val="5"/>
                <c:pt idx="0">
                  <c:v>2010</c:v>
                </c:pt>
                <c:pt idx="1">
                  <c:v>2011</c:v>
                </c:pt>
                <c:pt idx="2">
                  <c:v>2012</c:v>
                </c:pt>
                <c:pt idx="3">
                  <c:v>2013</c:v>
                </c:pt>
                <c:pt idx="4">
                  <c:v>2014</c:v>
                </c:pt>
              </c:numCache>
            </c:numRef>
          </c:cat>
          <c:val>
            <c:numRef>
              <c:f>WASAC_abstraction!$B$5:$B$9</c:f>
              <c:numCache>
                <c:formatCode>#,##0</c:formatCode>
                <c:ptCount val="5"/>
                <c:pt idx="0">
                  <c:v>29749917</c:v>
                </c:pt>
                <c:pt idx="1">
                  <c:v>31946049</c:v>
                </c:pt>
                <c:pt idx="2">
                  <c:v>38273987</c:v>
                </c:pt>
                <c:pt idx="3">
                  <c:v>41351135</c:v>
                </c:pt>
                <c:pt idx="4">
                  <c:v>43509293</c:v>
                </c:pt>
              </c:numCache>
            </c:numRef>
          </c:val>
          <c:smooth val="0"/>
          <c:extLst xmlns:c16r2="http://schemas.microsoft.com/office/drawing/2015/06/chart">
            <c:ext xmlns:c16="http://schemas.microsoft.com/office/drawing/2014/chart" uri="{C3380CC4-5D6E-409C-BE32-E72D297353CC}">
              <c16:uniqueId val="{00000000-4870-498F-9A11-7CE9E9A70852}"/>
            </c:ext>
          </c:extLst>
        </c:ser>
        <c:ser>
          <c:idx val="4"/>
          <c:order val="1"/>
          <c:tx>
            <c:strRef>
              <c:f>WASAC_abstraction!$F$4</c:f>
              <c:strCache>
                <c:ptCount val="1"/>
                <c:pt idx="0">
                  <c:v>Supplied water(m3)</c:v>
                </c:pt>
              </c:strCache>
            </c:strRef>
          </c:tx>
          <c:spPr>
            <a:ln>
              <a:solidFill>
                <a:srgbClr val="FFC000"/>
              </a:solidFill>
            </a:ln>
          </c:spPr>
          <c:marker>
            <c:spPr>
              <a:solidFill>
                <a:srgbClr val="FFC000"/>
              </a:solidFill>
            </c:spPr>
          </c:marker>
          <c:cat>
            <c:numRef>
              <c:f>WASAC_abstraction!$A$5:$A$9</c:f>
              <c:numCache>
                <c:formatCode>General</c:formatCode>
                <c:ptCount val="5"/>
                <c:pt idx="0">
                  <c:v>2010</c:v>
                </c:pt>
                <c:pt idx="1">
                  <c:v>2011</c:v>
                </c:pt>
                <c:pt idx="2">
                  <c:v>2012</c:v>
                </c:pt>
                <c:pt idx="3">
                  <c:v>2013</c:v>
                </c:pt>
                <c:pt idx="4">
                  <c:v>2014</c:v>
                </c:pt>
              </c:numCache>
            </c:numRef>
          </c:cat>
          <c:val>
            <c:numRef>
              <c:f>WASAC_abstraction!$F$5:$F$9</c:f>
              <c:numCache>
                <c:formatCode>#,##0</c:formatCode>
                <c:ptCount val="5"/>
                <c:pt idx="0">
                  <c:v>27005147</c:v>
                </c:pt>
                <c:pt idx="1">
                  <c:v>30933412</c:v>
                </c:pt>
                <c:pt idx="2">
                  <c:v>35742135</c:v>
                </c:pt>
                <c:pt idx="3">
                  <c:v>38588390</c:v>
                </c:pt>
                <c:pt idx="4">
                  <c:v>40680362</c:v>
                </c:pt>
              </c:numCache>
            </c:numRef>
          </c:val>
          <c:smooth val="0"/>
          <c:extLst xmlns:c16r2="http://schemas.microsoft.com/office/drawing/2015/06/chart">
            <c:ext xmlns:c16="http://schemas.microsoft.com/office/drawing/2014/chart" uri="{C3380CC4-5D6E-409C-BE32-E72D297353CC}">
              <c16:uniqueId val="{00000001-4870-498F-9A11-7CE9E9A70852}"/>
            </c:ext>
          </c:extLst>
        </c:ser>
        <c:dLbls>
          <c:showLegendKey val="0"/>
          <c:showVal val="0"/>
          <c:showCatName val="0"/>
          <c:showSerName val="0"/>
          <c:showPercent val="0"/>
          <c:showBubbleSize val="0"/>
        </c:dLbls>
        <c:marker val="1"/>
        <c:smooth val="0"/>
        <c:axId val="-904495856"/>
        <c:axId val="-904494768"/>
      </c:lineChart>
      <c:catAx>
        <c:axId val="-904495856"/>
        <c:scaling>
          <c:orientation val="minMax"/>
        </c:scaling>
        <c:delete val="0"/>
        <c:axPos val="b"/>
        <c:numFmt formatCode="General" sourceLinked="1"/>
        <c:majorTickMark val="out"/>
        <c:minorTickMark val="none"/>
        <c:tickLblPos val="nextTo"/>
        <c:txPr>
          <a:bodyPr/>
          <a:lstStyle/>
          <a:p>
            <a:pPr>
              <a:defRPr lang="nl-NL"/>
            </a:pPr>
            <a:endParaRPr lang="en-US"/>
          </a:p>
        </c:txPr>
        <c:crossAx val="-904494768"/>
        <c:crosses val="autoZero"/>
        <c:auto val="1"/>
        <c:lblAlgn val="ctr"/>
        <c:lblOffset val="100"/>
        <c:noMultiLvlLbl val="0"/>
      </c:catAx>
      <c:valAx>
        <c:axId val="-904494768"/>
        <c:scaling>
          <c:orientation val="minMax"/>
          <c:max val="50000000"/>
          <c:min val="0"/>
        </c:scaling>
        <c:delete val="0"/>
        <c:axPos val="l"/>
        <c:numFmt formatCode="#,##0" sourceLinked="1"/>
        <c:majorTickMark val="out"/>
        <c:minorTickMark val="none"/>
        <c:tickLblPos val="nextTo"/>
        <c:txPr>
          <a:bodyPr/>
          <a:lstStyle/>
          <a:p>
            <a:pPr>
              <a:defRPr lang="nl-NL"/>
            </a:pPr>
            <a:endParaRPr lang="en-US"/>
          </a:p>
        </c:txPr>
        <c:crossAx val="-904495856"/>
        <c:crosses val="autoZero"/>
        <c:crossBetween val="between"/>
      </c:valAx>
      <c:spPr>
        <a:solidFill>
          <a:sysClr val="window" lastClr="FFFFFF"/>
        </a:solidFill>
      </c:spPr>
    </c:plotArea>
    <c:legend>
      <c:legendPos val="b"/>
      <c:overlay val="0"/>
      <c:txPr>
        <a:bodyPr/>
        <a:lstStyle/>
        <a:p>
          <a:pPr>
            <a:defRPr lang="nl-NL"/>
          </a:pPr>
          <a:endParaRPr lang="en-US"/>
        </a:p>
      </c:txPr>
    </c:legend>
    <c:plotVisOnly val="1"/>
    <c:dispBlanksAs val="gap"/>
    <c:showDLblsOverMax val="0"/>
  </c:chart>
  <c:spPr>
    <a:solidFill>
      <a:sysClr val="window" lastClr="FFFFFF"/>
    </a:solidFill>
    <a:ln>
      <a:noFill/>
    </a:ln>
  </c:spPr>
  <c:txPr>
    <a:bodyPr/>
    <a:lstStyle/>
    <a:p>
      <a:pPr>
        <a:defRPr sz="800"/>
      </a:pPr>
      <a:endParaRPr lang="en-US"/>
    </a:p>
  </c:txPr>
  <c:printSettings>
    <c:headerFooter/>
    <c:pageMargins b="0.75000000000000455" l="0.70000000000000062" r="0.70000000000000062" t="0.75000000000000455" header="0.30000000000000032" footer="0.30000000000000032"/>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nl-NL"/>
            </a:pPr>
            <a:r>
              <a:rPr lang="en-US"/>
              <a:t>WASAC Water Abstraction (m</a:t>
            </a:r>
            <a:r>
              <a:rPr lang="en-US" baseline="30000"/>
              <a:t>3</a:t>
            </a:r>
            <a:r>
              <a:rPr lang="en-US"/>
              <a:t>) from 2010</a:t>
            </a:r>
            <a:r>
              <a:rPr lang="en-US" baseline="0"/>
              <a:t> to 2015</a:t>
            </a:r>
            <a:endParaRPr lang="en-US"/>
          </a:p>
        </c:rich>
      </c:tx>
      <c:layout>
        <c:manualLayout>
          <c:xMode val="edge"/>
          <c:yMode val="edge"/>
          <c:x val="0.37214646041585553"/>
          <c:y val="0"/>
        </c:manualLayout>
      </c:layout>
      <c:overlay val="0"/>
    </c:title>
    <c:autoTitleDeleted val="0"/>
    <c:plotArea>
      <c:layout/>
      <c:lineChart>
        <c:grouping val="standard"/>
        <c:varyColors val="0"/>
        <c:ser>
          <c:idx val="0"/>
          <c:order val="0"/>
          <c:tx>
            <c:strRef>
              <c:f>WASAC_abstraction!$B$4</c:f>
              <c:strCache>
                <c:ptCount val="1"/>
                <c:pt idx="0">
                  <c:v>Water Abstraction (m3)</c:v>
                </c:pt>
              </c:strCache>
            </c:strRef>
          </c:tx>
          <c:dLbls>
            <c:spPr>
              <a:solidFill>
                <a:schemeClr val="lt1"/>
              </a:solidFill>
              <a:ln w="25400" cap="flat" cmpd="sng" algn="ctr">
                <a:solidFill>
                  <a:schemeClr val="accent5"/>
                </a:solidFill>
                <a:prstDash val="solid"/>
              </a:ln>
              <a:effectLst/>
            </c:spPr>
            <c:txPr>
              <a:bodyPr/>
              <a:lstStyle/>
              <a:p>
                <a:pPr>
                  <a:defRPr lang="nl-NL"/>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WASAC_abstraction!$A$5:$A$9</c:f>
              <c:numCache>
                <c:formatCode>General</c:formatCode>
                <c:ptCount val="5"/>
                <c:pt idx="0">
                  <c:v>2010</c:v>
                </c:pt>
                <c:pt idx="1">
                  <c:v>2011</c:v>
                </c:pt>
                <c:pt idx="2">
                  <c:v>2012</c:v>
                </c:pt>
                <c:pt idx="3">
                  <c:v>2013</c:v>
                </c:pt>
                <c:pt idx="4">
                  <c:v>2014</c:v>
                </c:pt>
              </c:numCache>
            </c:numRef>
          </c:cat>
          <c:val>
            <c:numRef>
              <c:f>WASAC_abstraction!$B$5:$B$9</c:f>
              <c:numCache>
                <c:formatCode>#,##0</c:formatCode>
                <c:ptCount val="5"/>
                <c:pt idx="0">
                  <c:v>29749917</c:v>
                </c:pt>
                <c:pt idx="1">
                  <c:v>31946049</c:v>
                </c:pt>
                <c:pt idx="2">
                  <c:v>38273987</c:v>
                </c:pt>
                <c:pt idx="3">
                  <c:v>41351135</c:v>
                </c:pt>
                <c:pt idx="4">
                  <c:v>43509293</c:v>
                </c:pt>
              </c:numCache>
            </c:numRef>
          </c:val>
          <c:smooth val="0"/>
          <c:extLst xmlns:c16r2="http://schemas.microsoft.com/office/drawing/2015/06/chart">
            <c:ext xmlns:c16="http://schemas.microsoft.com/office/drawing/2014/chart" uri="{C3380CC4-5D6E-409C-BE32-E72D297353CC}">
              <c16:uniqueId val="{00000000-879B-4E2C-81A4-F1A5B58329C7}"/>
            </c:ext>
          </c:extLst>
        </c:ser>
        <c:dLbls>
          <c:showLegendKey val="0"/>
          <c:showVal val="0"/>
          <c:showCatName val="0"/>
          <c:showSerName val="0"/>
          <c:showPercent val="0"/>
          <c:showBubbleSize val="0"/>
        </c:dLbls>
        <c:marker val="1"/>
        <c:smooth val="0"/>
        <c:axId val="-904502384"/>
        <c:axId val="-904499120"/>
      </c:lineChart>
      <c:catAx>
        <c:axId val="-904502384"/>
        <c:scaling>
          <c:orientation val="minMax"/>
        </c:scaling>
        <c:delete val="0"/>
        <c:axPos val="b"/>
        <c:numFmt formatCode="General" sourceLinked="1"/>
        <c:majorTickMark val="out"/>
        <c:minorTickMark val="none"/>
        <c:tickLblPos val="nextTo"/>
        <c:txPr>
          <a:bodyPr/>
          <a:lstStyle/>
          <a:p>
            <a:pPr>
              <a:defRPr lang="nl-NL"/>
            </a:pPr>
            <a:endParaRPr lang="en-US"/>
          </a:p>
        </c:txPr>
        <c:crossAx val="-904499120"/>
        <c:crosses val="autoZero"/>
        <c:auto val="1"/>
        <c:lblAlgn val="ctr"/>
        <c:lblOffset val="100"/>
        <c:noMultiLvlLbl val="0"/>
      </c:catAx>
      <c:valAx>
        <c:axId val="-904499120"/>
        <c:scaling>
          <c:orientation val="minMax"/>
          <c:max val="50000000"/>
          <c:min val="0"/>
        </c:scaling>
        <c:delete val="0"/>
        <c:axPos val="l"/>
        <c:numFmt formatCode="#,##0" sourceLinked="1"/>
        <c:majorTickMark val="out"/>
        <c:minorTickMark val="none"/>
        <c:tickLblPos val="nextTo"/>
        <c:txPr>
          <a:bodyPr/>
          <a:lstStyle/>
          <a:p>
            <a:pPr>
              <a:defRPr lang="nl-NL"/>
            </a:pPr>
            <a:endParaRPr lang="en-US"/>
          </a:p>
        </c:txPr>
        <c:crossAx val="-904502384"/>
        <c:crosses val="autoZero"/>
        <c:crossBetween val="between"/>
      </c:valAx>
      <c:spPr>
        <a:solidFill>
          <a:sysClr val="window" lastClr="FFFFFF"/>
        </a:solidFill>
      </c:spPr>
    </c:plotArea>
    <c:legend>
      <c:legendPos val="b"/>
      <c:overlay val="0"/>
      <c:txPr>
        <a:bodyPr/>
        <a:lstStyle/>
        <a:p>
          <a:pPr>
            <a:defRPr lang="nl-NL"/>
          </a:pPr>
          <a:endParaRPr lang="en-US"/>
        </a:p>
      </c:txPr>
    </c:legend>
    <c:plotVisOnly val="1"/>
    <c:dispBlanksAs val="gap"/>
    <c:showDLblsOverMax val="0"/>
  </c:chart>
  <c:spPr>
    <a:solidFill>
      <a:sysClr val="window" lastClr="FFFFFF"/>
    </a:solidFill>
    <a:ln>
      <a:noFill/>
    </a:ln>
  </c:spPr>
  <c:txPr>
    <a:bodyPr/>
    <a:lstStyle/>
    <a:p>
      <a:pPr>
        <a:defRPr sz="800"/>
      </a:pPr>
      <a:endParaRPr lang="en-US"/>
    </a:p>
  </c:txPr>
  <c:printSettings>
    <c:headerFooter/>
    <c:pageMargins b="0.75000000000000455" l="0.70000000000000062" r="0.70000000000000062" t="0.75000000000000455" header="0.30000000000000032" footer="0.30000000000000032"/>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31555074719259"/>
          <c:y val="0.11917229701126068"/>
          <c:w val="0.83335527952466637"/>
          <c:h val="0.73474015748031496"/>
        </c:manualLayout>
      </c:layout>
      <c:barChart>
        <c:barDir val="col"/>
        <c:grouping val="clustered"/>
        <c:varyColors val="0"/>
        <c:ser>
          <c:idx val="1"/>
          <c:order val="0"/>
          <c:tx>
            <c:strRef>
              <c:f>WASAC_abstraction!$K$2</c:f>
              <c:strCache>
                <c:ptCount val="1"/>
                <c:pt idx="0">
                  <c:v>Supply / Abstraction </c:v>
                </c:pt>
              </c:strCache>
            </c:strRef>
          </c:tx>
          <c:invertIfNegative val="0"/>
          <c:dPt>
            <c:idx val="0"/>
            <c:invertIfNegative val="0"/>
            <c:bubble3D val="0"/>
            <c:spPr>
              <a:solidFill>
                <a:schemeClr val="accent2">
                  <a:lumMod val="75000"/>
                </a:schemeClr>
              </a:solidFill>
            </c:spPr>
            <c:extLst xmlns:c16r2="http://schemas.microsoft.com/office/drawing/2015/06/chart">
              <c:ext xmlns:c16="http://schemas.microsoft.com/office/drawing/2014/chart" uri="{C3380CC4-5D6E-409C-BE32-E72D297353CC}">
                <c16:uniqueId val="{00000001-941F-4309-A706-C1934E884BFE}"/>
              </c:ext>
            </c:extLst>
          </c:dPt>
          <c:cat>
            <c:strRef>
              <c:f>WASAC_abstraction!$I$3:$I$10</c:f>
              <c:strCache>
                <c:ptCount val="8"/>
                <c:pt idx="0">
                  <c:v>Average</c:v>
                </c:pt>
                <c:pt idx="2">
                  <c:v>2010</c:v>
                </c:pt>
                <c:pt idx="3">
                  <c:v>2011</c:v>
                </c:pt>
                <c:pt idx="4">
                  <c:v>2012</c:v>
                </c:pt>
                <c:pt idx="5">
                  <c:v>2013</c:v>
                </c:pt>
                <c:pt idx="6">
                  <c:v>2014</c:v>
                </c:pt>
                <c:pt idx="7">
                  <c:v>2015 *</c:v>
                </c:pt>
              </c:strCache>
            </c:strRef>
          </c:cat>
          <c:val>
            <c:numRef>
              <c:f>WASAC_abstraction!$K$3:$K$10</c:f>
              <c:numCache>
                <c:formatCode>General</c:formatCode>
                <c:ptCount val="8"/>
                <c:pt idx="0" formatCode="0.0%">
                  <c:v>0.93962221353949049</c:v>
                </c:pt>
                <c:pt idx="2" formatCode="0.0%">
                  <c:v>0.90773856612776427</c:v>
                </c:pt>
                <c:pt idx="3" formatCode="0.0%">
                  <c:v>0.9683016513247068</c:v>
                </c:pt>
                <c:pt idx="4" formatCode="0.0%">
                  <c:v>0.93384927470451407</c:v>
                </c:pt>
                <c:pt idx="5" formatCode="0.0%">
                  <c:v>0.93318817004660215</c:v>
                </c:pt>
                <c:pt idx="6" formatCode="0.0%">
                  <c:v>0.93498099360060849</c:v>
                </c:pt>
                <c:pt idx="7" formatCode="0.0%">
                  <c:v>0.95960322841749368</c:v>
                </c:pt>
              </c:numCache>
            </c:numRef>
          </c:val>
          <c:extLst xmlns:c16r2="http://schemas.microsoft.com/office/drawing/2015/06/chart">
            <c:ext xmlns:c16="http://schemas.microsoft.com/office/drawing/2014/chart" uri="{C3380CC4-5D6E-409C-BE32-E72D297353CC}">
              <c16:uniqueId val="{00000002-941F-4309-A706-C1934E884BFE}"/>
            </c:ext>
          </c:extLst>
        </c:ser>
        <c:dLbls>
          <c:showLegendKey val="0"/>
          <c:showVal val="0"/>
          <c:showCatName val="0"/>
          <c:showSerName val="0"/>
          <c:showPercent val="0"/>
          <c:showBubbleSize val="0"/>
        </c:dLbls>
        <c:gapWidth val="150"/>
        <c:axId val="-904504560"/>
        <c:axId val="-904498032"/>
      </c:barChart>
      <c:catAx>
        <c:axId val="-904504560"/>
        <c:scaling>
          <c:orientation val="minMax"/>
        </c:scaling>
        <c:delete val="0"/>
        <c:axPos val="b"/>
        <c:title>
          <c:tx>
            <c:rich>
              <a:bodyPr/>
              <a:lstStyle/>
              <a:p>
                <a:pPr>
                  <a:defRPr b="0" i="1"/>
                </a:pPr>
                <a:r>
                  <a:rPr lang="en-GB" b="0" i="1"/>
                  <a:t>Reporting</a:t>
                </a:r>
                <a:r>
                  <a:rPr lang="en-GB" b="0" i="1" baseline="0"/>
                  <a:t> year</a:t>
                </a:r>
                <a:endParaRPr lang="en-GB" b="0" i="1"/>
              </a:p>
            </c:rich>
          </c:tx>
          <c:overlay val="0"/>
        </c:title>
        <c:numFmt formatCode="General" sourceLinked="0"/>
        <c:majorTickMark val="out"/>
        <c:minorTickMark val="none"/>
        <c:tickLblPos val="nextTo"/>
        <c:txPr>
          <a:bodyPr/>
          <a:lstStyle/>
          <a:p>
            <a:pPr>
              <a:defRPr lang="nl-NL"/>
            </a:pPr>
            <a:endParaRPr lang="en-US"/>
          </a:p>
        </c:txPr>
        <c:crossAx val="-904498032"/>
        <c:crosses val="autoZero"/>
        <c:auto val="1"/>
        <c:lblAlgn val="ctr"/>
        <c:lblOffset val="100"/>
        <c:noMultiLvlLbl val="0"/>
      </c:catAx>
      <c:valAx>
        <c:axId val="-904498032"/>
        <c:scaling>
          <c:orientation val="minMax"/>
          <c:max val="1"/>
          <c:min val="0"/>
        </c:scaling>
        <c:delete val="0"/>
        <c:axPos val="l"/>
        <c:majorGridlines/>
        <c:title>
          <c:tx>
            <c:rich>
              <a:bodyPr rot="0" vert="horz"/>
              <a:lstStyle/>
              <a:p>
                <a:pPr>
                  <a:defRPr b="0" i="1"/>
                </a:pPr>
                <a:r>
                  <a:rPr lang="en-GB" b="0" i="1"/>
                  <a:t>Efficiency</a:t>
                </a:r>
                <a:r>
                  <a:rPr lang="en-GB" b="0" i="1" baseline="0"/>
                  <a:t> Ratio</a:t>
                </a:r>
                <a:endParaRPr lang="en-GB" b="0" i="1"/>
              </a:p>
            </c:rich>
          </c:tx>
          <c:layout>
            <c:manualLayout>
              <c:xMode val="edge"/>
              <c:yMode val="edge"/>
              <c:x val="5.4347659629021765E-2"/>
              <c:y val="2.6228769790872915E-2"/>
            </c:manualLayout>
          </c:layout>
          <c:overlay val="0"/>
        </c:title>
        <c:numFmt formatCode="0.0%" sourceLinked="1"/>
        <c:majorTickMark val="out"/>
        <c:minorTickMark val="none"/>
        <c:tickLblPos val="nextTo"/>
        <c:txPr>
          <a:bodyPr/>
          <a:lstStyle/>
          <a:p>
            <a:pPr>
              <a:defRPr lang="nl-NL"/>
            </a:pPr>
            <a:endParaRPr lang="en-US"/>
          </a:p>
        </c:txPr>
        <c:crossAx val="-904504560"/>
        <c:crosses val="autoZero"/>
        <c:crossBetween val="between"/>
      </c:valAx>
    </c:plotArea>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WASAC_abstraction!$M$2</c:f>
              <c:strCache>
                <c:ptCount val="1"/>
                <c:pt idx="0">
                  <c:v>Treated / Abstraction</c:v>
                </c:pt>
              </c:strCache>
            </c:strRef>
          </c:tx>
          <c:spPr>
            <a:solidFill>
              <a:schemeClr val="accent2">
                <a:lumMod val="60000"/>
                <a:lumOff val="40000"/>
              </a:schemeClr>
            </a:solidFill>
          </c:spPr>
          <c:invertIfNegative val="0"/>
          <c:dPt>
            <c:idx val="0"/>
            <c:invertIfNegative val="0"/>
            <c:bubble3D val="0"/>
            <c:spPr>
              <a:solidFill>
                <a:schemeClr val="accent2">
                  <a:lumMod val="75000"/>
                </a:schemeClr>
              </a:solidFill>
            </c:spPr>
            <c:extLst xmlns:c16r2="http://schemas.microsoft.com/office/drawing/2015/06/chart">
              <c:ext xmlns:c16="http://schemas.microsoft.com/office/drawing/2014/chart" uri="{C3380CC4-5D6E-409C-BE32-E72D297353CC}">
                <c16:uniqueId val="{00000001-671A-4038-96F2-4AC30BD945D4}"/>
              </c:ext>
            </c:extLst>
          </c:dPt>
          <c:cat>
            <c:strRef>
              <c:f>WASAC_abstraction!$I$3:$I$10</c:f>
              <c:strCache>
                <c:ptCount val="8"/>
                <c:pt idx="0">
                  <c:v>Average</c:v>
                </c:pt>
                <c:pt idx="2">
                  <c:v>2010</c:v>
                </c:pt>
                <c:pt idx="3">
                  <c:v>2011</c:v>
                </c:pt>
                <c:pt idx="4">
                  <c:v>2012</c:v>
                </c:pt>
                <c:pt idx="5">
                  <c:v>2013</c:v>
                </c:pt>
                <c:pt idx="6">
                  <c:v>2014</c:v>
                </c:pt>
                <c:pt idx="7">
                  <c:v>2015 *</c:v>
                </c:pt>
              </c:strCache>
            </c:strRef>
          </c:cat>
          <c:val>
            <c:numRef>
              <c:f>WASAC_abstraction!$M$3:$M$10</c:f>
              <c:numCache>
                <c:formatCode>General</c:formatCode>
                <c:ptCount val="8"/>
                <c:pt idx="0" formatCode="0.0%">
                  <c:v>0.96963135213425689</c:v>
                </c:pt>
                <c:pt idx="2" formatCode="0.0%">
                  <c:v>0.94488283782438787</c:v>
                </c:pt>
                <c:pt idx="3" formatCode="0.0%">
                  <c:v>0.99482161315159823</c:v>
                </c:pt>
                <c:pt idx="4" formatCode="0.0%">
                  <c:v>0.96632791352518355</c:v>
                </c:pt>
                <c:pt idx="5" formatCode="0.0%">
                  <c:v>0.96978121640433812</c:v>
                </c:pt>
                <c:pt idx="6" formatCode="0.0%">
                  <c:v>0.96988029660698005</c:v>
                </c:pt>
                <c:pt idx="7" formatCode="0.0%">
                  <c:v>0.97076558719680539</c:v>
                </c:pt>
              </c:numCache>
            </c:numRef>
          </c:val>
          <c:extLst xmlns:c16r2="http://schemas.microsoft.com/office/drawing/2015/06/chart">
            <c:ext xmlns:c16="http://schemas.microsoft.com/office/drawing/2014/chart" uri="{C3380CC4-5D6E-409C-BE32-E72D297353CC}">
              <c16:uniqueId val="{00000002-671A-4038-96F2-4AC30BD945D4}"/>
            </c:ext>
          </c:extLst>
        </c:ser>
        <c:dLbls>
          <c:showLegendKey val="0"/>
          <c:showVal val="0"/>
          <c:showCatName val="0"/>
          <c:showSerName val="0"/>
          <c:showPercent val="0"/>
          <c:showBubbleSize val="0"/>
        </c:dLbls>
        <c:gapWidth val="150"/>
        <c:axId val="-904493680"/>
        <c:axId val="-904506736"/>
      </c:barChart>
      <c:catAx>
        <c:axId val="-904493680"/>
        <c:scaling>
          <c:orientation val="minMax"/>
        </c:scaling>
        <c:delete val="0"/>
        <c:axPos val="b"/>
        <c:numFmt formatCode="General" sourceLinked="0"/>
        <c:majorTickMark val="out"/>
        <c:minorTickMark val="none"/>
        <c:tickLblPos val="nextTo"/>
        <c:txPr>
          <a:bodyPr/>
          <a:lstStyle/>
          <a:p>
            <a:pPr>
              <a:defRPr lang="nl-NL"/>
            </a:pPr>
            <a:endParaRPr lang="en-US"/>
          </a:p>
        </c:txPr>
        <c:crossAx val="-904506736"/>
        <c:crosses val="autoZero"/>
        <c:auto val="1"/>
        <c:lblAlgn val="ctr"/>
        <c:lblOffset val="100"/>
        <c:noMultiLvlLbl val="0"/>
      </c:catAx>
      <c:valAx>
        <c:axId val="-904506736"/>
        <c:scaling>
          <c:orientation val="minMax"/>
          <c:max val="1"/>
          <c:min val="0"/>
        </c:scaling>
        <c:delete val="0"/>
        <c:axPos val="l"/>
        <c:majorGridlines/>
        <c:numFmt formatCode="0.0%" sourceLinked="1"/>
        <c:majorTickMark val="out"/>
        <c:minorTickMark val="none"/>
        <c:tickLblPos val="nextTo"/>
        <c:txPr>
          <a:bodyPr/>
          <a:lstStyle/>
          <a:p>
            <a:pPr>
              <a:defRPr lang="nl-NL"/>
            </a:pPr>
            <a:endParaRPr lang="en-US"/>
          </a:p>
        </c:txPr>
        <c:crossAx val="-904493680"/>
        <c:crosses val="autoZero"/>
        <c:crossBetween val="between"/>
      </c:valAx>
    </c:plotArea>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WASAC_abstraction!$K$2</c:f>
              <c:strCache>
                <c:ptCount val="1"/>
                <c:pt idx="0">
                  <c:v>Supply / Abstraction </c:v>
                </c:pt>
              </c:strCache>
            </c:strRef>
          </c:tx>
          <c:spPr>
            <a:solidFill>
              <a:schemeClr val="accent2"/>
            </a:solidFill>
            <a:ln>
              <a:noFill/>
            </a:ln>
            <a:effectLst/>
          </c:spPr>
          <c:invertIfNegative val="0"/>
          <c:dPt>
            <c:idx val="0"/>
            <c:invertIfNegative val="0"/>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1-5F8D-4683-AEB6-9BE446D70694}"/>
              </c:ext>
            </c:extLst>
          </c:dPt>
          <c:cat>
            <c:numRef>
              <c:f>WASAC_abstraction!$I$7:$I$9</c:f>
              <c:numCache>
                <c:formatCode>0</c:formatCode>
                <c:ptCount val="3"/>
                <c:pt idx="0">
                  <c:v>2012</c:v>
                </c:pt>
                <c:pt idx="1">
                  <c:v>2013</c:v>
                </c:pt>
                <c:pt idx="2">
                  <c:v>2014</c:v>
                </c:pt>
              </c:numCache>
            </c:numRef>
          </c:cat>
          <c:val>
            <c:numRef>
              <c:f>WASAC_abstraction!$K$7:$K$9</c:f>
              <c:numCache>
                <c:formatCode>0.0%</c:formatCode>
                <c:ptCount val="3"/>
                <c:pt idx="0">
                  <c:v>0.93384927470451407</c:v>
                </c:pt>
                <c:pt idx="1">
                  <c:v>0.93318817004660215</c:v>
                </c:pt>
                <c:pt idx="2">
                  <c:v>0.93498099360060849</c:v>
                </c:pt>
              </c:numCache>
            </c:numRef>
          </c:val>
          <c:extLst xmlns:c16r2="http://schemas.microsoft.com/office/drawing/2015/06/chart">
            <c:ext xmlns:c16="http://schemas.microsoft.com/office/drawing/2014/chart" uri="{C3380CC4-5D6E-409C-BE32-E72D297353CC}">
              <c16:uniqueId val="{00000002-5F8D-4683-AEB6-9BE446D70694}"/>
            </c:ext>
          </c:extLst>
        </c:ser>
        <c:ser>
          <c:idx val="2"/>
          <c:order val="1"/>
          <c:tx>
            <c:strRef>
              <c:f>WASAC_abstraction!$M$2</c:f>
              <c:strCache>
                <c:ptCount val="1"/>
                <c:pt idx="0">
                  <c:v>Treated / Abstraction</c:v>
                </c:pt>
              </c:strCache>
            </c:strRef>
          </c:tx>
          <c:spPr>
            <a:solidFill>
              <a:schemeClr val="accent3"/>
            </a:solidFill>
            <a:ln>
              <a:noFill/>
            </a:ln>
            <a:effectLst/>
          </c:spPr>
          <c:invertIfNegative val="0"/>
          <c:cat>
            <c:numRef>
              <c:f>WASAC_abstraction!$I$7:$I$9</c:f>
              <c:numCache>
                <c:formatCode>0</c:formatCode>
                <c:ptCount val="3"/>
                <c:pt idx="0">
                  <c:v>2012</c:v>
                </c:pt>
                <c:pt idx="1">
                  <c:v>2013</c:v>
                </c:pt>
                <c:pt idx="2">
                  <c:v>2014</c:v>
                </c:pt>
              </c:numCache>
            </c:numRef>
          </c:cat>
          <c:val>
            <c:numRef>
              <c:f>WASAC_abstraction!$M$7:$M$9</c:f>
              <c:numCache>
                <c:formatCode>0.0%</c:formatCode>
                <c:ptCount val="3"/>
                <c:pt idx="0">
                  <c:v>0.96632791352518355</c:v>
                </c:pt>
                <c:pt idx="1">
                  <c:v>0.96978121640433812</c:v>
                </c:pt>
                <c:pt idx="2">
                  <c:v>0.96988029660698005</c:v>
                </c:pt>
              </c:numCache>
            </c:numRef>
          </c:val>
          <c:extLst xmlns:c16r2="http://schemas.microsoft.com/office/drawing/2015/06/chart">
            <c:ext xmlns:c16="http://schemas.microsoft.com/office/drawing/2014/chart" uri="{C3380CC4-5D6E-409C-BE32-E72D297353CC}">
              <c16:uniqueId val="{00000003-5F8D-4683-AEB6-9BE446D70694}"/>
            </c:ext>
          </c:extLst>
        </c:ser>
        <c:ser>
          <c:idx val="4"/>
          <c:order val="2"/>
          <c:tx>
            <c:strRef>
              <c:f>WASAC_abstraction!$O$2</c:f>
              <c:strCache>
                <c:ptCount val="1"/>
                <c:pt idx="0">
                  <c:v>Billed / Abstraction </c:v>
                </c:pt>
              </c:strCache>
            </c:strRef>
          </c:tx>
          <c:spPr>
            <a:solidFill>
              <a:schemeClr val="accent5"/>
            </a:solidFill>
            <a:ln>
              <a:noFill/>
            </a:ln>
            <a:effectLst/>
          </c:spPr>
          <c:invertIfNegative val="0"/>
          <c:cat>
            <c:numRef>
              <c:f>WASAC_abstraction!$I$7:$I$9</c:f>
              <c:numCache>
                <c:formatCode>0</c:formatCode>
                <c:ptCount val="3"/>
                <c:pt idx="0">
                  <c:v>2012</c:v>
                </c:pt>
                <c:pt idx="1">
                  <c:v>2013</c:v>
                </c:pt>
                <c:pt idx="2">
                  <c:v>2014</c:v>
                </c:pt>
              </c:numCache>
            </c:numRef>
          </c:cat>
          <c:val>
            <c:numRef>
              <c:f>WASAC_abstraction!$O$7:$O$9</c:f>
              <c:numCache>
                <c:formatCode>0.0%</c:formatCode>
                <c:ptCount val="3"/>
                <c:pt idx="0">
                  <c:v>0.53941829995396096</c:v>
                </c:pt>
                <c:pt idx="1">
                  <c:v>0.53158013679672877</c:v>
                </c:pt>
                <c:pt idx="2">
                  <c:v>0.53968780876306122</c:v>
                </c:pt>
              </c:numCache>
            </c:numRef>
          </c:val>
          <c:extLst xmlns:c16r2="http://schemas.microsoft.com/office/drawing/2015/06/chart">
            <c:ext xmlns:c16="http://schemas.microsoft.com/office/drawing/2014/chart" uri="{C3380CC4-5D6E-409C-BE32-E72D297353CC}">
              <c16:uniqueId val="{00000004-5F8D-4683-AEB6-9BE446D70694}"/>
            </c:ext>
          </c:extLst>
        </c:ser>
        <c:dLbls>
          <c:showLegendKey val="0"/>
          <c:showVal val="0"/>
          <c:showCatName val="0"/>
          <c:showSerName val="0"/>
          <c:showPercent val="0"/>
          <c:showBubbleSize val="0"/>
        </c:dLbls>
        <c:gapWidth val="219"/>
        <c:overlap val="-27"/>
        <c:axId val="-904506192"/>
        <c:axId val="-904505648"/>
      </c:barChart>
      <c:catAx>
        <c:axId val="-90450619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nl-NL" sz="900" b="0" i="0" u="none" strike="noStrike" kern="1200" baseline="0">
                <a:solidFill>
                  <a:schemeClr val="tx1">
                    <a:lumMod val="65000"/>
                    <a:lumOff val="35000"/>
                  </a:schemeClr>
                </a:solidFill>
                <a:latin typeface="+mn-lt"/>
                <a:ea typeface="+mn-ea"/>
                <a:cs typeface="+mn-cs"/>
              </a:defRPr>
            </a:pPr>
            <a:endParaRPr lang="en-US"/>
          </a:p>
        </c:txPr>
        <c:crossAx val="-904505648"/>
        <c:crosses val="autoZero"/>
        <c:auto val="1"/>
        <c:lblAlgn val="ctr"/>
        <c:lblOffset val="100"/>
        <c:noMultiLvlLbl val="0"/>
      </c:catAx>
      <c:valAx>
        <c:axId val="-90450564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nl-NL" sz="900" b="0" i="0" u="none" strike="noStrike" kern="1200" baseline="0">
                <a:solidFill>
                  <a:schemeClr val="tx1">
                    <a:lumMod val="65000"/>
                    <a:lumOff val="35000"/>
                  </a:schemeClr>
                </a:solidFill>
                <a:latin typeface="+mn-lt"/>
                <a:ea typeface="+mn-ea"/>
                <a:cs typeface="+mn-cs"/>
              </a:defRPr>
            </a:pPr>
            <a:endParaRPr lang="en-US"/>
          </a:p>
        </c:txPr>
        <c:crossAx val="-904506192"/>
        <c:crosses val="autoZero"/>
        <c:crossBetween val="between"/>
      </c:valAx>
      <c:spPr>
        <a:noFill/>
        <a:ln>
          <a:noFill/>
        </a:ln>
        <a:effectLst/>
      </c:spPr>
    </c:plotArea>
    <c:legend>
      <c:legendPos val="b"/>
      <c:layout>
        <c:manualLayout>
          <c:xMode val="edge"/>
          <c:yMode val="edge"/>
          <c:x val="2.4530133586350995E-2"/>
          <c:y val="0.85346891517356493"/>
          <c:w val="0.95387851683859337"/>
          <c:h val="0.12553982925459267"/>
        </c:manualLayout>
      </c:layout>
      <c:overlay val="0"/>
      <c:spPr>
        <a:noFill/>
        <a:ln>
          <a:noFill/>
        </a:ln>
        <a:effectLst/>
      </c:spPr>
      <c:txPr>
        <a:bodyPr rot="0" spcFirstLastPara="1" vertOverflow="ellipsis" vert="horz" wrap="square" anchor="ctr" anchorCtr="1"/>
        <a:lstStyle/>
        <a:p>
          <a:pPr>
            <a:defRPr lang="nl-NL"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33" l="0.70000000000000062" r="0.70000000000000062" t="0.75000000000000133" header="0.30000000000000032" footer="0.30000000000000032"/>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669673598418"/>
          <c:y val="0.1010032481070804"/>
          <c:w val="0.64159625657812069"/>
          <c:h val="0.76387854914166808"/>
        </c:manualLayout>
      </c:layout>
      <c:barChart>
        <c:barDir val="col"/>
        <c:grouping val="clustered"/>
        <c:varyColors val="0"/>
        <c:ser>
          <c:idx val="1"/>
          <c:order val="0"/>
          <c:tx>
            <c:strRef>
              <c:f>WASAC_abstraction!$K$2</c:f>
              <c:strCache>
                <c:ptCount val="1"/>
                <c:pt idx="0">
                  <c:v>Supply / Abstraction </c:v>
                </c:pt>
              </c:strCache>
            </c:strRef>
          </c:tx>
          <c:invertIfNegative val="0"/>
          <c:dPt>
            <c:idx val="0"/>
            <c:invertIfNegative val="0"/>
            <c:bubble3D val="0"/>
            <c:spPr>
              <a:solidFill>
                <a:schemeClr val="accent2">
                  <a:lumMod val="75000"/>
                </a:schemeClr>
              </a:solidFill>
            </c:spPr>
            <c:extLst xmlns:c16r2="http://schemas.microsoft.com/office/drawing/2015/06/chart">
              <c:ext xmlns:c16="http://schemas.microsoft.com/office/drawing/2014/chart" uri="{C3380CC4-5D6E-409C-BE32-E72D297353CC}">
                <c16:uniqueId val="{00000001-0F97-4BAD-956D-2D778E252872}"/>
              </c:ext>
            </c:extLst>
          </c:dPt>
          <c:cat>
            <c:numRef>
              <c:f>WASAC_abstraction!$I$7:$I$9</c:f>
              <c:numCache>
                <c:formatCode>0</c:formatCode>
                <c:ptCount val="3"/>
                <c:pt idx="0">
                  <c:v>2012</c:v>
                </c:pt>
                <c:pt idx="1">
                  <c:v>2013</c:v>
                </c:pt>
                <c:pt idx="2">
                  <c:v>2014</c:v>
                </c:pt>
              </c:numCache>
            </c:numRef>
          </c:cat>
          <c:val>
            <c:numRef>
              <c:f>WASAC_abstraction!$K$7:$K$9</c:f>
              <c:numCache>
                <c:formatCode>0.0%</c:formatCode>
                <c:ptCount val="3"/>
                <c:pt idx="0">
                  <c:v>0.93384927470451407</c:v>
                </c:pt>
                <c:pt idx="1">
                  <c:v>0.93318817004660215</c:v>
                </c:pt>
                <c:pt idx="2">
                  <c:v>0.93498099360060849</c:v>
                </c:pt>
              </c:numCache>
            </c:numRef>
          </c:val>
          <c:extLst xmlns:c16r2="http://schemas.microsoft.com/office/drawing/2015/06/chart">
            <c:ext xmlns:c16="http://schemas.microsoft.com/office/drawing/2014/chart" uri="{C3380CC4-5D6E-409C-BE32-E72D297353CC}">
              <c16:uniqueId val="{00000002-0F97-4BAD-956D-2D778E252872}"/>
            </c:ext>
          </c:extLst>
        </c:ser>
        <c:ser>
          <c:idx val="2"/>
          <c:order val="1"/>
          <c:tx>
            <c:strRef>
              <c:f>WASAC_abstraction!$M$2</c:f>
              <c:strCache>
                <c:ptCount val="1"/>
                <c:pt idx="0">
                  <c:v>Treated / Abstraction</c:v>
                </c:pt>
              </c:strCache>
            </c:strRef>
          </c:tx>
          <c:invertIfNegative val="0"/>
          <c:cat>
            <c:numRef>
              <c:f>WASAC_abstraction!$I$7:$I$9</c:f>
              <c:numCache>
                <c:formatCode>0</c:formatCode>
                <c:ptCount val="3"/>
                <c:pt idx="0">
                  <c:v>2012</c:v>
                </c:pt>
                <c:pt idx="1">
                  <c:v>2013</c:v>
                </c:pt>
                <c:pt idx="2">
                  <c:v>2014</c:v>
                </c:pt>
              </c:numCache>
            </c:numRef>
          </c:cat>
          <c:val>
            <c:numRef>
              <c:f>WASAC_abstraction!$M$7:$M$9</c:f>
              <c:numCache>
                <c:formatCode>0.0%</c:formatCode>
                <c:ptCount val="3"/>
                <c:pt idx="0">
                  <c:v>0.96632791352518355</c:v>
                </c:pt>
                <c:pt idx="1">
                  <c:v>0.96978121640433812</c:v>
                </c:pt>
                <c:pt idx="2">
                  <c:v>0.96988029660698005</c:v>
                </c:pt>
              </c:numCache>
            </c:numRef>
          </c:val>
          <c:extLst xmlns:c16r2="http://schemas.microsoft.com/office/drawing/2015/06/chart">
            <c:ext xmlns:c16="http://schemas.microsoft.com/office/drawing/2014/chart" uri="{C3380CC4-5D6E-409C-BE32-E72D297353CC}">
              <c16:uniqueId val="{00000003-0F97-4BAD-956D-2D778E252872}"/>
            </c:ext>
          </c:extLst>
        </c:ser>
        <c:ser>
          <c:idx val="4"/>
          <c:order val="2"/>
          <c:tx>
            <c:strRef>
              <c:f>WASAC_abstraction!$O$2</c:f>
              <c:strCache>
                <c:ptCount val="1"/>
                <c:pt idx="0">
                  <c:v>Billed / Abstraction </c:v>
                </c:pt>
              </c:strCache>
            </c:strRef>
          </c:tx>
          <c:invertIfNegative val="0"/>
          <c:cat>
            <c:numRef>
              <c:f>WASAC_abstraction!$I$7:$I$9</c:f>
              <c:numCache>
                <c:formatCode>0</c:formatCode>
                <c:ptCount val="3"/>
                <c:pt idx="0">
                  <c:v>2012</c:v>
                </c:pt>
                <c:pt idx="1">
                  <c:v>2013</c:v>
                </c:pt>
                <c:pt idx="2">
                  <c:v>2014</c:v>
                </c:pt>
              </c:numCache>
            </c:numRef>
          </c:cat>
          <c:val>
            <c:numRef>
              <c:f>WASAC_abstraction!$O$7:$O$9</c:f>
              <c:numCache>
                <c:formatCode>0.0%</c:formatCode>
                <c:ptCount val="3"/>
                <c:pt idx="0">
                  <c:v>0.53941829995396096</c:v>
                </c:pt>
                <c:pt idx="1">
                  <c:v>0.53158013679672877</c:v>
                </c:pt>
                <c:pt idx="2">
                  <c:v>0.53968780876306122</c:v>
                </c:pt>
              </c:numCache>
            </c:numRef>
          </c:val>
          <c:extLst xmlns:c16r2="http://schemas.microsoft.com/office/drawing/2015/06/chart">
            <c:ext xmlns:c16="http://schemas.microsoft.com/office/drawing/2014/chart" uri="{C3380CC4-5D6E-409C-BE32-E72D297353CC}">
              <c16:uniqueId val="{00000004-0F97-4BAD-956D-2D778E252872}"/>
            </c:ext>
          </c:extLst>
        </c:ser>
        <c:ser>
          <c:idx val="0"/>
          <c:order val="3"/>
          <c:tx>
            <c:strRef>
              <c:f>WASAC_abstraction!$Q$2</c:f>
              <c:strCache>
                <c:ptCount val="1"/>
                <c:pt idx="0">
                  <c:v>Billed / Treated</c:v>
                </c:pt>
              </c:strCache>
            </c:strRef>
          </c:tx>
          <c:invertIfNegative val="0"/>
          <c:val>
            <c:numRef>
              <c:f>WASAC_abstraction!$Q$7:$Q$9</c:f>
              <c:numCache>
                <c:formatCode>0.0%</c:formatCode>
                <c:ptCount val="3"/>
                <c:pt idx="0">
                  <c:v>0.55821454850264263</c:v>
                </c:pt>
                <c:pt idx="1">
                  <c:v>0.54814439360629263</c:v>
                </c:pt>
                <c:pt idx="2">
                  <c:v>0.55644785305062894</c:v>
                </c:pt>
              </c:numCache>
            </c:numRef>
          </c:val>
          <c:extLst xmlns:c16r2="http://schemas.microsoft.com/office/drawing/2015/06/chart">
            <c:ext xmlns:c16="http://schemas.microsoft.com/office/drawing/2014/chart" uri="{C3380CC4-5D6E-409C-BE32-E72D297353CC}">
              <c16:uniqueId val="{00000003-C1A8-41B1-9C7D-796A200FB28A}"/>
            </c:ext>
          </c:extLst>
        </c:ser>
        <c:ser>
          <c:idx val="3"/>
          <c:order val="4"/>
          <c:tx>
            <c:strRef>
              <c:f>WASAC_abstraction!$S$2</c:f>
              <c:strCache>
                <c:ptCount val="1"/>
                <c:pt idx="0">
                  <c:v>Billed / Supplied</c:v>
                </c:pt>
              </c:strCache>
            </c:strRef>
          </c:tx>
          <c:invertIfNegative val="0"/>
          <c:val>
            <c:numRef>
              <c:f>WASAC_abstraction!$S$7:$S$9</c:f>
              <c:numCache>
                <c:formatCode>0.0%</c:formatCode>
                <c:ptCount val="3"/>
                <c:pt idx="0">
                  <c:v>0.5776288685608737</c:v>
                </c:pt>
                <c:pt idx="1">
                  <c:v>0.56963874367393919</c:v>
                </c:pt>
                <c:pt idx="2">
                  <c:v>0.57721794609399002</c:v>
                </c:pt>
              </c:numCache>
            </c:numRef>
          </c:val>
          <c:extLst xmlns:c16r2="http://schemas.microsoft.com/office/drawing/2015/06/chart">
            <c:ext xmlns:c16="http://schemas.microsoft.com/office/drawing/2014/chart" uri="{C3380CC4-5D6E-409C-BE32-E72D297353CC}">
              <c16:uniqueId val="{00000005-C1A8-41B1-9C7D-796A200FB28A}"/>
            </c:ext>
          </c:extLst>
        </c:ser>
        <c:dLbls>
          <c:showLegendKey val="0"/>
          <c:showVal val="0"/>
          <c:showCatName val="0"/>
          <c:showSerName val="0"/>
          <c:showPercent val="0"/>
          <c:showBubbleSize val="0"/>
        </c:dLbls>
        <c:gapWidth val="150"/>
        <c:axId val="-902301888"/>
        <c:axId val="-902299168"/>
      </c:barChart>
      <c:catAx>
        <c:axId val="-902301888"/>
        <c:scaling>
          <c:orientation val="minMax"/>
        </c:scaling>
        <c:delete val="0"/>
        <c:axPos val="b"/>
        <c:title>
          <c:tx>
            <c:rich>
              <a:bodyPr/>
              <a:lstStyle/>
              <a:p>
                <a:pPr>
                  <a:defRPr/>
                </a:pPr>
                <a:r>
                  <a:rPr lang="en-GB"/>
                  <a:t>Reporting year</a:t>
                </a:r>
              </a:p>
            </c:rich>
          </c:tx>
          <c:layout>
            <c:manualLayout>
              <c:xMode val="edge"/>
              <c:yMode val="edge"/>
              <c:x val="0.71581208542520769"/>
              <c:y val="0.91352153319809581"/>
            </c:manualLayout>
          </c:layout>
          <c:overlay val="0"/>
        </c:title>
        <c:numFmt formatCode="General" sourceLinked="0"/>
        <c:majorTickMark val="out"/>
        <c:minorTickMark val="none"/>
        <c:tickLblPos val="nextTo"/>
        <c:crossAx val="-902299168"/>
        <c:crosses val="autoZero"/>
        <c:auto val="1"/>
        <c:lblAlgn val="ctr"/>
        <c:lblOffset val="100"/>
        <c:noMultiLvlLbl val="0"/>
      </c:catAx>
      <c:valAx>
        <c:axId val="-902299168"/>
        <c:scaling>
          <c:orientation val="minMax"/>
          <c:max val="1"/>
          <c:min val="0"/>
        </c:scaling>
        <c:delete val="0"/>
        <c:axPos val="l"/>
        <c:majorGridlines/>
        <c:title>
          <c:tx>
            <c:rich>
              <a:bodyPr rot="0" vert="horz"/>
              <a:lstStyle/>
              <a:p>
                <a:pPr>
                  <a:defRPr/>
                </a:pPr>
                <a:r>
                  <a:rPr lang="en-GB"/>
                  <a:t>Efficiency Ratio</a:t>
                </a:r>
              </a:p>
            </c:rich>
          </c:tx>
          <c:layout>
            <c:manualLayout>
              <c:xMode val="edge"/>
              <c:yMode val="edge"/>
              <c:x val="5.7913102985001401E-2"/>
              <c:y val="1.1131420542861425E-2"/>
            </c:manualLayout>
          </c:layout>
          <c:overlay val="0"/>
        </c:title>
        <c:numFmt formatCode="0.0%" sourceLinked="1"/>
        <c:majorTickMark val="out"/>
        <c:minorTickMark val="none"/>
        <c:tickLblPos val="nextTo"/>
        <c:crossAx val="-902301888"/>
        <c:crosses val="autoZero"/>
        <c:crossBetween val="between"/>
      </c:valAx>
    </c:plotArea>
    <c:legend>
      <c:legendPos val="r"/>
      <c:layout>
        <c:manualLayout>
          <c:xMode val="edge"/>
          <c:yMode val="edge"/>
          <c:x val="0.76046606596180333"/>
          <c:y val="0.12016411611960806"/>
          <c:w val="0.22775806195710405"/>
          <c:h val="0.38166945485266141"/>
        </c:manualLayout>
      </c:layout>
      <c:overlay val="0"/>
      <c:spPr>
        <a:solidFill>
          <a:schemeClr val="bg1"/>
        </a:solidFill>
        <a:ln>
          <a:solidFill>
            <a:schemeClr val="bg1">
              <a:lumMod val="50000"/>
            </a:schemeClr>
          </a:solidFill>
        </a:ln>
      </c:spPr>
    </c:legend>
    <c:plotVisOnly val="1"/>
    <c:dispBlanksAs val="gap"/>
    <c:showDLblsOverMax val="0"/>
  </c:chart>
  <c:txPr>
    <a:bodyPr/>
    <a:lstStyle/>
    <a:p>
      <a:pPr>
        <a:defRPr sz="1100"/>
      </a:pPr>
      <a:endParaRPr lang="en-US"/>
    </a:p>
  </c:txPr>
  <c:printSettings>
    <c:headerFooter/>
    <c:pageMargins b="0.75000000000000133" l="0.70000000000000062" r="0.70000000000000062" t="0.75000000000000133" header="0.30000000000000032" footer="0.30000000000000032"/>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WASAC_abstraction!$K$2</c:f>
              <c:strCache>
                <c:ptCount val="1"/>
                <c:pt idx="0">
                  <c:v>Supply / Abstraction </c:v>
                </c:pt>
              </c:strCache>
            </c:strRef>
          </c:tx>
          <c:invertIfNegative val="0"/>
          <c:dPt>
            <c:idx val="0"/>
            <c:invertIfNegative val="0"/>
            <c:bubble3D val="0"/>
            <c:spPr>
              <a:solidFill>
                <a:schemeClr val="accent2">
                  <a:lumMod val="75000"/>
                </a:schemeClr>
              </a:solidFill>
            </c:spPr>
            <c:extLst xmlns:c16r2="http://schemas.microsoft.com/office/drawing/2015/06/chart">
              <c:ext xmlns:c16="http://schemas.microsoft.com/office/drawing/2014/chart" uri="{C3380CC4-5D6E-409C-BE32-E72D297353CC}">
                <c16:uniqueId val="{00000001-0F97-4BAD-956D-2D778E252872}"/>
              </c:ext>
            </c:extLst>
          </c:dPt>
          <c:cat>
            <c:numRef>
              <c:f>WASAC_abstraction!$I$7:$I$9</c:f>
              <c:numCache>
                <c:formatCode>0</c:formatCode>
                <c:ptCount val="3"/>
                <c:pt idx="0">
                  <c:v>2012</c:v>
                </c:pt>
                <c:pt idx="1">
                  <c:v>2013</c:v>
                </c:pt>
                <c:pt idx="2">
                  <c:v>2014</c:v>
                </c:pt>
              </c:numCache>
            </c:numRef>
          </c:cat>
          <c:val>
            <c:numRef>
              <c:f>WASAC_abstraction!$K$7:$K$9</c:f>
              <c:numCache>
                <c:formatCode>0.0%</c:formatCode>
                <c:ptCount val="3"/>
                <c:pt idx="0">
                  <c:v>0.93384927470451407</c:v>
                </c:pt>
                <c:pt idx="1">
                  <c:v>0.93318817004660215</c:v>
                </c:pt>
                <c:pt idx="2">
                  <c:v>0.93498099360060849</c:v>
                </c:pt>
              </c:numCache>
            </c:numRef>
          </c:val>
          <c:extLst xmlns:c16r2="http://schemas.microsoft.com/office/drawing/2015/06/chart">
            <c:ext xmlns:c16="http://schemas.microsoft.com/office/drawing/2014/chart" uri="{C3380CC4-5D6E-409C-BE32-E72D297353CC}">
              <c16:uniqueId val="{00000002-0F97-4BAD-956D-2D778E252872}"/>
            </c:ext>
          </c:extLst>
        </c:ser>
        <c:ser>
          <c:idx val="2"/>
          <c:order val="1"/>
          <c:tx>
            <c:strRef>
              <c:f>WASAC_abstraction!$M$2</c:f>
              <c:strCache>
                <c:ptCount val="1"/>
                <c:pt idx="0">
                  <c:v>Treated / Abstraction</c:v>
                </c:pt>
              </c:strCache>
            </c:strRef>
          </c:tx>
          <c:invertIfNegative val="0"/>
          <c:cat>
            <c:numRef>
              <c:f>WASAC_abstraction!$I$7:$I$9</c:f>
              <c:numCache>
                <c:formatCode>0</c:formatCode>
                <c:ptCount val="3"/>
                <c:pt idx="0">
                  <c:v>2012</c:v>
                </c:pt>
                <c:pt idx="1">
                  <c:v>2013</c:v>
                </c:pt>
                <c:pt idx="2">
                  <c:v>2014</c:v>
                </c:pt>
              </c:numCache>
            </c:numRef>
          </c:cat>
          <c:val>
            <c:numRef>
              <c:f>WASAC_abstraction!$M$7:$M$9</c:f>
              <c:numCache>
                <c:formatCode>0.0%</c:formatCode>
                <c:ptCount val="3"/>
                <c:pt idx="0">
                  <c:v>0.96632791352518355</c:v>
                </c:pt>
                <c:pt idx="1">
                  <c:v>0.96978121640433812</c:v>
                </c:pt>
                <c:pt idx="2">
                  <c:v>0.96988029660698005</c:v>
                </c:pt>
              </c:numCache>
            </c:numRef>
          </c:val>
          <c:extLst xmlns:c16r2="http://schemas.microsoft.com/office/drawing/2015/06/chart">
            <c:ext xmlns:c16="http://schemas.microsoft.com/office/drawing/2014/chart" uri="{C3380CC4-5D6E-409C-BE32-E72D297353CC}">
              <c16:uniqueId val="{00000003-0F97-4BAD-956D-2D778E252872}"/>
            </c:ext>
          </c:extLst>
        </c:ser>
        <c:ser>
          <c:idx val="4"/>
          <c:order val="2"/>
          <c:tx>
            <c:strRef>
              <c:f>WASAC_abstraction!$O$2</c:f>
              <c:strCache>
                <c:ptCount val="1"/>
                <c:pt idx="0">
                  <c:v>Billed / Abstraction </c:v>
                </c:pt>
              </c:strCache>
            </c:strRef>
          </c:tx>
          <c:invertIfNegative val="0"/>
          <c:cat>
            <c:numRef>
              <c:f>WASAC_abstraction!$I$7:$I$9</c:f>
              <c:numCache>
                <c:formatCode>0</c:formatCode>
                <c:ptCount val="3"/>
                <c:pt idx="0">
                  <c:v>2012</c:v>
                </c:pt>
                <c:pt idx="1">
                  <c:v>2013</c:v>
                </c:pt>
                <c:pt idx="2">
                  <c:v>2014</c:v>
                </c:pt>
              </c:numCache>
            </c:numRef>
          </c:cat>
          <c:val>
            <c:numRef>
              <c:f>WASAC_abstraction!$O$7:$O$9</c:f>
              <c:numCache>
                <c:formatCode>0.0%</c:formatCode>
                <c:ptCount val="3"/>
                <c:pt idx="0">
                  <c:v>0.53941829995396096</c:v>
                </c:pt>
                <c:pt idx="1">
                  <c:v>0.53158013679672877</c:v>
                </c:pt>
                <c:pt idx="2">
                  <c:v>0.53968780876306122</c:v>
                </c:pt>
              </c:numCache>
            </c:numRef>
          </c:val>
          <c:extLst xmlns:c16r2="http://schemas.microsoft.com/office/drawing/2015/06/chart">
            <c:ext xmlns:c16="http://schemas.microsoft.com/office/drawing/2014/chart" uri="{C3380CC4-5D6E-409C-BE32-E72D297353CC}">
              <c16:uniqueId val="{00000004-0F97-4BAD-956D-2D778E252872}"/>
            </c:ext>
          </c:extLst>
        </c:ser>
        <c:dLbls>
          <c:showLegendKey val="0"/>
          <c:showVal val="0"/>
          <c:showCatName val="0"/>
          <c:showSerName val="0"/>
          <c:showPercent val="0"/>
          <c:showBubbleSize val="0"/>
        </c:dLbls>
        <c:gapWidth val="150"/>
        <c:axId val="-902291008"/>
        <c:axId val="-902292640"/>
      </c:barChart>
      <c:catAx>
        <c:axId val="-902291008"/>
        <c:scaling>
          <c:orientation val="minMax"/>
        </c:scaling>
        <c:delete val="0"/>
        <c:axPos val="b"/>
        <c:numFmt formatCode="General" sourceLinked="0"/>
        <c:majorTickMark val="out"/>
        <c:minorTickMark val="none"/>
        <c:tickLblPos val="nextTo"/>
        <c:txPr>
          <a:bodyPr/>
          <a:lstStyle/>
          <a:p>
            <a:pPr>
              <a:defRPr lang="nl-NL"/>
            </a:pPr>
            <a:endParaRPr lang="en-US"/>
          </a:p>
        </c:txPr>
        <c:crossAx val="-902292640"/>
        <c:crosses val="autoZero"/>
        <c:auto val="1"/>
        <c:lblAlgn val="ctr"/>
        <c:lblOffset val="100"/>
        <c:noMultiLvlLbl val="0"/>
      </c:catAx>
      <c:valAx>
        <c:axId val="-902292640"/>
        <c:scaling>
          <c:orientation val="minMax"/>
          <c:max val="1"/>
          <c:min val="0"/>
        </c:scaling>
        <c:delete val="0"/>
        <c:axPos val="l"/>
        <c:majorGridlines/>
        <c:numFmt formatCode="0.0%" sourceLinked="1"/>
        <c:majorTickMark val="out"/>
        <c:minorTickMark val="none"/>
        <c:tickLblPos val="nextTo"/>
        <c:txPr>
          <a:bodyPr/>
          <a:lstStyle/>
          <a:p>
            <a:pPr>
              <a:defRPr lang="nl-NL"/>
            </a:pPr>
            <a:endParaRPr lang="en-US"/>
          </a:p>
        </c:txPr>
        <c:crossAx val="-902291008"/>
        <c:crosses val="autoZero"/>
        <c:crossBetween val="between"/>
      </c:valAx>
    </c:plotArea>
    <c:legend>
      <c:legendPos val="r"/>
      <c:layout>
        <c:manualLayout>
          <c:xMode val="edge"/>
          <c:yMode val="edge"/>
          <c:x val="0.62831776079422741"/>
          <c:y val="0.22974185438735173"/>
          <c:w val="0.35404814662678524"/>
          <c:h val="0.42856265269967714"/>
        </c:manualLayout>
      </c:layout>
      <c:overlay val="0"/>
      <c:txPr>
        <a:bodyPr/>
        <a:lstStyle/>
        <a:p>
          <a:pPr>
            <a:defRPr lang="nl-NL"/>
          </a:pPr>
          <a:endParaRPr lang="en-US"/>
        </a:p>
      </c:txPr>
    </c:legend>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669673598418"/>
          <c:y val="0.1010032481070804"/>
          <c:w val="0.657572228630804"/>
          <c:h val="0.76387854914166808"/>
        </c:manualLayout>
      </c:layout>
      <c:barChart>
        <c:barDir val="col"/>
        <c:grouping val="clustered"/>
        <c:varyColors val="0"/>
        <c:ser>
          <c:idx val="1"/>
          <c:order val="0"/>
          <c:tx>
            <c:strRef>
              <c:f>WASAC_abstraction!$K$2</c:f>
              <c:strCache>
                <c:ptCount val="1"/>
                <c:pt idx="0">
                  <c:v>Supply / Abstraction </c:v>
                </c:pt>
              </c:strCache>
            </c:strRef>
          </c:tx>
          <c:invertIfNegative val="0"/>
          <c:dPt>
            <c:idx val="0"/>
            <c:invertIfNegative val="0"/>
            <c:bubble3D val="0"/>
            <c:spPr>
              <a:solidFill>
                <a:schemeClr val="accent2">
                  <a:lumMod val="75000"/>
                </a:schemeClr>
              </a:solidFill>
            </c:spPr>
            <c:extLst xmlns:c16r2="http://schemas.microsoft.com/office/drawing/2015/06/chart">
              <c:ext xmlns:c16="http://schemas.microsoft.com/office/drawing/2014/chart" uri="{C3380CC4-5D6E-409C-BE32-E72D297353CC}">
                <c16:uniqueId val="{00000001-0F97-4BAD-956D-2D778E252872}"/>
              </c:ext>
            </c:extLst>
          </c:dPt>
          <c:cat>
            <c:numRef>
              <c:f>WASAC_abstraction!$I$7:$I$9</c:f>
              <c:numCache>
                <c:formatCode>0</c:formatCode>
                <c:ptCount val="3"/>
                <c:pt idx="0">
                  <c:v>2012</c:v>
                </c:pt>
                <c:pt idx="1">
                  <c:v>2013</c:v>
                </c:pt>
                <c:pt idx="2">
                  <c:v>2014</c:v>
                </c:pt>
              </c:numCache>
            </c:numRef>
          </c:cat>
          <c:val>
            <c:numRef>
              <c:f>WASAC_abstraction!$K$7:$K$9</c:f>
              <c:numCache>
                <c:formatCode>0.0%</c:formatCode>
                <c:ptCount val="3"/>
                <c:pt idx="0">
                  <c:v>0.93384927470451407</c:v>
                </c:pt>
                <c:pt idx="1">
                  <c:v>0.93318817004660215</c:v>
                </c:pt>
                <c:pt idx="2">
                  <c:v>0.93498099360060849</c:v>
                </c:pt>
              </c:numCache>
            </c:numRef>
          </c:val>
          <c:extLst xmlns:c16r2="http://schemas.microsoft.com/office/drawing/2015/06/chart">
            <c:ext xmlns:c16="http://schemas.microsoft.com/office/drawing/2014/chart" uri="{C3380CC4-5D6E-409C-BE32-E72D297353CC}">
              <c16:uniqueId val="{00000002-0F97-4BAD-956D-2D778E252872}"/>
            </c:ext>
          </c:extLst>
        </c:ser>
        <c:ser>
          <c:idx val="2"/>
          <c:order val="1"/>
          <c:tx>
            <c:strRef>
              <c:f>WASAC_abstraction!$M$2</c:f>
              <c:strCache>
                <c:ptCount val="1"/>
                <c:pt idx="0">
                  <c:v>Treated / Abstraction</c:v>
                </c:pt>
              </c:strCache>
            </c:strRef>
          </c:tx>
          <c:invertIfNegative val="0"/>
          <c:cat>
            <c:numRef>
              <c:f>WASAC_abstraction!$I$7:$I$9</c:f>
              <c:numCache>
                <c:formatCode>0</c:formatCode>
                <c:ptCount val="3"/>
                <c:pt idx="0">
                  <c:v>2012</c:v>
                </c:pt>
                <c:pt idx="1">
                  <c:v>2013</c:v>
                </c:pt>
                <c:pt idx="2">
                  <c:v>2014</c:v>
                </c:pt>
              </c:numCache>
            </c:numRef>
          </c:cat>
          <c:val>
            <c:numRef>
              <c:f>WASAC_abstraction!$M$7:$M$9</c:f>
              <c:numCache>
                <c:formatCode>0.0%</c:formatCode>
                <c:ptCount val="3"/>
                <c:pt idx="0">
                  <c:v>0.96632791352518355</c:v>
                </c:pt>
                <c:pt idx="1">
                  <c:v>0.96978121640433812</c:v>
                </c:pt>
                <c:pt idx="2">
                  <c:v>0.96988029660698005</c:v>
                </c:pt>
              </c:numCache>
            </c:numRef>
          </c:val>
          <c:extLst xmlns:c16r2="http://schemas.microsoft.com/office/drawing/2015/06/chart">
            <c:ext xmlns:c16="http://schemas.microsoft.com/office/drawing/2014/chart" uri="{C3380CC4-5D6E-409C-BE32-E72D297353CC}">
              <c16:uniqueId val="{00000003-0F97-4BAD-956D-2D778E252872}"/>
            </c:ext>
          </c:extLst>
        </c:ser>
        <c:ser>
          <c:idx val="4"/>
          <c:order val="2"/>
          <c:tx>
            <c:strRef>
              <c:f>WASAC_abstraction!$O$2</c:f>
              <c:strCache>
                <c:ptCount val="1"/>
                <c:pt idx="0">
                  <c:v>Billed / Abstraction </c:v>
                </c:pt>
              </c:strCache>
            </c:strRef>
          </c:tx>
          <c:invertIfNegative val="0"/>
          <c:cat>
            <c:numRef>
              <c:f>WASAC_abstraction!$I$7:$I$9</c:f>
              <c:numCache>
                <c:formatCode>0</c:formatCode>
                <c:ptCount val="3"/>
                <c:pt idx="0">
                  <c:v>2012</c:v>
                </c:pt>
                <c:pt idx="1">
                  <c:v>2013</c:v>
                </c:pt>
                <c:pt idx="2">
                  <c:v>2014</c:v>
                </c:pt>
              </c:numCache>
            </c:numRef>
          </c:cat>
          <c:val>
            <c:numRef>
              <c:f>WASAC_abstraction!$O$7:$O$9</c:f>
              <c:numCache>
                <c:formatCode>0.0%</c:formatCode>
                <c:ptCount val="3"/>
                <c:pt idx="0">
                  <c:v>0.53941829995396096</c:v>
                </c:pt>
                <c:pt idx="1">
                  <c:v>0.53158013679672877</c:v>
                </c:pt>
                <c:pt idx="2">
                  <c:v>0.53968780876306122</c:v>
                </c:pt>
              </c:numCache>
            </c:numRef>
          </c:val>
          <c:extLst xmlns:c16r2="http://schemas.microsoft.com/office/drawing/2015/06/chart">
            <c:ext xmlns:c16="http://schemas.microsoft.com/office/drawing/2014/chart" uri="{C3380CC4-5D6E-409C-BE32-E72D297353CC}">
              <c16:uniqueId val="{00000004-0F97-4BAD-956D-2D778E252872}"/>
            </c:ext>
          </c:extLst>
        </c:ser>
        <c:ser>
          <c:idx val="0"/>
          <c:order val="3"/>
          <c:tx>
            <c:strRef>
              <c:f>WASAC_abstraction!$Q$2</c:f>
              <c:strCache>
                <c:ptCount val="1"/>
                <c:pt idx="0">
                  <c:v>Billed / Treated</c:v>
                </c:pt>
              </c:strCache>
            </c:strRef>
          </c:tx>
          <c:invertIfNegative val="0"/>
          <c:val>
            <c:numRef>
              <c:f>WASAC_abstraction!$Q$7:$Q$9</c:f>
              <c:numCache>
                <c:formatCode>0.0%</c:formatCode>
                <c:ptCount val="3"/>
                <c:pt idx="0">
                  <c:v>0.55821454850264263</c:v>
                </c:pt>
                <c:pt idx="1">
                  <c:v>0.54814439360629263</c:v>
                </c:pt>
                <c:pt idx="2">
                  <c:v>0.55644785305062894</c:v>
                </c:pt>
              </c:numCache>
            </c:numRef>
          </c:val>
          <c:extLst xmlns:c16r2="http://schemas.microsoft.com/office/drawing/2015/06/chart">
            <c:ext xmlns:c16="http://schemas.microsoft.com/office/drawing/2014/chart" uri="{C3380CC4-5D6E-409C-BE32-E72D297353CC}">
              <c16:uniqueId val="{00000003-C1A8-41B1-9C7D-796A200FB28A}"/>
            </c:ext>
          </c:extLst>
        </c:ser>
        <c:dLbls>
          <c:showLegendKey val="0"/>
          <c:showVal val="0"/>
          <c:showCatName val="0"/>
          <c:showSerName val="0"/>
          <c:showPercent val="0"/>
          <c:showBubbleSize val="0"/>
        </c:dLbls>
        <c:gapWidth val="150"/>
        <c:axId val="-902304608"/>
        <c:axId val="-902294272"/>
      </c:barChart>
      <c:catAx>
        <c:axId val="-902304608"/>
        <c:scaling>
          <c:orientation val="minMax"/>
        </c:scaling>
        <c:delete val="0"/>
        <c:axPos val="b"/>
        <c:title>
          <c:tx>
            <c:rich>
              <a:bodyPr/>
              <a:lstStyle/>
              <a:p>
                <a:pPr>
                  <a:defRPr i="1"/>
                </a:pPr>
                <a:r>
                  <a:rPr lang="en-GB" i="1"/>
                  <a:t>Reporting year</a:t>
                </a:r>
              </a:p>
            </c:rich>
          </c:tx>
          <c:layout>
            <c:manualLayout>
              <c:xMode val="edge"/>
              <c:yMode val="edge"/>
              <c:x val="0.71581208542520769"/>
              <c:y val="0.91352153319809581"/>
            </c:manualLayout>
          </c:layout>
          <c:overlay val="0"/>
        </c:title>
        <c:numFmt formatCode="General" sourceLinked="0"/>
        <c:majorTickMark val="out"/>
        <c:minorTickMark val="none"/>
        <c:tickLblPos val="nextTo"/>
        <c:txPr>
          <a:bodyPr/>
          <a:lstStyle/>
          <a:p>
            <a:pPr>
              <a:defRPr lang="nl-NL"/>
            </a:pPr>
            <a:endParaRPr lang="en-US"/>
          </a:p>
        </c:txPr>
        <c:crossAx val="-902294272"/>
        <c:crosses val="autoZero"/>
        <c:auto val="1"/>
        <c:lblAlgn val="ctr"/>
        <c:lblOffset val="100"/>
        <c:noMultiLvlLbl val="0"/>
      </c:catAx>
      <c:valAx>
        <c:axId val="-902294272"/>
        <c:scaling>
          <c:orientation val="minMax"/>
          <c:max val="1"/>
          <c:min val="0"/>
        </c:scaling>
        <c:delete val="0"/>
        <c:axPos val="l"/>
        <c:majorGridlines/>
        <c:title>
          <c:tx>
            <c:rich>
              <a:bodyPr rot="0" vert="horz"/>
              <a:lstStyle/>
              <a:p>
                <a:pPr>
                  <a:defRPr i="1"/>
                </a:pPr>
                <a:r>
                  <a:rPr lang="en-GB" i="1" baseline="0"/>
                  <a:t>Efficiency Ratio</a:t>
                </a:r>
                <a:endParaRPr lang="en-GB" i="1"/>
              </a:p>
            </c:rich>
          </c:tx>
          <c:layout>
            <c:manualLayout>
              <c:xMode val="edge"/>
              <c:yMode val="edge"/>
              <c:x val="5.7913102985001401E-2"/>
              <c:y val="1.1131420542861425E-2"/>
            </c:manualLayout>
          </c:layout>
          <c:overlay val="0"/>
        </c:title>
        <c:numFmt formatCode="0.0%" sourceLinked="1"/>
        <c:majorTickMark val="out"/>
        <c:minorTickMark val="none"/>
        <c:tickLblPos val="nextTo"/>
        <c:txPr>
          <a:bodyPr/>
          <a:lstStyle/>
          <a:p>
            <a:pPr>
              <a:defRPr lang="nl-NL"/>
            </a:pPr>
            <a:endParaRPr lang="en-US"/>
          </a:p>
        </c:txPr>
        <c:crossAx val="-902304608"/>
        <c:crosses val="autoZero"/>
        <c:crossBetween val="between"/>
      </c:valAx>
    </c:plotArea>
    <c:legend>
      <c:legendPos val="r"/>
      <c:layout>
        <c:manualLayout>
          <c:xMode val="edge"/>
          <c:yMode val="edge"/>
          <c:x val="0.78043606380850905"/>
          <c:y val="0.11271069486720439"/>
          <c:w val="0.20778802958520984"/>
          <c:h val="0.2695591418705916"/>
        </c:manualLayout>
      </c:layout>
      <c:overlay val="0"/>
      <c:spPr>
        <a:solidFill>
          <a:schemeClr val="bg1"/>
        </a:solidFill>
        <a:ln>
          <a:solidFill>
            <a:schemeClr val="bg1">
              <a:lumMod val="50000"/>
            </a:schemeClr>
          </a:solidFill>
        </a:ln>
      </c:spPr>
      <c:txPr>
        <a:bodyPr/>
        <a:lstStyle/>
        <a:p>
          <a:pPr>
            <a:defRPr lang="nl-NL"/>
          </a:pPr>
          <a:endParaRPr lang="en-US"/>
        </a:p>
      </c:txPr>
    </c:legend>
    <c:plotVisOnly val="1"/>
    <c:dispBlanksAs val="gap"/>
    <c:showDLblsOverMax val="0"/>
  </c:chart>
  <c:printSettings>
    <c:headerFooter/>
    <c:pageMargins b="0.75000000000000133" l="0.70000000000000062" r="0.70000000000000062" t="0.75000000000000133" header="0.30000000000000032" footer="0.30000000000000032"/>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nl-NL"/>
            </a:pPr>
            <a:r>
              <a:rPr lang="en-US" sz="900"/>
              <a:t>WASAC Water</a:t>
            </a:r>
            <a:r>
              <a:rPr lang="en-US" sz="900" baseline="0"/>
              <a:t> distribution per Sector </a:t>
            </a:r>
            <a:r>
              <a:rPr lang="en-US" sz="900" b="1" i="0" u="none" strike="noStrike" baseline="0"/>
              <a:t>in 000 m3 and %  for 2012</a:t>
            </a:r>
            <a:r>
              <a:rPr lang="en-US" sz="900" baseline="0"/>
              <a:t> </a:t>
            </a:r>
            <a:endParaRPr lang="en-US" sz="900"/>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ln>
                <a:solidFill>
                  <a:srgbClr val="7030A0"/>
                </a:solidFill>
              </a:ln>
            </c:spPr>
            <c:txPr>
              <a:bodyPr/>
              <a:lstStyle/>
              <a:p>
                <a:pPr>
                  <a:defRPr lang="nl-NL"/>
                </a:pPr>
                <a:endParaRPr lang="en-US"/>
              </a:p>
            </c:txPr>
            <c:showLegendKey val="0"/>
            <c:showVal val="1"/>
            <c:showCatName val="1"/>
            <c:showSerName val="0"/>
            <c:showPercent val="1"/>
            <c:showBubbleSize val="0"/>
            <c:separator>
</c:separator>
            <c:showLeaderLines val="1"/>
            <c:extLst xmlns:c16r2="http://schemas.microsoft.com/office/drawing/2015/06/chart">
              <c:ext xmlns:c15="http://schemas.microsoft.com/office/drawing/2012/chart" uri="{CE6537A1-D6FC-4f65-9D91-7224C49458BB}"/>
            </c:extLst>
          </c:dLbls>
          <c:cat>
            <c:strRef>
              <c:f>WASAC_Distribution!$A$1:$E$1</c:f>
              <c:strCache>
                <c:ptCount val="5"/>
                <c:pt idx="0">
                  <c:v>Plant losses </c:v>
                </c:pt>
                <c:pt idx="1">
                  <c:v>Domestic water use</c:v>
                </c:pt>
                <c:pt idx="2">
                  <c:v>Commercial&amp; GVT</c:v>
                </c:pt>
                <c:pt idx="3">
                  <c:v>x</c:v>
                </c:pt>
                <c:pt idx="4">
                  <c:v>None Revenues Water</c:v>
                </c:pt>
              </c:strCache>
            </c:strRef>
          </c:cat>
          <c:val>
            <c:numRef>
              <c:f>WASAC_Distribution!$A$2:$E$2</c:f>
              <c:numCache>
                <c:formatCode>#,##0</c:formatCode>
                <c:ptCount val="5"/>
                <c:pt idx="0">
                  <c:v>1151.4559999999999</c:v>
                </c:pt>
                <c:pt idx="1">
                  <c:v>19106.305196053698</c:v>
                </c:pt>
                <c:pt idx="2">
                  <c:v>500.39459999999997</c:v>
                </c:pt>
                <c:pt idx="3">
                  <c:v>1038.98920394626</c:v>
                </c:pt>
                <c:pt idx="4">
                  <c:v>15214.484</c:v>
                </c:pt>
              </c:numCache>
            </c:numRef>
          </c:val>
          <c:extLst xmlns:c16r2="http://schemas.microsoft.com/office/drawing/2015/06/chart">
            <c:ext xmlns:c16="http://schemas.microsoft.com/office/drawing/2014/chart" uri="{C3380CC4-5D6E-409C-BE32-E72D297353CC}">
              <c16:uniqueId val="{00000000-6ADB-42D3-A7DE-482787B498EC}"/>
            </c:ext>
          </c:extLst>
        </c:ser>
        <c:dLbls>
          <c:showLegendKey val="0"/>
          <c:showVal val="0"/>
          <c:showCatName val="1"/>
          <c:showSerName val="0"/>
          <c:showPercent val="1"/>
          <c:showBubbleSize val="0"/>
          <c:showLeaderLines val="1"/>
        </c:dLbls>
      </c:pie3DChart>
    </c:plotArea>
    <c:plotVisOnly val="1"/>
    <c:dispBlanksAs val="zero"/>
    <c:showDLblsOverMax val="0"/>
  </c:chart>
  <c:printSettings>
    <c:headerFooter/>
    <c:pageMargins b="0.75000000000000433" l="0.70000000000000062" r="0.70000000000000062" t="0.75000000000000433"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35.xml"/><Relationship Id="rId13" Type="http://schemas.openxmlformats.org/officeDocument/2006/relationships/chart" Target="../charts/chart40.xml"/><Relationship Id="rId3" Type="http://schemas.openxmlformats.org/officeDocument/2006/relationships/chart" Target="../charts/chart30.xml"/><Relationship Id="rId7" Type="http://schemas.openxmlformats.org/officeDocument/2006/relationships/chart" Target="../charts/chart34.xml"/><Relationship Id="rId12" Type="http://schemas.openxmlformats.org/officeDocument/2006/relationships/chart" Target="../charts/chart39.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11" Type="http://schemas.openxmlformats.org/officeDocument/2006/relationships/chart" Target="../charts/chart38.xml"/><Relationship Id="rId5" Type="http://schemas.openxmlformats.org/officeDocument/2006/relationships/chart" Target="../charts/chart32.xml"/><Relationship Id="rId10" Type="http://schemas.openxmlformats.org/officeDocument/2006/relationships/chart" Target="../charts/chart37.xml"/><Relationship Id="rId4" Type="http://schemas.openxmlformats.org/officeDocument/2006/relationships/chart" Target="../charts/chart31.xml"/><Relationship Id="rId9" Type="http://schemas.openxmlformats.org/officeDocument/2006/relationships/chart" Target="../charts/chart3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53.xml"/><Relationship Id="rId13" Type="http://schemas.openxmlformats.org/officeDocument/2006/relationships/chart" Target="../charts/chart58.xml"/><Relationship Id="rId3" Type="http://schemas.openxmlformats.org/officeDocument/2006/relationships/chart" Target="../charts/chart48.xml"/><Relationship Id="rId7" Type="http://schemas.openxmlformats.org/officeDocument/2006/relationships/chart" Target="../charts/chart52.xml"/><Relationship Id="rId12" Type="http://schemas.openxmlformats.org/officeDocument/2006/relationships/chart" Target="../charts/chart57.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11" Type="http://schemas.openxmlformats.org/officeDocument/2006/relationships/chart" Target="../charts/chart56.xml"/><Relationship Id="rId5" Type="http://schemas.openxmlformats.org/officeDocument/2006/relationships/chart" Target="../charts/chart50.xml"/><Relationship Id="rId15" Type="http://schemas.openxmlformats.org/officeDocument/2006/relationships/chart" Target="../charts/chart60.xml"/><Relationship Id="rId10" Type="http://schemas.openxmlformats.org/officeDocument/2006/relationships/chart" Target="../charts/chart55.xml"/><Relationship Id="rId4" Type="http://schemas.openxmlformats.org/officeDocument/2006/relationships/chart" Target="../charts/chart49.xml"/><Relationship Id="rId9" Type="http://schemas.openxmlformats.org/officeDocument/2006/relationships/chart" Target="../charts/chart54.xml"/><Relationship Id="rId14" Type="http://schemas.openxmlformats.org/officeDocument/2006/relationships/chart" Target="../charts/chart59.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68.xml"/><Relationship Id="rId3" Type="http://schemas.openxmlformats.org/officeDocument/2006/relationships/chart" Target="../charts/chart63.xml"/><Relationship Id="rId7" Type="http://schemas.openxmlformats.org/officeDocument/2006/relationships/chart" Target="../charts/chart67.xml"/><Relationship Id="rId12" Type="http://schemas.openxmlformats.org/officeDocument/2006/relationships/chart" Target="../charts/chart72.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11" Type="http://schemas.openxmlformats.org/officeDocument/2006/relationships/chart" Target="../charts/chart71.xml"/><Relationship Id="rId5" Type="http://schemas.openxmlformats.org/officeDocument/2006/relationships/chart" Target="../charts/chart65.xml"/><Relationship Id="rId10" Type="http://schemas.openxmlformats.org/officeDocument/2006/relationships/chart" Target="../charts/chart70.xml"/><Relationship Id="rId4" Type="http://schemas.openxmlformats.org/officeDocument/2006/relationships/chart" Target="../charts/chart64.xml"/><Relationship Id="rId9" Type="http://schemas.openxmlformats.org/officeDocument/2006/relationships/chart" Target="../charts/chart69.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80.xml"/><Relationship Id="rId3" Type="http://schemas.openxmlformats.org/officeDocument/2006/relationships/chart" Target="../charts/chart75.xml"/><Relationship Id="rId7" Type="http://schemas.openxmlformats.org/officeDocument/2006/relationships/chart" Target="../charts/chart79.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 Id="rId9" Type="http://schemas.openxmlformats.org/officeDocument/2006/relationships/chart" Target="../charts/chart8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82.xml"/></Relationships>
</file>

<file path=xl/drawings/drawing1.xml><?xml version="1.0" encoding="utf-8"?>
<xdr:wsDr xmlns:xdr="http://schemas.openxmlformats.org/drawingml/2006/spreadsheetDrawing" xmlns:a="http://schemas.openxmlformats.org/drawingml/2006/main">
  <xdr:twoCellAnchor>
    <xdr:from>
      <xdr:col>3</xdr:col>
      <xdr:colOff>323850</xdr:colOff>
      <xdr:row>49</xdr:row>
      <xdr:rowOff>57150</xdr:rowOff>
    </xdr:from>
    <xdr:to>
      <xdr:col>12</xdr:col>
      <xdr:colOff>180975</xdr:colOff>
      <xdr:row>73</xdr:row>
      <xdr:rowOff>133350</xdr:rowOff>
    </xdr:to>
    <xdr:graphicFrame macro="">
      <xdr:nvGraphicFramePr>
        <xdr:cNvPr id="1061" name="Grafiek 1">
          <a:extLst>
            <a:ext uri="{FF2B5EF4-FFF2-40B4-BE49-F238E27FC236}">
              <a16:creationId xmlns:a16="http://schemas.microsoft.com/office/drawing/2014/main" xmlns="" id="{00000000-0008-0000-0100-000025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590550</xdr:colOff>
      <xdr:row>49</xdr:row>
      <xdr:rowOff>47625</xdr:rowOff>
    </xdr:from>
    <xdr:to>
      <xdr:col>22</xdr:col>
      <xdr:colOff>161925</xdr:colOff>
      <xdr:row>79</xdr:row>
      <xdr:rowOff>152400</xdr:rowOff>
    </xdr:to>
    <xdr:graphicFrame macro="">
      <xdr:nvGraphicFramePr>
        <xdr:cNvPr id="1062" name="Grafiek 1">
          <a:extLst>
            <a:ext uri="{FF2B5EF4-FFF2-40B4-BE49-F238E27FC236}">
              <a16:creationId xmlns:a16="http://schemas.microsoft.com/office/drawing/2014/main" xmlns="" id="{00000000-0008-0000-0100-000026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333375</xdr:colOff>
      <xdr:row>74</xdr:row>
      <xdr:rowOff>114300</xdr:rowOff>
    </xdr:from>
    <xdr:to>
      <xdr:col>20</xdr:col>
      <xdr:colOff>257175</xdr:colOff>
      <xdr:row>115</xdr:row>
      <xdr:rowOff>85725</xdr:rowOff>
    </xdr:to>
    <xdr:graphicFrame macro="">
      <xdr:nvGraphicFramePr>
        <xdr:cNvPr id="1063" name="Grafiek 1">
          <a:extLst>
            <a:ext uri="{FF2B5EF4-FFF2-40B4-BE49-F238E27FC236}">
              <a16:creationId xmlns:a16="http://schemas.microsoft.com/office/drawing/2014/main" xmlns="" id="{00000000-0008-0000-0100-000027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180975</xdr:colOff>
      <xdr:row>28</xdr:row>
      <xdr:rowOff>581025</xdr:rowOff>
    </xdr:from>
    <xdr:to>
      <xdr:col>19</xdr:col>
      <xdr:colOff>142875</xdr:colOff>
      <xdr:row>35</xdr:row>
      <xdr:rowOff>1562100</xdr:rowOff>
    </xdr:to>
    <xdr:pic>
      <xdr:nvPicPr>
        <xdr:cNvPr id="13345" name="Afbeelding 6">
          <a:extLst>
            <a:ext uri="{FF2B5EF4-FFF2-40B4-BE49-F238E27FC236}">
              <a16:creationId xmlns:a16="http://schemas.microsoft.com/office/drawing/2014/main" xmlns="" id="{00000000-0008-0000-0C00-0000213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64025" y="42481500"/>
          <a:ext cx="5448300" cy="407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180975</xdr:colOff>
      <xdr:row>28</xdr:row>
      <xdr:rowOff>581025</xdr:rowOff>
    </xdr:from>
    <xdr:to>
      <xdr:col>19</xdr:col>
      <xdr:colOff>142875</xdr:colOff>
      <xdr:row>35</xdr:row>
      <xdr:rowOff>1543050</xdr:rowOff>
    </xdr:to>
    <xdr:pic>
      <xdr:nvPicPr>
        <xdr:cNvPr id="112657" name="Afbeelding 6">
          <a:extLst>
            <a:ext uri="{FF2B5EF4-FFF2-40B4-BE49-F238E27FC236}">
              <a16:creationId xmlns:a16="http://schemas.microsoft.com/office/drawing/2014/main" xmlns="" id="{00000000-0008-0000-1300-000011B8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64025" y="42500550"/>
          <a:ext cx="5448300" cy="407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180975</xdr:colOff>
      <xdr:row>28</xdr:row>
      <xdr:rowOff>581025</xdr:rowOff>
    </xdr:from>
    <xdr:to>
      <xdr:col>19</xdr:col>
      <xdr:colOff>142875</xdr:colOff>
      <xdr:row>35</xdr:row>
      <xdr:rowOff>1562100</xdr:rowOff>
    </xdr:to>
    <xdr:pic>
      <xdr:nvPicPr>
        <xdr:cNvPr id="114704" name="Afbeelding 6">
          <a:extLst>
            <a:ext uri="{FF2B5EF4-FFF2-40B4-BE49-F238E27FC236}">
              <a16:creationId xmlns:a16="http://schemas.microsoft.com/office/drawing/2014/main" xmlns="" id="{00000000-0008-0000-1800-000010C0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64025" y="42481500"/>
          <a:ext cx="5448300" cy="407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180975</xdr:colOff>
      <xdr:row>28</xdr:row>
      <xdr:rowOff>581025</xdr:rowOff>
    </xdr:from>
    <xdr:to>
      <xdr:col>19</xdr:col>
      <xdr:colOff>142875</xdr:colOff>
      <xdr:row>35</xdr:row>
      <xdr:rowOff>1562100</xdr:rowOff>
    </xdr:to>
    <xdr:pic>
      <xdr:nvPicPr>
        <xdr:cNvPr id="116752" name="Afbeelding 6">
          <a:extLst>
            <a:ext uri="{FF2B5EF4-FFF2-40B4-BE49-F238E27FC236}">
              <a16:creationId xmlns:a16="http://schemas.microsoft.com/office/drawing/2014/main" xmlns="" id="{00000000-0008-0000-1D00-000010C8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64025" y="42481500"/>
          <a:ext cx="5448300" cy="407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409575</xdr:colOff>
      <xdr:row>2</xdr:row>
      <xdr:rowOff>142875</xdr:rowOff>
    </xdr:from>
    <xdr:to>
      <xdr:col>18</xdr:col>
      <xdr:colOff>38100</xdr:colOff>
      <xdr:row>17</xdr:row>
      <xdr:rowOff>76200</xdr:rowOff>
    </xdr:to>
    <xdr:graphicFrame macro="">
      <xdr:nvGraphicFramePr>
        <xdr:cNvPr id="148506" name="Chart 1">
          <a:extLst>
            <a:ext uri="{FF2B5EF4-FFF2-40B4-BE49-F238E27FC236}">
              <a16:creationId xmlns:a16="http://schemas.microsoft.com/office/drawing/2014/main" xmlns="" id="{00000000-0008-0000-2100-00001A44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428625</xdr:colOff>
      <xdr:row>18</xdr:row>
      <xdr:rowOff>66675</xdr:rowOff>
    </xdr:from>
    <xdr:to>
      <xdr:col>18</xdr:col>
      <xdr:colOff>57150</xdr:colOff>
      <xdr:row>34</xdr:row>
      <xdr:rowOff>190500</xdr:rowOff>
    </xdr:to>
    <xdr:graphicFrame macro="">
      <xdr:nvGraphicFramePr>
        <xdr:cNvPr id="148507" name="Chart 2">
          <a:extLst>
            <a:ext uri="{FF2B5EF4-FFF2-40B4-BE49-F238E27FC236}">
              <a16:creationId xmlns:a16="http://schemas.microsoft.com/office/drawing/2014/main" xmlns="" id="{00000000-0008-0000-2100-00001B44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409575</xdr:colOff>
      <xdr:row>2</xdr:row>
      <xdr:rowOff>142875</xdr:rowOff>
    </xdr:from>
    <xdr:to>
      <xdr:col>18</xdr:col>
      <xdr:colOff>38100</xdr:colOff>
      <xdr:row>17</xdr:row>
      <xdr:rowOff>76200</xdr:rowOff>
    </xdr:to>
    <xdr:graphicFrame macro="">
      <xdr:nvGraphicFramePr>
        <xdr:cNvPr id="53274" name="Chart 1">
          <a:extLst>
            <a:ext uri="{FF2B5EF4-FFF2-40B4-BE49-F238E27FC236}">
              <a16:creationId xmlns:a16="http://schemas.microsoft.com/office/drawing/2014/main" xmlns="" id="{00000000-0008-0000-2200-00001AD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428625</xdr:colOff>
      <xdr:row>18</xdr:row>
      <xdr:rowOff>66675</xdr:rowOff>
    </xdr:from>
    <xdr:to>
      <xdr:col>18</xdr:col>
      <xdr:colOff>57150</xdr:colOff>
      <xdr:row>34</xdr:row>
      <xdr:rowOff>190500</xdr:rowOff>
    </xdr:to>
    <xdr:graphicFrame macro="">
      <xdr:nvGraphicFramePr>
        <xdr:cNvPr id="53275" name="Chart 2">
          <a:extLst>
            <a:ext uri="{FF2B5EF4-FFF2-40B4-BE49-F238E27FC236}">
              <a16:creationId xmlns:a16="http://schemas.microsoft.com/office/drawing/2014/main" xmlns="" id="{00000000-0008-0000-2200-00001BD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409575</xdr:colOff>
      <xdr:row>2</xdr:row>
      <xdr:rowOff>142875</xdr:rowOff>
    </xdr:from>
    <xdr:to>
      <xdr:col>18</xdr:col>
      <xdr:colOff>38100</xdr:colOff>
      <xdr:row>17</xdr:row>
      <xdr:rowOff>76200</xdr:rowOff>
    </xdr:to>
    <xdr:graphicFrame macro="">
      <xdr:nvGraphicFramePr>
        <xdr:cNvPr id="2" name="Chart 1">
          <a:extLst>
            <a:ext uri="{FF2B5EF4-FFF2-40B4-BE49-F238E27FC236}">
              <a16:creationId xmlns:a16="http://schemas.microsoft.com/office/drawing/2014/main" xmlns="" id="{5F7F503A-EF03-4B19-B7A6-E99AAE737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428625</xdr:colOff>
      <xdr:row>18</xdr:row>
      <xdr:rowOff>66675</xdr:rowOff>
    </xdr:from>
    <xdr:to>
      <xdr:col>18</xdr:col>
      <xdr:colOff>57150</xdr:colOff>
      <xdr:row>34</xdr:row>
      <xdr:rowOff>190500</xdr:rowOff>
    </xdr:to>
    <xdr:graphicFrame macro="">
      <xdr:nvGraphicFramePr>
        <xdr:cNvPr id="3" name="Chart 2">
          <a:extLst>
            <a:ext uri="{FF2B5EF4-FFF2-40B4-BE49-F238E27FC236}">
              <a16:creationId xmlns:a16="http://schemas.microsoft.com/office/drawing/2014/main" xmlns="" id="{EDC12B4E-E8A7-4D98-88CA-A6AE138AD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114301</xdr:colOff>
      <xdr:row>3</xdr:row>
      <xdr:rowOff>123825</xdr:rowOff>
    </xdr:from>
    <xdr:to>
      <xdr:col>25</xdr:col>
      <xdr:colOff>85725</xdr:colOff>
      <xdr:row>13</xdr:row>
      <xdr:rowOff>180975</xdr:rowOff>
    </xdr:to>
    <xdr:graphicFrame macro="">
      <xdr:nvGraphicFramePr>
        <xdr:cNvPr id="4" name="Chart 3">
          <a:extLst>
            <a:ext uri="{FF2B5EF4-FFF2-40B4-BE49-F238E27FC236}">
              <a16:creationId xmlns:a16="http://schemas.microsoft.com/office/drawing/2014/main" xmlns="" id="{7F394902-4ADE-4DD8-A91C-E785E5A80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266701</xdr:colOff>
      <xdr:row>23</xdr:row>
      <xdr:rowOff>133350</xdr:rowOff>
    </xdr:from>
    <xdr:to>
      <xdr:col>25</xdr:col>
      <xdr:colOff>0</xdr:colOff>
      <xdr:row>35</xdr:row>
      <xdr:rowOff>57149</xdr:rowOff>
    </xdr:to>
    <xdr:graphicFrame macro="">
      <xdr:nvGraphicFramePr>
        <xdr:cNvPr id="5" name="Chart 4">
          <a:extLst>
            <a:ext uri="{FF2B5EF4-FFF2-40B4-BE49-F238E27FC236}">
              <a16:creationId xmlns:a16="http://schemas.microsoft.com/office/drawing/2014/main" xmlns="" id="{B4D9D694-F94A-45C2-A17E-2F22DCB69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27</xdr:col>
      <xdr:colOff>347806</xdr:colOff>
      <xdr:row>25</xdr:row>
      <xdr:rowOff>254967</xdr:rowOff>
    </xdr:from>
    <xdr:to>
      <xdr:col>35</xdr:col>
      <xdr:colOff>70715</xdr:colOff>
      <xdr:row>38</xdr:row>
      <xdr:rowOff>31750</xdr:rowOff>
    </xdr:to>
    <xdr:graphicFrame macro="">
      <xdr:nvGraphicFramePr>
        <xdr:cNvPr id="2" name="Chart 1">
          <a:extLst>
            <a:ext uri="{FF2B5EF4-FFF2-40B4-BE49-F238E27FC236}">
              <a16:creationId xmlns:a16="http://schemas.microsoft.com/office/drawing/2014/main" xmlns=""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321829</xdr:colOff>
      <xdr:row>6</xdr:row>
      <xdr:rowOff>40415</xdr:rowOff>
    </xdr:from>
    <xdr:to>
      <xdr:col>35</xdr:col>
      <xdr:colOff>44738</xdr:colOff>
      <xdr:row>22</xdr:row>
      <xdr:rowOff>254001</xdr:rowOff>
    </xdr:to>
    <xdr:graphicFrame macro="">
      <xdr:nvGraphicFramePr>
        <xdr:cNvPr id="5" name="Chart 4">
          <a:extLst>
            <a:ext uri="{FF2B5EF4-FFF2-40B4-BE49-F238E27FC236}">
              <a16:creationId xmlns:a16="http://schemas.microsoft.com/office/drawing/2014/main" xmlns="" id="{00000000-0008-0000-2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235240</xdr:colOff>
      <xdr:row>6</xdr:row>
      <xdr:rowOff>23097</xdr:rowOff>
    </xdr:from>
    <xdr:to>
      <xdr:col>42</xdr:col>
      <xdr:colOff>571982</xdr:colOff>
      <xdr:row>25</xdr:row>
      <xdr:rowOff>55805</xdr:rowOff>
    </xdr:to>
    <xdr:graphicFrame macro="">
      <xdr:nvGraphicFramePr>
        <xdr:cNvPr id="4" name="Chart 3">
          <a:extLst>
            <a:ext uri="{FF2B5EF4-FFF2-40B4-BE49-F238E27FC236}">
              <a16:creationId xmlns:a16="http://schemas.microsoft.com/office/drawing/2014/main" xmlns="" id="{00000000-0008-0000-2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309561</xdr:colOff>
      <xdr:row>78</xdr:row>
      <xdr:rowOff>158750</xdr:rowOff>
    </xdr:from>
    <xdr:to>
      <xdr:col>46</xdr:col>
      <xdr:colOff>523875</xdr:colOff>
      <xdr:row>100</xdr:row>
      <xdr:rowOff>79375</xdr:rowOff>
    </xdr:to>
    <xdr:graphicFrame macro="">
      <xdr:nvGraphicFramePr>
        <xdr:cNvPr id="10" name="Chart 9">
          <a:extLst>
            <a:ext uri="{FF2B5EF4-FFF2-40B4-BE49-F238E27FC236}">
              <a16:creationId xmlns:a16="http://schemas.microsoft.com/office/drawing/2014/main" xmlns="" id="{00000000-0008-0000-2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xdr:col>
      <xdr:colOff>541336</xdr:colOff>
      <xdr:row>78</xdr:row>
      <xdr:rowOff>149225</xdr:rowOff>
    </xdr:from>
    <xdr:to>
      <xdr:col>65</xdr:col>
      <xdr:colOff>269875</xdr:colOff>
      <xdr:row>91</xdr:row>
      <xdr:rowOff>15874</xdr:rowOff>
    </xdr:to>
    <xdr:graphicFrame macro="">
      <xdr:nvGraphicFramePr>
        <xdr:cNvPr id="11" name="Chart 10">
          <a:extLst>
            <a:ext uri="{FF2B5EF4-FFF2-40B4-BE49-F238E27FC236}">
              <a16:creationId xmlns:a16="http://schemas.microsoft.com/office/drawing/2014/main" xmlns="" id="{00000000-0008-0000-2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144461</xdr:colOff>
      <xdr:row>78</xdr:row>
      <xdr:rowOff>292100</xdr:rowOff>
    </xdr:from>
    <xdr:to>
      <xdr:col>84</xdr:col>
      <xdr:colOff>352425</xdr:colOff>
      <xdr:row>101</xdr:row>
      <xdr:rowOff>41275</xdr:rowOff>
    </xdr:to>
    <xdr:graphicFrame macro="">
      <xdr:nvGraphicFramePr>
        <xdr:cNvPr id="12" name="Chart 11">
          <a:extLst>
            <a:ext uri="{FF2B5EF4-FFF2-40B4-BE49-F238E27FC236}">
              <a16:creationId xmlns:a16="http://schemas.microsoft.com/office/drawing/2014/main" xmlns="" id="{00000000-0008-0000-2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214311</xdr:colOff>
      <xdr:row>141</xdr:row>
      <xdr:rowOff>47625</xdr:rowOff>
    </xdr:from>
    <xdr:to>
      <xdr:col>46</xdr:col>
      <xdr:colOff>428625</xdr:colOff>
      <xdr:row>179</xdr:row>
      <xdr:rowOff>0</xdr:rowOff>
    </xdr:to>
    <xdr:graphicFrame macro="">
      <xdr:nvGraphicFramePr>
        <xdr:cNvPr id="13" name="Chart 12">
          <a:extLst>
            <a:ext uri="{FF2B5EF4-FFF2-40B4-BE49-F238E27FC236}">
              <a16:creationId xmlns:a16="http://schemas.microsoft.com/office/drawing/2014/main" xmlns="" id="{00000000-0008-0000-2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325436</xdr:colOff>
      <xdr:row>141</xdr:row>
      <xdr:rowOff>95250</xdr:rowOff>
    </xdr:from>
    <xdr:to>
      <xdr:col>65</xdr:col>
      <xdr:colOff>539750</xdr:colOff>
      <xdr:row>179</xdr:row>
      <xdr:rowOff>47625</xdr:rowOff>
    </xdr:to>
    <xdr:graphicFrame macro="">
      <xdr:nvGraphicFramePr>
        <xdr:cNvPr id="14" name="Chart 13">
          <a:extLst>
            <a:ext uri="{FF2B5EF4-FFF2-40B4-BE49-F238E27FC236}">
              <a16:creationId xmlns:a16="http://schemas.microsoft.com/office/drawing/2014/main" xmlns="" id="{00000000-0008-0000-2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206375</xdr:colOff>
      <xdr:row>102</xdr:row>
      <xdr:rowOff>95251</xdr:rowOff>
    </xdr:from>
    <xdr:to>
      <xdr:col>46</xdr:col>
      <xdr:colOff>444499</xdr:colOff>
      <xdr:row>130</xdr:row>
      <xdr:rowOff>63501</xdr:rowOff>
    </xdr:to>
    <xdr:graphicFrame macro="">
      <xdr:nvGraphicFramePr>
        <xdr:cNvPr id="15" name="Chart 14">
          <a:extLst>
            <a:ext uri="{FF2B5EF4-FFF2-40B4-BE49-F238E27FC236}">
              <a16:creationId xmlns:a16="http://schemas.microsoft.com/office/drawing/2014/main" xmlns="" id="{00000000-0008-0000-2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349250</xdr:colOff>
      <xdr:row>102</xdr:row>
      <xdr:rowOff>111125</xdr:rowOff>
    </xdr:from>
    <xdr:to>
      <xdr:col>65</xdr:col>
      <xdr:colOff>571499</xdr:colOff>
      <xdr:row>130</xdr:row>
      <xdr:rowOff>0</xdr:rowOff>
    </xdr:to>
    <xdr:graphicFrame macro="">
      <xdr:nvGraphicFramePr>
        <xdr:cNvPr id="16" name="Chart 15">
          <a:extLst>
            <a:ext uri="{FF2B5EF4-FFF2-40B4-BE49-F238E27FC236}">
              <a16:creationId xmlns:a16="http://schemas.microsoft.com/office/drawing/2014/main" xmlns="" id="{00000000-0008-0000-2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116417</xdr:colOff>
      <xdr:row>22</xdr:row>
      <xdr:rowOff>67732</xdr:rowOff>
    </xdr:from>
    <xdr:to>
      <xdr:col>21</xdr:col>
      <xdr:colOff>127000</xdr:colOff>
      <xdr:row>40</xdr:row>
      <xdr:rowOff>52916</xdr:rowOff>
    </xdr:to>
    <xdr:graphicFrame macro="">
      <xdr:nvGraphicFramePr>
        <xdr:cNvPr id="3" name="Chart 2">
          <a:extLst>
            <a:ext uri="{FF2B5EF4-FFF2-40B4-BE49-F238E27FC236}">
              <a16:creationId xmlns:a16="http://schemas.microsoft.com/office/drawing/2014/main" xmlns="" id="{00000000-0008-0000-2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137583</xdr:colOff>
      <xdr:row>2</xdr:row>
      <xdr:rowOff>258232</xdr:rowOff>
    </xdr:from>
    <xdr:to>
      <xdr:col>21</xdr:col>
      <xdr:colOff>148166</xdr:colOff>
      <xdr:row>20</xdr:row>
      <xdr:rowOff>42332</xdr:rowOff>
    </xdr:to>
    <xdr:graphicFrame macro="">
      <xdr:nvGraphicFramePr>
        <xdr:cNvPr id="4" name="Chart 3">
          <a:extLst>
            <a:ext uri="{FF2B5EF4-FFF2-40B4-BE49-F238E27FC236}">
              <a16:creationId xmlns:a16="http://schemas.microsoft.com/office/drawing/2014/main" xmlns="" id="{00000000-0008-0000-2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148166</xdr:colOff>
      <xdr:row>3</xdr:row>
      <xdr:rowOff>74083</xdr:rowOff>
    </xdr:from>
    <xdr:to>
      <xdr:col>21</xdr:col>
      <xdr:colOff>158749</xdr:colOff>
      <xdr:row>22</xdr:row>
      <xdr:rowOff>52916</xdr:rowOff>
    </xdr:to>
    <xdr:graphicFrame macro="">
      <xdr:nvGraphicFramePr>
        <xdr:cNvPr id="2" name="Chart 1">
          <a:extLst>
            <a:ext uri="{FF2B5EF4-FFF2-40B4-BE49-F238E27FC236}">
              <a16:creationId xmlns:a16="http://schemas.microsoft.com/office/drawing/2014/main" xmlns=""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148166</xdr:colOff>
      <xdr:row>23</xdr:row>
      <xdr:rowOff>169333</xdr:rowOff>
    </xdr:from>
    <xdr:to>
      <xdr:col>21</xdr:col>
      <xdr:colOff>158749</xdr:colOff>
      <xdr:row>43</xdr:row>
      <xdr:rowOff>137583</xdr:rowOff>
    </xdr:to>
    <xdr:graphicFrame macro="">
      <xdr:nvGraphicFramePr>
        <xdr:cNvPr id="3" name="Chart 2">
          <a:extLst>
            <a:ext uri="{FF2B5EF4-FFF2-40B4-BE49-F238E27FC236}">
              <a16:creationId xmlns:a16="http://schemas.microsoft.com/office/drawing/2014/main" xmlns="" id="{00000000-0008-0000-2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285749</xdr:colOff>
      <xdr:row>1</xdr:row>
      <xdr:rowOff>138641</xdr:rowOff>
    </xdr:from>
    <xdr:to>
      <xdr:col>20</xdr:col>
      <xdr:colOff>266699</xdr:colOff>
      <xdr:row>15</xdr:row>
      <xdr:rowOff>24342</xdr:rowOff>
    </xdr:to>
    <xdr:graphicFrame macro="">
      <xdr:nvGraphicFramePr>
        <xdr:cNvPr id="2" name="Chart 1">
          <a:extLst>
            <a:ext uri="{FF2B5EF4-FFF2-40B4-BE49-F238E27FC236}">
              <a16:creationId xmlns:a16="http://schemas.microsoft.com/office/drawing/2014/main" xmlns="" id="{00000000-0008-0000-2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275166</xdr:colOff>
      <xdr:row>17</xdr:row>
      <xdr:rowOff>180975</xdr:rowOff>
    </xdr:from>
    <xdr:to>
      <xdr:col>20</xdr:col>
      <xdr:colOff>256116</xdr:colOff>
      <xdr:row>29</xdr:row>
      <xdr:rowOff>109009</xdr:rowOff>
    </xdr:to>
    <xdr:graphicFrame macro="">
      <xdr:nvGraphicFramePr>
        <xdr:cNvPr id="3" name="Chart 2">
          <a:extLst>
            <a:ext uri="{FF2B5EF4-FFF2-40B4-BE49-F238E27FC236}">
              <a16:creationId xmlns:a16="http://schemas.microsoft.com/office/drawing/2014/main" xmlns="" id="{00000000-0008-0000-2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8</xdr:col>
      <xdr:colOff>571493</xdr:colOff>
      <xdr:row>86</xdr:row>
      <xdr:rowOff>188124</xdr:rowOff>
    </xdr:from>
    <xdr:to>
      <xdr:col>14</xdr:col>
      <xdr:colOff>214306</xdr:colOff>
      <xdr:row>109</xdr:row>
      <xdr:rowOff>6</xdr:rowOff>
    </xdr:to>
    <xdr:graphicFrame macro="">
      <xdr:nvGraphicFramePr>
        <xdr:cNvPr id="2" name="Chart 1">
          <a:extLst>
            <a:ext uri="{FF2B5EF4-FFF2-40B4-BE49-F238E27FC236}">
              <a16:creationId xmlns:a16="http://schemas.microsoft.com/office/drawing/2014/main" xmlns="" id="{00000000-0008-0000-2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619118</xdr:colOff>
      <xdr:row>111</xdr:row>
      <xdr:rowOff>104780</xdr:rowOff>
    </xdr:from>
    <xdr:to>
      <xdr:col>14</xdr:col>
      <xdr:colOff>261931</xdr:colOff>
      <xdr:row>132</xdr:row>
      <xdr:rowOff>166693</xdr:rowOff>
    </xdr:to>
    <xdr:graphicFrame macro="">
      <xdr:nvGraphicFramePr>
        <xdr:cNvPr id="4" name="Chart 3">
          <a:extLst>
            <a:ext uri="{FF2B5EF4-FFF2-40B4-BE49-F238E27FC236}">
              <a16:creationId xmlns:a16="http://schemas.microsoft.com/office/drawing/2014/main" xmlns="" id="{00000000-0008-0000-2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146276</xdr:colOff>
      <xdr:row>87</xdr:row>
      <xdr:rowOff>79267</xdr:rowOff>
    </xdr:from>
    <xdr:to>
      <xdr:col>8</xdr:col>
      <xdr:colOff>122458</xdr:colOff>
      <xdr:row>109</xdr:row>
      <xdr:rowOff>81649</xdr:rowOff>
    </xdr:to>
    <xdr:graphicFrame macro="">
      <xdr:nvGraphicFramePr>
        <xdr:cNvPr id="5" name="Chart 4">
          <a:extLst>
            <a:ext uri="{FF2B5EF4-FFF2-40B4-BE49-F238E27FC236}">
              <a16:creationId xmlns:a16="http://schemas.microsoft.com/office/drawing/2014/main" xmlns="" id="{00000000-0008-0000-2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490425</xdr:colOff>
      <xdr:row>93</xdr:row>
      <xdr:rowOff>73030</xdr:rowOff>
    </xdr:from>
    <xdr:to>
      <xdr:col>18</xdr:col>
      <xdr:colOff>473417</xdr:colOff>
      <xdr:row>114</xdr:row>
      <xdr:rowOff>134938</xdr:rowOff>
    </xdr:to>
    <xdr:graphicFrame macro="">
      <xdr:nvGraphicFramePr>
        <xdr:cNvPr id="6" name="Chart 5">
          <a:extLst>
            <a:ext uri="{FF2B5EF4-FFF2-40B4-BE49-F238E27FC236}">
              <a16:creationId xmlns:a16="http://schemas.microsoft.com/office/drawing/2014/main" xmlns="" id="{00000000-0008-0000-2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257968</xdr:colOff>
      <xdr:row>111</xdr:row>
      <xdr:rowOff>156374</xdr:rowOff>
    </xdr:from>
    <xdr:to>
      <xdr:col>8</xdr:col>
      <xdr:colOff>31744</xdr:colOff>
      <xdr:row>133</xdr:row>
      <xdr:rowOff>158756</xdr:rowOff>
    </xdr:to>
    <xdr:graphicFrame macro="">
      <xdr:nvGraphicFramePr>
        <xdr:cNvPr id="7" name="Chart 6">
          <a:extLst>
            <a:ext uri="{FF2B5EF4-FFF2-40B4-BE49-F238E27FC236}">
              <a16:creationId xmlns:a16="http://schemas.microsoft.com/office/drawing/2014/main" xmlns="" id="{00000000-0008-0000-2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121529</xdr:colOff>
      <xdr:row>55</xdr:row>
      <xdr:rowOff>128474</xdr:rowOff>
    </xdr:from>
    <xdr:to>
      <xdr:col>24</xdr:col>
      <xdr:colOff>1059328</xdr:colOff>
      <xdr:row>73</xdr:row>
      <xdr:rowOff>45924</xdr:rowOff>
    </xdr:to>
    <xdr:graphicFrame macro="">
      <xdr:nvGraphicFramePr>
        <xdr:cNvPr id="11" name="Chart 10">
          <a:extLst>
            <a:ext uri="{FF2B5EF4-FFF2-40B4-BE49-F238E27FC236}">
              <a16:creationId xmlns:a16="http://schemas.microsoft.com/office/drawing/2014/main" xmlns="" id="{00000000-0008-0000-2A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121529</xdr:colOff>
      <xdr:row>74</xdr:row>
      <xdr:rowOff>57037</xdr:rowOff>
    </xdr:from>
    <xdr:to>
      <xdr:col>24</xdr:col>
      <xdr:colOff>1059328</xdr:colOff>
      <xdr:row>91</xdr:row>
      <xdr:rowOff>164987</xdr:rowOff>
    </xdr:to>
    <xdr:graphicFrame macro="">
      <xdr:nvGraphicFramePr>
        <xdr:cNvPr id="12" name="Chart 11">
          <a:extLst>
            <a:ext uri="{FF2B5EF4-FFF2-40B4-BE49-F238E27FC236}">
              <a16:creationId xmlns:a16="http://schemas.microsoft.com/office/drawing/2014/main" xmlns="" id="{00000000-0008-0000-2A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152146</xdr:colOff>
      <xdr:row>93</xdr:row>
      <xdr:rowOff>57038</xdr:rowOff>
    </xdr:from>
    <xdr:to>
      <xdr:col>24</xdr:col>
      <xdr:colOff>1089945</xdr:colOff>
      <xdr:row>110</xdr:row>
      <xdr:rowOff>164988</xdr:rowOff>
    </xdr:to>
    <xdr:graphicFrame macro="">
      <xdr:nvGraphicFramePr>
        <xdr:cNvPr id="13" name="Chart 12">
          <a:extLst>
            <a:ext uri="{FF2B5EF4-FFF2-40B4-BE49-F238E27FC236}">
              <a16:creationId xmlns:a16="http://schemas.microsoft.com/office/drawing/2014/main" xmlns="" id="{00000000-0008-0000-2A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146278</xdr:colOff>
      <xdr:row>86</xdr:row>
      <xdr:rowOff>52052</xdr:rowOff>
    </xdr:from>
    <xdr:to>
      <xdr:col>18</xdr:col>
      <xdr:colOff>134373</xdr:colOff>
      <xdr:row>108</xdr:row>
      <xdr:rowOff>161591</xdr:rowOff>
    </xdr:to>
    <xdr:graphicFrame macro="">
      <xdr:nvGraphicFramePr>
        <xdr:cNvPr id="3" name="Chart 2">
          <a:extLst>
            <a:ext uri="{FF2B5EF4-FFF2-40B4-BE49-F238E27FC236}">
              <a16:creationId xmlns:a16="http://schemas.microsoft.com/office/drawing/2014/main" xmlns="" id="{00000000-0008-0000-2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405236</xdr:colOff>
      <xdr:row>66</xdr:row>
      <xdr:rowOff>34925</xdr:rowOff>
    </xdr:from>
    <xdr:to>
      <xdr:col>17</xdr:col>
      <xdr:colOff>1138925</xdr:colOff>
      <xdr:row>83</xdr:row>
      <xdr:rowOff>142875</xdr:rowOff>
    </xdr:to>
    <xdr:graphicFrame macro="">
      <xdr:nvGraphicFramePr>
        <xdr:cNvPr id="8" name="Chart 7">
          <a:extLst>
            <a:ext uri="{FF2B5EF4-FFF2-40B4-BE49-F238E27FC236}">
              <a16:creationId xmlns:a16="http://schemas.microsoft.com/office/drawing/2014/main" xmlns="" id="{00000000-0008-0000-2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4732</xdr:colOff>
      <xdr:row>57</xdr:row>
      <xdr:rowOff>157390</xdr:rowOff>
    </xdr:from>
    <xdr:to>
      <xdr:col>17</xdr:col>
      <xdr:colOff>738422</xdr:colOff>
      <xdr:row>75</xdr:row>
      <xdr:rowOff>74840</xdr:rowOff>
    </xdr:to>
    <xdr:graphicFrame macro="">
      <xdr:nvGraphicFramePr>
        <xdr:cNvPr id="10" name="Chart 9">
          <a:extLst>
            <a:ext uri="{FF2B5EF4-FFF2-40B4-BE49-F238E27FC236}">
              <a16:creationId xmlns:a16="http://schemas.microsoft.com/office/drawing/2014/main" xmlns="" id="{00000000-0008-0000-2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353331</xdr:colOff>
      <xdr:row>33</xdr:row>
      <xdr:rowOff>25853</xdr:rowOff>
    </xdr:from>
    <xdr:to>
      <xdr:col>35</xdr:col>
      <xdr:colOff>345167</xdr:colOff>
      <xdr:row>55</xdr:row>
      <xdr:rowOff>147410</xdr:rowOff>
    </xdr:to>
    <xdr:graphicFrame macro="">
      <xdr:nvGraphicFramePr>
        <xdr:cNvPr id="14" name="Grafiek 13">
          <a:extLst>
            <a:ext uri="{FF2B5EF4-FFF2-40B4-BE49-F238E27FC236}">
              <a16:creationId xmlns:a16="http://schemas.microsoft.com/office/drawing/2014/main" xmlns="" id="{00000000-0008-0000-2A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83456</xdr:colOff>
      <xdr:row>13</xdr:row>
      <xdr:rowOff>133803</xdr:rowOff>
    </xdr:from>
    <xdr:to>
      <xdr:col>33</xdr:col>
      <xdr:colOff>81642</xdr:colOff>
      <xdr:row>32</xdr:row>
      <xdr:rowOff>26760</xdr:rowOff>
    </xdr:to>
    <xdr:graphicFrame macro="">
      <xdr:nvGraphicFramePr>
        <xdr:cNvPr id="9" name="Grafiek 8">
          <a:extLst>
            <a:ext uri="{FF2B5EF4-FFF2-40B4-BE49-F238E27FC236}">
              <a16:creationId xmlns:a16="http://schemas.microsoft.com/office/drawing/2014/main" xmlns="" id="{00000000-0008-0000-2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23</xdr:col>
      <xdr:colOff>23811</xdr:colOff>
      <xdr:row>41</xdr:row>
      <xdr:rowOff>108857</xdr:rowOff>
    </xdr:from>
    <xdr:to>
      <xdr:col>32</xdr:col>
      <xdr:colOff>394608</xdr:colOff>
      <xdr:row>59</xdr:row>
      <xdr:rowOff>136072</xdr:rowOff>
    </xdr:to>
    <xdr:graphicFrame macro="">
      <xdr:nvGraphicFramePr>
        <xdr:cNvPr id="2" name="Chart 1">
          <a:extLst>
            <a:ext uri="{FF2B5EF4-FFF2-40B4-BE49-F238E27FC236}">
              <a16:creationId xmlns:a16="http://schemas.microsoft.com/office/drawing/2014/main" xmlns="" id="{00000000-0008-0000-2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17</xdr:col>
      <xdr:colOff>152400</xdr:colOff>
      <xdr:row>11</xdr:row>
      <xdr:rowOff>177800</xdr:rowOff>
    </xdr:from>
    <xdr:to>
      <xdr:col>25</xdr:col>
      <xdr:colOff>546100</xdr:colOff>
      <xdr:row>29</xdr:row>
      <xdr:rowOff>114300</xdr:rowOff>
    </xdr:to>
    <xdr:graphicFrame macro="">
      <xdr:nvGraphicFramePr>
        <xdr:cNvPr id="2" name="Chart 1">
          <a:extLst>
            <a:ext uri="{FF2B5EF4-FFF2-40B4-BE49-F238E27FC236}">
              <a16:creationId xmlns:a16="http://schemas.microsoft.com/office/drawing/2014/main" xmlns="" id="{00000000-0008-0000-2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47</xdr:col>
      <xdr:colOff>428624</xdr:colOff>
      <xdr:row>15</xdr:row>
      <xdr:rowOff>190499</xdr:rowOff>
    </xdr:from>
    <xdr:to>
      <xdr:col>57</xdr:col>
      <xdr:colOff>0</xdr:colOff>
      <xdr:row>32</xdr:row>
      <xdr:rowOff>119742</xdr:rowOff>
    </xdr:to>
    <xdr:graphicFrame macro="">
      <xdr:nvGraphicFramePr>
        <xdr:cNvPr id="2" name="Chart 1">
          <a:extLst>
            <a:ext uri="{FF2B5EF4-FFF2-40B4-BE49-F238E27FC236}">
              <a16:creationId xmlns:a16="http://schemas.microsoft.com/office/drawing/2014/main" xmlns="" id="{00000000-0008-0000-2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57</xdr:col>
      <xdr:colOff>571500</xdr:colOff>
      <xdr:row>15</xdr:row>
      <xdr:rowOff>149679</xdr:rowOff>
    </xdr:from>
    <xdr:to>
      <xdr:col>66</xdr:col>
      <xdr:colOff>244929</xdr:colOff>
      <xdr:row>32</xdr:row>
      <xdr:rowOff>54428</xdr:rowOff>
    </xdr:to>
    <xdr:graphicFrame macro="">
      <xdr:nvGraphicFramePr>
        <xdr:cNvPr id="4" name="Chart 3">
          <a:extLst>
            <a:ext uri="{FF2B5EF4-FFF2-40B4-BE49-F238E27FC236}">
              <a16:creationId xmlns:a16="http://schemas.microsoft.com/office/drawing/2014/main" xmlns="" id="{00000000-0008-0000-2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258535</xdr:colOff>
      <xdr:row>15</xdr:row>
      <xdr:rowOff>122465</xdr:rowOff>
    </xdr:from>
    <xdr:to>
      <xdr:col>75</xdr:col>
      <xdr:colOff>544286</xdr:colOff>
      <xdr:row>32</xdr:row>
      <xdr:rowOff>27214</xdr:rowOff>
    </xdr:to>
    <xdr:graphicFrame macro="">
      <xdr:nvGraphicFramePr>
        <xdr:cNvPr id="6" name="Chart 5">
          <a:extLst>
            <a:ext uri="{FF2B5EF4-FFF2-40B4-BE49-F238E27FC236}">
              <a16:creationId xmlns:a16="http://schemas.microsoft.com/office/drawing/2014/main" xmlns="" id="{00000000-0008-0000-2F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53</xdr:col>
      <xdr:colOff>272143</xdr:colOff>
      <xdr:row>60</xdr:row>
      <xdr:rowOff>54429</xdr:rowOff>
    </xdr:from>
    <xdr:to>
      <xdr:col>64</xdr:col>
      <xdr:colOff>20412</xdr:colOff>
      <xdr:row>83</xdr:row>
      <xdr:rowOff>146958</xdr:rowOff>
    </xdr:to>
    <xdr:graphicFrame macro="">
      <xdr:nvGraphicFramePr>
        <xdr:cNvPr id="8" name="Chart 7">
          <a:extLst>
            <a:ext uri="{FF2B5EF4-FFF2-40B4-BE49-F238E27FC236}">
              <a16:creationId xmlns:a16="http://schemas.microsoft.com/office/drawing/2014/main" xmlns="" id="{00000000-0008-0000-3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86</xdr:col>
      <xdr:colOff>6802</xdr:colOff>
      <xdr:row>11</xdr:row>
      <xdr:rowOff>136070</xdr:rowOff>
    </xdr:from>
    <xdr:to>
      <xdr:col>95</xdr:col>
      <xdr:colOff>190500</xdr:colOff>
      <xdr:row>27</xdr:row>
      <xdr:rowOff>38099</xdr:rowOff>
    </xdr:to>
    <xdr:graphicFrame macro="">
      <xdr:nvGraphicFramePr>
        <xdr:cNvPr id="2" name="Chart 1">
          <a:extLst>
            <a:ext uri="{FF2B5EF4-FFF2-40B4-BE49-F238E27FC236}">
              <a16:creationId xmlns:a16="http://schemas.microsoft.com/office/drawing/2014/main" xmlns=""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79</xdr:col>
      <xdr:colOff>149679</xdr:colOff>
      <xdr:row>62</xdr:row>
      <xdr:rowOff>122464</xdr:rowOff>
    </xdr:from>
    <xdr:to>
      <xdr:col>87</xdr:col>
      <xdr:colOff>435430</xdr:colOff>
      <xdr:row>80</xdr:row>
      <xdr:rowOff>190499</xdr:rowOff>
    </xdr:to>
    <xdr:graphicFrame macro="">
      <xdr:nvGraphicFramePr>
        <xdr:cNvPr id="4" name="Chart 3">
          <a:extLst>
            <a:ext uri="{FF2B5EF4-FFF2-40B4-BE49-F238E27FC236}">
              <a16:creationId xmlns:a16="http://schemas.microsoft.com/office/drawing/2014/main" xmlns="" id="{00000000-0008-0000-3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74</xdr:col>
      <xdr:colOff>201839</xdr:colOff>
      <xdr:row>9</xdr:row>
      <xdr:rowOff>200778</xdr:rowOff>
    </xdr:from>
    <xdr:to>
      <xdr:col>84</xdr:col>
      <xdr:colOff>562428</xdr:colOff>
      <xdr:row>31</xdr:row>
      <xdr:rowOff>184450</xdr:rowOff>
    </xdr:to>
    <xdr:graphicFrame macro="">
      <xdr:nvGraphicFramePr>
        <xdr:cNvPr id="6" name="Chart 5">
          <a:extLst>
            <a:ext uri="{FF2B5EF4-FFF2-40B4-BE49-F238E27FC236}">
              <a16:creationId xmlns:a16="http://schemas.microsoft.com/office/drawing/2014/main" xmlns="" id="{00000000-0008-0000-3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272142</xdr:colOff>
      <xdr:row>8</xdr:row>
      <xdr:rowOff>149680</xdr:rowOff>
    </xdr:from>
    <xdr:to>
      <xdr:col>60</xdr:col>
      <xdr:colOff>20411</xdr:colOff>
      <xdr:row>29</xdr:row>
      <xdr:rowOff>122464</xdr:rowOff>
    </xdr:to>
    <xdr:graphicFrame macro="">
      <xdr:nvGraphicFramePr>
        <xdr:cNvPr id="7" name="Chart 6">
          <a:extLst>
            <a:ext uri="{FF2B5EF4-FFF2-40B4-BE49-F238E27FC236}">
              <a16:creationId xmlns:a16="http://schemas.microsoft.com/office/drawing/2014/main" xmlns="" id="{00000000-0008-0000-3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408214</xdr:colOff>
      <xdr:row>90</xdr:row>
      <xdr:rowOff>163286</xdr:rowOff>
    </xdr:from>
    <xdr:to>
      <xdr:col>64</xdr:col>
      <xdr:colOff>156483</xdr:colOff>
      <xdr:row>104</xdr:row>
      <xdr:rowOff>176893</xdr:rowOff>
    </xdr:to>
    <xdr:graphicFrame macro="">
      <xdr:nvGraphicFramePr>
        <xdr:cNvPr id="9" name="Chart 8">
          <a:extLst>
            <a:ext uri="{FF2B5EF4-FFF2-40B4-BE49-F238E27FC236}">
              <a16:creationId xmlns:a16="http://schemas.microsoft.com/office/drawing/2014/main" xmlns="" id="{00000000-0008-0000-3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122464</xdr:colOff>
      <xdr:row>8</xdr:row>
      <xdr:rowOff>40822</xdr:rowOff>
    </xdr:from>
    <xdr:to>
      <xdr:col>73</xdr:col>
      <xdr:colOff>462642</xdr:colOff>
      <xdr:row>28</xdr:row>
      <xdr:rowOff>68035</xdr:rowOff>
    </xdr:to>
    <xdr:graphicFrame macro="">
      <xdr:nvGraphicFramePr>
        <xdr:cNvPr id="10" name="Chart 9">
          <a:extLst>
            <a:ext uri="{FF2B5EF4-FFF2-40B4-BE49-F238E27FC236}">
              <a16:creationId xmlns:a16="http://schemas.microsoft.com/office/drawing/2014/main" xmlns="" id="{00000000-0008-0000-3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65</xdr:col>
      <xdr:colOff>54428</xdr:colOff>
      <xdr:row>91</xdr:row>
      <xdr:rowOff>54429</xdr:rowOff>
    </xdr:from>
    <xdr:to>
      <xdr:col>75</xdr:col>
      <xdr:colOff>415018</xdr:colOff>
      <xdr:row>105</xdr:row>
      <xdr:rowOff>68036</xdr:rowOff>
    </xdr:to>
    <xdr:graphicFrame macro="">
      <xdr:nvGraphicFramePr>
        <xdr:cNvPr id="14" name="Chart 13">
          <a:extLst>
            <a:ext uri="{FF2B5EF4-FFF2-40B4-BE49-F238E27FC236}">
              <a16:creationId xmlns:a16="http://schemas.microsoft.com/office/drawing/2014/main" xmlns="" id="{00000000-0008-0000-3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54</xdr:col>
      <xdr:colOff>81644</xdr:colOff>
      <xdr:row>63</xdr:row>
      <xdr:rowOff>13608</xdr:rowOff>
    </xdr:from>
    <xdr:to>
      <xdr:col>64</xdr:col>
      <xdr:colOff>442234</xdr:colOff>
      <xdr:row>85</xdr:row>
      <xdr:rowOff>174172</xdr:rowOff>
    </xdr:to>
    <xdr:graphicFrame macro="">
      <xdr:nvGraphicFramePr>
        <xdr:cNvPr id="13" name="Chart 12">
          <a:extLst>
            <a:ext uri="{FF2B5EF4-FFF2-40B4-BE49-F238E27FC236}">
              <a16:creationId xmlns:a16="http://schemas.microsoft.com/office/drawing/2014/main" xmlns="" id="{00000000-0008-0000-3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54</xdr:col>
      <xdr:colOff>571502</xdr:colOff>
      <xdr:row>62</xdr:row>
      <xdr:rowOff>95251</xdr:rowOff>
    </xdr:from>
    <xdr:to>
      <xdr:col>65</xdr:col>
      <xdr:colOff>319770</xdr:colOff>
      <xdr:row>85</xdr:row>
      <xdr:rowOff>65315</xdr:rowOff>
    </xdr:to>
    <xdr:graphicFrame macro="">
      <xdr:nvGraphicFramePr>
        <xdr:cNvPr id="15" name="Chart 14">
          <a:extLst>
            <a:ext uri="{FF2B5EF4-FFF2-40B4-BE49-F238E27FC236}">
              <a16:creationId xmlns:a16="http://schemas.microsoft.com/office/drawing/2014/main" xmlns="" id="{00000000-0008-0000-3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55</xdr:col>
      <xdr:colOff>13607</xdr:colOff>
      <xdr:row>75</xdr:row>
      <xdr:rowOff>176892</xdr:rowOff>
    </xdr:from>
    <xdr:to>
      <xdr:col>68</xdr:col>
      <xdr:colOff>95251</xdr:colOff>
      <xdr:row>93</xdr:row>
      <xdr:rowOff>1265462</xdr:rowOff>
    </xdr:to>
    <xdr:graphicFrame macro="">
      <xdr:nvGraphicFramePr>
        <xdr:cNvPr id="17" name="Chart 16">
          <a:extLst>
            <a:ext uri="{FF2B5EF4-FFF2-40B4-BE49-F238E27FC236}">
              <a16:creationId xmlns:a16="http://schemas.microsoft.com/office/drawing/2014/main" xmlns="" id="{00000000-0008-0000-3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66</xdr:col>
      <xdr:colOff>272144</xdr:colOff>
      <xdr:row>62</xdr:row>
      <xdr:rowOff>122464</xdr:rowOff>
    </xdr:from>
    <xdr:to>
      <xdr:col>77</xdr:col>
      <xdr:colOff>20412</xdr:colOff>
      <xdr:row>85</xdr:row>
      <xdr:rowOff>68035</xdr:rowOff>
    </xdr:to>
    <xdr:graphicFrame macro="">
      <xdr:nvGraphicFramePr>
        <xdr:cNvPr id="12" name="Chart 11">
          <a:extLst>
            <a:ext uri="{FF2B5EF4-FFF2-40B4-BE49-F238E27FC236}">
              <a16:creationId xmlns:a16="http://schemas.microsoft.com/office/drawing/2014/main" xmlns="" id="{00000000-0008-0000-3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68</xdr:col>
      <xdr:colOff>381001</xdr:colOff>
      <xdr:row>60</xdr:row>
      <xdr:rowOff>122466</xdr:rowOff>
    </xdr:from>
    <xdr:to>
      <xdr:col>79</xdr:col>
      <xdr:colOff>129269</xdr:colOff>
      <xdr:row>84</xdr:row>
      <xdr:rowOff>54430</xdr:rowOff>
    </xdr:to>
    <xdr:graphicFrame macro="">
      <xdr:nvGraphicFramePr>
        <xdr:cNvPr id="11" name="Chart 10">
          <a:extLst>
            <a:ext uri="{FF2B5EF4-FFF2-40B4-BE49-F238E27FC236}">
              <a16:creationId xmlns:a16="http://schemas.microsoft.com/office/drawing/2014/main" xmlns="" id="{00000000-0008-0000-3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71</xdr:col>
      <xdr:colOff>385537</xdr:colOff>
      <xdr:row>71</xdr:row>
      <xdr:rowOff>102054</xdr:rowOff>
    </xdr:from>
    <xdr:to>
      <xdr:col>82</xdr:col>
      <xdr:colOff>523875</xdr:colOff>
      <xdr:row>93</xdr:row>
      <xdr:rowOff>360589</xdr:rowOff>
    </xdr:to>
    <xdr:graphicFrame macro="">
      <xdr:nvGraphicFramePr>
        <xdr:cNvPr id="18" name="Chart 17">
          <a:extLst>
            <a:ext uri="{FF2B5EF4-FFF2-40B4-BE49-F238E27FC236}">
              <a16:creationId xmlns:a16="http://schemas.microsoft.com/office/drawing/2014/main" xmlns="" id="{00000000-0008-0000-3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50</xdr:col>
      <xdr:colOff>0</xdr:colOff>
      <xdr:row>37</xdr:row>
      <xdr:rowOff>0</xdr:rowOff>
    </xdr:from>
    <xdr:to>
      <xdr:col>62</xdr:col>
      <xdr:colOff>340178</xdr:colOff>
      <xdr:row>60</xdr:row>
      <xdr:rowOff>190499</xdr:rowOff>
    </xdr:to>
    <xdr:graphicFrame macro="">
      <xdr:nvGraphicFramePr>
        <xdr:cNvPr id="16" name="Chart 9">
          <a:extLst>
            <a:ext uri="{FF2B5EF4-FFF2-40B4-BE49-F238E27FC236}">
              <a16:creationId xmlns:a16="http://schemas.microsoft.com/office/drawing/2014/main" xmlns="" id="{00000000-0008-0000-3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28</xdr:col>
      <xdr:colOff>297088</xdr:colOff>
      <xdr:row>22</xdr:row>
      <xdr:rowOff>131536</xdr:rowOff>
    </xdr:from>
    <xdr:to>
      <xdr:col>45</xdr:col>
      <xdr:colOff>58963</xdr:colOff>
      <xdr:row>45</xdr:row>
      <xdr:rowOff>97518</xdr:rowOff>
    </xdr:to>
    <xdr:graphicFrame macro="">
      <xdr:nvGraphicFramePr>
        <xdr:cNvPr id="2" name="Chart 1">
          <a:extLst>
            <a:ext uri="{FF2B5EF4-FFF2-40B4-BE49-F238E27FC236}">
              <a16:creationId xmlns:a16="http://schemas.microsoft.com/office/drawing/2014/main" xmlns="" id="{00000000-0008-0000-3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452436</xdr:colOff>
      <xdr:row>64</xdr:row>
      <xdr:rowOff>63500</xdr:rowOff>
    </xdr:from>
    <xdr:to>
      <xdr:col>45</xdr:col>
      <xdr:colOff>63500</xdr:colOff>
      <xdr:row>102</xdr:row>
      <xdr:rowOff>149225</xdr:rowOff>
    </xdr:to>
    <xdr:graphicFrame macro="">
      <xdr:nvGraphicFramePr>
        <xdr:cNvPr id="3" name="Chart 2">
          <a:extLst>
            <a:ext uri="{FF2B5EF4-FFF2-40B4-BE49-F238E27FC236}">
              <a16:creationId xmlns:a16="http://schemas.microsoft.com/office/drawing/2014/main" xmlns="" id="{00000000-0008-0000-3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436561</xdr:colOff>
      <xdr:row>104</xdr:row>
      <xdr:rowOff>31750</xdr:rowOff>
    </xdr:from>
    <xdr:to>
      <xdr:col>45</xdr:col>
      <xdr:colOff>47625</xdr:colOff>
      <xdr:row>142</xdr:row>
      <xdr:rowOff>117475</xdr:rowOff>
    </xdr:to>
    <xdr:graphicFrame macro="">
      <xdr:nvGraphicFramePr>
        <xdr:cNvPr id="4" name="Chart 3">
          <a:extLst>
            <a:ext uri="{FF2B5EF4-FFF2-40B4-BE49-F238E27FC236}">
              <a16:creationId xmlns:a16="http://schemas.microsoft.com/office/drawing/2014/main" xmlns="" id="{00000000-0008-0000-3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500061</xdr:colOff>
      <xdr:row>16</xdr:row>
      <xdr:rowOff>539750</xdr:rowOff>
    </xdr:from>
    <xdr:to>
      <xdr:col>45</xdr:col>
      <xdr:colOff>111125</xdr:colOff>
      <xdr:row>22</xdr:row>
      <xdr:rowOff>79375</xdr:rowOff>
    </xdr:to>
    <xdr:graphicFrame macro="">
      <xdr:nvGraphicFramePr>
        <xdr:cNvPr id="5" name="Chart 4">
          <a:extLst>
            <a:ext uri="{FF2B5EF4-FFF2-40B4-BE49-F238E27FC236}">
              <a16:creationId xmlns:a16="http://schemas.microsoft.com/office/drawing/2014/main" xmlns="" id="{00000000-0008-0000-3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230186</xdr:colOff>
      <xdr:row>16</xdr:row>
      <xdr:rowOff>619125</xdr:rowOff>
    </xdr:from>
    <xdr:to>
      <xdr:col>63</xdr:col>
      <xdr:colOff>444500</xdr:colOff>
      <xdr:row>23</xdr:row>
      <xdr:rowOff>133350</xdr:rowOff>
    </xdr:to>
    <xdr:graphicFrame macro="">
      <xdr:nvGraphicFramePr>
        <xdr:cNvPr id="6" name="Chart 5">
          <a:extLst>
            <a:ext uri="{FF2B5EF4-FFF2-40B4-BE49-F238E27FC236}">
              <a16:creationId xmlns:a16="http://schemas.microsoft.com/office/drawing/2014/main" xmlns="" id="{00000000-0008-0000-3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429757</xdr:colOff>
      <xdr:row>21</xdr:row>
      <xdr:rowOff>1501321</xdr:rowOff>
    </xdr:from>
    <xdr:to>
      <xdr:col>64</xdr:col>
      <xdr:colOff>31749</xdr:colOff>
      <xdr:row>44</xdr:row>
      <xdr:rowOff>90260</xdr:rowOff>
    </xdr:to>
    <xdr:graphicFrame macro="">
      <xdr:nvGraphicFramePr>
        <xdr:cNvPr id="7" name="Chart 6">
          <a:extLst>
            <a:ext uri="{FF2B5EF4-FFF2-40B4-BE49-F238E27FC236}">
              <a16:creationId xmlns:a16="http://schemas.microsoft.com/office/drawing/2014/main" xmlns="" id="{00000000-0008-0000-3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205241</xdr:colOff>
      <xdr:row>182</xdr:row>
      <xdr:rowOff>95249</xdr:rowOff>
    </xdr:from>
    <xdr:to>
      <xdr:col>17</xdr:col>
      <xdr:colOff>476250</xdr:colOff>
      <xdr:row>209</xdr:row>
      <xdr:rowOff>58965</xdr:rowOff>
    </xdr:to>
    <xdr:graphicFrame macro="">
      <xdr:nvGraphicFramePr>
        <xdr:cNvPr id="8" name="Chart 7">
          <a:extLst>
            <a:ext uri="{FF2B5EF4-FFF2-40B4-BE49-F238E27FC236}">
              <a16:creationId xmlns:a16="http://schemas.microsoft.com/office/drawing/2014/main" xmlns="" id="{00000000-0008-0000-3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345849</xdr:colOff>
      <xdr:row>212</xdr:row>
      <xdr:rowOff>122464</xdr:rowOff>
    </xdr:from>
    <xdr:to>
      <xdr:col>17</xdr:col>
      <xdr:colOff>476251</xdr:colOff>
      <xdr:row>239</xdr:row>
      <xdr:rowOff>74839</xdr:rowOff>
    </xdr:to>
    <xdr:graphicFrame macro="">
      <xdr:nvGraphicFramePr>
        <xdr:cNvPr id="9" name="Chart 8">
          <a:extLst>
            <a:ext uri="{FF2B5EF4-FFF2-40B4-BE49-F238E27FC236}">
              <a16:creationId xmlns:a16="http://schemas.microsoft.com/office/drawing/2014/main" xmlns="" id="{00000000-0008-0000-3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64</xdr:col>
      <xdr:colOff>373061</xdr:colOff>
      <xdr:row>16</xdr:row>
      <xdr:rowOff>619125</xdr:rowOff>
    </xdr:from>
    <xdr:to>
      <xdr:col>81</xdr:col>
      <xdr:colOff>587375</xdr:colOff>
      <xdr:row>23</xdr:row>
      <xdr:rowOff>133350</xdr:rowOff>
    </xdr:to>
    <xdr:graphicFrame macro="">
      <xdr:nvGraphicFramePr>
        <xdr:cNvPr id="10" name="Chart 5">
          <a:extLst>
            <a:ext uri="{FF2B5EF4-FFF2-40B4-BE49-F238E27FC236}">
              <a16:creationId xmlns:a16="http://schemas.microsoft.com/office/drawing/2014/main" xmlns="" id="{00000000-0008-0000-3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326571</xdr:colOff>
      <xdr:row>150</xdr:row>
      <xdr:rowOff>68035</xdr:rowOff>
    </xdr:from>
    <xdr:to>
      <xdr:col>18</xdr:col>
      <xdr:colOff>340179</xdr:colOff>
      <xdr:row>181</xdr:row>
      <xdr:rowOff>137430</xdr:rowOff>
    </xdr:to>
    <xdr:graphicFrame macro="">
      <xdr:nvGraphicFramePr>
        <xdr:cNvPr id="11" name="Chart 5">
          <a:extLst>
            <a:ext uri="{FF2B5EF4-FFF2-40B4-BE49-F238E27FC236}">
              <a16:creationId xmlns:a16="http://schemas.microsoft.com/office/drawing/2014/main" xmlns="" id="{00000000-0008-0000-3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462644</xdr:colOff>
      <xdr:row>106</xdr:row>
      <xdr:rowOff>40820</xdr:rowOff>
    </xdr:from>
    <xdr:to>
      <xdr:col>14</xdr:col>
      <xdr:colOff>544286</xdr:colOff>
      <xdr:row>124</xdr:row>
      <xdr:rowOff>82999</xdr:rowOff>
    </xdr:to>
    <xdr:graphicFrame macro="">
      <xdr:nvGraphicFramePr>
        <xdr:cNvPr id="12" name="Chart 5">
          <a:extLst>
            <a:ext uri="{FF2B5EF4-FFF2-40B4-BE49-F238E27FC236}">
              <a16:creationId xmlns:a16="http://schemas.microsoft.com/office/drawing/2014/main" xmlns="" id="{00000000-0008-0000-3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462643</xdr:colOff>
      <xdr:row>127</xdr:row>
      <xdr:rowOff>81643</xdr:rowOff>
    </xdr:from>
    <xdr:to>
      <xdr:col>14</xdr:col>
      <xdr:colOff>544286</xdr:colOff>
      <xdr:row>147</xdr:row>
      <xdr:rowOff>164644</xdr:rowOff>
    </xdr:to>
    <xdr:graphicFrame macro="">
      <xdr:nvGraphicFramePr>
        <xdr:cNvPr id="13" name="Chart 5">
          <a:extLst>
            <a:ext uri="{FF2B5EF4-FFF2-40B4-BE49-F238E27FC236}">
              <a16:creationId xmlns:a16="http://schemas.microsoft.com/office/drawing/2014/main" xmlns="" id="{00000000-0008-0000-3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xdr:colOff>
      <xdr:row>13</xdr:row>
      <xdr:rowOff>71436</xdr:rowOff>
    </xdr:from>
    <xdr:to>
      <xdr:col>3</xdr:col>
      <xdr:colOff>619125</xdr:colOff>
      <xdr:row>28</xdr:row>
      <xdr:rowOff>85725</xdr:rowOff>
    </xdr:to>
    <xdr:graphicFrame macro="">
      <xdr:nvGraphicFramePr>
        <xdr:cNvPr id="2" name="Chart 1">
          <a:extLst>
            <a:ext uri="{FF2B5EF4-FFF2-40B4-BE49-F238E27FC236}">
              <a16:creationId xmlns:a16="http://schemas.microsoft.com/office/drawing/2014/main" xmlns="" id="{00000000-0008-0000-3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838200</xdr:colOff>
      <xdr:row>13</xdr:row>
      <xdr:rowOff>133350</xdr:rowOff>
    </xdr:from>
    <xdr:to>
      <xdr:col>7</xdr:col>
      <xdr:colOff>228599</xdr:colOff>
      <xdr:row>28</xdr:row>
      <xdr:rowOff>147639</xdr:rowOff>
    </xdr:to>
    <xdr:graphicFrame macro="">
      <xdr:nvGraphicFramePr>
        <xdr:cNvPr id="3" name="Chart 2">
          <a:extLst>
            <a:ext uri="{FF2B5EF4-FFF2-40B4-BE49-F238E27FC236}">
              <a16:creationId xmlns:a16="http://schemas.microsoft.com/office/drawing/2014/main" xmlns="" id="{00000000-0008-0000-3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838200</xdr:colOff>
      <xdr:row>29</xdr:row>
      <xdr:rowOff>114300</xdr:rowOff>
    </xdr:from>
    <xdr:to>
      <xdr:col>7</xdr:col>
      <xdr:colOff>228599</xdr:colOff>
      <xdr:row>44</xdr:row>
      <xdr:rowOff>128589</xdr:rowOff>
    </xdr:to>
    <xdr:graphicFrame macro="">
      <xdr:nvGraphicFramePr>
        <xdr:cNvPr id="4" name="Chart 2">
          <a:extLst>
            <a:ext uri="{FF2B5EF4-FFF2-40B4-BE49-F238E27FC236}">
              <a16:creationId xmlns:a16="http://schemas.microsoft.com/office/drawing/2014/main" xmlns="" id="{00000000-0008-0000-3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233891</xdr:colOff>
      <xdr:row>16</xdr:row>
      <xdr:rowOff>158750</xdr:rowOff>
    </xdr:from>
    <xdr:to>
      <xdr:col>16</xdr:col>
      <xdr:colOff>211667</xdr:colOff>
      <xdr:row>32</xdr:row>
      <xdr:rowOff>63500</xdr:rowOff>
    </xdr:to>
    <xdr:graphicFrame macro="">
      <xdr:nvGraphicFramePr>
        <xdr:cNvPr id="5" name="Grafiek 4">
          <a:extLst>
            <a:ext uri="{FF2B5EF4-FFF2-40B4-BE49-F238E27FC236}">
              <a16:creationId xmlns:a16="http://schemas.microsoft.com/office/drawing/2014/main" xmlns="" id="{00000000-0008-0000-3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276225</xdr:colOff>
      <xdr:row>37</xdr:row>
      <xdr:rowOff>0</xdr:rowOff>
    </xdr:from>
    <xdr:to>
      <xdr:col>15</xdr:col>
      <xdr:colOff>533400</xdr:colOff>
      <xdr:row>51</xdr:row>
      <xdr:rowOff>76200</xdr:rowOff>
    </xdr:to>
    <xdr:graphicFrame macro="">
      <xdr:nvGraphicFramePr>
        <xdr:cNvPr id="6" name="Grafiek 5">
          <a:extLst>
            <a:ext uri="{FF2B5EF4-FFF2-40B4-BE49-F238E27FC236}">
              <a16:creationId xmlns:a16="http://schemas.microsoft.com/office/drawing/2014/main" xmlns="" id="{00000000-0008-0000-3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286808</xdr:colOff>
      <xdr:row>17</xdr:row>
      <xdr:rowOff>116415</xdr:rowOff>
    </xdr:from>
    <xdr:to>
      <xdr:col>29</xdr:col>
      <xdr:colOff>99483</xdr:colOff>
      <xdr:row>36</xdr:row>
      <xdr:rowOff>95248</xdr:rowOff>
    </xdr:to>
    <xdr:graphicFrame macro="">
      <xdr:nvGraphicFramePr>
        <xdr:cNvPr id="7" name="Grafiek 6">
          <a:extLst>
            <a:ext uri="{FF2B5EF4-FFF2-40B4-BE49-F238E27FC236}">
              <a16:creationId xmlns:a16="http://schemas.microsoft.com/office/drawing/2014/main" xmlns="" id="{00000000-0008-0000-3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318555</xdr:colOff>
      <xdr:row>1</xdr:row>
      <xdr:rowOff>127000</xdr:rowOff>
    </xdr:from>
    <xdr:to>
      <xdr:col>31</xdr:col>
      <xdr:colOff>539750</xdr:colOff>
      <xdr:row>16</xdr:row>
      <xdr:rowOff>52914</xdr:rowOff>
    </xdr:to>
    <xdr:graphicFrame macro="">
      <xdr:nvGraphicFramePr>
        <xdr:cNvPr id="8" name="Grafiek 7">
          <a:extLst>
            <a:ext uri="{FF2B5EF4-FFF2-40B4-BE49-F238E27FC236}">
              <a16:creationId xmlns:a16="http://schemas.microsoft.com/office/drawing/2014/main" xmlns="" id="{00000000-0008-0000-3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424390</xdr:colOff>
      <xdr:row>16</xdr:row>
      <xdr:rowOff>190498</xdr:rowOff>
    </xdr:from>
    <xdr:to>
      <xdr:col>40</xdr:col>
      <xdr:colOff>190499</xdr:colOff>
      <xdr:row>35</xdr:row>
      <xdr:rowOff>169331</xdr:rowOff>
    </xdr:to>
    <xdr:graphicFrame macro="">
      <xdr:nvGraphicFramePr>
        <xdr:cNvPr id="9" name="Grafiek 7">
          <a:extLst>
            <a:ext uri="{FF2B5EF4-FFF2-40B4-BE49-F238E27FC236}">
              <a16:creationId xmlns:a16="http://schemas.microsoft.com/office/drawing/2014/main" xmlns="" id="{00000000-0008-0000-3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297388</xdr:colOff>
      <xdr:row>1</xdr:row>
      <xdr:rowOff>74084</xdr:rowOff>
    </xdr:from>
    <xdr:to>
      <xdr:col>42</xdr:col>
      <xdr:colOff>518584</xdr:colOff>
      <xdr:row>15</xdr:row>
      <xdr:rowOff>222248</xdr:rowOff>
    </xdr:to>
    <xdr:graphicFrame macro="">
      <xdr:nvGraphicFramePr>
        <xdr:cNvPr id="10" name="Grafiek 7">
          <a:extLst>
            <a:ext uri="{FF2B5EF4-FFF2-40B4-BE49-F238E27FC236}">
              <a16:creationId xmlns:a16="http://schemas.microsoft.com/office/drawing/2014/main" xmlns="" id="{00000000-0008-0000-3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xdr:col>
      <xdr:colOff>723900</xdr:colOff>
      <xdr:row>4</xdr:row>
      <xdr:rowOff>19049</xdr:rowOff>
    </xdr:from>
    <xdr:to>
      <xdr:col>7</xdr:col>
      <xdr:colOff>238125</xdr:colOff>
      <xdr:row>19</xdr:row>
      <xdr:rowOff>28574</xdr:rowOff>
    </xdr:to>
    <xdr:graphicFrame macro="">
      <xdr:nvGraphicFramePr>
        <xdr:cNvPr id="2" name="Chart 1">
          <a:extLst>
            <a:ext uri="{FF2B5EF4-FFF2-40B4-BE49-F238E27FC236}">
              <a16:creationId xmlns:a16="http://schemas.microsoft.com/office/drawing/2014/main" xmlns="" id="{00000000-0008-0000-3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sp.nl\Productie\Documents%20and%20Settings\Owner\My%20Documents\My%20current%20docs\1%20Rwanda\0%20Rwanda%20Oct09\GDPsystem%202009Q2%20released%20on%2013th%20october\RCPA-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PCA1"/>
      <sheetName val="RPCA"/>
    </sheetNames>
    <sheetDataSet>
      <sheetData sheetId="0" refreshError="1">
        <row r="2">
          <cell r="A2" t="str">
            <v>Len</v>
          </cell>
          <cell r="B2" t="str">
            <v>RCPA</v>
          </cell>
          <cell r="C2" t="str">
            <v>Libellés</v>
          </cell>
          <cell r="D2" t="str">
            <v>RCPA</v>
          </cell>
          <cell r="E2" t="str">
            <v>Labels</v>
          </cell>
        </row>
        <row r="3">
          <cell r="A3">
            <v>1</v>
          </cell>
          <cell r="B3" t="str">
            <v>R</v>
          </cell>
          <cell r="C3" t="str">
            <v>TOTAL RWANDA</v>
          </cell>
          <cell r="D3" t="str">
            <v>R</v>
          </cell>
          <cell r="E3" t="str">
            <v>TOTAL RWANDA</v>
          </cell>
        </row>
        <row r="4">
          <cell r="A4">
            <v>2</v>
          </cell>
          <cell r="B4" t="str">
            <v>RA</v>
          </cell>
          <cell r="C4" t="str">
            <v>PRODUITS DE L'AGRICULTURE</v>
          </cell>
          <cell r="D4" t="str">
            <v>RA</v>
          </cell>
          <cell r="E4" t="str">
            <v>AGRICULTURE, FORESTRY AND FISHING</v>
          </cell>
        </row>
        <row r="5">
          <cell r="A5">
            <v>2</v>
          </cell>
          <cell r="B5" t="str">
            <v>RB</v>
          </cell>
          <cell r="C5" t="str">
            <v>PRODUITS DE L'INDUSTRIE</v>
          </cell>
          <cell r="D5" t="str">
            <v>RB</v>
          </cell>
          <cell r="E5" t="str">
            <v>INDUSTRY</v>
          </cell>
        </row>
        <row r="6">
          <cell r="A6">
            <v>2</v>
          </cell>
          <cell r="B6" t="str">
            <v>RC</v>
          </cell>
          <cell r="C6" t="str">
            <v>SERVICES</v>
          </cell>
          <cell r="D6" t="str">
            <v>RC</v>
          </cell>
          <cell r="E6" t="str">
            <v>SERVICES</v>
          </cell>
        </row>
        <row r="7">
          <cell r="A7">
            <v>2</v>
          </cell>
          <cell r="B7" t="str">
            <v>RD</v>
          </cell>
          <cell r="C7" t="str">
            <v>CORRECTIONS</v>
          </cell>
          <cell r="D7" t="str">
            <v>RD</v>
          </cell>
          <cell r="E7" t="str">
            <v>ADJUSTMENTS</v>
          </cell>
        </row>
        <row r="8">
          <cell r="A8">
            <v>3</v>
          </cell>
          <cell r="B8" t="str">
            <v>RA1</v>
          </cell>
          <cell r="C8" t="str">
            <v>PRODUITS DE L'AGRICULTURE VIVRIERE</v>
          </cell>
          <cell r="D8" t="str">
            <v>RA1</v>
          </cell>
          <cell r="E8" t="str">
            <v>FOOD CROPS</v>
          </cell>
        </row>
        <row r="9">
          <cell r="A9">
            <v>3</v>
          </cell>
          <cell r="B9" t="str">
            <v>RA2</v>
          </cell>
          <cell r="C9" t="str">
            <v>PRODUITS DE L'AGRICULTURE D'EXPORTATION</v>
          </cell>
          <cell r="D9" t="str">
            <v>RA2</v>
          </cell>
          <cell r="E9" t="str">
            <v>EXPORT/CASH CROPS</v>
          </cell>
        </row>
        <row r="10">
          <cell r="A10">
            <v>3</v>
          </cell>
          <cell r="B10" t="str">
            <v>RA3</v>
          </cell>
          <cell r="C10" t="str">
            <v>PRODUITS DE L'ELEVAGE ET CHASSE</v>
          </cell>
          <cell r="D10" t="str">
            <v>RA3</v>
          </cell>
          <cell r="E10" t="str">
            <v>LIVESTOCK AND HUNTING PRODUCTS</v>
          </cell>
        </row>
        <row r="11">
          <cell r="A11">
            <v>3</v>
          </cell>
          <cell r="B11" t="str">
            <v>RA4</v>
          </cell>
          <cell r="C11" t="str">
            <v>PRODUITS DE LA SYLVICULTURE</v>
          </cell>
          <cell r="D11" t="str">
            <v>RA4</v>
          </cell>
          <cell r="E11" t="str">
            <v>FORESTRY PRODUCTS</v>
          </cell>
        </row>
        <row r="12">
          <cell r="A12">
            <v>3</v>
          </cell>
          <cell r="B12" t="str">
            <v>RA5</v>
          </cell>
          <cell r="C12" t="str">
            <v xml:space="preserve">PRODUITS DE LA PECHE </v>
          </cell>
          <cell r="D12" t="str">
            <v>RA5</v>
          </cell>
          <cell r="E12" t="str">
            <v>FISHERY PRODUCTS</v>
          </cell>
        </row>
        <row r="13">
          <cell r="A13">
            <v>3</v>
          </cell>
          <cell r="B13" t="str">
            <v>RB1</v>
          </cell>
          <cell r="C13" t="str">
            <v>PRODUITS DES ACTIVITES EXTRACTIVES</v>
          </cell>
          <cell r="D13" t="str">
            <v>RB1</v>
          </cell>
          <cell r="E13" t="str">
            <v>MINING PRODUCTS</v>
          </cell>
        </row>
        <row r="14">
          <cell r="A14">
            <v>3</v>
          </cell>
          <cell r="B14" t="str">
            <v>RB2</v>
          </cell>
          <cell r="C14" t="str">
            <v>PRODUITS DE L'INDUSTRIES ALIMENTAIRES (boissons exclus)</v>
          </cell>
          <cell r="D14" t="str">
            <v>RB2</v>
          </cell>
          <cell r="E14" t="str">
            <v>MANUFACTURING - FOOD</v>
          </cell>
        </row>
        <row r="15">
          <cell r="A15">
            <v>3</v>
          </cell>
          <cell r="B15" t="str">
            <v>RB3</v>
          </cell>
          <cell r="C15" t="str">
            <v>BOISSONS ET TABAC</v>
          </cell>
          <cell r="D15" t="str">
            <v>RB3</v>
          </cell>
          <cell r="E15" t="str">
            <v>MANUFACTURING - BEVERAGES &amp; TOBACCO</v>
          </cell>
        </row>
        <row r="16">
          <cell r="A16">
            <v>3</v>
          </cell>
          <cell r="B16" t="str">
            <v>RB4</v>
          </cell>
          <cell r="C16" t="str">
            <v>PRODUITS DES AUTRES INDUSTRIES MANUFACTURIERES</v>
          </cell>
          <cell r="D16" t="str">
            <v>RB4</v>
          </cell>
          <cell r="E16" t="str">
            <v>MANUFACTURING - OTHER</v>
          </cell>
        </row>
        <row r="17">
          <cell r="A17">
            <v>3</v>
          </cell>
          <cell r="B17" t="str">
            <v>RB5</v>
          </cell>
          <cell r="C17" t="str">
            <v>ELECTRICITE ET EAU</v>
          </cell>
          <cell r="D17" t="str">
            <v>RB5</v>
          </cell>
          <cell r="E17" t="str">
            <v>ELECTRICITY AND WATER</v>
          </cell>
        </row>
        <row r="18">
          <cell r="A18">
            <v>3</v>
          </cell>
          <cell r="B18" t="str">
            <v>RB6</v>
          </cell>
          <cell r="C18" t="str">
            <v>PRODUITS DES TRAVAUX DE CONSTRUCTION</v>
          </cell>
          <cell r="D18" t="str">
            <v>RB6</v>
          </cell>
          <cell r="E18" t="str">
            <v>CONSTRUCTION</v>
          </cell>
        </row>
        <row r="19">
          <cell r="A19">
            <v>3</v>
          </cell>
          <cell r="B19" t="str">
            <v>RC1</v>
          </cell>
          <cell r="C19" t="str">
            <v>COMMERCE, SERVICES DE REPARATION</v>
          </cell>
          <cell r="D19" t="str">
            <v>RC1</v>
          </cell>
          <cell r="E19" t="str">
            <v>WHOLESALE &amp; RETAIL TRADE &amp; REPAIRS</v>
          </cell>
        </row>
        <row r="20">
          <cell r="A20">
            <v>3</v>
          </cell>
          <cell r="B20" t="str">
            <v>RC2</v>
          </cell>
          <cell r="C20" t="str">
            <v>HOTELS ET RESTAURANTS</v>
          </cell>
          <cell r="D20" t="str">
            <v>RC2</v>
          </cell>
          <cell r="E20" t="str">
            <v>HOTELS &amp; RESTAURANTS</v>
          </cell>
        </row>
        <row r="21">
          <cell r="A21">
            <v>3</v>
          </cell>
          <cell r="B21" t="str">
            <v>RC3</v>
          </cell>
          <cell r="C21" t="str">
            <v>TRANSPORTS ET COMMUNICATIONS</v>
          </cell>
          <cell r="D21" t="str">
            <v>RC3</v>
          </cell>
          <cell r="E21" t="str">
            <v>TRANSPORT &amp; COMMUNICATIONS</v>
          </cell>
        </row>
        <row r="22">
          <cell r="A22">
            <v>3</v>
          </cell>
          <cell r="B22" t="str">
            <v>RC4</v>
          </cell>
          <cell r="C22" t="str">
            <v xml:space="preserve">SERVICES D'INTERMEDIATION FINANCIERES </v>
          </cell>
          <cell r="D22" t="str">
            <v>RC4</v>
          </cell>
          <cell r="E22" t="str">
            <v>FINANCIAL SERVICES</v>
          </cell>
        </row>
        <row r="23">
          <cell r="A23">
            <v>3</v>
          </cell>
          <cell r="B23" t="str">
            <v>RC5</v>
          </cell>
          <cell r="C23" t="str">
            <v>SERVICES IMMOBILIERS ET SERVICES D'AFFAIRES</v>
          </cell>
          <cell r="D23" t="str">
            <v>RC5</v>
          </cell>
          <cell r="E23" t="str">
            <v>REAL ESTATE AND BUSINESS SERVICES</v>
          </cell>
        </row>
        <row r="24">
          <cell r="A24">
            <v>3</v>
          </cell>
          <cell r="B24" t="str">
            <v>RC6</v>
          </cell>
          <cell r="C24" t="str">
            <v xml:space="preserve">SERVICES D'ADMINISTRATION PUBLIQUE </v>
          </cell>
          <cell r="D24" t="str">
            <v>RC6</v>
          </cell>
          <cell r="E24" t="str">
            <v>PUBLIC ADMINISTRATION</v>
          </cell>
        </row>
        <row r="25">
          <cell r="A25">
            <v>3</v>
          </cell>
          <cell r="B25" t="str">
            <v>RC7</v>
          </cell>
          <cell r="C25" t="str">
            <v>EDUCATION</v>
          </cell>
          <cell r="D25" t="str">
            <v>RC7</v>
          </cell>
          <cell r="E25" t="str">
            <v>EDUCATION</v>
          </cell>
        </row>
        <row r="26">
          <cell r="A26">
            <v>3</v>
          </cell>
          <cell r="B26" t="str">
            <v>RC8</v>
          </cell>
          <cell r="C26" t="str">
            <v xml:space="preserve">SANTE </v>
          </cell>
          <cell r="D26" t="str">
            <v>RC8</v>
          </cell>
          <cell r="E26" t="str">
            <v>HEALTH</v>
          </cell>
        </row>
        <row r="27">
          <cell r="A27">
            <v>3</v>
          </cell>
          <cell r="B27" t="str">
            <v>RC9</v>
          </cell>
          <cell r="C27" t="str">
            <v>AUTRES SERVICES</v>
          </cell>
          <cell r="D27" t="str">
            <v>RC9</v>
          </cell>
          <cell r="E27" t="str">
            <v>OTHER SERVICES</v>
          </cell>
        </row>
        <row r="28">
          <cell r="A28">
            <v>3</v>
          </cell>
          <cell r="B28" t="str">
            <v>RD0</v>
          </cell>
          <cell r="C28" t="str">
            <v>CORRECTIONS</v>
          </cell>
          <cell r="D28" t="str">
            <v>RD0</v>
          </cell>
          <cell r="E28" t="str">
            <v>ADJUSTMENTS</v>
          </cell>
        </row>
        <row r="29">
          <cell r="A29">
            <v>5</v>
          </cell>
          <cell r="B29" t="str">
            <v>RA101</v>
          </cell>
          <cell r="C29" t="str">
            <v>Céréales</v>
          </cell>
          <cell r="D29" t="str">
            <v>RA101</v>
          </cell>
          <cell r="E29" t="str">
            <v>Cereals</v>
          </cell>
        </row>
        <row r="30">
          <cell r="A30">
            <v>5</v>
          </cell>
          <cell r="B30" t="str">
            <v>RA102</v>
          </cell>
          <cell r="C30" t="str">
            <v>Racines et tubercules</v>
          </cell>
          <cell r="D30" t="str">
            <v>RA102</v>
          </cell>
          <cell r="E30" t="str">
            <v>Roots and Tubers</v>
          </cell>
        </row>
        <row r="31">
          <cell r="A31">
            <v>5</v>
          </cell>
          <cell r="B31" t="str">
            <v>RA103</v>
          </cell>
          <cell r="C31" t="str">
            <v>Legumineuses et legumes</v>
          </cell>
          <cell r="D31" t="str">
            <v>RA103</v>
          </cell>
          <cell r="E31" t="str">
            <v>Vegetables</v>
          </cell>
        </row>
        <row r="32">
          <cell r="A32">
            <v>5</v>
          </cell>
          <cell r="B32" t="str">
            <v>RA104</v>
          </cell>
          <cell r="C32" t="str">
            <v>Plantin et fruits</v>
          </cell>
          <cell r="D32" t="str">
            <v>RA104</v>
          </cell>
          <cell r="E32" t="str">
            <v>Bananas and fruit</v>
          </cell>
        </row>
        <row r="33">
          <cell r="A33">
            <v>5</v>
          </cell>
          <cell r="B33" t="str">
            <v>RA105</v>
          </cell>
          <cell r="C33" t="str">
            <v>Graines et fruits oléagineux</v>
          </cell>
          <cell r="D33" t="str">
            <v>RA105</v>
          </cell>
          <cell r="E33" t="str">
            <v>Oil seeds n.e.c. and oleaginous fruit</v>
          </cell>
        </row>
        <row r="34">
          <cell r="A34">
            <v>5</v>
          </cell>
          <cell r="B34" t="str">
            <v>RA201</v>
          </cell>
          <cell r="C34" t="str">
            <v xml:space="preserve">Café cerise </v>
          </cell>
          <cell r="D34" t="str">
            <v>RA201</v>
          </cell>
          <cell r="E34" t="str">
            <v>Raw coffee</v>
          </cell>
        </row>
        <row r="35">
          <cell r="A35">
            <v>5</v>
          </cell>
          <cell r="B35" t="str">
            <v>RA202</v>
          </cell>
          <cell r="C35" t="str">
            <v>Café décortiqué ou vert (non preparé, non décaféiné)</v>
          </cell>
          <cell r="D35" t="str">
            <v>RA202</v>
          </cell>
          <cell r="E35" t="str">
            <v>Coffee, not roasted, not decaffeinated</v>
          </cell>
        </row>
        <row r="36">
          <cell r="A36">
            <v>5</v>
          </cell>
          <cell r="B36" t="str">
            <v>RA203</v>
          </cell>
          <cell r="C36" t="str">
            <v>Thé (feuille verte)</v>
          </cell>
          <cell r="D36" t="str">
            <v>RA203</v>
          </cell>
          <cell r="E36" t="str">
            <v>Tea (unprocessed green leaf)</v>
          </cell>
        </row>
        <row r="37">
          <cell r="A37">
            <v>5</v>
          </cell>
          <cell r="B37" t="str">
            <v>RA209</v>
          </cell>
          <cell r="C37" t="str">
            <v>Autres produits agricoles</v>
          </cell>
          <cell r="D37" t="str">
            <v>RA209</v>
          </cell>
          <cell r="E37" t="str">
            <v>Other agricultural products</v>
          </cell>
        </row>
        <row r="38">
          <cell r="A38">
            <v>5</v>
          </cell>
          <cell r="B38" t="str">
            <v>RA300</v>
          </cell>
          <cell r="C38" t="str">
            <v>Produits de l'elevage et chasse</v>
          </cell>
          <cell r="D38" t="str">
            <v>RA300</v>
          </cell>
          <cell r="E38" t="str">
            <v>Livestock and hunting products</v>
          </cell>
        </row>
        <row r="39">
          <cell r="A39">
            <v>5</v>
          </cell>
          <cell r="B39" t="str">
            <v>RA400</v>
          </cell>
          <cell r="C39" t="str">
            <v>Forestry products</v>
          </cell>
          <cell r="D39" t="str">
            <v>RA400</v>
          </cell>
          <cell r="E39" t="str">
            <v>Forestry products</v>
          </cell>
        </row>
        <row r="40">
          <cell r="A40">
            <v>5</v>
          </cell>
          <cell r="B40" t="str">
            <v>RA500</v>
          </cell>
          <cell r="C40" t="str">
            <v>Produits de la pêche</v>
          </cell>
          <cell r="D40" t="str">
            <v>RA500</v>
          </cell>
          <cell r="E40" t="str">
            <v>Fishery products</v>
          </cell>
        </row>
        <row r="41">
          <cell r="A41">
            <v>5</v>
          </cell>
          <cell r="B41" t="str">
            <v>RB100</v>
          </cell>
          <cell r="C41" t="str">
            <v xml:space="preserve">Produits d'extraction </v>
          </cell>
          <cell r="D41" t="str">
            <v>RB100</v>
          </cell>
          <cell r="E41" t="str">
            <v>Mining products</v>
          </cell>
        </row>
        <row r="42">
          <cell r="A42">
            <v>5</v>
          </cell>
          <cell r="B42" t="str">
            <v>RB201</v>
          </cell>
          <cell r="C42" t="str">
            <v>Produits de Abattages,transformations et conserves de viande</v>
          </cell>
          <cell r="D42" t="str">
            <v>RB201</v>
          </cell>
          <cell r="E42" t="str">
            <v>Meat and meat products</v>
          </cell>
        </row>
        <row r="43">
          <cell r="A43">
            <v>5</v>
          </cell>
          <cell r="B43" t="str">
            <v>RB202</v>
          </cell>
          <cell r="C43" t="str">
            <v>Produits deTransformation et conserves des poissons</v>
          </cell>
          <cell r="D43" t="str">
            <v>RB202</v>
          </cell>
          <cell r="E43" t="str">
            <v>Prepared and preserved fish</v>
          </cell>
        </row>
        <row r="44">
          <cell r="A44">
            <v>5</v>
          </cell>
          <cell r="B44" t="str">
            <v>RB203</v>
          </cell>
          <cell r="C44" t="str">
            <v>Produits deTransformation et conservation des fruits et légumes</v>
          </cell>
          <cell r="D44" t="str">
            <v>RB203</v>
          </cell>
          <cell r="E44" t="str">
            <v>Prepared and preserved vegetables</v>
          </cell>
        </row>
        <row r="45">
          <cell r="A45">
            <v>5</v>
          </cell>
          <cell r="B45" t="str">
            <v>RB204</v>
          </cell>
          <cell r="C45" t="str">
            <v>Huiles et oléagineux</v>
          </cell>
          <cell r="D45" t="str">
            <v>RB204</v>
          </cell>
          <cell r="E45" t="str">
            <v>Animal and vegetable oils and fats</v>
          </cell>
        </row>
        <row r="46">
          <cell r="A46">
            <v>5</v>
          </cell>
          <cell r="B46" t="str">
            <v>RB205</v>
          </cell>
          <cell r="C46" t="str">
            <v>Produits laitiers</v>
          </cell>
          <cell r="D46" t="str">
            <v>RB205</v>
          </cell>
          <cell r="E46" t="str">
            <v>Dairy products</v>
          </cell>
        </row>
        <row r="47">
          <cell r="A47">
            <v>5</v>
          </cell>
          <cell r="B47" t="str">
            <v>RB206</v>
          </cell>
          <cell r="C47" t="str">
            <v>Produits detravail des grains et farines</v>
          </cell>
          <cell r="D47" t="str">
            <v>RB206</v>
          </cell>
          <cell r="E47" t="str">
            <v>Grain mill products</v>
          </cell>
        </row>
        <row r="48">
          <cell r="A48">
            <v>5</v>
          </cell>
          <cell r="B48" t="str">
            <v>RB209</v>
          </cell>
          <cell r="C48" t="str">
            <v xml:space="preserve">Produits de Autres industries agroalimentaires </v>
          </cell>
          <cell r="D48" t="str">
            <v>RB209</v>
          </cell>
          <cell r="E48" t="str">
            <v>Other manufactured food products</v>
          </cell>
        </row>
        <row r="49">
          <cell r="A49">
            <v>5</v>
          </cell>
          <cell r="B49" t="str">
            <v>RB301</v>
          </cell>
          <cell r="C49" t="str">
            <v>Boissons alcoolisées</v>
          </cell>
          <cell r="D49" t="str">
            <v>RB301</v>
          </cell>
          <cell r="E49" t="str">
            <v>Alcoholic drinks</v>
          </cell>
        </row>
        <row r="50">
          <cell r="A50">
            <v>5</v>
          </cell>
          <cell r="B50" t="str">
            <v>RB302</v>
          </cell>
          <cell r="C50" t="str">
            <v>Boissons non alcoolisées</v>
          </cell>
          <cell r="D50" t="str">
            <v>RB302</v>
          </cell>
          <cell r="E50" t="str">
            <v>Soft drinks</v>
          </cell>
        </row>
        <row r="51">
          <cell r="A51">
            <v>5</v>
          </cell>
          <cell r="B51" t="str">
            <v>RB303</v>
          </cell>
          <cell r="C51" t="str">
            <v>Produits de l'industrie duTabac</v>
          </cell>
          <cell r="D51" t="str">
            <v>RB303</v>
          </cell>
          <cell r="E51" t="str">
            <v>Tobacco products</v>
          </cell>
        </row>
        <row r="52">
          <cell r="A52">
            <v>5</v>
          </cell>
          <cell r="B52" t="str">
            <v>RB401</v>
          </cell>
          <cell r="C52" t="str">
            <v>Produits de textile et de cuir</v>
          </cell>
          <cell r="D52" t="str">
            <v>RB401</v>
          </cell>
          <cell r="E52" t="str">
            <v>Textile and leather products</v>
          </cell>
        </row>
        <row r="53">
          <cell r="A53">
            <v>5</v>
          </cell>
          <cell r="B53" t="str">
            <v>RB402</v>
          </cell>
          <cell r="C53" t="str">
            <v xml:space="preserve">Articles en bois, papier, et d'imprimerie; édition </v>
          </cell>
          <cell r="D53" t="str">
            <v>RB402</v>
          </cell>
          <cell r="E53" t="str">
            <v>Wood, paper, printing and publishing products</v>
          </cell>
        </row>
        <row r="54">
          <cell r="A54">
            <v>5</v>
          </cell>
          <cell r="B54" t="str">
            <v>RB403</v>
          </cell>
          <cell r="C54" t="str">
            <v>Produits  petroliers</v>
          </cell>
          <cell r="D54" t="str">
            <v>RB403</v>
          </cell>
          <cell r="E54" t="str">
            <v>Petroleum products</v>
          </cell>
        </row>
        <row r="55">
          <cell r="A55">
            <v>5</v>
          </cell>
          <cell r="B55" t="str">
            <v>RB404</v>
          </cell>
          <cell r="C55" t="str">
            <v>Produits chimiques, en caoutchouc, plastique</v>
          </cell>
          <cell r="D55" t="str">
            <v>RB404</v>
          </cell>
          <cell r="E55" t="str">
            <v>Chemical, rubber and plastic products</v>
          </cell>
        </row>
        <row r="56">
          <cell r="A56">
            <v>5</v>
          </cell>
          <cell r="B56" t="str">
            <v>RB405</v>
          </cell>
          <cell r="C56" t="str">
            <v>Verres,poteries et matériaux pour la construction</v>
          </cell>
          <cell r="D56" t="str">
            <v>RB405</v>
          </cell>
          <cell r="E56" t="str">
            <v>Glass, ceramics and mineral construction goods</v>
          </cell>
        </row>
        <row r="57">
          <cell r="A57">
            <v>5</v>
          </cell>
          <cell r="B57" t="str">
            <v>RB406</v>
          </cell>
          <cell r="C57" t="str">
            <v>Produits de métallurgie,fonderie et d'ouvrages en métaux</v>
          </cell>
          <cell r="D57" t="str">
            <v>RB406</v>
          </cell>
          <cell r="E57" t="str">
            <v>Metals and metal products</v>
          </cell>
        </row>
        <row r="58">
          <cell r="A58">
            <v>5</v>
          </cell>
          <cell r="B58" t="str">
            <v>RB407</v>
          </cell>
          <cell r="C58" t="str">
            <v>Machines et matériels électriques</v>
          </cell>
          <cell r="D58" t="str">
            <v>RB407</v>
          </cell>
          <cell r="E58" t="str">
            <v>Machinery and equipment</v>
          </cell>
        </row>
        <row r="59">
          <cell r="A59">
            <v>5</v>
          </cell>
          <cell r="B59" t="str">
            <v>RB409</v>
          </cell>
          <cell r="C59" t="str">
            <v>Produits de Autres activités manufacturières et récupération</v>
          </cell>
          <cell r="D59" t="str">
            <v>RB409</v>
          </cell>
          <cell r="E59" t="str">
            <v>Other manufactured products</v>
          </cell>
        </row>
        <row r="60">
          <cell r="A60">
            <v>5</v>
          </cell>
          <cell r="B60" t="str">
            <v>RB501</v>
          </cell>
          <cell r="C60" t="str">
            <v>Electricité</v>
          </cell>
          <cell r="D60" t="str">
            <v>RB501</v>
          </cell>
          <cell r="E60" t="str">
            <v>Electricity</v>
          </cell>
        </row>
        <row r="61">
          <cell r="A61">
            <v>5</v>
          </cell>
          <cell r="B61" t="str">
            <v>RB502</v>
          </cell>
          <cell r="C61" t="str">
            <v>Produits de Captage,traitement et distribution d'eau</v>
          </cell>
          <cell r="D61" t="str">
            <v>RB502</v>
          </cell>
          <cell r="E61" t="str">
            <v>Water supply and distribution</v>
          </cell>
        </row>
        <row r="62">
          <cell r="A62">
            <v>5</v>
          </cell>
          <cell r="B62" t="str">
            <v>RB600</v>
          </cell>
          <cell r="C62" t="str">
            <v>Produits des travaux de construction</v>
          </cell>
          <cell r="D62" t="str">
            <v>RB600</v>
          </cell>
          <cell r="E62" t="str">
            <v>Construction</v>
          </cell>
        </row>
        <row r="63">
          <cell r="A63">
            <v>5</v>
          </cell>
          <cell r="B63" t="str">
            <v>RC101</v>
          </cell>
          <cell r="C63" t="str">
            <v xml:space="preserve">Commerce </v>
          </cell>
          <cell r="D63" t="str">
            <v>RC101</v>
          </cell>
          <cell r="E63" t="str">
            <v>Wholesale &amp; retail trade</v>
          </cell>
        </row>
        <row r="64">
          <cell r="A64">
            <v>5</v>
          </cell>
          <cell r="B64" t="str">
            <v>RC102</v>
          </cell>
          <cell r="C64" t="str">
            <v>Services de réparation</v>
          </cell>
          <cell r="D64" t="str">
            <v>RC102</v>
          </cell>
          <cell r="E64" t="str">
            <v>Repairs</v>
          </cell>
        </row>
        <row r="65">
          <cell r="A65">
            <v>5</v>
          </cell>
          <cell r="B65" t="str">
            <v>RC200</v>
          </cell>
          <cell r="C65" t="str">
            <v>Hotels et restaurants</v>
          </cell>
          <cell r="D65" t="str">
            <v>RC200</v>
          </cell>
          <cell r="E65" t="str">
            <v>Hotels &amp; restaurants</v>
          </cell>
        </row>
        <row r="66">
          <cell r="A66">
            <v>5</v>
          </cell>
          <cell r="B66" t="str">
            <v>RC301</v>
          </cell>
          <cell r="C66" t="str">
            <v>Transport terrestre</v>
          </cell>
          <cell r="D66" t="str">
            <v>RC301</v>
          </cell>
          <cell r="E66" t="str">
            <v>Land transport</v>
          </cell>
        </row>
        <row r="67">
          <cell r="A67">
            <v>5</v>
          </cell>
          <cell r="B67" t="str">
            <v>RC302</v>
          </cell>
          <cell r="C67" t="str">
            <v>Transport aérien</v>
          </cell>
          <cell r="D67" t="str">
            <v>RC302</v>
          </cell>
          <cell r="E67" t="str">
            <v>Air transport</v>
          </cell>
        </row>
        <row r="68">
          <cell r="A68">
            <v>5</v>
          </cell>
          <cell r="B68" t="str">
            <v>RC303</v>
          </cell>
          <cell r="C68" t="str">
            <v>Les services annexes au transport</v>
          </cell>
          <cell r="D68" t="str">
            <v>RC303</v>
          </cell>
          <cell r="E68" t="str">
            <v xml:space="preserve">Services related to transport </v>
          </cell>
        </row>
        <row r="69">
          <cell r="A69">
            <v>5</v>
          </cell>
          <cell r="B69" t="str">
            <v>RC304</v>
          </cell>
          <cell r="C69" t="str">
            <v>Services des postes</v>
          </cell>
          <cell r="D69" t="str">
            <v>RC304</v>
          </cell>
          <cell r="E69" t="str">
            <v>Postal services</v>
          </cell>
        </row>
        <row r="70">
          <cell r="A70">
            <v>5</v>
          </cell>
          <cell r="B70" t="str">
            <v>RC305</v>
          </cell>
          <cell r="C70" t="str">
            <v>Services de télécommunications</v>
          </cell>
          <cell r="D70" t="str">
            <v>RC305</v>
          </cell>
          <cell r="E70" t="str">
            <v>Telecommunication</v>
          </cell>
        </row>
        <row r="71">
          <cell r="A71">
            <v>5</v>
          </cell>
          <cell r="B71" t="str">
            <v>RC401</v>
          </cell>
          <cell r="C71" t="str">
            <v>Services d'intermédiation monétaire(BNR)</v>
          </cell>
          <cell r="D71" t="str">
            <v>RC401</v>
          </cell>
          <cell r="E71" t="str">
            <v>Central Bank</v>
          </cell>
        </row>
        <row r="72">
          <cell r="A72">
            <v>5</v>
          </cell>
          <cell r="B72" t="str">
            <v>RC402</v>
          </cell>
          <cell r="C72" t="str">
            <v>Services d'intermédiation financières et auxiliaires financiers</v>
          </cell>
          <cell r="D72" t="str">
            <v>RC402</v>
          </cell>
          <cell r="E72" t="str">
            <v>Banking and related services</v>
          </cell>
        </row>
        <row r="73">
          <cell r="A73">
            <v>5</v>
          </cell>
          <cell r="B73" t="str">
            <v>RC403</v>
          </cell>
          <cell r="C73" t="str">
            <v>Services d'assurances et auxiliaires d'assurance</v>
          </cell>
          <cell r="D73" t="str">
            <v>RC403</v>
          </cell>
          <cell r="E73" t="str">
            <v>Insurance and related services</v>
          </cell>
        </row>
        <row r="74">
          <cell r="A74">
            <v>5</v>
          </cell>
          <cell r="B74" t="str">
            <v>RC501</v>
          </cell>
          <cell r="C74" t="str">
            <v>Services immobiliers et gestion immobilière</v>
          </cell>
          <cell r="D74" t="str">
            <v>RC501</v>
          </cell>
          <cell r="E74" t="str">
            <v>Real estate</v>
          </cell>
        </row>
        <row r="75">
          <cell r="A75">
            <v>5</v>
          </cell>
          <cell r="B75" t="str">
            <v>RC502</v>
          </cell>
          <cell r="C75" t="str">
            <v>Services informatiques et annexes</v>
          </cell>
          <cell r="D75" t="str">
            <v>RC502</v>
          </cell>
          <cell r="E75" t="str">
            <v>Information technology services</v>
          </cell>
        </row>
        <row r="76">
          <cell r="A76">
            <v>5</v>
          </cell>
          <cell r="B76" t="str">
            <v>RC509</v>
          </cell>
          <cell r="C76" t="str">
            <v>Autres services marchands</v>
          </cell>
          <cell r="D76" t="str">
            <v>RC509</v>
          </cell>
          <cell r="E76" t="str">
            <v>Other business services</v>
          </cell>
        </row>
        <row r="77">
          <cell r="A77">
            <v>5</v>
          </cell>
          <cell r="B77" t="str">
            <v>RC600</v>
          </cell>
          <cell r="C77" t="str">
            <v xml:space="preserve">Services d'administration publique </v>
          </cell>
          <cell r="D77" t="str">
            <v>RC600</v>
          </cell>
          <cell r="E77" t="str">
            <v>Public administration</v>
          </cell>
        </row>
        <row r="78">
          <cell r="A78">
            <v>5</v>
          </cell>
          <cell r="B78" t="str">
            <v>RC700</v>
          </cell>
          <cell r="C78" t="str">
            <v>Services d'éducation</v>
          </cell>
          <cell r="D78" t="str">
            <v>RC700</v>
          </cell>
          <cell r="E78" t="str">
            <v>Education</v>
          </cell>
        </row>
        <row r="79">
          <cell r="A79">
            <v>5</v>
          </cell>
          <cell r="B79" t="str">
            <v>RC801</v>
          </cell>
          <cell r="C79" t="str">
            <v xml:space="preserve">Services de santé humaine </v>
          </cell>
          <cell r="D79" t="str">
            <v>RC801</v>
          </cell>
          <cell r="E79" t="str">
            <v>Human health services</v>
          </cell>
        </row>
        <row r="80">
          <cell r="A80">
            <v>5</v>
          </cell>
          <cell r="B80" t="str">
            <v>RC802</v>
          </cell>
          <cell r="C80" t="str">
            <v>Services vétérinaires</v>
          </cell>
          <cell r="D80" t="str">
            <v>RC802</v>
          </cell>
          <cell r="E80" t="str">
            <v>Veterinary services</v>
          </cell>
        </row>
        <row r="81">
          <cell r="A81">
            <v>5</v>
          </cell>
          <cell r="B81" t="str">
            <v>RC901</v>
          </cell>
          <cell r="C81" t="str">
            <v>ACTIVITES A CARACTERE COLLECTIF OU PERSONNEL</v>
          </cell>
          <cell r="D81" t="str">
            <v>RC901</v>
          </cell>
          <cell r="E81" t="str">
            <v>Personal and community services</v>
          </cell>
        </row>
        <row r="82">
          <cell r="A82">
            <v>5</v>
          </cell>
          <cell r="B82" t="str">
            <v>RC902</v>
          </cell>
          <cell r="C82" t="str">
            <v>PERSONNEL DOMESTIQUE</v>
          </cell>
          <cell r="D82" t="str">
            <v>RC902</v>
          </cell>
          <cell r="E82" t="str">
            <v>Domestic services</v>
          </cell>
        </row>
        <row r="83">
          <cell r="A83">
            <v>5</v>
          </cell>
          <cell r="B83" t="str">
            <v>RD001</v>
          </cell>
          <cell r="C83" t="str">
            <v>Corrections territoriale</v>
          </cell>
          <cell r="D83" t="str">
            <v>RD001</v>
          </cell>
          <cell r="E83" t="str">
            <v>Travel debits &amp; credits</v>
          </cell>
        </row>
        <row r="84">
          <cell r="A84">
            <v>5</v>
          </cell>
          <cell r="B84" t="str">
            <v>RD002</v>
          </cell>
          <cell r="C84" t="str">
            <v>SIFIM</v>
          </cell>
          <cell r="D84" t="str">
            <v>RD002</v>
          </cell>
          <cell r="E84" t="str">
            <v>FISIM</v>
          </cell>
        </row>
        <row r="85">
          <cell r="A85">
            <v>5</v>
          </cell>
          <cell r="B85" t="str">
            <v>RD003</v>
          </cell>
          <cell r="C85" t="str">
            <v>Produits en attentes</v>
          </cell>
          <cell r="D85" t="str">
            <v>RD003</v>
          </cell>
          <cell r="E85" t="str">
            <v>Unallocated products</v>
          </cell>
        </row>
        <row r="86">
          <cell r="A86">
            <v>7</v>
          </cell>
          <cell r="B86" t="str">
            <v>RA101-1</v>
          </cell>
          <cell r="C86" t="str">
            <v>Sorgho</v>
          </cell>
          <cell r="D86" t="str">
            <v>RA101-1</v>
          </cell>
          <cell r="E86" t="str">
            <v>Sorghum</v>
          </cell>
        </row>
        <row r="87">
          <cell r="A87">
            <v>7</v>
          </cell>
          <cell r="B87" t="str">
            <v>RA101-2</v>
          </cell>
          <cell r="C87" t="str">
            <v>Mais</v>
          </cell>
          <cell r="D87" t="str">
            <v>RA101-2</v>
          </cell>
          <cell r="E87" t="str">
            <v>Maize</v>
          </cell>
        </row>
        <row r="88">
          <cell r="A88">
            <v>7</v>
          </cell>
          <cell r="B88" t="str">
            <v>RA101-3</v>
          </cell>
          <cell r="C88" t="str">
            <v>Blé</v>
          </cell>
          <cell r="D88" t="str">
            <v>RA101-3</v>
          </cell>
          <cell r="E88" t="str">
            <v>Wheat</v>
          </cell>
        </row>
        <row r="89">
          <cell r="A89">
            <v>7</v>
          </cell>
          <cell r="B89" t="str">
            <v>RA101-4</v>
          </cell>
          <cell r="C89" t="str">
            <v>Riz, paddy</v>
          </cell>
          <cell r="D89" t="str">
            <v>RA101-4</v>
          </cell>
          <cell r="E89" t="str">
            <v>Paddy</v>
          </cell>
        </row>
        <row r="90">
          <cell r="A90">
            <v>7</v>
          </cell>
          <cell r="B90" t="str">
            <v>RA101-5</v>
          </cell>
          <cell r="C90" t="str">
            <v>Riz décortiqué</v>
          </cell>
          <cell r="D90" t="str">
            <v>RA101-5</v>
          </cell>
          <cell r="E90" t="str">
            <v>Husked rice</v>
          </cell>
        </row>
        <row r="91">
          <cell r="A91">
            <v>7</v>
          </cell>
          <cell r="B91" t="str">
            <v>RA101-9</v>
          </cell>
          <cell r="C91" t="str">
            <v>Autres céréales</v>
          </cell>
          <cell r="D91" t="str">
            <v>RA101-9</v>
          </cell>
          <cell r="E91" t="str">
            <v>Other cereals</v>
          </cell>
        </row>
        <row r="92">
          <cell r="A92">
            <v>7</v>
          </cell>
          <cell r="B92" t="str">
            <v>RA102-1</v>
          </cell>
          <cell r="C92" t="str">
            <v xml:space="preserve">Pomme de terre </v>
          </cell>
          <cell r="D92" t="str">
            <v>RA102-1</v>
          </cell>
          <cell r="E92" t="str">
            <v>Irish potatoes</v>
          </cell>
        </row>
        <row r="93">
          <cell r="A93">
            <v>7</v>
          </cell>
          <cell r="B93" t="str">
            <v>RA102-2</v>
          </cell>
          <cell r="C93" t="str">
            <v>Patates douces</v>
          </cell>
          <cell r="D93" t="str">
            <v>RA102-2</v>
          </cell>
          <cell r="E93" t="str">
            <v>Sweet potatoes</v>
          </cell>
        </row>
        <row r="94">
          <cell r="A94">
            <v>7</v>
          </cell>
          <cell r="B94" t="str">
            <v>RA102-3</v>
          </cell>
          <cell r="C94" t="str">
            <v xml:space="preserve">Manioc </v>
          </cell>
          <cell r="D94" t="str">
            <v>RA102-3</v>
          </cell>
          <cell r="E94" t="str">
            <v>Cassava</v>
          </cell>
        </row>
        <row r="95">
          <cell r="A95">
            <v>7</v>
          </cell>
          <cell r="B95" t="str">
            <v>RA102-9</v>
          </cell>
          <cell r="C95" t="str">
            <v>Autres racines et tubercules</v>
          </cell>
          <cell r="D95" t="str">
            <v>RA102-9</v>
          </cell>
          <cell r="E95" t="str">
            <v>Other roots and tubers</v>
          </cell>
        </row>
        <row r="96">
          <cell r="A96">
            <v>7</v>
          </cell>
          <cell r="B96" t="str">
            <v>RA103-1</v>
          </cell>
          <cell r="C96" t="str">
            <v>Haricots sec</v>
          </cell>
          <cell r="D96" t="str">
            <v>RA103-1</v>
          </cell>
          <cell r="E96" t="str">
            <v xml:space="preserve">Dried Beans </v>
          </cell>
        </row>
        <row r="97">
          <cell r="A97">
            <v>7</v>
          </cell>
          <cell r="B97" t="str">
            <v>RA103-2</v>
          </cell>
          <cell r="C97" t="str">
            <v>Petit pois et autres legumineuses</v>
          </cell>
          <cell r="D97" t="str">
            <v>RA103-2</v>
          </cell>
          <cell r="E97" t="str">
            <v>Peas &amp; other legumes</v>
          </cell>
        </row>
        <row r="98">
          <cell r="A98">
            <v>7</v>
          </cell>
          <cell r="B98" t="str">
            <v>RA103-9</v>
          </cell>
          <cell r="C98" t="str">
            <v>Autres legumes</v>
          </cell>
          <cell r="D98" t="str">
            <v>RA103-9</v>
          </cell>
          <cell r="E98" t="str">
            <v>Other vegetables</v>
          </cell>
        </row>
        <row r="99">
          <cell r="A99">
            <v>7</v>
          </cell>
          <cell r="B99" t="str">
            <v>RA104-1</v>
          </cell>
          <cell r="C99" t="str">
            <v>Banane plantin - biere</v>
          </cell>
          <cell r="D99" t="str">
            <v>RA104-1</v>
          </cell>
          <cell r="E99" t="str">
            <v>Bananas for beer</v>
          </cell>
        </row>
        <row r="100">
          <cell r="A100">
            <v>7</v>
          </cell>
          <cell r="B100" t="str">
            <v>RA104-2</v>
          </cell>
          <cell r="C100" t="str">
            <v>Banane plantin - cuire</v>
          </cell>
          <cell r="D100" t="str">
            <v>RA104-2</v>
          </cell>
          <cell r="E100" t="str">
            <v>Bananas for cooking</v>
          </cell>
        </row>
        <row r="101">
          <cell r="A101">
            <v>7</v>
          </cell>
          <cell r="B101" t="str">
            <v>RA104-3</v>
          </cell>
          <cell r="C101" t="str">
            <v>Banane douce</v>
          </cell>
          <cell r="D101" t="str">
            <v>RA104-3</v>
          </cell>
          <cell r="E101" t="str">
            <v>Bananas (sweet)</v>
          </cell>
        </row>
        <row r="102">
          <cell r="A102">
            <v>7</v>
          </cell>
          <cell r="B102" t="str">
            <v>RA104-9</v>
          </cell>
          <cell r="C102" t="str">
            <v>Autres fruits et noix</v>
          </cell>
          <cell r="D102" t="str">
            <v>RA104-9</v>
          </cell>
          <cell r="E102" t="str">
            <v>Other fruit and nuts</v>
          </cell>
        </row>
        <row r="103">
          <cell r="A103">
            <v>7</v>
          </cell>
          <cell r="B103" t="str">
            <v>RA105-1</v>
          </cell>
          <cell r="C103" t="str">
            <v>Arachides</v>
          </cell>
          <cell r="D103" t="str">
            <v>RA105-1</v>
          </cell>
          <cell r="E103" t="str">
            <v>Ground nuts</v>
          </cell>
        </row>
        <row r="104">
          <cell r="A104">
            <v>7</v>
          </cell>
          <cell r="B104" t="str">
            <v>RA105-2</v>
          </cell>
          <cell r="C104" t="str">
            <v>Soja</v>
          </cell>
          <cell r="D104" t="str">
            <v>RA105-2</v>
          </cell>
          <cell r="E104" t="str">
            <v>Soya</v>
          </cell>
        </row>
        <row r="105">
          <cell r="A105">
            <v>7</v>
          </cell>
          <cell r="B105" t="str">
            <v>RA201-0</v>
          </cell>
          <cell r="C105" t="str">
            <v xml:space="preserve">Café cerise </v>
          </cell>
          <cell r="D105" t="str">
            <v>RA201-0</v>
          </cell>
          <cell r="E105" t="str">
            <v>Raw coffee</v>
          </cell>
        </row>
        <row r="106">
          <cell r="A106">
            <v>7</v>
          </cell>
          <cell r="B106" t="str">
            <v>RA202-0</v>
          </cell>
          <cell r="C106" t="str">
            <v>Café décortiqué ou vert (non preparé, non décaféiné)</v>
          </cell>
          <cell r="D106" t="str">
            <v>RA202-0</v>
          </cell>
          <cell r="E106" t="str">
            <v>Coffee, not roasted, not decaffeinated</v>
          </cell>
        </row>
        <row r="107">
          <cell r="A107">
            <v>7</v>
          </cell>
          <cell r="B107" t="str">
            <v>RA203-0</v>
          </cell>
          <cell r="C107" t="str">
            <v>Thé (feuille verte)</v>
          </cell>
          <cell r="D107" t="str">
            <v>RA203-0</v>
          </cell>
          <cell r="E107" t="str">
            <v>Tea (unprocessed green leaf)</v>
          </cell>
        </row>
        <row r="108">
          <cell r="A108">
            <v>7</v>
          </cell>
          <cell r="B108" t="str">
            <v>RA209-1</v>
          </cell>
          <cell r="C108" t="str">
            <v>Tabac brut</v>
          </cell>
          <cell r="D108" t="str">
            <v>RA209-1</v>
          </cell>
          <cell r="E108" t="str">
            <v>Tobacco, raw</v>
          </cell>
        </row>
        <row r="109">
          <cell r="A109">
            <v>7</v>
          </cell>
          <cell r="B109" t="str">
            <v>RA209-2</v>
          </cell>
          <cell r="C109" t="str">
            <v>Canne à sucre</v>
          </cell>
          <cell r="D109" t="str">
            <v>RA209-2</v>
          </cell>
          <cell r="E109" t="str">
            <v>Sugar cane</v>
          </cell>
        </row>
        <row r="110">
          <cell r="A110">
            <v>7</v>
          </cell>
          <cell r="B110" t="str">
            <v>RA209-3</v>
          </cell>
          <cell r="C110" t="str">
            <v>Suc de pyréthre</v>
          </cell>
          <cell r="D110" t="str">
            <v>RA209-3</v>
          </cell>
          <cell r="E110" t="str">
            <v>Pyrethrum</v>
          </cell>
        </row>
        <row r="111">
          <cell r="A111">
            <v>7</v>
          </cell>
          <cell r="B111" t="str">
            <v>RA209-9</v>
          </cell>
          <cell r="C111" t="str">
            <v>Autres produits agricoles</v>
          </cell>
          <cell r="D111" t="str">
            <v>RA209-9</v>
          </cell>
          <cell r="E111" t="str">
            <v>Agricultural products n.e.c.</v>
          </cell>
        </row>
        <row r="112">
          <cell r="A112">
            <v>7</v>
          </cell>
          <cell r="B112" t="str">
            <v>RA300-1</v>
          </cell>
          <cell r="C112" t="str">
            <v>Bovins sur pied</v>
          </cell>
          <cell r="D112" t="str">
            <v>RA300-1</v>
          </cell>
          <cell r="E112" t="str">
            <v>Bovine cattle, live</v>
          </cell>
        </row>
        <row r="113">
          <cell r="A113">
            <v>7</v>
          </cell>
          <cell r="B113" t="str">
            <v>RA300-2</v>
          </cell>
          <cell r="C113" t="str">
            <v>Moutons, chevres, porcs sur pied</v>
          </cell>
          <cell r="D113" t="str">
            <v>RA300-2</v>
          </cell>
          <cell r="E113" t="str">
            <v>Sheep, goats, pig ,live</v>
          </cell>
        </row>
        <row r="114">
          <cell r="A114">
            <v>7</v>
          </cell>
          <cell r="B114" t="str">
            <v>RA300-3</v>
          </cell>
          <cell r="C114" t="str">
            <v>Volaille</v>
          </cell>
          <cell r="D114" t="str">
            <v>RA300-3</v>
          </cell>
          <cell r="E114" t="str">
            <v>Poultry, live</v>
          </cell>
        </row>
        <row r="115">
          <cell r="A115">
            <v>7</v>
          </cell>
          <cell r="B115" t="str">
            <v>RA300-4</v>
          </cell>
          <cell r="C115" t="str">
            <v>Lapins et autres animaux vivants</v>
          </cell>
          <cell r="D115" t="str">
            <v>RA300-4</v>
          </cell>
          <cell r="E115" t="str">
            <v>Rabbit and Other live animals</v>
          </cell>
        </row>
        <row r="116">
          <cell r="A116">
            <v>7</v>
          </cell>
          <cell r="B116" t="str">
            <v>RA300-5</v>
          </cell>
          <cell r="C116" t="str">
            <v>Lait brut</v>
          </cell>
          <cell r="D116" t="str">
            <v>RA300-5</v>
          </cell>
          <cell r="E116" t="str">
            <v>Raw milk</v>
          </cell>
        </row>
        <row r="117">
          <cell r="A117">
            <v>7</v>
          </cell>
          <cell r="B117" t="str">
            <v>RA300-6</v>
          </cell>
          <cell r="C117" t="str">
            <v>Oeuf</v>
          </cell>
          <cell r="D117" t="str">
            <v>RA300-6</v>
          </cell>
          <cell r="E117" t="str">
            <v>Eggs</v>
          </cell>
        </row>
        <row r="118">
          <cell r="A118">
            <v>7</v>
          </cell>
          <cell r="B118" t="str">
            <v>RA300-7</v>
          </cell>
          <cell r="C118" t="str">
            <v>Miel</v>
          </cell>
          <cell r="D118" t="str">
            <v>RA300-7</v>
          </cell>
          <cell r="E118" t="str">
            <v>Natural honey</v>
          </cell>
        </row>
        <row r="119">
          <cell r="A119">
            <v>7</v>
          </cell>
          <cell r="B119" t="str">
            <v>RA300-9</v>
          </cell>
          <cell r="C119" t="str">
            <v>Autres produits de l'élevage et de la chasse (peaux brutes)</v>
          </cell>
          <cell r="D119" t="str">
            <v>RA300-9</v>
          </cell>
          <cell r="E119" t="str">
            <v>Other livestock &amp; hunting products</v>
          </cell>
        </row>
        <row r="120">
          <cell r="A120">
            <v>7</v>
          </cell>
          <cell r="B120" t="str">
            <v>RA400-1</v>
          </cell>
          <cell r="C120" t="str">
            <v>Bois de chauffe</v>
          </cell>
          <cell r="D120" t="str">
            <v>RA400-1</v>
          </cell>
          <cell r="E120" t="str">
            <v>Fuel wood</v>
          </cell>
        </row>
        <row r="121">
          <cell r="A121">
            <v>7</v>
          </cell>
          <cell r="B121" t="str">
            <v>RA400-2</v>
          </cell>
          <cell r="C121" t="str">
            <v>Charbon de bois</v>
          </cell>
          <cell r="D121" t="str">
            <v>RA400-2</v>
          </cell>
          <cell r="E121" t="str">
            <v>Charcoal</v>
          </cell>
        </row>
        <row r="122">
          <cell r="A122">
            <v>7</v>
          </cell>
          <cell r="B122" t="str">
            <v>RA400-9</v>
          </cell>
          <cell r="C122" t="str">
            <v>Bois d'œuvre et autres produits forestiers</v>
          </cell>
          <cell r="D122" t="str">
            <v>RA400-9</v>
          </cell>
          <cell r="E122" t="str">
            <v>Other forestry products</v>
          </cell>
        </row>
        <row r="123">
          <cell r="A123">
            <v>7</v>
          </cell>
          <cell r="B123" t="str">
            <v>RA500-0</v>
          </cell>
          <cell r="C123" t="str">
            <v>Produits de la pêche</v>
          </cell>
          <cell r="D123" t="str">
            <v>RA500-0</v>
          </cell>
          <cell r="E123" t="str">
            <v>Fishery products</v>
          </cell>
        </row>
        <row r="124">
          <cell r="A124">
            <v>7</v>
          </cell>
          <cell r="B124" t="str">
            <v>RB100-1</v>
          </cell>
          <cell r="C124" t="str">
            <v>Cassiterite</v>
          </cell>
          <cell r="D124" t="str">
            <v>RB100-1</v>
          </cell>
          <cell r="E124" t="str">
            <v>Cassiterite</v>
          </cell>
        </row>
        <row r="125">
          <cell r="A125">
            <v>7</v>
          </cell>
          <cell r="B125" t="str">
            <v>RB100-2</v>
          </cell>
          <cell r="C125" t="str">
            <v>Colombo-tentalité</v>
          </cell>
          <cell r="D125" t="str">
            <v>RB100-2</v>
          </cell>
          <cell r="E125" t="str">
            <v>Col-tan</v>
          </cell>
        </row>
        <row r="126">
          <cell r="A126">
            <v>7</v>
          </cell>
          <cell r="B126" t="str">
            <v>RB100-3</v>
          </cell>
          <cell r="C126" t="str">
            <v xml:space="preserve">Wolfram </v>
          </cell>
          <cell r="D126" t="str">
            <v>RB100-3</v>
          </cell>
          <cell r="E126" t="str">
            <v xml:space="preserve">Wolfram </v>
          </cell>
        </row>
        <row r="127">
          <cell r="A127">
            <v>7</v>
          </cell>
          <cell r="B127" t="str">
            <v>RB100-4</v>
          </cell>
          <cell r="C127" t="str">
            <v>Produits de la carriere; sable</v>
          </cell>
          <cell r="D127" t="str">
            <v>RB100-4</v>
          </cell>
          <cell r="E127" t="str">
            <v>Quarry products, sand</v>
          </cell>
        </row>
        <row r="128">
          <cell r="A128">
            <v>7</v>
          </cell>
          <cell r="B128" t="str">
            <v>RB100-5</v>
          </cell>
          <cell r="C128" t="str">
            <v>Gaz naturel</v>
          </cell>
          <cell r="D128" t="str">
            <v>RB100-5</v>
          </cell>
          <cell r="E128" t="str">
            <v>Natural gas</v>
          </cell>
        </row>
        <row r="129">
          <cell r="A129">
            <v>7</v>
          </cell>
          <cell r="B129" t="str">
            <v>RB100-9</v>
          </cell>
          <cell r="C129" t="str">
            <v>Autres produits d'extraction</v>
          </cell>
          <cell r="D129" t="str">
            <v>RB100-9</v>
          </cell>
          <cell r="E129" t="str">
            <v>Other mining products</v>
          </cell>
        </row>
        <row r="130">
          <cell r="A130">
            <v>7</v>
          </cell>
          <cell r="B130" t="str">
            <v>RB201-1</v>
          </cell>
          <cell r="C130" t="str">
            <v>Viande de Boeuf</v>
          </cell>
          <cell r="D130" t="str">
            <v>RB201-1</v>
          </cell>
          <cell r="E130" t="str">
            <v>Beef</v>
          </cell>
        </row>
        <row r="131">
          <cell r="A131">
            <v>7</v>
          </cell>
          <cell r="B131" t="str">
            <v>RB201-2</v>
          </cell>
          <cell r="C131" t="str">
            <v>Viandes,produits à base de viande et produits de l'abattage</v>
          </cell>
          <cell r="D131" t="str">
            <v>RB201-2</v>
          </cell>
          <cell r="E131" t="str">
            <v>Other meat and meat products (not chicken)</v>
          </cell>
        </row>
        <row r="132">
          <cell r="A132">
            <v>7</v>
          </cell>
          <cell r="B132" t="str">
            <v>RB202-0</v>
          </cell>
          <cell r="C132" t="str">
            <v>Poissons et Produits de la pêche préparés, séchés, fumés….</v>
          </cell>
          <cell r="D132" t="str">
            <v>RB202-0</v>
          </cell>
          <cell r="E132" t="str">
            <v>Prepared and preserved fish</v>
          </cell>
        </row>
        <row r="133">
          <cell r="A133">
            <v>7</v>
          </cell>
          <cell r="B133" t="str">
            <v>RB203-1</v>
          </cell>
          <cell r="C133" t="str">
            <v>Concerves de fruit et legumes</v>
          </cell>
          <cell r="D133" t="str">
            <v>RB203-1</v>
          </cell>
          <cell r="E133" t="str">
            <v>Jams</v>
          </cell>
        </row>
        <row r="134">
          <cell r="A134">
            <v>7</v>
          </cell>
          <cell r="B134" t="str">
            <v>RB203-2</v>
          </cell>
          <cell r="C134" t="str">
            <v>Jus de friuts</v>
          </cell>
          <cell r="D134" t="str">
            <v>RB203-2</v>
          </cell>
          <cell r="E134" t="str">
            <v>Fruit juices</v>
          </cell>
        </row>
        <row r="135">
          <cell r="A135">
            <v>7</v>
          </cell>
          <cell r="B135" t="str">
            <v>RB203-9</v>
          </cell>
          <cell r="C135" t="str">
            <v>Autres produits à base de légumes et des fruits</v>
          </cell>
          <cell r="D135" t="str">
            <v>RB203-9</v>
          </cell>
          <cell r="E135" t="str">
            <v>Other prepared and preserved vegetables</v>
          </cell>
        </row>
        <row r="136">
          <cell r="A136">
            <v>7</v>
          </cell>
          <cell r="B136" t="str">
            <v>RB204-0</v>
          </cell>
          <cell r="C136" t="str">
            <v>Huiles et graisses</v>
          </cell>
          <cell r="D136" t="str">
            <v>RB204-0</v>
          </cell>
          <cell r="E136" t="str">
            <v>Animal and vegetable oils and fats</v>
          </cell>
        </row>
        <row r="137">
          <cell r="A137">
            <v>7</v>
          </cell>
          <cell r="B137" t="str">
            <v>RB205-0</v>
          </cell>
          <cell r="C137" t="str">
            <v>Produits laitiers</v>
          </cell>
          <cell r="D137" t="str">
            <v>RB205-0</v>
          </cell>
          <cell r="E137" t="str">
            <v>Dairy products</v>
          </cell>
        </row>
        <row r="138">
          <cell r="A138">
            <v>7</v>
          </cell>
          <cell r="B138" t="str">
            <v>RB206-1</v>
          </cell>
          <cell r="C138" t="str">
            <v>Farines de mais</v>
          </cell>
          <cell r="D138" t="str">
            <v>RB206-1</v>
          </cell>
          <cell r="E138" t="str">
            <v>Maize flour</v>
          </cell>
        </row>
        <row r="139">
          <cell r="A139">
            <v>7</v>
          </cell>
          <cell r="B139" t="str">
            <v>RB206-2</v>
          </cell>
          <cell r="C139" t="str">
            <v>Farines de blé</v>
          </cell>
          <cell r="D139" t="str">
            <v>RB206-2</v>
          </cell>
          <cell r="E139" t="str">
            <v xml:space="preserve">Wheat flour </v>
          </cell>
        </row>
        <row r="140">
          <cell r="A140">
            <v>7</v>
          </cell>
          <cell r="B140" t="str">
            <v>RB206-3</v>
          </cell>
          <cell r="C140" t="str">
            <v>Produits de boulangerie</v>
          </cell>
          <cell r="D140" t="str">
            <v>RB206-3</v>
          </cell>
          <cell r="E140" t="str">
            <v>Bakery products</v>
          </cell>
        </row>
        <row r="141">
          <cell r="A141">
            <v>7</v>
          </cell>
          <cell r="B141" t="str">
            <v>RB206-4</v>
          </cell>
          <cell r="C141" t="str">
            <v>Farine de manioc</v>
          </cell>
          <cell r="D141" t="str">
            <v>RB206-4</v>
          </cell>
          <cell r="E141" t="str">
            <v>Cassava flour</v>
          </cell>
        </row>
        <row r="142">
          <cell r="A142">
            <v>7</v>
          </cell>
          <cell r="B142" t="str">
            <v>RB206-5</v>
          </cell>
          <cell r="C142" t="str">
            <v>Autres farines</v>
          </cell>
          <cell r="D142" t="str">
            <v>RB206-5</v>
          </cell>
          <cell r="E142" t="str">
            <v>Other flours</v>
          </cell>
        </row>
        <row r="143">
          <cell r="A143">
            <v>7</v>
          </cell>
          <cell r="B143" t="str">
            <v>RB206-9</v>
          </cell>
          <cell r="C143" t="str">
            <v>Alimentation aux aminaux, et autres produits</v>
          </cell>
          <cell r="D143" t="str">
            <v>RB206-9</v>
          </cell>
          <cell r="E143" t="str">
            <v>Animal feed &amp; other grain mill products</v>
          </cell>
        </row>
        <row r="144">
          <cell r="A144">
            <v>7</v>
          </cell>
          <cell r="B144" t="str">
            <v>RB209-1</v>
          </cell>
          <cell r="C144" t="str">
            <v>Café transformé</v>
          </cell>
          <cell r="D144" t="str">
            <v>RB209-1</v>
          </cell>
          <cell r="E144" t="str">
            <v>Coffee, decaffeinated or roasted</v>
          </cell>
        </row>
        <row r="145">
          <cell r="A145">
            <v>7</v>
          </cell>
          <cell r="B145" t="str">
            <v>RB209-2</v>
          </cell>
          <cell r="C145" t="str">
            <v>Thé sec (the noir)</v>
          </cell>
          <cell r="D145" t="str">
            <v>RB209-2</v>
          </cell>
          <cell r="E145" t="str">
            <v>Tea, dried</v>
          </cell>
        </row>
        <row r="146">
          <cell r="A146">
            <v>7</v>
          </cell>
          <cell r="B146" t="str">
            <v>RB209-3</v>
          </cell>
          <cell r="C146" t="str">
            <v>Sucre</v>
          </cell>
          <cell r="D146" t="str">
            <v>RB209-3</v>
          </cell>
          <cell r="E146" t="str">
            <v>Sugar</v>
          </cell>
        </row>
        <row r="147">
          <cell r="A147">
            <v>7</v>
          </cell>
          <cell r="B147" t="str">
            <v>RB209-4</v>
          </cell>
          <cell r="C147" t="str">
            <v>Sel de cuisine</v>
          </cell>
          <cell r="D147" t="str">
            <v>RB209-4</v>
          </cell>
          <cell r="E147" t="str">
            <v>Cooking salt</v>
          </cell>
        </row>
        <row r="148">
          <cell r="A148">
            <v>7</v>
          </cell>
          <cell r="B148" t="str">
            <v>RB209-9</v>
          </cell>
          <cell r="C148" t="str">
            <v>Autres produits des industries agroalimentaires</v>
          </cell>
          <cell r="D148" t="str">
            <v>RB209-9</v>
          </cell>
          <cell r="E148" t="str">
            <v>Other food products n.e.c.</v>
          </cell>
        </row>
        <row r="149">
          <cell r="A149">
            <v>7</v>
          </cell>
          <cell r="B149" t="str">
            <v>RB301-1</v>
          </cell>
          <cell r="C149" t="str">
            <v>Bieres de bananes</v>
          </cell>
          <cell r="D149" t="str">
            <v>RB301-1</v>
          </cell>
          <cell r="E149" t="str">
            <v>Banana beer</v>
          </cell>
        </row>
        <row r="150">
          <cell r="A150">
            <v>7</v>
          </cell>
          <cell r="B150" t="str">
            <v>RB301-2</v>
          </cell>
          <cell r="C150" t="str">
            <v>Bieres de sorgho traditionelles</v>
          </cell>
          <cell r="D150" t="str">
            <v>RB301-2</v>
          </cell>
          <cell r="E150" t="str">
            <v>Other traditional beer</v>
          </cell>
        </row>
        <row r="151">
          <cell r="A151">
            <v>7</v>
          </cell>
          <cell r="B151" t="str">
            <v>RB301-3</v>
          </cell>
          <cell r="C151" t="str">
            <v>Bieres modernes</v>
          </cell>
          <cell r="D151" t="str">
            <v>RB301-3</v>
          </cell>
          <cell r="E151" t="str">
            <v>Modern beer</v>
          </cell>
        </row>
        <row r="152">
          <cell r="A152">
            <v>7</v>
          </cell>
          <cell r="B152" t="str">
            <v>RB301-9</v>
          </cell>
          <cell r="C152" t="str">
            <v>Autres boissons alcoolisées</v>
          </cell>
          <cell r="D152" t="str">
            <v>RB301-9</v>
          </cell>
          <cell r="E152" t="str">
            <v>Other alcoholic drinks</v>
          </cell>
        </row>
        <row r="153">
          <cell r="A153">
            <v>7</v>
          </cell>
          <cell r="B153" t="str">
            <v>RB302-1</v>
          </cell>
          <cell r="C153" t="str">
            <v>Boissons non alcoolisées traditionelles</v>
          </cell>
          <cell r="D153" t="str">
            <v>RB302-1</v>
          </cell>
          <cell r="E153" t="str">
            <v>Traditional soft drinks</v>
          </cell>
        </row>
        <row r="154">
          <cell r="A154">
            <v>7</v>
          </cell>
          <cell r="B154" t="str">
            <v>RB302-2</v>
          </cell>
          <cell r="C154" t="str">
            <v>Boissons non alcoolisées modernes; eau minerale</v>
          </cell>
          <cell r="D154" t="str">
            <v>RB302-2</v>
          </cell>
          <cell r="E154" t="str">
            <v>Modern soft drinks, mineral water</v>
          </cell>
        </row>
        <row r="155">
          <cell r="A155">
            <v>7</v>
          </cell>
          <cell r="B155" t="str">
            <v>RB303-0</v>
          </cell>
          <cell r="C155" t="str">
            <v>Cigarettes</v>
          </cell>
          <cell r="D155" t="str">
            <v>RB303-0</v>
          </cell>
          <cell r="E155" t="str">
            <v>Tobacco products</v>
          </cell>
        </row>
        <row r="156">
          <cell r="A156">
            <v>7</v>
          </cell>
          <cell r="B156" t="str">
            <v>RB401-1</v>
          </cell>
          <cell r="C156" t="str">
            <v>Produits textiles et articles sauf habillements</v>
          </cell>
          <cell r="D156" t="str">
            <v>RB401-1</v>
          </cell>
          <cell r="E156" t="str">
            <v>Textile products except  clothing</v>
          </cell>
        </row>
        <row r="157">
          <cell r="A157">
            <v>7</v>
          </cell>
          <cell r="B157" t="str">
            <v>RB401-2</v>
          </cell>
          <cell r="C157" t="str">
            <v>Habillements neuves et d'occasion</v>
          </cell>
          <cell r="D157" t="str">
            <v>RB401-2</v>
          </cell>
          <cell r="E157" t="str">
            <v>Clothing, new &amp; second-hand</v>
          </cell>
        </row>
        <row r="158">
          <cell r="A158">
            <v>7</v>
          </cell>
          <cell r="B158" t="str">
            <v>RB401-3</v>
          </cell>
          <cell r="C158" t="str">
            <v>Chaussures; cuir et produits en cuir</v>
          </cell>
          <cell r="D158" t="str">
            <v>RB401-3</v>
          </cell>
          <cell r="E158" t="str">
            <v>Shoes; articles of leather</v>
          </cell>
        </row>
        <row r="159">
          <cell r="A159">
            <v>7</v>
          </cell>
          <cell r="B159" t="str">
            <v>RB402-1</v>
          </cell>
          <cell r="C159" t="str">
            <v>Articles en bois ou de vannerie</v>
          </cell>
          <cell r="D159" t="str">
            <v>RB402-1</v>
          </cell>
          <cell r="E159" t="str">
            <v>Wood and basket ware products</v>
          </cell>
        </row>
        <row r="160">
          <cell r="A160">
            <v>7</v>
          </cell>
          <cell r="B160" t="str">
            <v>RB402-2</v>
          </cell>
          <cell r="C160" t="str">
            <v>Papiers et cartons;articles en papiers et en carton</v>
          </cell>
          <cell r="D160" t="str">
            <v>RB402-2</v>
          </cell>
          <cell r="E160" t="str">
            <v>Paper, cardboard and articles thereof</v>
          </cell>
        </row>
        <row r="161">
          <cell r="A161">
            <v>7</v>
          </cell>
          <cell r="B161" t="str">
            <v>RB402-3</v>
          </cell>
          <cell r="C161" t="str">
            <v>Produits d'imprimerie;services de reproduction d'enregistrement</v>
          </cell>
          <cell r="D161" t="str">
            <v>RB402-3</v>
          </cell>
          <cell r="E161" t="str">
            <v>Printing and reproduction products</v>
          </cell>
        </row>
        <row r="162">
          <cell r="A162">
            <v>7</v>
          </cell>
          <cell r="B162" t="str">
            <v>RB402-4</v>
          </cell>
          <cell r="C162" t="str">
            <v>Produits de l'édition</v>
          </cell>
          <cell r="D162" t="str">
            <v>RB402-4</v>
          </cell>
          <cell r="E162" t="str">
            <v>Publishing products</v>
          </cell>
        </row>
        <row r="163">
          <cell r="A163">
            <v>7</v>
          </cell>
          <cell r="B163" t="str">
            <v>RB403-0</v>
          </cell>
          <cell r="C163" t="str">
            <v>Carburant</v>
          </cell>
          <cell r="D163" t="str">
            <v>RB403-0</v>
          </cell>
          <cell r="E163" t="str">
            <v>Petroleum products</v>
          </cell>
        </row>
        <row r="164">
          <cell r="A164">
            <v>7</v>
          </cell>
          <cell r="B164" t="str">
            <v>RB404-1</v>
          </cell>
          <cell r="C164" t="str">
            <v>Engrais et insecticide</v>
          </cell>
          <cell r="D164" t="str">
            <v>RB404-1</v>
          </cell>
          <cell r="E164" t="str">
            <v>Fertilisers and insecticides</v>
          </cell>
        </row>
        <row r="165">
          <cell r="A165">
            <v>7</v>
          </cell>
          <cell r="B165" t="str">
            <v>RB404-2</v>
          </cell>
          <cell r="C165" t="str">
            <v>Produits de pharmacie</v>
          </cell>
          <cell r="D165" t="str">
            <v>RB404-2</v>
          </cell>
          <cell r="E165" t="str">
            <v>Pharmaceutical products</v>
          </cell>
        </row>
        <row r="166">
          <cell r="A166">
            <v>7</v>
          </cell>
          <cell r="B166" t="str">
            <v>RB404-3</v>
          </cell>
          <cell r="C166" t="str">
            <v>Savons,cosmetiques , preparations de menage et de toilette</v>
          </cell>
          <cell r="D166" t="str">
            <v>RB404-3</v>
          </cell>
          <cell r="E166" t="str">
            <v>Soap, cosmetics and other cleaning products</v>
          </cell>
        </row>
        <row r="167">
          <cell r="A167">
            <v>7</v>
          </cell>
          <cell r="B167" t="str">
            <v>RB404-4</v>
          </cell>
          <cell r="C167" t="str">
            <v>Pneus</v>
          </cell>
          <cell r="D167" t="str">
            <v>RB404-4</v>
          </cell>
          <cell r="E167" t="str">
            <v>Tyres</v>
          </cell>
        </row>
        <row r="168">
          <cell r="A168">
            <v>7</v>
          </cell>
          <cell r="B168" t="str">
            <v>RB404-5</v>
          </cell>
          <cell r="C168" t="str">
            <v>Matériaux de construction en plastique</v>
          </cell>
          <cell r="D168" t="str">
            <v>RB404-5</v>
          </cell>
          <cell r="E168" t="str">
            <v>Plastic construction materials</v>
          </cell>
        </row>
        <row r="169">
          <cell r="A169">
            <v>7</v>
          </cell>
          <cell r="B169" t="str">
            <v>RB404-9</v>
          </cell>
          <cell r="C169" t="str">
            <v>Autres produits chimiques, produits en caoutchouc et plastique</v>
          </cell>
          <cell r="D169" t="str">
            <v>RB404-9</v>
          </cell>
          <cell r="E169" t="str">
            <v>Other chemical, rubber and plastic products</v>
          </cell>
        </row>
        <row r="170">
          <cell r="A170">
            <v>7</v>
          </cell>
          <cell r="B170" t="str">
            <v>RB405-1</v>
          </cell>
          <cell r="C170" t="str">
            <v>Verres, poteries et autres</v>
          </cell>
          <cell r="D170" t="str">
            <v>RB405-1</v>
          </cell>
          <cell r="E170" t="str">
            <v>Glass, ceramics, etc n.e.c.</v>
          </cell>
        </row>
        <row r="171">
          <cell r="A171">
            <v>7</v>
          </cell>
          <cell r="B171" t="str">
            <v>RB405-2</v>
          </cell>
          <cell r="C171" t="str">
            <v>Ciment</v>
          </cell>
          <cell r="D171" t="str">
            <v>RB405-2</v>
          </cell>
          <cell r="E171" t="str">
            <v>Cement</v>
          </cell>
        </row>
        <row r="172">
          <cell r="A172">
            <v>7</v>
          </cell>
          <cell r="B172" t="str">
            <v>RB405-3</v>
          </cell>
          <cell r="C172" t="str">
            <v>Brique</v>
          </cell>
          <cell r="D172" t="str">
            <v>RB405-3</v>
          </cell>
          <cell r="E172" t="str">
            <v>Bricks</v>
          </cell>
        </row>
        <row r="173">
          <cell r="A173">
            <v>7</v>
          </cell>
          <cell r="B173" t="str">
            <v>RB405-4</v>
          </cell>
          <cell r="C173" t="str">
            <v>Chaux, platre, articles en pierre, béton etc</v>
          </cell>
          <cell r="D173" t="str">
            <v>RB405-4</v>
          </cell>
          <cell r="E173" t="str">
            <v>Lime, plaster, articles of stone, concrete etc</v>
          </cell>
        </row>
        <row r="174">
          <cell r="A174">
            <v>7</v>
          </cell>
          <cell r="B174" t="str">
            <v>RB406-1</v>
          </cell>
          <cell r="C174" t="str">
            <v>Matériaux de construction en fer, acier</v>
          </cell>
          <cell r="D174" t="str">
            <v>RB406-1</v>
          </cell>
          <cell r="E174" t="str">
            <v>Construction goods of iron, steel</v>
          </cell>
        </row>
        <row r="175">
          <cell r="A175">
            <v>7</v>
          </cell>
          <cell r="B175" t="str">
            <v>RB406-2</v>
          </cell>
          <cell r="C175" t="str">
            <v>Produits de ménage en métal</v>
          </cell>
          <cell r="D175" t="str">
            <v>RB406-2</v>
          </cell>
          <cell r="E175" t="str">
            <v>Domestic metal products</v>
          </cell>
        </row>
        <row r="176">
          <cell r="A176">
            <v>7</v>
          </cell>
          <cell r="B176" t="str">
            <v>RB406-9</v>
          </cell>
          <cell r="C176" t="str">
            <v>Autres produits des métaux</v>
          </cell>
          <cell r="D176" t="str">
            <v>RB406-9</v>
          </cell>
          <cell r="E176" t="str">
            <v>Other metal products</v>
          </cell>
        </row>
        <row r="177">
          <cell r="A177">
            <v>7</v>
          </cell>
          <cell r="B177" t="str">
            <v>RB407-1</v>
          </cell>
          <cell r="C177" t="str">
            <v>Matériels electro-menage et autre pour menage</v>
          </cell>
          <cell r="D177" t="str">
            <v>RB407-1</v>
          </cell>
          <cell r="E177" t="str">
            <v>Household electrical appliances</v>
          </cell>
        </row>
        <row r="178">
          <cell r="A178">
            <v>7</v>
          </cell>
          <cell r="B178" t="str">
            <v>RB407-2</v>
          </cell>
          <cell r="C178" t="str">
            <v>Appariels de téléphone</v>
          </cell>
          <cell r="D178" t="str">
            <v>RB407-2</v>
          </cell>
          <cell r="E178" t="str">
            <v>Telephonic apparatus</v>
          </cell>
        </row>
        <row r="179">
          <cell r="A179">
            <v>7</v>
          </cell>
          <cell r="B179" t="str">
            <v>RB407-3</v>
          </cell>
          <cell r="C179" t="str">
            <v>Appariels de radio, TV, musique, sport etc</v>
          </cell>
          <cell r="D179" t="str">
            <v>RB407-3</v>
          </cell>
          <cell r="E179" t="str">
            <v>Audio-visual and recreational equipment</v>
          </cell>
        </row>
        <row r="180">
          <cell r="A180">
            <v>7</v>
          </cell>
          <cell r="B180" t="str">
            <v>RB407-4</v>
          </cell>
          <cell r="C180" t="str">
            <v>Matériels informatiques</v>
          </cell>
          <cell r="D180" t="str">
            <v>RB407-4</v>
          </cell>
          <cell r="E180" t="str">
            <v>Computing equipment</v>
          </cell>
        </row>
        <row r="181">
          <cell r="A181">
            <v>7</v>
          </cell>
          <cell r="B181" t="str">
            <v>RB407-5</v>
          </cell>
          <cell r="C181" t="str">
            <v>Cellules électriques</v>
          </cell>
          <cell r="D181" t="str">
            <v>RB407-5</v>
          </cell>
          <cell r="E181" t="str">
            <v>Batteries</v>
          </cell>
        </row>
        <row r="182">
          <cell r="A182">
            <v>7</v>
          </cell>
          <cell r="B182" t="str">
            <v>RB407-6</v>
          </cell>
          <cell r="C182" t="str">
            <v>Pieces des machines</v>
          </cell>
          <cell r="D182" t="str">
            <v>RB407-6</v>
          </cell>
          <cell r="E182" t="str">
            <v>Parts of machinery and equipment n.e.c.</v>
          </cell>
        </row>
        <row r="183">
          <cell r="A183">
            <v>7</v>
          </cell>
          <cell r="B183" t="str">
            <v>RB407-7</v>
          </cell>
          <cell r="C183" t="str">
            <v>Autres machines et matériels électriques, sauf transport</v>
          </cell>
          <cell r="D183" t="str">
            <v>RB407-7</v>
          </cell>
          <cell r="E183" t="str">
            <v xml:space="preserve">Other machinery and equipment n.e.c. </v>
          </cell>
        </row>
        <row r="184">
          <cell r="A184">
            <v>7</v>
          </cell>
          <cell r="B184" t="str">
            <v>RB407-8</v>
          </cell>
          <cell r="C184" t="str">
            <v>Matériels de transport</v>
          </cell>
          <cell r="D184" t="str">
            <v>RB407-8</v>
          </cell>
          <cell r="E184" t="str">
            <v>Transport equipment</v>
          </cell>
        </row>
        <row r="185">
          <cell r="A185">
            <v>7</v>
          </cell>
          <cell r="B185" t="str">
            <v>RB407-9</v>
          </cell>
          <cell r="C185" t="str">
            <v>Pieces des matériels de transport</v>
          </cell>
          <cell r="D185" t="str">
            <v>RB407-9</v>
          </cell>
          <cell r="E185" t="str">
            <v>Parts of transport equipment</v>
          </cell>
        </row>
        <row r="186">
          <cell r="A186">
            <v>7</v>
          </cell>
          <cell r="B186" t="str">
            <v>RB409-1</v>
          </cell>
          <cell r="C186" t="str">
            <v>Meubles</v>
          </cell>
          <cell r="D186" t="str">
            <v>RB409-1</v>
          </cell>
          <cell r="E186" t="str">
            <v>Furniture</v>
          </cell>
        </row>
        <row r="187">
          <cell r="A187">
            <v>7</v>
          </cell>
          <cell r="B187" t="str">
            <v>RB409-2</v>
          </cell>
          <cell r="C187" t="str">
            <v>Fournitures  de bureau</v>
          </cell>
          <cell r="D187" t="str">
            <v>RB409-2</v>
          </cell>
          <cell r="E187" t="str">
            <v>Office supplies</v>
          </cell>
        </row>
        <row r="188">
          <cell r="A188">
            <v>7</v>
          </cell>
          <cell r="B188" t="str">
            <v>RB409-9</v>
          </cell>
          <cell r="C188" t="str">
            <v>Autres produits des activités manufacturières et récupération</v>
          </cell>
          <cell r="D188" t="str">
            <v>RB409-9</v>
          </cell>
          <cell r="E188" t="str">
            <v xml:space="preserve">Other manufactured &amp; recycled products </v>
          </cell>
        </row>
        <row r="189">
          <cell r="A189">
            <v>7</v>
          </cell>
          <cell r="B189" t="str">
            <v>RB501-0</v>
          </cell>
          <cell r="C189" t="str">
            <v>Electricité</v>
          </cell>
          <cell r="D189" t="str">
            <v>RB501-0</v>
          </cell>
          <cell r="E189" t="str">
            <v>Electricity</v>
          </cell>
        </row>
        <row r="190">
          <cell r="A190">
            <v>7</v>
          </cell>
          <cell r="B190" t="str">
            <v>RB502-0</v>
          </cell>
          <cell r="C190" t="str">
            <v>Eau distribuée</v>
          </cell>
          <cell r="D190" t="str">
            <v>RB502-0</v>
          </cell>
          <cell r="E190" t="str">
            <v>Water</v>
          </cell>
        </row>
        <row r="191">
          <cell r="A191">
            <v>7</v>
          </cell>
          <cell r="B191" t="str">
            <v>RB600-1</v>
          </cell>
          <cell r="C191" t="str">
            <v>Travaux des routes</v>
          </cell>
          <cell r="D191" t="str">
            <v>RB600-1</v>
          </cell>
          <cell r="E191" t="str">
            <v>Road construction</v>
          </cell>
        </row>
        <row r="192">
          <cell r="A192">
            <v>7</v>
          </cell>
          <cell r="B192" t="str">
            <v>RB600-2</v>
          </cell>
          <cell r="C192" t="str">
            <v>Autres travaux de génie civil</v>
          </cell>
          <cell r="D192" t="str">
            <v>RB600-2</v>
          </cell>
          <cell r="E192" t="str">
            <v>Other civil works</v>
          </cell>
        </row>
        <row r="193">
          <cell r="A193">
            <v>7</v>
          </cell>
          <cell r="B193" t="str">
            <v>RB600-3</v>
          </cell>
          <cell r="C193" t="str">
            <v>Constructions de bâtiments modernes</v>
          </cell>
          <cell r="D193" t="str">
            <v>RB600-3</v>
          </cell>
          <cell r="E193" t="str">
            <v>Modern buildings</v>
          </cell>
        </row>
        <row r="194">
          <cell r="A194">
            <v>7</v>
          </cell>
          <cell r="B194" t="str">
            <v>RB600-4</v>
          </cell>
          <cell r="C194" t="str">
            <v>Habitations traditionelles</v>
          </cell>
          <cell r="D194" t="str">
            <v>RB600-4</v>
          </cell>
          <cell r="E194" t="str">
            <v>Traditional dwellings</v>
          </cell>
        </row>
        <row r="195">
          <cell r="A195">
            <v>7</v>
          </cell>
          <cell r="B195" t="str">
            <v>RB600-5</v>
          </cell>
          <cell r="C195" t="str">
            <v>Travaux d'entretien</v>
          </cell>
          <cell r="D195" t="str">
            <v>RB600-5</v>
          </cell>
          <cell r="E195" t="str">
            <v>Maintenance work</v>
          </cell>
        </row>
        <row r="196">
          <cell r="A196">
            <v>7</v>
          </cell>
          <cell r="B196" t="str">
            <v>RC101-0</v>
          </cell>
          <cell r="C196" t="str">
            <v xml:space="preserve">Commerce </v>
          </cell>
          <cell r="D196" t="str">
            <v>RC101-0</v>
          </cell>
          <cell r="E196" t="str">
            <v>Wholesale &amp; retail trade</v>
          </cell>
        </row>
        <row r="197">
          <cell r="A197">
            <v>7</v>
          </cell>
          <cell r="B197" t="str">
            <v>RC102-0</v>
          </cell>
          <cell r="C197" t="str">
            <v>Services de réparation</v>
          </cell>
          <cell r="D197" t="str">
            <v>RC102-0</v>
          </cell>
          <cell r="E197" t="str">
            <v>Repairs</v>
          </cell>
        </row>
        <row r="198">
          <cell r="A198">
            <v>7</v>
          </cell>
          <cell r="B198" t="str">
            <v>RC200-1</v>
          </cell>
          <cell r="C198" t="str">
            <v>Service d'hotellerie</v>
          </cell>
          <cell r="D198" t="str">
            <v>RC200-1</v>
          </cell>
          <cell r="E198" t="str">
            <v>Accommodation</v>
          </cell>
        </row>
        <row r="199">
          <cell r="A199">
            <v>7</v>
          </cell>
          <cell r="B199" t="str">
            <v>RC200-2</v>
          </cell>
          <cell r="C199" t="str">
            <v>Service de restauration</v>
          </cell>
          <cell r="D199" t="str">
            <v>RC200-2</v>
          </cell>
          <cell r="E199" t="str">
            <v>Food and drinks</v>
          </cell>
        </row>
        <row r="200">
          <cell r="A200">
            <v>7</v>
          </cell>
          <cell r="B200" t="str">
            <v>RC301-1</v>
          </cell>
          <cell r="C200" t="str">
            <v>Transport de marchandise</v>
          </cell>
          <cell r="D200" t="str">
            <v>RC301-1</v>
          </cell>
          <cell r="E200" t="str">
            <v>Freight</v>
          </cell>
        </row>
        <row r="201">
          <cell r="A201">
            <v>7</v>
          </cell>
          <cell r="B201" t="str">
            <v>RC301-2</v>
          </cell>
          <cell r="C201" t="str">
            <v>Transports de personnel</v>
          </cell>
          <cell r="D201" t="str">
            <v>RC301-2</v>
          </cell>
          <cell r="E201" t="str">
            <v>Passenger transport</v>
          </cell>
        </row>
        <row r="202">
          <cell r="A202">
            <v>7</v>
          </cell>
          <cell r="B202" t="str">
            <v>RC302-0</v>
          </cell>
          <cell r="C202" t="str">
            <v>Services des transports aériens</v>
          </cell>
          <cell r="D202" t="str">
            <v>RC302-0</v>
          </cell>
          <cell r="E202" t="str">
            <v>Air transport</v>
          </cell>
        </row>
        <row r="203">
          <cell r="A203">
            <v>7</v>
          </cell>
          <cell r="B203" t="str">
            <v>RC303-1</v>
          </cell>
          <cell r="C203" t="str">
            <v>Entreposage; agences de fret</v>
          </cell>
          <cell r="D203" t="str">
            <v>RC303-1</v>
          </cell>
          <cell r="E203" t="str">
            <v>Storage; clearing agents</v>
          </cell>
        </row>
        <row r="204">
          <cell r="A204">
            <v>7</v>
          </cell>
          <cell r="B204" t="str">
            <v>RC303-2</v>
          </cell>
          <cell r="C204" t="str">
            <v>Agences de voyages</v>
          </cell>
          <cell r="D204" t="str">
            <v>RC303-2</v>
          </cell>
          <cell r="E204" t="str">
            <v>Travel agents and tour operators</v>
          </cell>
        </row>
        <row r="205">
          <cell r="A205">
            <v>7</v>
          </cell>
          <cell r="B205" t="str">
            <v>RC304-0</v>
          </cell>
          <cell r="C205" t="str">
            <v>Services des postes</v>
          </cell>
          <cell r="D205" t="str">
            <v>RC304-0</v>
          </cell>
          <cell r="E205" t="str">
            <v>Postal services</v>
          </cell>
        </row>
        <row r="206">
          <cell r="A206">
            <v>7</v>
          </cell>
          <cell r="B206" t="str">
            <v>RC305-0</v>
          </cell>
          <cell r="C206" t="str">
            <v>Services de télécommunications</v>
          </cell>
          <cell r="D206" t="str">
            <v>RC305-0</v>
          </cell>
          <cell r="E206" t="str">
            <v>Telecommunication</v>
          </cell>
        </row>
        <row r="207">
          <cell r="A207">
            <v>7</v>
          </cell>
          <cell r="B207" t="str">
            <v>RC401-0</v>
          </cell>
          <cell r="C207" t="str">
            <v>Services d'intermédiation monétaire</v>
          </cell>
          <cell r="D207" t="str">
            <v>RC401-0</v>
          </cell>
          <cell r="E207" t="str">
            <v>Central Bank</v>
          </cell>
        </row>
        <row r="208">
          <cell r="A208">
            <v>7</v>
          </cell>
          <cell r="B208" t="str">
            <v>RC402-0</v>
          </cell>
          <cell r="C208" t="str">
            <v>Services d'intermédiation financières et auxiliaires financiers</v>
          </cell>
          <cell r="D208" t="str">
            <v>RC402-0</v>
          </cell>
          <cell r="E208" t="str">
            <v>Banking and related services</v>
          </cell>
        </row>
        <row r="209">
          <cell r="A209">
            <v>7</v>
          </cell>
          <cell r="B209" t="str">
            <v>RC403-0</v>
          </cell>
          <cell r="C209" t="str">
            <v>Services d'assurances et auxiliaires d'assurance</v>
          </cell>
          <cell r="D209" t="str">
            <v>RC403-0</v>
          </cell>
          <cell r="E209" t="str">
            <v>Insurance and related services</v>
          </cell>
        </row>
        <row r="210">
          <cell r="A210">
            <v>7</v>
          </cell>
          <cell r="B210" t="str">
            <v>RC501-1</v>
          </cell>
          <cell r="C210" t="str">
            <v>Habitations modernes</v>
          </cell>
          <cell r="D210" t="str">
            <v>RC501-1</v>
          </cell>
          <cell r="E210" t="str">
            <v>Rents of modern dwellings</v>
          </cell>
        </row>
        <row r="211">
          <cell r="A211">
            <v>7</v>
          </cell>
          <cell r="B211" t="str">
            <v>RC501-2</v>
          </cell>
          <cell r="C211" t="str">
            <v>Habitations traditionelles</v>
          </cell>
          <cell r="D211" t="str">
            <v>RC501-2</v>
          </cell>
          <cell r="E211" t="str">
            <v>Rents of traditional dwellings</v>
          </cell>
        </row>
        <row r="212">
          <cell r="A212">
            <v>7</v>
          </cell>
          <cell r="B212" t="str">
            <v>RC502-0</v>
          </cell>
          <cell r="C212" t="str">
            <v>Services informatiques et annexes</v>
          </cell>
          <cell r="D212" t="str">
            <v>RC502-0</v>
          </cell>
          <cell r="E212" t="str">
            <v>Information technology services</v>
          </cell>
        </row>
        <row r="213">
          <cell r="A213">
            <v>7</v>
          </cell>
          <cell r="B213" t="str">
            <v>RC509-0</v>
          </cell>
          <cell r="C213" t="str">
            <v>Autres services marchands</v>
          </cell>
          <cell r="D213" t="str">
            <v>RC509-0</v>
          </cell>
          <cell r="E213" t="str">
            <v>Other business services</v>
          </cell>
        </row>
        <row r="214">
          <cell r="A214">
            <v>7</v>
          </cell>
          <cell r="B214" t="str">
            <v>RC600-1</v>
          </cell>
          <cell r="C214" t="str">
            <v>Services collectifs d'administration publique (hors securité sociale)</v>
          </cell>
          <cell r="D214" t="str">
            <v>RC600-1</v>
          </cell>
          <cell r="E214" t="str">
            <v>Public administration (except social security)</v>
          </cell>
        </row>
        <row r="215">
          <cell r="A215">
            <v>7</v>
          </cell>
          <cell r="B215" t="str">
            <v>RC600-2</v>
          </cell>
          <cell r="C215" t="str">
            <v xml:space="preserve">Services de securité sociale </v>
          </cell>
          <cell r="D215" t="str">
            <v>RC600-2</v>
          </cell>
          <cell r="E215" t="str">
            <v>Social security</v>
          </cell>
        </row>
        <row r="216">
          <cell r="A216">
            <v>7</v>
          </cell>
          <cell r="B216" t="str">
            <v>RC700-1</v>
          </cell>
          <cell r="C216" t="str">
            <v>Primaire</v>
          </cell>
          <cell r="D216" t="str">
            <v>RC700-1</v>
          </cell>
          <cell r="E216" t="str">
            <v>Primary</v>
          </cell>
        </row>
        <row r="217">
          <cell r="A217">
            <v>7</v>
          </cell>
          <cell r="B217" t="str">
            <v>RC700-2</v>
          </cell>
          <cell r="C217" t="str">
            <v>Secondaire</v>
          </cell>
          <cell r="D217" t="str">
            <v>RC700-2</v>
          </cell>
          <cell r="E217" t="str">
            <v>Secondary</v>
          </cell>
        </row>
        <row r="218">
          <cell r="A218">
            <v>7</v>
          </cell>
          <cell r="B218" t="str">
            <v>RC700-3</v>
          </cell>
          <cell r="C218" t="str">
            <v>Autres niveaux</v>
          </cell>
          <cell r="D218" t="str">
            <v>RC700-3</v>
          </cell>
          <cell r="E218" t="str">
            <v>Other levels</v>
          </cell>
        </row>
        <row r="219">
          <cell r="A219">
            <v>7</v>
          </cell>
          <cell r="B219" t="str">
            <v>RC801-0</v>
          </cell>
          <cell r="C219" t="str">
            <v xml:space="preserve">Services de santé humaine </v>
          </cell>
          <cell r="D219" t="str">
            <v>RC801-0</v>
          </cell>
          <cell r="E219" t="str">
            <v>Human health services</v>
          </cell>
        </row>
        <row r="220">
          <cell r="A220">
            <v>7</v>
          </cell>
          <cell r="B220" t="str">
            <v>RC802-0</v>
          </cell>
          <cell r="C220" t="str">
            <v>Services vétérinaires</v>
          </cell>
          <cell r="D220" t="str">
            <v>RC802-0</v>
          </cell>
          <cell r="E220" t="str">
            <v>Veterinary services</v>
          </cell>
        </row>
        <row r="221">
          <cell r="A221">
            <v>7</v>
          </cell>
          <cell r="B221" t="str">
            <v>RC901-1</v>
          </cell>
          <cell r="C221" t="str">
            <v>Sites touristiques</v>
          </cell>
          <cell r="D221" t="str">
            <v>RC901-1</v>
          </cell>
          <cell r="E221" t="str">
            <v>Tourist sites</v>
          </cell>
        </row>
        <row r="222">
          <cell r="A222">
            <v>7</v>
          </cell>
          <cell r="B222" t="str">
            <v>RC901-2</v>
          </cell>
          <cell r="C222" t="str">
            <v>Services de coiffures et soins de beauté</v>
          </cell>
          <cell r="D222" t="str">
            <v>RC901-2</v>
          </cell>
          <cell r="E222" t="str">
            <v>Hairdressing &amp; beauty treatment</v>
          </cell>
        </row>
        <row r="223">
          <cell r="A223">
            <v>7</v>
          </cell>
          <cell r="B223" t="str">
            <v>RC901-9</v>
          </cell>
          <cell r="C223" t="str">
            <v>Autres services personnels</v>
          </cell>
          <cell r="D223" t="str">
            <v>RC901-9</v>
          </cell>
          <cell r="E223" t="str">
            <v>Other personal and community services</v>
          </cell>
        </row>
        <row r="224">
          <cell r="A224">
            <v>7</v>
          </cell>
          <cell r="B224" t="str">
            <v>RC902-0</v>
          </cell>
          <cell r="C224" t="str">
            <v>Services de personnel domestique</v>
          </cell>
          <cell r="D224" t="str">
            <v>RC902-0</v>
          </cell>
          <cell r="E224" t="str">
            <v>Domestic services</v>
          </cell>
        </row>
        <row r="225">
          <cell r="A225">
            <v>7</v>
          </cell>
          <cell r="B225" t="str">
            <v>RD001-1</v>
          </cell>
          <cell r="C225" t="str">
            <v>Depenses de résidents a l'étrangé</v>
          </cell>
          <cell r="D225" t="str">
            <v>RD001-1</v>
          </cell>
          <cell r="E225" t="str">
            <v>Spending by residents abroad</v>
          </cell>
        </row>
        <row r="226">
          <cell r="A226">
            <v>7</v>
          </cell>
          <cell r="B226" t="str">
            <v>RD001-2</v>
          </cell>
          <cell r="C226" t="str">
            <v>Depenses de non-résidents au pays</v>
          </cell>
          <cell r="D226" t="str">
            <v>RD001-2</v>
          </cell>
          <cell r="E226" t="str">
            <v>Spending by non-residents in Rwanda</v>
          </cell>
        </row>
        <row r="227">
          <cell r="A227">
            <v>7</v>
          </cell>
          <cell r="B227" t="str">
            <v>RD002-0</v>
          </cell>
          <cell r="C227" t="str">
            <v>Sifim</v>
          </cell>
          <cell r="D227" t="str">
            <v>RD002-0</v>
          </cell>
          <cell r="E227" t="str">
            <v>FISIM</v>
          </cell>
        </row>
        <row r="228">
          <cell r="A228">
            <v>7</v>
          </cell>
          <cell r="B228" t="str">
            <v>RD003-0</v>
          </cell>
          <cell r="C228" t="str">
            <v>Produits en attentes</v>
          </cell>
          <cell r="D228" t="str">
            <v>RD003-0</v>
          </cell>
          <cell r="E228" t="str">
            <v>Unallocated products</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Cor. Graveland" id="{76B39166-C224-4A7C-8671-DCF641C31C97}" userId="Cor. Graveland" providerId="None"/>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bsp.nl\Productie\Users\Desktop\Downloads\RBM&amp;E__dataWaterUse\Users_and_Use_full_list__I.xls"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r. Graveland" refreshedDate="42996.649051388886" createdVersion="1" refreshedVersion="4" recordCount="11775" upgradeOnRefresh="1">
  <cacheSource type="worksheet">
    <worksheetSource ref="A1:I11776" sheet="users" r:id="rId2"/>
  </cacheSource>
  <cacheFields count="9">
    <cacheField name="usertype" numFmtId="0">
      <sharedItems count="9">
        <s v="BH"/>
        <s v="CWS"/>
        <s v="MG"/>
        <s v="Spring"/>
        <s v="WTP"/>
        <s v="IR"/>
        <s v="WP"/>
        <s v="MF"/>
        <s v="HP"/>
      </sharedItems>
    </cacheField>
    <cacheField name="SiteName" numFmtId="0">
      <sharedItems containsBlank="1"/>
    </cacheField>
    <cacheField name="OperatorName" numFmtId="0">
      <sharedItems containsBlank="1"/>
    </cacheField>
    <cacheField name="Province" numFmtId="0">
      <sharedItems containsBlank="1" count="6">
        <m/>
        <s v="Southern Province"/>
        <s v="Northern Province"/>
        <s v="Eastern Province"/>
        <s v="Western Province"/>
        <s v="City of Kigali"/>
      </sharedItems>
    </cacheField>
    <cacheField name="District" numFmtId="0">
      <sharedItems containsMixedTypes="1" containsNumber="1" containsInteger="1" minValue="13" maxValue="56"/>
    </cacheField>
    <cacheField name="Sector" numFmtId="0">
      <sharedItems containsBlank="1"/>
    </cacheField>
    <cacheField name="catchment" numFmtId="0">
      <sharedItems containsBlank="1"/>
    </cacheField>
    <cacheField name="Name" numFmtId="0">
      <sharedItems containsBlank="1"/>
    </cacheField>
    <cacheField name="wateruse(m3)" numFmtId="0">
      <sharedItems containsSemiMixedTypes="0" containsString="0" containsNumber="1" minValue="0" maxValue="863298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775">
  <r>
    <x v="0"/>
    <m/>
    <s v="Public"/>
    <x v="0"/>
    <s v="Bugesera"/>
    <s v="African New Church"/>
    <s v="NAKU_1"/>
    <m/>
    <n v="2628"/>
  </r>
  <r>
    <x v="0"/>
    <s v="Mwendo"/>
    <s v="Public"/>
    <x v="0"/>
    <s v="Bugesera"/>
    <s v="Gashora"/>
    <s v="NAKU_1"/>
    <m/>
    <n v="2328"/>
  </r>
  <r>
    <x v="0"/>
    <s v="Mwendo"/>
    <s v="Public"/>
    <x v="0"/>
    <s v="Bugesera"/>
    <s v="Gashora"/>
    <s v="NAKU_1"/>
    <m/>
    <n v="13140"/>
  </r>
  <r>
    <x v="0"/>
    <s v="Nyakayaga"/>
    <s v="Public"/>
    <x v="0"/>
    <s v="Bugesera"/>
    <s v="Kamabuye"/>
    <s v="NAKN_3"/>
    <s v="Cyohoha lake sub catchment"/>
    <n v="21812.400000000001"/>
  </r>
  <r>
    <x v="0"/>
    <s v="Nyakayaga"/>
    <s v="Public"/>
    <x v="0"/>
    <s v="Bugesera"/>
    <s v="Kamabuye"/>
    <s v="NAKN_3"/>
    <s v="Cyohoha lake sub catchment"/>
    <n v="13140"/>
  </r>
  <r>
    <x v="0"/>
    <s v="Rukore"/>
    <s v="Public"/>
    <x v="0"/>
    <s v="Bugesera"/>
    <s v="Mwogo"/>
    <s v="NAKU_1"/>
    <m/>
    <n v="13140"/>
  </r>
  <r>
    <x v="0"/>
    <s v="Rwankoronko"/>
    <s v="Public"/>
    <x v="0"/>
    <s v="Bugesera"/>
    <s v="Mwogo"/>
    <s v="NAKU_1"/>
    <m/>
    <n v="8672.4"/>
  </r>
  <r>
    <x v="0"/>
    <s v="Rurenge"/>
    <s v="Public"/>
    <x v="0"/>
    <s v="Bugesera"/>
    <s v="Mwogo"/>
    <s v="NAKU_1"/>
    <m/>
    <n v="15768"/>
  </r>
  <r>
    <x v="0"/>
    <m/>
    <s v="Public"/>
    <x v="0"/>
    <s v="Bugesera"/>
    <s v="Myariro"/>
    <s v="NAKN_3"/>
    <s v="Cyohoha lake sub catchment"/>
    <n v="11826"/>
  </r>
  <r>
    <x v="0"/>
    <m/>
    <s v="Public"/>
    <x v="0"/>
    <s v="Bugesera"/>
    <s v="NTARAMA S.S"/>
    <s v="NAKU_1"/>
    <m/>
    <n v="5256"/>
  </r>
  <r>
    <x v="0"/>
    <m/>
    <s v="Public"/>
    <x v="0"/>
    <s v="Bugesera "/>
    <s v="Rwakaramira"/>
    <s v="NAKN_3"/>
    <s v="Cyohoha lake sub catchment"/>
    <n v="9723.6"/>
  </r>
  <r>
    <x v="0"/>
    <m/>
    <s v="Public"/>
    <x v="0"/>
    <s v="Bugesera "/>
    <m/>
    <s v="NAKN_3"/>
    <s v="Cyohoha lake sub catchment"/>
    <n v="7884"/>
  </r>
  <r>
    <x v="0"/>
    <m/>
    <s v="Public"/>
    <x v="0"/>
    <s v="Gasabo"/>
    <s v="Amariza village"/>
    <s v="NNYL_1"/>
    <s v="Nyabugogo Sub-Catchment"/>
    <n v="8672.4"/>
  </r>
  <r>
    <x v="0"/>
    <m/>
    <s v="Public"/>
    <x v="0"/>
    <s v="Gasabo"/>
    <s v="Cyeyeye village"/>
    <s v="NNYL_1"/>
    <s v="Nyabugogo Sub-Catchment"/>
    <n v="6044.4000000000005"/>
  </r>
  <r>
    <x v="0"/>
    <m/>
    <s v="Public"/>
    <x v="0"/>
    <s v="Gasabo"/>
    <s v="Hope Heaven"/>
    <s v="NNYL_1"/>
    <s v="Nyabugogo Sub-Catchment"/>
    <n v="21024"/>
  </r>
  <r>
    <x v="0"/>
    <m/>
    <s v="Public"/>
    <x v="0"/>
    <s v="Gasabo"/>
    <s v="imena village"/>
    <s v="NNYL_1"/>
    <s v="Nyabugogo Sub-Catchment"/>
    <n v="13140"/>
  </r>
  <r>
    <x v="0"/>
    <s v="Urubanda"/>
    <s v="Public"/>
    <x v="0"/>
    <s v="Gasabo"/>
    <s v="Kinyinya"/>
    <s v="NNYL_1"/>
    <s v="Nyabugogo Sub-Catchment"/>
    <n v="4467.6000000000004"/>
  </r>
  <r>
    <x v="0"/>
    <s v="Bishikiri II"/>
    <s v="Public"/>
    <x v="0"/>
    <s v="Gasabo"/>
    <s v="Kinyinya Sector"/>
    <s v="NNYL_1"/>
    <s v="Nyabugogo Sub-Catchment"/>
    <n v="9198"/>
  </r>
  <r>
    <x v="0"/>
    <s v="Rudashe"/>
    <s v="Public"/>
    <x v="0"/>
    <s v="Gasabo"/>
    <s v="Ndera"/>
    <s v="NNYL_1"/>
    <s v="Nyabugogo Sub-Catchment"/>
    <n v="5256"/>
  </r>
  <r>
    <x v="0"/>
    <s v="Kira"/>
    <s v="Public"/>
    <x v="0"/>
    <s v="Gasabo"/>
    <s v="Ndera"/>
    <s v="NNYL_1"/>
    <s v="Nyabugogo Sub-Catchment"/>
    <n v="6570"/>
  </r>
  <r>
    <x v="0"/>
    <s v="Kibenga"/>
    <s v="Public"/>
    <x v="0"/>
    <s v="Gasabo"/>
    <s v="Ndera"/>
    <s v="NNYL_1"/>
    <s v="Nyabugogo Sub-Catchment"/>
    <n v="30747.600000000002"/>
  </r>
  <r>
    <x v="0"/>
    <s v="Kibenga"/>
    <s v="Public"/>
    <x v="0"/>
    <s v="Gasabo"/>
    <s v="Ndera"/>
    <s v="NNYL_1"/>
    <s v="Nyabugogo Sub-Catchment"/>
    <n v="17607.600000000002"/>
  </r>
  <r>
    <x v="0"/>
    <s v="Akamusare"/>
    <s v="Public"/>
    <x v="0"/>
    <s v="Gasabo"/>
    <s v="Ndera"/>
    <s v="NNYL_1"/>
    <s v="Nyabugogo Sub-Catchment"/>
    <n v="17607.600000000002"/>
  </r>
  <r>
    <x v="0"/>
    <s v="Runyonza"/>
    <s v="Public"/>
    <x v="0"/>
    <s v="Gasabo"/>
    <s v="Ndera"/>
    <s v="NNYL_1"/>
    <s v="Nyabugogo Sub-Catchment"/>
    <n v="13140"/>
  </r>
  <r>
    <x v="0"/>
    <s v="Cyaruzinge"/>
    <s v="Public"/>
    <x v="0"/>
    <s v="Gasabo"/>
    <s v="Ndera"/>
    <s v="NNYL_1"/>
    <s v="Nyabugogo Sub-Catchment"/>
    <n v="8672.4"/>
  </r>
  <r>
    <x v="0"/>
    <s v="Cyaruzige"/>
    <s v="Public"/>
    <x v="0"/>
    <s v="Gasabo"/>
    <s v="Ndera"/>
    <s v="NNYL_1"/>
    <s v="Nyabugogo Sub-Catchment"/>
    <n v="21024"/>
  </r>
  <r>
    <x v="0"/>
    <m/>
    <s v="Public"/>
    <x v="0"/>
    <s v="Gasabo"/>
    <s v="Nyarukurazo village"/>
    <s v="NNYL_1"/>
    <s v="Nyabugogo Sub-Catchment"/>
    <n v="26280"/>
  </r>
  <r>
    <x v="0"/>
    <s v="Nyarutundura, Nyagahinga"/>
    <s v="Public"/>
    <x v="0"/>
    <s v="Gasabo"/>
    <s v="Rusororo"/>
    <s v="NNYL_1"/>
    <s v="Nyabugogo Sub-Catchment"/>
    <n v="21812.400000000001"/>
  </r>
  <r>
    <x v="0"/>
    <s v="Ihuriro Village"/>
    <s v="Public"/>
    <x v="0"/>
    <s v="Gasabo "/>
    <s v="Jabana"/>
    <s v="NNYL_1"/>
    <s v="Nyabugogo Sub-Catchment"/>
    <n v="13140"/>
  </r>
  <r>
    <x v="0"/>
    <s v="Nyagachamu"/>
    <s v="Public"/>
    <x v="0"/>
    <s v="Gatsibo"/>
    <s v="Gitoki"/>
    <s v="NAKL_1"/>
    <s v="Akagera Lower Catchment"/>
    <n v="30484.799999999999"/>
  </r>
  <r>
    <x v="0"/>
    <s v="Gakiri"/>
    <s v="Public"/>
    <x v="0"/>
    <s v="Gatsibo"/>
    <s v="Gitoki"/>
    <s v="NAKL_1"/>
    <s v="Akagera Lower Catchment"/>
    <n v="13140"/>
  </r>
  <r>
    <x v="0"/>
    <s v="Kibondo I"/>
    <s v="Public"/>
    <x v="0"/>
    <s v="Gatsibo"/>
    <s v="Kabarore"/>
    <s v="NAKL_1"/>
    <s v="Akagera Lower Catchment"/>
    <n v="6570"/>
  </r>
  <r>
    <x v="0"/>
    <s v="Ngarama"/>
    <s v="Public"/>
    <x v="0"/>
    <s v="Gatsibo"/>
    <s v="Kabarore"/>
    <s v="NAKL_1"/>
    <s v="Akagera Lower Catchment"/>
    <n v="4204.8"/>
  </r>
  <r>
    <x v="0"/>
    <s v="Ruhuha"/>
    <s v="Public"/>
    <x v="0"/>
    <s v="Gatsibo"/>
    <s v="Kabarore"/>
    <s v="NAKL_1"/>
    <s v="Akagera Lower Catchment"/>
    <n v="8672.4"/>
  </r>
  <r>
    <x v="0"/>
    <s v="Nyabikiri"/>
    <s v="Public"/>
    <x v="0"/>
    <s v="Gatsibo"/>
    <s v="Kabarore"/>
    <s v="NAKL_1"/>
    <s v="Akagera Lower Catchment"/>
    <n v="17344.8"/>
  </r>
  <r>
    <x v="0"/>
    <s v="Nyabisindu"/>
    <s v="Public"/>
    <x v="0"/>
    <s v="Gatsibo"/>
    <s v="Kiramuruzi"/>
    <s v="NNYL_1"/>
    <m/>
    <n v="13140"/>
  </r>
  <r>
    <x v="0"/>
    <s v="Akabingu"/>
    <s v="Public"/>
    <x v="0"/>
    <s v="Gatsibo"/>
    <s v="Kiziguro"/>
    <s v="NNYL_1"/>
    <m/>
    <n v="8672.4"/>
  </r>
  <r>
    <x v="0"/>
    <s v="Kamurara"/>
    <s v="Public"/>
    <x v="0"/>
    <s v="Gatsibo"/>
    <s v="Nyagihanga"/>
    <s v="NMUV_2"/>
    <m/>
    <n v="17082"/>
  </r>
  <r>
    <x v="0"/>
    <s v="Kabudogo"/>
    <s v="Public"/>
    <x v="0"/>
    <s v="Gatsibo"/>
    <s v="Nyagihanga"/>
    <s v="NMUV_2"/>
    <m/>
    <n v="4467.6000000000004"/>
  </r>
  <r>
    <x v="0"/>
    <m/>
    <s v="Public"/>
    <x v="0"/>
    <s v="Karongi"/>
    <s v="Birembo"/>
    <s v="CKIV_2"/>
    <m/>
    <n v="34164"/>
  </r>
  <r>
    <x v="0"/>
    <m/>
    <s v="Public"/>
    <x v="0"/>
    <s v="Karongi"/>
    <s v="Bizitiro"/>
    <s v="NNYU_1"/>
    <m/>
    <n v="48618"/>
  </r>
  <r>
    <x v="0"/>
    <m/>
    <s v="Public"/>
    <x v="0"/>
    <s v="Karongi"/>
    <s v="Buhire"/>
    <s v="CKIV_2"/>
    <m/>
    <n v="42048"/>
  </r>
  <r>
    <x v="0"/>
    <s v="Gomba"/>
    <s v="Public"/>
    <x v="0"/>
    <s v="Karongi"/>
    <s v="Bwishyura"/>
    <s v="CKIV_2"/>
    <m/>
    <n v="40734"/>
  </r>
  <r>
    <x v="0"/>
    <s v="Majuri"/>
    <s v="Public"/>
    <x v="0"/>
    <s v="Karongi"/>
    <s v="Bwishyura"/>
    <s v="CKIV_2"/>
    <m/>
    <n v="38106"/>
  </r>
  <r>
    <x v="0"/>
    <s v="Matyazo"/>
    <s v="Public"/>
    <x v="0"/>
    <s v="Karongi"/>
    <s v="Bwishyura"/>
    <s v="CKIV_2"/>
    <m/>
    <n v="32850"/>
  </r>
  <r>
    <x v="0"/>
    <s v="Nyarusazi"/>
    <s v="Public"/>
    <x v="0"/>
    <s v="Karongi"/>
    <s v="Bwishyura"/>
    <s v="CKIV_2"/>
    <m/>
    <n v="32850"/>
  </r>
  <r>
    <x v="0"/>
    <s v="GitegaIII"/>
    <s v="Public"/>
    <x v="0"/>
    <s v="Karongi"/>
    <s v="Bwishyura"/>
    <s v="CKIV_2"/>
    <m/>
    <n v="32850"/>
  </r>
  <r>
    <x v="0"/>
    <s v="Nyakigezi"/>
    <s v="Public"/>
    <x v="0"/>
    <s v="Karongi"/>
    <s v="Bwishyura"/>
    <s v="CKIV_2"/>
    <m/>
    <n v="22338"/>
  </r>
  <r>
    <x v="0"/>
    <s v="Josi"/>
    <s v="Public"/>
    <x v="0"/>
    <s v="Karongi"/>
    <s v="Bwishyura"/>
    <s v="CKIV_2"/>
    <m/>
    <n v="22338"/>
  </r>
  <r>
    <x v="0"/>
    <s v="Nyabikenke III"/>
    <s v="Public"/>
    <x v="0"/>
    <s v="Karongi"/>
    <s v="Bwishyura"/>
    <s v="CKIV_2"/>
    <m/>
    <n v="21024"/>
  </r>
  <r>
    <x v="0"/>
    <s v="Nyabikenke"/>
    <s v="Public"/>
    <x v="0"/>
    <s v="Karongi"/>
    <s v="Bwishyura"/>
    <s v="CKIV_2"/>
    <m/>
    <n v="21024"/>
  </r>
  <r>
    <x v="0"/>
    <s v="Josi"/>
    <s v="Public"/>
    <x v="0"/>
    <s v="Karongi"/>
    <s v="Bwishyura"/>
    <s v="CKIV_2"/>
    <m/>
    <n v="21024"/>
  </r>
  <r>
    <x v="0"/>
    <s v="Ruhande"/>
    <s v="Public"/>
    <x v="0"/>
    <s v="Karongi"/>
    <s v="Bwishyura"/>
    <s v="CKIV_2"/>
    <m/>
    <n v="19710"/>
  </r>
  <r>
    <x v="0"/>
    <s v="Gafurugutu"/>
    <s v="Public"/>
    <x v="0"/>
    <s v="Karongi"/>
    <s v="Bwishyura"/>
    <s v="CKIV_2"/>
    <m/>
    <n v="17082"/>
  </r>
  <r>
    <x v="0"/>
    <s v="Nyamarembe"/>
    <s v="Public"/>
    <x v="0"/>
    <s v="Karongi"/>
    <s v="Bwishyura"/>
    <s v="CKIV_2"/>
    <m/>
    <n v="17082"/>
  </r>
  <r>
    <x v="0"/>
    <s v="GitegaI"/>
    <s v="Public"/>
    <x v="0"/>
    <s v="Karongi"/>
    <s v="Bwishyura"/>
    <s v="CKIV_2"/>
    <m/>
    <n v="15768"/>
  </r>
  <r>
    <x v="0"/>
    <s v="Mugomba"/>
    <s v="Public"/>
    <x v="0"/>
    <s v="Karongi"/>
    <s v="Bwishyura"/>
    <s v="CKIV_2"/>
    <m/>
    <n v="14454"/>
  </r>
  <r>
    <x v="0"/>
    <s v="Mugoba"/>
    <s v="Public"/>
    <x v="0"/>
    <s v="Karongi"/>
    <s v="Bwishyura"/>
    <s v="CKIV_2"/>
    <m/>
    <n v="13140"/>
  </r>
  <r>
    <x v="0"/>
    <s v="Gasura"/>
    <s v="Public"/>
    <x v="0"/>
    <s v="Karongi"/>
    <s v="Bwishyura"/>
    <s v="CKIV_2"/>
    <m/>
    <n v="11826"/>
  </r>
  <r>
    <x v="0"/>
    <s v="Gatare"/>
    <s v="Public"/>
    <x v="0"/>
    <s v="Karongi"/>
    <s v="Bwishyura"/>
    <s v="CKIV_2"/>
    <m/>
    <n v="11826"/>
  </r>
  <r>
    <x v="0"/>
    <s v="Sakinyaga"/>
    <s v="Public"/>
    <x v="0"/>
    <s v="Karongi"/>
    <s v="Bwishyura"/>
    <s v="CKIV_2"/>
    <m/>
    <n v="39420"/>
  </r>
  <r>
    <x v="0"/>
    <s v="NyabikenkeII"/>
    <s v="Public"/>
    <x v="0"/>
    <s v="Karongi"/>
    <s v="Bwishyura"/>
    <s v="CKIV_2"/>
    <m/>
    <n v="32850"/>
  </r>
  <r>
    <x v="0"/>
    <s v="Birambo II"/>
    <s v="Public"/>
    <x v="0"/>
    <s v="Karongi"/>
    <s v="Gashari"/>
    <s v="NNYU_3"/>
    <m/>
    <n v="30222"/>
  </r>
  <r>
    <x v="0"/>
    <s v="Gashari"/>
    <s v="Public"/>
    <x v="0"/>
    <s v="Karongi"/>
    <s v="Gashari"/>
    <s v="NNYU_3"/>
    <m/>
    <n v="17082"/>
  </r>
  <r>
    <x v="0"/>
    <s v="BiramboI"/>
    <s v="Public"/>
    <x v="0"/>
    <s v="Karongi"/>
    <s v="Gashari"/>
    <s v="NNYU_3"/>
    <m/>
    <n v="5256"/>
  </r>
  <r>
    <x v="0"/>
    <s v="Nyamigina"/>
    <s v="Public"/>
    <x v="0"/>
    <s v="Karongi"/>
    <s v="Gashari"/>
    <s v="NNYU_1"/>
    <m/>
    <n v="52560"/>
  </r>
  <r>
    <x v="0"/>
    <m/>
    <s v="Public"/>
    <x v="0"/>
    <s v="Karongi"/>
    <s v="Gasura Primary School"/>
    <s v="CKIV_2"/>
    <m/>
    <n v="44676"/>
  </r>
  <r>
    <x v="0"/>
    <s v="Tura II"/>
    <s v="Public"/>
    <x v="0"/>
    <s v="Karongi"/>
    <s v="Gishyita"/>
    <s v="CKIV_2"/>
    <m/>
    <n v="44676"/>
  </r>
  <r>
    <x v="0"/>
    <s v="Muranga"/>
    <s v="Public"/>
    <x v="0"/>
    <s v="Karongi"/>
    <s v="Gishyita"/>
    <s v="CKIV_2"/>
    <m/>
    <n v="43362"/>
  </r>
  <r>
    <x v="0"/>
    <s v="Kabwenge"/>
    <s v="Public"/>
    <x v="0"/>
    <s v="Karongi"/>
    <s v="Gishyita"/>
    <s v="CKIV_2"/>
    <m/>
    <n v="34164"/>
  </r>
  <r>
    <x v="0"/>
    <s v="Tura I"/>
    <s v="Public"/>
    <x v="0"/>
    <s v="Karongi"/>
    <s v="Gishyita"/>
    <s v="CKIV_2"/>
    <m/>
    <n v="32850"/>
  </r>
  <r>
    <x v="0"/>
    <s v="Mukagibu"/>
    <s v="Public"/>
    <x v="0"/>
    <s v="Karongi"/>
    <s v="Gishyita"/>
    <s v="CKIV_2"/>
    <m/>
    <n v="28908"/>
  </r>
  <r>
    <x v="0"/>
    <s v="Gatare II"/>
    <s v="Public"/>
    <x v="0"/>
    <s v="Karongi"/>
    <s v="Gishyita"/>
    <s v="CKIV_2"/>
    <m/>
    <n v="28908"/>
  </r>
  <r>
    <x v="0"/>
    <s v="Kizibaziba"/>
    <s v="Public"/>
    <x v="0"/>
    <s v="Karongi"/>
    <s v="Gishyita"/>
    <s v="CKIV_2"/>
    <m/>
    <n v="27594"/>
  </r>
  <r>
    <x v="0"/>
    <s v="Gataba"/>
    <s v="Public"/>
    <x v="0"/>
    <s v="Karongi"/>
    <s v="Gishyita"/>
    <s v="CKIV_2"/>
    <m/>
    <n v="22338"/>
  </r>
  <r>
    <x v="0"/>
    <s v="Nyarusange"/>
    <s v="Public"/>
    <x v="0"/>
    <s v="Karongi"/>
    <s v="Gishyita"/>
    <s v="CKIV_2"/>
    <m/>
    <n v="22338"/>
  </r>
  <r>
    <x v="0"/>
    <s v="Gisunzu"/>
    <s v="Public"/>
    <x v="0"/>
    <s v="Karongi"/>
    <s v="Gishyita"/>
    <s v="CKIV_2"/>
    <m/>
    <n v="22338"/>
  </r>
  <r>
    <x v="0"/>
    <s v="Lyaruhanga"/>
    <s v="Public"/>
    <x v="0"/>
    <s v="Karongi"/>
    <s v="Gishyita"/>
    <s v="CKIV_2"/>
    <m/>
    <n v="22338"/>
  </r>
  <r>
    <x v="0"/>
    <s v="Kabuga"/>
    <s v="Public"/>
    <x v="0"/>
    <s v="Karongi"/>
    <s v="Gishyita"/>
    <s v="CKIV_2"/>
    <m/>
    <n v="22338"/>
  </r>
  <r>
    <x v="0"/>
    <s v="Kagano"/>
    <s v="Public"/>
    <x v="0"/>
    <s v="Karongi"/>
    <s v="Gishyita"/>
    <s v="CKIV_2"/>
    <m/>
    <n v="21024"/>
  </r>
  <r>
    <x v="0"/>
    <s v="Kabutare"/>
    <s v="Public"/>
    <x v="0"/>
    <s v="Karongi"/>
    <s v="Gishyita"/>
    <s v="CKIV_2"/>
    <m/>
    <n v="18396"/>
  </r>
  <r>
    <x v="0"/>
    <s v="Murangara"/>
    <s v="Public"/>
    <x v="0"/>
    <s v="Karongi"/>
    <s v="Gishyita"/>
    <s v="CKIV_2"/>
    <m/>
    <n v="18396"/>
  </r>
  <r>
    <x v="0"/>
    <s v="Gisayo"/>
    <s v="Public"/>
    <x v="0"/>
    <s v="Karongi"/>
    <s v="Gishyita"/>
    <s v="CKIV_2"/>
    <m/>
    <n v="15768"/>
  </r>
  <r>
    <x v="0"/>
    <s v="Gisayo"/>
    <s v="Public"/>
    <x v="0"/>
    <s v="Karongi"/>
    <s v="Gishyita"/>
    <s v="CKIV_2"/>
    <m/>
    <n v="15768"/>
  </r>
  <r>
    <x v="0"/>
    <s v="Gisiza"/>
    <s v="Public"/>
    <x v="0"/>
    <s v="Karongi"/>
    <s v="Gishyita"/>
    <s v="CKIV_2"/>
    <m/>
    <n v="14454"/>
  </r>
  <r>
    <x v="0"/>
    <s v="Kirunga"/>
    <s v="Public"/>
    <x v="0"/>
    <s v="Karongi"/>
    <s v="Gishyita"/>
    <s v="CKIV_2"/>
    <m/>
    <n v="32850"/>
  </r>
  <r>
    <x v="0"/>
    <s v="Cyimbo"/>
    <s v="Public"/>
    <x v="0"/>
    <s v="Karongi"/>
    <s v="Gishyita"/>
    <s v="CKIV_2"/>
    <m/>
    <n v="32850"/>
  </r>
  <r>
    <x v="0"/>
    <s v="Bweramvura"/>
    <s v="Public"/>
    <x v="0"/>
    <s v="Karongi"/>
    <s v="Gishyita"/>
    <s v="CKIV_2"/>
    <m/>
    <n v="22338"/>
  </r>
  <r>
    <x v="0"/>
    <s v="Gahigiro"/>
    <s v="Public"/>
    <x v="0"/>
    <s v="Karongi"/>
    <s v="Gitesi"/>
    <s v="CKIV_2"/>
    <m/>
    <n v="19710"/>
  </r>
  <r>
    <x v="0"/>
    <s v="Munanira"/>
    <s v="Public"/>
    <x v="0"/>
    <s v="Karongi"/>
    <s v="Gitesi"/>
    <s v="CKIV_2"/>
    <m/>
    <n v="87512.400000000009"/>
  </r>
  <r>
    <x v="0"/>
    <s v="Kinyami"/>
    <s v="Public"/>
    <x v="0"/>
    <s v="Karongi"/>
    <s v="Gitesi"/>
    <s v="CKIV_2"/>
    <m/>
    <n v="4204.8"/>
  </r>
  <r>
    <x v="0"/>
    <s v="Kirembo"/>
    <s v="Public"/>
    <x v="0"/>
    <s v="Karongi"/>
    <s v="Gitesi"/>
    <s v="CKIV_2"/>
    <m/>
    <n v="4730.4000000000005"/>
  </r>
  <r>
    <x v="0"/>
    <m/>
    <s v="Public"/>
    <x v="0"/>
    <s v="Karongi"/>
    <s v="Gitovu"/>
    <s v="CKIV_2"/>
    <m/>
    <n v="22338"/>
  </r>
  <r>
    <x v="0"/>
    <m/>
    <s v="Public"/>
    <x v="0"/>
    <s v="Karongi"/>
    <s v="Kayenzi SDA Church"/>
    <s v="CKIV_2"/>
    <m/>
    <n v="2102.4"/>
  </r>
  <r>
    <x v="0"/>
    <m/>
    <s v="Public"/>
    <x v="0"/>
    <s v="Karongi"/>
    <s v="Kiniha SDA"/>
    <s v="CKIV_2"/>
    <m/>
    <n v="39420"/>
  </r>
  <r>
    <x v="0"/>
    <s v="Misagara"/>
    <s v="Public"/>
    <x v="0"/>
    <s v="Karongi"/>
    <s v="Misagara"/>
    <s v="CKIV_2"/>
    <m/>
    <n v="34164"/>
  </r>
  <r>
    <x v="0"/>
    <s v="NyagatovuII"/>
    <s v="Public"/>
    <x v="0"/>
    <s v="Karongi"/>
    <s v="Mubuga"/>
    <s v="CKIV_2"/>
    <m/>
    <n v="16030.800000000001"/>
  </r>
  <r>
    <x v="0"/>
    <s v="Ryarugezi"/>
    <s v="Public"/>
    <x v="0"/>
    <s v="Karongi"/>
    <s v="Mubuga"/>
    <s v="CKIV_2"/>
    <m/>
    <n v="24966"/>
  </r>
  <r>
    <x v="0"/>
    <s v="Murangara"/>
    <s v="Public"/>
    <x v="0"/>
    <s v="Karongi"/>
    <s v="Mubuga"/>
    <s v="CKIV_2"/>
    <m/>
    <n v="17082"/>
  </r>
  <r>
    <x v="0"/>
    <s v="Bweramvura"/>
    <s v="Public"/>
    <x v="0"/>
    <s v="Karongi"/>
    <s v="Mubuga"/>
    <s v="CKIV_2"/>
    <m/>
    <n v="11826"/>
  </r>
  <r>
    <x v="0"/>
    <s v="Bwakira"/>
    <s v="Public"/>
    <x v="0"/>
    <s v="Karongi"/>
    <s v="Murambi"/>
    <s v="NNYU_3"/>
    <m/>
    <n v="14454"/>
  </r>
  <r>
    <x v="0"/>
    <s v="Nyarunyinya"/>
    <s v="Public"/>
    <x v="0"/>
    <s v="Karongi"/>
    <s v="Murambi"/>
    <s v="NNYU_3"/>
    <m/>
    <n v="21812.400000000001"/>
  </r>
  <r>
    <x v="0"/>
    <s v="Nyamagana"/>
    <s v="Public"/>
    <x v="0"/>
    <s v="Karongi"/>
    <s v="Murambi II"/>
    <s v="NNYU_3"/>
    <m/>
    <n v="26280"/>
  </r>
  <r>
    <x v="0"/>
    <s v="Gititi"/>
    <s v="Public"/>
    <x v="0"/>
    <s v="Karongi"/>
    <s v="Mutuntu"/>
    <s v="NNYU_1"/>
    <m/>
    <n v="47304"/>
  </r>
  <r>
    <x v="0"/>
    <s v="Mukungu"/>
    <s v="Public"/>
    <x v="0"/>
    <s v="Karongi"/>
    <s v="Mutuntu"/>
    <s v="NNYU_1"/>
    <m/>
    <n v="45990"/>
  </r>
  <r>
    <x v="0"/>
    <s v="Gititi II"/>
    <s v="Public"/>
    <x v="0"/>
    <s v="Karongi"/>
    <s v="Mutuntu"/>
    <s v="NNYU_1"/>
    <m/>
    <n v="40734"/>
  </r>
  <r>
    <x v="0"/>
    <m/>
    <s v="Public"/>
    <x v="0"/>
    <s v="Karongi"/>
    <s v="Nyabihanga"/>
    <s v="CKIV_2"/>
    <m/>
    <n v="39420"/>
  </r>
  <r>
    <x v="0"/>
    <m/>
    <s v="Public"/>
    <x v="0"/>
    <s v="Karongi"/>
    <s v="Nyakigezi Methodist Church"/>
    <s v="CKIV_2"/>
    <m/>
    <n v="32850"/>
  </r>
  <r>
    <x v="0"/>
    <m/>
    <s v="Public"/>
    <x v="0"/>
    <s v="Karongi"/>
    <s v="Nyarusanga"/>
    <s v="NNYU_3"/>
    <m/>
    <n v="32850"/>
  </r>
  <r>
    <x v="0"/>
    <s v="Kigabiro"/>
    <s v="Public"/>
    <x v="0"/>
    <s v="Karongi"/>
    <s v="Rubengera"/>
    <s v="CKIV_2"/>
    <m/>
    <n v="31536"/>
  </r>
  <r>
    <x v="0"/>
    <s v="NdegwaII"/>
    <s v="Public"/>
    <x v="0"/>
    <s v="Karongi"/>
    <s v="Rubengera"/>
    <s v="CKIV_2"/>
    <m/>
    <n v="31536"/>
  </r>
  <r>
    <x v="0"/>
    <s v="KabataraII"/>
    <s v="Public"/>
    <x v="0"/>
    <s v="Karongi"/>
    <s v="Rubengera"/>
    <s v="CKIV_2"/>
    <m/>
    <n v="31536"/>
  </r>
  <r>
    <x v="0"/>
    <s v="NyakabugoII"/>
    <s v="Public"/>
    <x v="0"/>
    <s v="Karongi"/>
    <s v="Rubengera"/>
    <s v="CKIV_2"/>
    <m/>
    <n v="26280"/>
  </r>
  <r>
    <x v="0"/>
    <s v="Nyamangana"/>
    <s v="Public"/>
    <x v="0"/>
    <s v="Karongi"/>
    <s v="Rubengera"/>
    <s v="CKIV_2"/>
    <m/>
    <n v="26280"/>
  </r>
  <r>
    <x v="0"/>
    <s v="Kabatara"/>
    <s v="Public"/>
    <x v="0"/>
    <s v="Karongi"/>
    <s v="Rubengera"/>
    <s v="CKIV_2"/>
    <m/>
    <n v="26280"/>
  </r>
  <r>
    <x v="0"/>
    <s v="Nyagasozi"/>
    <s v="Public"/>
    <x v="0"/>
    <s v="Karongi"/>
    <s v="Rubengera"/>
    <s v="CKIV_2"/>
    <m/>
    <n v="26280"/>
  </r>
  <r>
    <x v="0"/>
    <s v="Ruragwe"/>
    <s v="Public"/>
    <x v="0"/>
    <s v="Karongi"/>
    <s v="Rubengera"/>
    <s v="CKIV_2"/>
    <m/>
    <n v="25754.400000000001"/>
  </r>
  <r>
    <x v="0"/>
    <s v="Rutabo"/>
    <s v="Public"/>
    <x v="0"/>
    <s v="Karongi"/>
    <s v="Rubengera"/>
    <s v="CKIV_2"/>
    <m/>
    <n v="22338"/>
  </r>
  <r>
    <x v="0"/>
    <s v="Kirambo"/>
    <s v="Public"/>
    <x v="0"/>
    <s v="Karongi"/>
    <s v="Rubengera"/>
    <s v="CKIV_2"/>
    <m/>
    <n v="21024"/>
  </r>
  <r>
    <x v="0"/>
    <s v="Gakomeye"/>
    <s v="Public"/>
    <x v="0"/>
    <s v="Karongi"/>
    <s v="Rubengera"/>
    <s v="CKIV_2"/>
    <m/>
    <n v="21024"/>
  </r>
  <r>
    <x v="0"/>
    <s v="Nyagatovu"/>
    <s v="Public"/>
    <x v="0"/>
    <s v="Karongi"/>
    <s v="Rubengera"/>
    <s v="CKIV_2"/>
    <m/>
    <n v="20498.400000000001"/>
  </r>
  <r>
    <x v="0"/>
    <s v="Kibandi"/>
    <s v="Public"/>
    <x v="0"/>
    <s v="Karongi"/>
    <s v="Rubengera"/>
    <s v="CKIV_2"/>
    <m/>
    <n v="19710"/>
  </r>
  <r>
    <x v="0"/>
    <s v="Kamubumbyi"/>
    <s v="Public"/>
    <x v="0"/>
    <s v="Karongi"/>
    <s v="Rubengera"/>
    <s v="CKIV_2"/>
    <m/>
    <n v="17344.8"/>
  </r>
  <r>
    <x v="0"/>
    <s v="Ndegwa"/>
    <s v="Public"/>
    <x v="0"/>
    <s v="Karongi"/>
    <s v="Rubengera"/>
    <s v="CKIV_2"/>
    <m/>
    <n v="15242.4"/>
  </r>
  <r>
    <x v="0"/>
    <s v="Nyamagana II"/>
    <s v="Public"/>
    <x v="0"/>
    <s v="Karongi"/>
    <s v="Rubengera"/>
    <s v="CKIV_2"/>
    <m/>
    <n v="13140"/>
  </r>
  <r>
    <x v="0"/>
    <s v="Ruvumbu"/>
    <s v="Public"/>
    <x v="0"/>
    <s v="Karongi"/>
    <s v="RUBENGERA"/>
    <s v="CKIV_2"/>
    <m/>
    <n v="8409.6"/>
  </r>
  <r>
    <x v="0"/>
    <s v="Nyakabugo"/>
    <s v="Public"/>
    <x v="0"/>
    <s v="Karongi"/>
    <s v="Rubengera"/>
    <s v="CKIV_2"/>
    <m/>
    <n v="7358.4000000000005"/>
  </r>
  <r>
    <x v="0"/>
    <s v="RubonaII"/>
    <s v="Public"/>
    <x v="0"/>
    <s v="Karongi"/>
    <s v="Rubengera"/>
    <s v="CKIV_2"/>
    <m/>
    <n v="31536"/>
  </r>
  <r>
    <x v="0"/>
    <s v="Gacaca"/>
    <s v="Public"/>
    <x v="0"/>
    <s v="Karongi"/>
    <s v="Rubengera"/>
    <s v="CKIV_2"/>
    <m/>
    <n v="17082"/>
  </r>
  <r>
    <x v="0"/>
    <s v="Kimana"/>
    <s v="Public"/>
    <x v="0"/>
    <s v="Karongi"/>
    <s v="Rubengera"/>
    <s v="CKIV_2"/>
    <m/>
    <n v="31536"/>
  </r>
  <r>
    <x v="0"/>
    <s v="Kimana II"/>
    <s v="Public"/>
    <x v="0"/>
    <s v="Karongi"/>
    <s v="Rubengera"/>
    <s v="CKIV_2"/>
    <m/>
    <n v="26280"/>
  </r>
  <r>
    <x v="0"/>
    <s v="Kamusanganya"/>
    <s v="Public"/>
    <x v="0"/>
    <s v="Karongi"/>
    <s v="RUBENGERA"/>
    <s v="CKIV_2"/>
    <m/>
    <n v="23652"/>
  </r>
  <r>
    <x v="0"/>
    <s v="Nyagahinga"/>
    <s v="Public"/>
    <x v="0"/>
    <s v="Karongi"/>
    <s v="RUBENGERA"/>
    <s v="CKIV_2"/>
    <m/>
    <n v="22338"/>
  </r>
  <r>
    <x v="0"/>
    <s v="Kimigenge"/>
    <s v="Public"/>
    <x v="0"/>
    <s v="Karongi"/>
    <s v="RUBENGERA"/>
    <s v="CKIV_2"/>
    <m/>
    <n v="19710"/>
  </r>
  <r>
    <x v="0"/>
    <m/>
    <s v="Public"/>
    <x v="0"/>
    <s v="Karongi"/>
    <s v="Rubona"/>
    <s v="CKIV_2"/>
    <m/>
    <n v="26280"/>
  </r>
  <r>
    <x v="0"/>
    <m/>
    <s v="Public"/>
    <x v="0"/>
    <s v="Karongi"/>
    <s v="Rubyiro"/>
    <s v="CKIV_2"/>
    <m/>
    <n v="22338"/>
  </r>
  <r>
    <x v="0"/>
    <s v="Kamonyi"/>
    <s v="Public"/>
    <x v="0"/>
    <s v="Karongi"/>
    <s v="Rugabano"/>
    <s v="CKIV_2"/>
    <m/>
    <n v="27594"/>
  </r>
  <r>
    <x v="0"/>
    <s v="Bwihe"/>
    <s v="Public"/>
    <x v="0"/>
    <s v="Karongi"/>
    <s v="Rugabano"/>
    <s v="NNYU_3"/>
    <m/>
    <n v="0"/>
  </r>
  <r>
    <x v="0"/>
    <s v="Karambo"/>
    <s v="Public"/>
    <x v="0"/>
    <s v="Karongi"/>
    <s v="Rugabano"/>
    <s v="CKIV_2"/>
    <m/>
    <n v="10774.800000000001"/>
  </r>
  <r>
    <x v="0"/>
    <s v="Rugabano"/>
    <s v="Public"/>
    <x v="0"/>
    <s v="Karongi"/>
    <s v="Rugabano"/>
    <s v="NNYU_3"/>
    <m/>
    <n v="18396"/>
  </r>
  <r>
    <x v="0"/>
    <s v="Mucyiro"/>
    <s v="Public"/>
    <x v="0"/>
    <s v="Karongi"/>
    <s v="Rugabano"/>
    <s v="NNYU_3"/>
    <m/>
    <n v="0"/>
  </r>
  <r>
    <x v="0"/>
    <s v="Murambi"/>
    <s v="Public"/>
    <x v="0"/>
    <s v="Karongi"/>
    <s v="Ruganda"/>
    <s v="NNYU_1"/>
    <m/>
    <n v="17082"/>
  </r>
  <r>
    <x v="0"/>
    <s v="Nyange"/>
    <s v="Public"/>
    <x v="0"/>
    <s v="Karongi"/>
    <s v="Ruganda"/>
    <s v="NNYU_1"/>
    <m/>
    <n v="17082"/>
  </r>
  <r>
    <x v="0"/>
    <m/>
    <s v="Public"/>
    <x v="0"/>
    <s v="Karongi"/>
    <s v="Ruhande"/>
    <s v="CKIV_2"/>
    <m/>
    <n v="31536"/>
  </r>
  <r>
    <x v="0"/>
    <m/>
    <s v="Public"/>
    <x v="0"/>
    <s v="Karongi"/>
    <s v="Ruragwe Secondary School"/>
    <s v="CKIV_2"/>
    <m/>
    <n v="10512"/>
  </r>
  <r>
    <x v="0"/>
    <m/>
    <s v="Public"/>
    <x v="0"/>
    <s v="Karongi"/>
    <s v="Ruragwe Secondary School 2"/>
    <s v="CKIV_2"/>
    <m/>
    <n v="14454"/>
  </r>
  <r>
    <x v="0"/>
    <s v="Wingabo"/>
    <s v="Public"/>
    <x v="0"/>
    <s v="Karongi"/>
    <s v="Rwankuba"/>
    <s v="CKIV_2"/>
    <m/>
    <n v="11826"/>
  </r>
  <r>
    <x v="0"/>
    <m/>
    <s v="Public"/>
    <x v="0"/>
    <s v="Karongi"/>
    <s v="Ryaruhanga"/>
    <s v="CKIV_2"/>
    <m/>
    <n v="10512"/>
  </r>
  <r>
    <x v="0"/>
    <s v="Kibuburo"/>
    <s v="Public"/>
    <x v="0"/>
    <s v="Karongi"/>
    <s v="Twumba"/>
    <s v="NNYU_1"/>
    <m/>
    <n v="28908"/>
  </r>
  <r>
    <x v="0"/>
    <s v="Gashirere"/>
    <s v="Public"/>
    <x v="0"/>
    <s v="Karongi"/>
    <s v="Twumba"/>
    <s v="CKIV_2"/>
    <m/>
    <n v="30484.799999999999"/>
  </r>
  <r>
    <x v="0"/>
    <s v="Nyagisozi"/>
    <s v="Public"/>
    <x v="0"/>
    <s v="Karongi"/>
    <m/>
    <s v="CKIV_2"/>
    <m/>
    <n v="21812.400000000001"/>
  </r>
  <r>
    <x v="0"/>
    <s v="Rukara college"/>
    <s v="Public"/>
    <x v="0"/>
    <s v="Kayonza"/>
    <s v="Gahini"/>
    <s v="NNYL_1"/>
    <m/>
    <n v="4467.6000000000004"/>
  </r>
  <r>
    <x v="0"/>
    <s v="GS gahini"/>
    <s v="Public"/>
    <x v="0"/>
    <s v="Kayonza"/>
    <s v="Gahini"/>
    <s v="NNYL_1"/>
    <m/>
    <n v="6570"/>
  </r>
  <r>
    <x v="0"/>
    <s v="Rugarama"/>
    <s v="Public"/>
    <x v="0"/>
    <s v="Kayonza"/>
    <s v="Gahini"/>
    <s v="NNYL_1"/>
    <m/>
    <n v="30484.799999999999"/>
  </r>
  <r>
    <x v="0"/>
    <m/>
    <s v="Public"/>
    <x v="0"/>
    <s v="Kayonza"/>
    <s v="Kageyo Primary School"/>
    <s v="NAKL_1"/>
    <s v="Akagera Lower Catchment"/>
    <n v="21812.400000000001"/>
  </r>
  <r>
    <x v="0"/>
    <s v="Gasogororo"/>
    <s v="Public"/>
    <x v="0"/>
    <s v="Kayonza"/>
    <s v="Mukarange"/>
    <s v="NNYL_1"/>
    <m/>
    <n v="21024"/>
  </r>
  <r>
    <x v="0"/>
    <s v="Bwiza"/>
    <s v="Public"/>
    <x v="0"/>
    <s v="Kayonza"/>
    <s v="Mukarange"/>
    <s v="NNYL_1"/>
    <m/>
    <n v="15768"/>
  </r>
  <r>
    <x v="0"/>
    <s v="Mburabuturo"/>
    <s v="Public"/>
    <x v="0"/>
    <s v="Kayonza"/>
    <s v="Mukarange"/>
    <s v="NAKU_1"/>
    <m/>
    <n v="13140"/>
  </r>
  <r>
    <x v="0"/>
    <s v="Kayonza"/>
    <s v="Public"/>
    <x v="0"/>
    <s v="Kayonza"/>
    <s v="Mukarange"/>
    <s v="NNYL_1"/>
    <m/>
    <n v="8672.4"/>
  </r>
  <r>
    <x v="0"/>
    <s v="Rugendabari"/>
    <s v="Public"/>
    <x v="0"/>
    <s v="Kayonza"/>
    <s v="Mukarange"/>
    <s v="NNYL_1"/>
    <m/>
    <n v="8672.4"/>
  </r>
  <r>
    <x v="0"/>
    <s v="Bwiza"/>
    <s v="Public"/>
    <x v="0"/>
    <s v="Kayonza"/>
    <s v="Mukarange"/>
    <s v="NNYL_1"/>
    <m/>
    <n v="5256"/>
  </r>
  <r>
    <x v="0"/>
    <s v="Kabeza"/>
    <s v="Public"/>
    <x v="0"/>
    <s v="Kayonza"/>
    <s v="Mukarange"/>
    <s v="NAKU_1"/>
    <m/>
    <n v="18396"/>
  </r>
  <r>
    <x v="0"/>
    <s v="Karambarara"/>
    <s v="Public"/>
    <x v="0"/>
    <s v="Kayonza"/>
    <s v="Mukarange"/>
    <s v="NNYL_1"/>
    <m/>
    <n v="17607.600000000002"/>
  </r>
  <r>
    <x v="0"/>
    <s v="Amizero"/>
    <s v="Public"/>
    <x v="0"/>
    <s v="Kayonza"/>
    <s v="Mukarange"/>
    <s v="NNYL_1"/>
    <m/>
    <n v="9198"/>
  </r>
  <r>
    <x v="0"/>
    <s v="Bwiza"/>
    <s v="Public"/>
    <x v="0"/>
    <s v="Kayonza"/>
    <s v="Mukarange"/>
    <s v="NNYL_1"/>
    <m/>
    <n v="8672.4"/>
  </r>
  <r>
    <x v="0"/>
    <s v="Kageyo"/>
    <s v="Public"/>
    <x v="0"/>
    <s v="Kayonza"/>
    <s v="Mwiri"/>
    <s v="NAKL_1"/>
    <s v="Akagera Lower Catchment"/>
    <n v="13140"/>
  </r>
  <r>
    <x v="0"/>
    <s v="Kageyo"/>
    <s v="Public"/>
    <x v="0"/>
    <s v="Kayonza"/>
    <s v="Mwiri"/>
    <s v="NAKL_1"/>
    <s v="Akagera Lower Catchment"/>
    <n v="5256"/>
  </r>
  <r>
    <x v="0"/>
    <s v="Kageyo"/>
    <s v="Public"/>
    <x v="0"/>
    <s v="Kayonza"/>
    <s v="Mwiri"/>
    <s v="NAKL_1"/>
    <s v="Akagera Lower Catchment"/>
    <n v="13140"/>
  </r>
  <r>
    <x v="0"/>
    <m/>
    <s v="Public"/>
    <x v="0"/>
    <s v="Kayonza"/>
    <s v="New Life School"/>
    <s v="NNYL_1"/>
    <m/>
    <n v="13140"/>
  </r>
  <r>
    <x v="0"/>
    <s v="Rugagi"/>
    <s v="Public"/>
    <x v="0"/>
    <s v="Kayonza"/>
    <s v="Nyamirama"/>
    <s v="NNYL_1"/>
    <m/>
    <n v="8672.4"/>
  </r>
  <r>
    <x v="0"/>
    <s v="Kabeza"/>
    <s v="Public"/>
    <x v="0"/>
    <s v="Kayonza"/>
    <s v="Nyamirama"/>
    <s v="NAKU_1"/>
    <m/>
    <n v="17607.600000000002"/>
  </r>
  <r>
    <x v="0"/>
    <s v="Gikaya"/>
    <s v="Public"/>
    <x v="0"/>
    <s v="Kayonza"/>
    <s v="Nyamirama"/>
    <s v="NNYL_1"/>
    <m/>
    <n v="13140"/>
  </r>
  <r>
    <x v="0"/>
    <s v="SOS children's Village"/>
    <s v="Public"/>
    <x v="0"/>
    <s v="Kayonza"/>
    <s v="Nyamirama"/>
    <s v="NAKU_1"/>
    <m/>
    <n v="13140"/>
  </r>
  <r>
    <x v="0"/>
    <s v="Rukara"/>
    <s v="Public"/>
    <x v="0"/>
    <s v="Kayonza"/>
    <s v="Rukara"/>
    <s v="NNYL_1"/>
    <m/>
    <n v="9198"/>
  </r>
  <r>
    <x v="0"/>
    <m/>
    <s v="Public"/>
    <x v="0"/>
    <s v="Kayonza"/>
    <s v="Rwinkwavu Hospital"/>
    <s v="NAKL_1"/>
    <s v="Akagera Lower Catchment"/>
    <n v="31536"/>
  </r>
  <r>
    <x v="0"/>
    <s v="Gashubi Village"/>
    <s v="Public"/>
    <x v="0"/>
    <s v="Kicukiro"/>
    <s v="Gahanga"/>
    <s v="NAKU_1"/>
    <m/>
    <n v="13140"/>
  </r>
  <r>
    <x v="0"/>
    <s v="Rugando I"/>
    <s v="Public"/>
    <x v="0"/>
    <s v="Kicukiro"/>
    <s v="Gahanga"/>
    <s v="NAKU_1"/>
    <m/>
    <n v="3153.6"/>
  </r>
  <r>
    <x v="0"/>
    <s v="Rukore Village"/>
    <s v="Public"/>
    <x v="0"/>
    <s v="Kicukiro"/>
    <s v="Gahanga"/>
    <s v="NAKU_1"/>
    <m/>
    <n v="3153.6"/>
  </r>
  <r>
    <x v="0"/>
    <s v="Nyabigugu Village"/>
    <s v="Public"/>
    <x v="0"/>
    <s v="Kicukiro"/>
    <s v="Gahanga"/>
    <s v="NAKU_1"/>
    <m/>
    <n v="5256"/>
  </r>
  <r>
    <x v="0"/>
    <s v="Nyacyonga"/>
    <s v="Public"/>
    <x v="0"/>
    <s v="Kicukiro"/>
    <s v="Kagarama"/>
    <s v="NAKU_1"/>
    <m/>
    <n v="21899.124000000003"/>
  </r>
  <r>
    <x v="0"/>
    <s v="Kariyeri site"/>
    <s v="Public"/>
    <x v="0"/>
    <s v="Kicukiro"/>
    <s v="Kanambe"/>
    <s v="NAKU_1"/>
    <m/>
    <n v="7884"/>
  </r>
  <r>
    <x v="0"/>
    <s v="Hope village"/>
    <s v="Public"/>
    <x v="0"/>
    <s v="Kicukiro"/>
    <s v="Kanombe"/>
    <s v="NAKU_1"/>
    <m/>
    <n v="6570"/>
  </r>
  <r>
    <x v="0"/>
    <s v="Nyarugugu Village"/>
    <s v="Public"/>
    <x v="0"/>
    <s v="Kicukiro"/>
    <s v="Kanombe"/>
    <s v="NAKU_1"/>
    <m/>
    <n v="6570"/>
  </r>
  <r>
    <x v="0"/>
    <s v="Rubirizi"/>
    <s v="Public"/>
    <x v="0"/>
    <s v="Kicukiro"/>
    <s v="Kanombe"/>
    <s v="NAKU_1"/>
    <m/>
    <n v="6570"/>
  </r>
  <r>
    <x v="0"/>
    <s v="Hope village"/>
    <s v="Public"/>
    <x v="0"/>
    <s v="Kicukiro"/>
    <s v="Kanombe"/>
    <s v="NAKU_1"/>
    <m/>
    <n v="31536"/>
  </r>
  <r>
    <x v="0"/>
    <s v="Isoko Village"/>
    <s v="Public"/>
    <x v="0"/>
    <s v="Kicukiro"/>
    <s v="Kicukiro"/>
    <s v="NNYL_1"/>
    <m/>
    <n v="11826"/>
  </r>
  <r>
    <x v="0"/>
    <s v="Umunyinya village"/>
    <s v="Public"/>
    <x v="0"/>
    <s v="Kicukiro"/>
    <s v="Kicukiro"/>
    <s v="NNYL_1"/>
    <m/>
    <n v="4730.4000000000005"/>
  </r>
  <r>
    <x v="0"/>
    <s v="star s"/>
    <s v="Public"/>
    <x v="0"/>
    <s v="Kicukiro"/>
    <s v="Masaka"/>
    <s v="NAKU_1"/>
    <m/>
    <n v="3153.6"/>
  </r>
  <r>
    <x v="0"/>
    <s v="HopeVillage"/>
    <s v="Public"/>
    <x v="0"/>
    <s v="Kicukiro"/>
    <s v="Masaka"/>
    <s v="NAKU_1"/>
    <m/>
    <n v="5256"/>
  </r>
  <r>
    <x v="0"/>
    <m/>
    <s v="Public"/>
    <x v="0"/>
    <s v="Kicukiro"/>
    <s v="NyaruguguII Village"/>
    <s v="NAKU_1"/>
    <m/>
    <n v="17607.600000000002"/>
  </r>
  <r>
    <x v="0"/>
    <s v="Kavumu"/>
    <s v="Public"/>
    <x v="0"/>
    <s v="Kicukiro"/>
    <s v="Nyarugunga"/>
    <s v="NAKU_1"/>
    <m/>
    <n v="21812.400000000001"/>
  </r>
  <r>
    <x v="0"/>
    <s v="Muhero (muhumba)"/>
    <s v="Public"/>
    <x v="0"/>
    <s v="Kirehe"/>
    <s v="Gahara"/>
    <s v="NAKU_2"/>
    <m/>
    <n v="8760.0000000000018"/>
  </r>
  <r>
    <x v="0"/>
    <s v="Kiremera"/>
    <s v="Public"/>
    <x v="0"/>
    <s v="Kirehe"/>
    <s v="Kigarama"/>
    <s v="NAKU_2"/>
    <m/>
    <n v="34952.400000000001"/>
  </r>
  <r>
    <x v="0"/>
    <s v="Rugarama"/>
    <s v="Public"/>
    <x v="0"/>
    <s v="Kirehe"/>
    <s v="Kigina"/>
    <s v="NAKU_2"/>
    <s v="Rweru Sub-Catchment"/>
    <n v="17607.600000000002"/>
  </r>
  <r>
    <x v="0"/>
    <s v="Nyabikokora"/>
    <s v="Public"/>
    <x v="0"/>
    <s v="Kirehe"/>
    <s v="Kirehe"/>
    <s v="NAKU_2"/>
    <m/>
    <n v="8672.4"/>
  </r>
  <r>
    <x v="0"/>
    <s v="Nyamugari"/>
    <s v="Public"/>
    <x v="0"/>
    <s v="Kirehe"/>
    <s v="Nyamugari"/>
    <s v="NAKL_1"/>
    <s v="Akagera Lower Catchment"/>
    <n v="578.16"/>
  </r>
  <r>
    <x v="0"/>
    <s v="Kiyanzi"/>
    <s v="Public"/>
    <x v="0"/>
    <s v="Kirehe"/>
    <s v="Nyamugari"/>
    <s v="NAKL_1"/>
    <s v="Akagera Lower Catchment"/>
    <n v="551.88"/>
  </r>
  <r>
    <x v="0"/>
    <s v="Sahara"/>
    <s v="Public"/>
    <x v="0"/>
    <s v="Musanze"/>
    <s v="Busogo"/>
    <s v="NMUK_2"/>
    <m/>
    <n v="183.96"/>
  </r>
  <r>
    <x v="0"/>
    <s v="Sahara"/>
    <s v="Public"/>
    <x v="0"/>
    <s v="Musanze"/>
    <s v="Busogo"/>
    <s v="NMUK_2"/>
    <m/>
    <n v="604.44000000000005"/>
  </r>
  <r>
    <x v="0"/>
    <s v="Gisesero"/>
    <s v="Public"/>
    <x v="0"/>
    <s v="Musanze"/>
    <s v="Busogo"/>
    <s v="NMUK_2"/>
    <m/>
    <n v="551.88"/>
  </r>
  <r>
    <x v="0"/>
    <s v="Gakoro"/>
    <s v="Public"/>
    <x v="0"/>
    <s v="Musanze"/>
    <s v="Gacaca"/>
    <s v="NMUK_1"/>
    <m/>
    <n v="446.76"/>
  </r>
  <r>
    <x v="0"/>
    <s v="Gakoro"/>
    <s v="Public"/>
    <x v="0"/>
    <s v="Musanze"/>
    <s v="Gacaca"/>
    <s v="NMUK_1"/>
    <m/>
    <n v="394.2"/>
  </r>
  <r>
    <x v="0"/>
    <s v="Karwasa"/>
    <s v="Public"/>
    <x v="0"/>
    <s v="Musanze"/>
    <s v="Gacaca"/>
    <s v="NMUK_1"/>
    <m/>
    <n v="341.64"/>
  </r>
  <r>
    <x v="0"/>
    <s v="Karwasa"/>
    <s v="Public"/>
    <x v="0"/>
    <s v="Musanze"/>
    <s v="Gacaca"/>
    <s v="NMUK_1"/>
    <m/>
    <n v="341.64"/>
  </r>
  <r>
    <x v="0"/>
    <s v="Gakoro"/>
    <s v="Public"/>
    <x v="0"/>
    <s v="Musanze"/>
    <s v="Gacaca"/>
    <s v="NMUK_1"/>
    <m/>
    <n v="315.36"/>
  </r>
  <r>
    <x v="0"/>
    <s v="Gakoro"/>
    <s v="Public"/>
    <x v="0"/>
    <s v="Musanze"/>
    <s v="Gacaca"/>
    <s v="NMUK_1"/>
    <m/>
    <n v="289.08"/>
  </r>
  <r>
    <x v="0"/>
    <s v="Karwasa"/>
    <s v="Public"/>
    <x v="0"/>
    <s v="Musanze"/>
    <s v="Gacaca"/>
    <s v="NMUK_1"/>
    <m/>
    <n v="210.24"/>
  </r>
  <r>
    <x v="0"/>
    <s v="Gakoro"/>
    <s v="Public"/>
    <x v="0"/>
    <s v="Musanze"/>
    <s v="Gacaca"/>
    <s v="NMUK_1"/>
    <m/>
    <n v="210.24"/>
  </r>
  <r>
    <x v="0"/>
    <s v="Karwasa"/>
    <s v="Public"/>
    <x v="0"/>
    <s v="Musanze"/>
    <s v="Gacaca"/>
    <s v="NMUK_1"/>
    <m/>
    <n v="210.24"/>
  </r>
  <r>
    <x v="0"/>
    <s v="Gakoro"/>
    <s v="Public"/>
    <x v="0"/>
    <s v="Musanze"/>
    <s v="Gacaca"/>
    <s v="NMUK_1"/>
    <m/>
    <n v="525.6"/>
  </r>
  <r>
    <x v="0"/>
    <s v="Rubindi"/>
    <s v="Public"/>
    <x v="0"/>
    <s v="Musanze"/>
    <s v="Gataraga"/>
    <s v="NMUK_2"/>
    <m/>
    <n v="394.2"/>
  </r>
  <r>
    <x v="0"/>
    <s v="Cyabararika"/>
    <s v="Public"/>
    <x v="0"/>
    <s v="Musanze"/>
    <s v="Muhoza"/>
    <s v="NMUK_2"/>
    <m/>
    <n v="367.92"/>
  </r>
  <r>
    <x v="0"/>
    <s v="Kigombe"/>
    <s v="Public"/>
    <x v="0"/>
    <s v="Musanze"/>
    <s v="Muhoza"/>
    <s v="NMUK_2"/>
    <m/>
    <n v="315.36"/>
  </r>
  <r>
    <x v="0"/>
    <s v="Cyivugiza"/>
    <s v="Public"/>
    <x v="0"/>
    <s v="Musanze"/>
    <s v="Muko"/>
    <s v="NMUK_2"/>
    <m/>
    <n v="473.04"/>
  </r>
  <r>
    <x v="0"/>
    <s v="Songa"/>
    <s v="Public"/>
    <x v="0"/>
    <s v="Musanze"/>
    <s v="Muko"/>
    <s v="NMUK_2"/>
    <m/>
    <n v="394.2"/>
  </r>
  <r>
    <x v="0"/>
    <s v="Bikara"/>
    <s v="Public"/>
    <x v="0"/>
    <s v="Musanze"/>
    <s v="Nkotsi"/>
    <s v="NMUK_2"/>
    <m/>
    <n v="394.2"/>
  </r>
  <r>
    <x v="0"/>
    <s v="Bikara"/>
    <s v="Public"/>
    <x v="0"/>
    <s v="Musanze"/>
    <s v="Nkotsi"/>
    <s v="NMUK_2"/>
    <m/>
    <n v="289.08"/>
  </r>
  <r>
    <x v="0"/>
    <s v="Bikara"/>
    <s v="Public"/>
    <x v="0"/>
    <s v="Musanze"/>
    <s v="Nkotsi"/>
    <s v="NMUK_2"/>
    <m/>
    <n v="105.12"/>
  </r>
  <r>
    <x v="0"/>
    <s v="Bikara"/>
    <s v="Public"/>
    <x v="0"/>
    <s v="Musanze"/>
    <s v="Nkotsi"/>
    <s v="NMUK_2"/>
    <m/>
    <n v="105.12"/>
  </r>
  <r>
    <x v="0"/>
    <s v="Mubago"/>
    <s v="Public"/>
    <x v="0"/>
    <s v="Musanze"/>
    <s v="Nkotsi"/>
    <s v="NMUK_2"/>
    <m/>
    <n v="105.12"/>
  </r>
  <r>
    <x v="0"/>
    <s v="Bikara"/>
    <s v="Public"/>
    <x v="0"/>
    <s v="Musanze"/>
    <s v="Nkotsi"/>
    <s v="NMUK_2"/>
    <m/>
    <n v="39420"/>
  </r>
  <r>
    <x v="0"/>
    <s v="Mubago"/>
    <s v="Public"/>
    <x v="0"/>
    <s v="Musanze"/>
    <s v="Nkotsi"/>
    <s v="NMUK_2"/>
    <m/>
    <n v="446.76"/>
  </r>
  <r>
    <x v="0"/>
    <s v="Musezero"/>
    <s v="Public"/>
    <x v="0"/>
    <s v="Musanze"/>
    <s v="Rwaza"/>
    <s v="NMUK_2"/>
    <m/>
    <n v="289.08"/>
  </r>
  <r>
    <x v="0"/>
    <s v="Nyarubuye"/>
    <s v="Public"/>
    <x v="0"/>
    <s v="Musanze"/>
    <s v="Rwaza"/>
    <s v="NMUK_2"/>
    <m/>
    <n v="157.68"/>
  </r>
  <r>
    <x v="0"/>
    <s v="Nyarubuye"/>
    <s v="Public"/>
    <x v="0"/>
    <s v="Musanze"/>
    <s v="Rwaza"/>
    <s v="NMUK_2"/>
    <m/>
    <n v="4467.6000000000004"/>
  </r>
  <r>
    <x v="0"/>
    <m/>
    <s v="Public"/>
    <x v="0"/>
    <s v="Musanze"/>
    <s v="Sunrise School"/>
    <s v="NMUK_2"/>
    <m/>
    <n v="4467.6000000000004"/>
  </r>
  <r>
    <x v="0"/>
    <m/>
    <s v="Public"/>
    <x v="0"/>
    <s v="Ngoma"/>
    <s v="Gituza"/>
    <s v="NAKU_1"/>
    <m/>
    <n v="21812.400000000001"/>
  </r>
  <r>
    <x v="0"/>
    <m/>
    <s v="Public"/>
    <x v="0"/>
    <s v="Ngoma"/>
    <s v="Gituza 2"/>
    <s v="NAKU_1"/>
    <m/>
    <n v="17607.600000000002"/>
  </r>
  <r>
    <x v="0"/>
    <s v="Rubimba"/>
    <s v="Public"/>
    <x v="0"/>
    <s v="Ngoma"/>
    <s v="Kibungo"/>
    <s v="NAKL_1"/>
    <s v="Akagera Lower Catchment"/>
    <n v="13140"/>
  </r>
  <r>
    <x v="0"/>
    <s v="Gasoro"/>
    <s v="Public"/>
    <x v="0"/>
    <s v="Ngoma"/>
    <s v="Kibungo"/>
    <s v="NAKL_1"/>
    <s v="Akagera Lower Catchment"/>
    <n v="8672.4"/>
  </r>
  <r>
    <x v="0"/>
    <s v="Nyagatovu"/>
    <s v="Public"/>
    <x v="0"/>
    <s v="Ngoma"/>
    <s v="Kibungo"/>
    <s v="NAKU_2"/>
    <m/>
    <n v="8672.4"/>
  </r>
  <r>
    <x v="0"/>
    <s v="Rubona"/>
    <s v="Public"/>
    <x v="0"/>
    <s v="Ngoma"/>
    <s v="Kibungo"/>
    <s v="NAKL_1"/>
    <s v="Akagera Lower Catchment"/>
    <n v="17607.600000000002"/>
  </r>
  <r>
    <x v="0"/>
    <s v="Rwamihoro"/>
    <s v="Public"/>
    <x v="0"/>
    <s v="Ngoma"/>
    <s v="Kibungo"/>
    <s v="NAKL_1"/>
    <s v="Akagera Lower Catchment"/>
    <n v="13140"/>
  </r>
  <r>
    <x v="0"/>
    <s v="Kavumu"/>
    <s v="Public"/>
    <x v="0"/>
    <s v="Ngoma"/>
    <s v="Murama"/>
    <s v="NAKU_2"/>
    <m/>
    <n v="13140"/>
  </r>
  <r>
    <x v="0"/>
    <s v="Kabahushi"/>
    <s v="Public"/>
    <x v="0"/>
    <s v="Ngoma"/>
    <s v="Murama"/>
    <s v="NAKU_2"/>
    <m/>
    <n v="21812.400000000001"/>
  </r>
  <r>
    <x v="0"/>
    <s v="Muguruka"/>
    <s v="Public"/>
    <x v="0"/>
    <s v="Ngoma"/>
    <s v="Murama"/>
    <s v="NAKU_2"/>
    <m/>
    <n v="4730.4000000000005"/>
  </r>
  <r>
    <x v="0"/>
    <s v="Nyakagezi"/>
    <s v="Public"/>
    <x v="0"/>
    <s v="Ngoma"/>
    <s v="Mvumba"/>
    <s v="NAKU_2"/>
    <m/>
    <n v="21812.400000000001"/>
  </r>
  <r>
    <x v="0"/>
    <m/>
    <s v="Public"/>
    <x v="0"/>
    <s v="Ngoma"/>
    <s v="Nyakagezi"/>
    <s v="NAKU_2"/>
    <m/>
    <n v="17607.600000000002"/>
  </r>
  <r>
    <x v="0"/>
    <s v="Cyamahehe"/>
    <s v="Public"/>
    <x v="0"/>
    <s v="Ngoma"/>
    <s v="Rukira"/>
    <s v="NAKU_2"/>
    <m/>
    <n v="13140"/>
  </r>
  <r>
    <x v="0"/>
    <s v="Kagarama"/>
    <s v="Public"/>
    <x v="0"/>
    <s v="Ngoma"/>
    <s v="Rukira"/>
    <s v="NAKU_2"/>
    <m/>
    <n v="8672.4"/>
  </r>
  <r>
    <x v="0"/>
    <s v="Isangano"/>
    <s v="Public"/>
    <x v="0"/>
    <s v="Ngoma"/>
    <s v="Rukira"/>
    <s v="NAKU_2"/>
    <m/>
    <n v="8672.4"/>
  </r>
  <r>
    <x v="0"/>
    <s v="Korandebe"/>
    <s v="Public"/>
    <x v="0"/>
    <s v="Ngoma"/>
    <s v="Rukira"/>
    <s v="NAKU_2"/>
    <m/>
    <n v="4467.6000000000004"/>
  </r>
  <r>
    <x v="0"/>
    <s v="Nyamabuye"/>
    <s v="Public"/>
    <x v="0"/>
    <s v="Ngoma"/>
    <s v="Rukira"/>
    <s v="NAKU_2"/>
    <m/>
    <n v="3942"/>
  </r>
  <r>
    <x v="0"/>
    <s v="Terimbere"/>
    <s v="Public"/>
    <x v="0"/>
    <s v="Ngoma"/>
    <s v="Rukira"/>
    <s v="NAKU_2"/>
    <m/>
    <n v="262.8"/>
  </r>
  <r>
    <x v="0"/>
    <m/>
    <s v="Public"/>
    <x v="0"/>
    <s v="Ngoma"/>
    <s v="Rwimpongo Village II"/>
    <s v="NAKU_1"/>
    <m/>
    <n v="394.2"/>
  </r>
  <r>
    <x v="0"/>
    <s v="bukinanyena"/>
    <s v="Public"/>
    <x v="0"/>
    <s v="Nyabihu"/>
    <s v="Jenda"/>
    <s v="NMUK_2"/>
    <m/>
    <n v="315.36"/>
  </r>
  <r>
    <x v="0"/>
    <s v="Gasura"/>
    <s v="Public"/>
    <x v="0"/>
    <s v="Nyabihu"/>
    <s v="Jomba"/>
    <s v="NMUK_2"/>
    <m/>
    <n v="262.8"/>
  </r>
  <r>
    <x v="0"/>
    <s v="Nyamitanzi"/>
    <s v="Public"/>
    <x v="0"/>
    <s v="Nyabihu"/>
    <s v="Jomba"/>
    <s v="NMUK_2"/>
    <m/>
    <n v="131.4"/>
  </r>
  <r>
    <x v="0"/>
    <s v="Nyamitanzi"/>
    <s v="Public"/>
    <x v="0"/>
    <s v="Nyabihu"/>
    <s v="Jomba"/>
    <s v="NMUK_2"/>
    <m/>
    <n v="446.76"/>
  </r>
  <r>
    <x v="0"/>
    <s v="Gasura"/>
    <s v="Public"/>
    <x v="0"/>
    <s v="Nyabihu"/>
    <s v="Jomba"/>
    <s v="NMUK_2"/>
    <m/>
    <n v="78.84"/>
  </r>
  <r>
    <x v="0"/>
    <s v="busoro"/>
    <s v="Public"/>
    <x v="0"/>
    <s v="Nyabihu"/>
    <s v="karago"/>
    <s v="NMUK_2"/>
    <m/>
    <n v="341.64"/>
  </r>
  <r>
    <x v="0"/>
    <s v="Kadahenda"/>
    <s v="Public"/>
    <x v="0"/>
    <s v="Nyabihu"/>
    <s v="Karago"/>
    <s v="NMUK_2"/>
    <m/>
    <n v="604.44000000000005"/>
  </r>
  <r>
    <x v="0"/>
    <s v="Mwiyanike"/>
    <s v="Public"/>
    <x v="0"/>
    <s v="Nyabihu"/>
    <s v="Mulinga"/>
    <s v="NMUK_2"/>
    <m/>
    <n v="394.2"/>
  </r>
  <r>
    <x v="0"/>
    <s v="Nyundo"/>
    <s v="Public"/>
    <x v="0"/>
    <s v="Nyabihu"/>
    <s v="Rambura"/>
    <s v="NMUK_2"/>
    <m/>
    <n v="289.08"/>
  </r>
  <r>
    <x v="0"/>
    <s v="Birembo"/>
    <s v="Public"/>
    <x v="0"/>
    <s v="Nyabihu"/>
    <s v="Rambura"/>
    <s v="NMUK_2"/>
    <m/>
    <n v="289.08"/>
  </r>
  <r>
    <x v="0"/>
    <s v="Birembo"/>
    <s v="Public"/>
    <x v="0"/>
    <s v="Nyabihu"/>
    <s v="Rambura"/>
    <s v="NMUK_2"/>
    <m/>
    <n v="394.2"/>
  </r>
  <r>
    <x v="0"/>
    <s v="Nyundo"/>
    <s v="Public"/>
    <x v="0"/>
    <s v="Nyabihu"/>
    <s v="Rambura"/>
    <s v="NMUK_2"/>
    <m/>
    <n v="394.2"/>
  </r>
  <r>
    <x v="0"/>
    <s v="Kanyamitana"/>
    <s v="Public"/>
    <x v="0"/>
    <s v="Nyabihu"/>
    <s v="shyira"/>
    <s v="NMUK_2"/>
    <m/>
    <n v="341.64"/>
  </r>
  <r>
    <x v="0"/>
    <s v="Kanyamitana"/>
    <s v="Public"/>
    <x v="0"/>
    <s v="Nyabihu"/>
    <s v="shyira"/>
    <s v="NMUK_2"/>
    <m/>
    <n v="315.36"/>
  </r>
  <r>
    <x v="0"/>
    <s v="Kanyamitana"/>
    <s v="Public"/>
    <x v="0"/>
    <s v="Nyabihu"/>
    <s v="shyira"/>
    <s v="NMUK_2"/>
    <m/>
    <n v="289.08"/>
  </r>
  <r>
    <x v="0"/>
    <s v="Kanyamitana"/>
    <s v="Public"/>
    <x v="0"/>
    <s v="Nyabihu"/>
    <s v="shyira"/>
    <s v="NMUK_2"/>
    <m/>
    <n v="4204.8"/>
  </r>
  <r>
    <x v="0"/>
    <s v="Kanyamitana"/>
    <s v="Public"/>
    <x v="0"/>
    <s v="Nyabihu"/>
    <s v="shyira"/>
    <s v="NMUK_2"/>
    <m/>
    <n v="13140"/>
  </r>
  <r>
    <x v="0"/>
    <s v="Kamate"/>
    <s v="Public"/>
    <x v="0"/>
    <s v="Nyagatare"/>
    <s v="Karangazi"/>
    <s v="NAKL_1"/>
    <s v="Akagera Lower Catchment"/>
    <n v="8672.4"/>
  </r>
  <r>
    <x v="0"/>
    <s v="Bushoga"/>
    <s v="Public"/>
    <x v="0"/>
    <s v="Nyagatare"/>
    <s v="Nyagatare"/>
    <s v="NAKL_1"/>
    <s v="Akagera Lower Catchment"/>
    <n v="4204.8"/>
  </r>
  <r>
    <x v="0"/>
    <s v="Nkerenke"/>
    <s v="Public"/>
    <x v="0"/>
    <s v="Nyagatare"/>
    <s v="Nyagatare"/>
    <s v="NAKL_1"/>
    <s v="Akagera Lower Catchment"/>
    <n v="7884"/>
  </r>
  <r>
    <x v="0"/>
    <s v="Ryabega"/>
    <s v="Public"/>
    <x v="0"/>
    <s v="Nyagatare"/>
    <s v="Nyagatare"/>
    <s v="NAKL_1"/>
    <s v="Akagera Lower Catchment"/>
    <n v="5256"/>
  </r>
  <r>
    <x v="0"/>
    <s v="Rukomo II"/>
    <s v="Public"/>
    <x v="0"/>
    <s v="Nyagatare"/>
    <s v="Rukomo"/>
    <s v="NMUV_2"/>
    <m/>
    <n v="2680.56"/>
  </r>
  <r>
    <x v="0"/>
    <m/>
    <s v="Public"/>
    <x v="0"/>
    <s v="Nyanza"/>
    <s v="Kavumu"/>
    <s v="NAKN_2"/>
    <m/>
    <n v="6832.8"/>
  </r>
  <r>
    <x v="0"/>
    <m/>
    <s v="Public"/>
    <x v="0"/>
    <s v="Nyanza"/>
    <s v="Kivumu Anglican Church"/>
    <s v="NNYU_2"/>
    <m/>
    <n v="19710"/>
  </r>
  <r>
    <x v="0"/>
    <s v="Gisore VillageII"/>
    <s v="Public"/>
    <x v="0"/>
    <s v="Nyanza"/>
    <s v="Gahombo"/>
    <s v="NNYU_1"/>
    <s v="Mbirurume sub catchment"/>
    <n v="6570"/>
  </r>
  <r>
    <x v="0"/>
    <m/>
    <s v="Public"/>
    <x v="0"/>
    <s v="Nyanza "/>
    <s v="Kaziba"/>
    <s v="NNYU_1"/>
    <s v="Mbirurume sub catchment"/>
    <n v="19710"/>
  </r>
  <r>
    <x v="0"/>
    <m/>
    <s v="Public"/>
    <x v="0"/>
    <s v="Nyanza"/>
    <s v=" Kibilizi"/>
    <s v="NAKN_2"/>
    <s v="Gishara/Mukunguri sub catchment"/>
    <n v="19710"/>
  </r>
  <r>
    <x v="0"/>
    <s v="Mataba cell"/>
    <s v="Public"/>
    <x v="0"/>
    <s v="Nyarugenge"/>
    <s v="Mageragere"/>
    <s v="NAKU_1"/>
    <m/>
    <n v="4730.4000000000005"/>
  </r>
  <r>
    <x v="0"/>
    <s v="Nyabirenzi"/>
    <s v="Public"/>
    <x v="0"/>
    <s v="Nyarugenge"/>
    <s v="Mageragere"/>
    <s v="NAKU_1"/>
    <m/>
    <n v="9198"/>
  </r>
  <r>
    <x v="0"/>
    <s v="Ntungamo"/>
    <s v="Public"/>
    <x v="0"/>
    <s v="Nyarugenge"/>
    <s v="Mageragere"/>
    <s v="NAKU_1"/>
    <m/>
    <n v="11826"/>
  </r>
  <r>
    <x v="0"/>
    <s v="Runzenze"/>
    <s v="Public"/>
    <x v="0"/>
    <s v="Nyarugenge"/>
    <s v="Mageragere"/>
    <s v="NAKU_1"/>
    <m/>
    <n v="9198"/>
  </r>
  <r>
    <x v="0"/>
    <s v="Mataba"/>
    <s v="Public"/>
    <x v="0"/>
    <s v="Nyarugenge"/>
    <s v="Mageragere"/>
    <s v="NAKU_1"/>
    <m/>
    <n v="9198"/>
  </r>
  <r>
    <x v="0"/>
    <s v="Nyarurenzi cell"/>
    <s v="Public"/>
    <x v="0"/>
    <s v="Nyarugenge"/>
    <s v="Mageragere"/>
    <s v="NAKU_1"/>
    <m/>
    <n v="7884"/>
  </r>
  <r>
    <x v="0"/>
    <s v="Kavumu"/>
    <s v="Public"/>
    <x v="0"/>
    <s v="Nyarugenge"/>
    <s v="Mageragere"/>
    <s v="NNYL_2"/>
    <m/>
    <n v="7884"/>
  </r>
  <r>
    <x v="0"/>
    <s v="Mataba cell"/>
    <s v="Public"/>
    <x v="0"/>
    <s v="Nyarugenge"/>
    <s v="Mageragere"/>
    <s v="NAKU_1"/>
    <m/>
    <n v="7884"/>
  </r>
  <r>
    <x v="0"/>
    <s v="Nunga"/>
    <s v="Public"/>
    <x v="0"/>
    <s v="Nyarugenge"/>
    <s v="Mageragere"/>
    <s v="NAKU_1"/>
    <m/>
    <n v="5781.6"/>
  </r>
  <r>
    <x v="0"/>
    <s v="Mataba"/>
    <s v="Public"/>
    <x v="0"/>
    <s v="Nyarugenge"/>
    <s v="Mageragere"/>
    <s v="NAKU_1"/>
    <m/>
    <n v="5256"/>
  </r>
  <r>
    <x v="0"/>
    <s v="Mataba cell"/>
    <s v="Public"/>
    <x v="0"/>
    <s v="Nyarugenge"/>
    <s v="Mageragere"/>
    <s v="NAKU_1"/>
    <m/>
    <n v="3942"/>
  </r>
  <r>
    <x v="0"/>
    <s v="Runzenze"/>
    <s v="Public"/>
    <x v="0"/>
    <s v="Nyarugenge"/>
    <s v="Mataba cell"/>
    <s v="NAKU_1"/>
    <m/>
    <n v="9198"/>
  </r>
  <r>
    <x v="0"/>
    <s v="Mataba"/>
    <s v="Public"/>
    <x v="0"/>
    <s v="Nyarugenge"/>
    <s v="Mgeragere"/>
    <s v="NAKU_1"/>
    <m/>
    <n v="5256"/>
  </r>
  <r>
    <x v="0"/>
    <s v="Mataba"/>
    <s v="Public"/>
    <x v="0"/>
    <s v="Nyarugenge"/>
    <s v="Nyamirambo"/>
    <s v="NNYL_2"/>
    <m/>
    <n v="26280"/>
  </r>
  <r>
    <x v="0"/>
    <s v="Nyarubande village"/>
    <s v="Public"/>
    <x v="0"/>
    <s v="Nyarugenge"/>
    <s v="Rugarika"/>
    <s v="NNYL_2"/>
    <m/>
    <n v="7884"/>
  </r>
  <r>
    <x v="0"/>
    <s v="Agateko"/>
    <s v="Public"/>
    <x v="0"/>
    <s v="Nyaruguru"/>
    <s v="Kibeho"/>
    <s v="NAKN_1"/>
    <m/>
    <n v="30747.600000000002"/>
  </r>
  <r>
    <x v="0"/>
    <s v="kamuhoza"/>
    <s v="Public"/>
    <x v="0"/>
    <s v="Rubavu"/>
    <s v="Kanama"/>
    <s v="CKIV_1"/>
    <m/>
    <n v="262.8"/>
  </r>
  <r>
    <x v="0"/>
    <s v="kamuhoza"/>
    <s v="Public"/>
    <x v="0"/>
    <s v="Rubavu"/>
    <s v="Kanama"/>
    <s v="CKIV_1"/>
    <m/>
    <n v="183.96"/>
  </r>
  <r>
    <x v="0"/>
    <s v="Rubona"/>
    <s v="Public"/>
    <x v="0"/>
    <s v="Rubavu"/>
    <s v="Nyamyumba"/>
    <s v="CKIV_2"/>
    <m/>
    <n v="551.88"/>
  </r>
  <r>
    <x v="0"/>
    <s v="kiraga"/>
    <s v="Public"/>
    <x v="0"/>
    <s v="Rubavu"/>
    <s v="Nyamyumba"/>
    <s v="CKIV_2"/>
    <m/>
    <n v="446.76"/>
  </r>
  <r>
    <x v="0"/>
    <s v="Kiraga"/>
    <s v="Public"/>
    <x v="0"/>
    <s v="Rubavu"/>
    <s v="Nyamyumba"/>
    <s v="CKIV_2"/>
    <m/>
    <n v="394.2"/>
  </r>
  <r>
    <x v="0"/>
    <s v="kiraga"/>
    <s v="Public"/>
    <x v="0"/>
    <s v="Rubavu"/>
    <s v="Nyamyumba"/>
    <s v="CKIV_2"/>
    <m/>
    <n v="394.2"/>
  </r>
  <r>
    <x v="0"/>
    <s v="Rubona"/>
    <s v="Public"/>
    <x v="0"/>
    <s v="Rubavu"/>
    <s v="Nyamyumba"/>
    <s v="CKIV_2"/>
    <m/>
    <n v="394.2"/>
  </r>
  <r>
    <x v="0"/>
    <s v="Kiraga"/>
    <s v="Public"/>
    <x v="0"/>
    <s v="Rubavu"/>
    <s v="Nyamyumba"/>
    <s v="CKIV_2"/>
    <m/>
    <n v="289.08"/>
  </r>
  <r>
    <x v="0"/>
    <s v="Rubona"/>
    <s v="Public"/>
    <x v="0"/>
    <s v="Rubavu"/>
    <s v="Nyamyumba"/>
    <s v="CKIV_2"/>
    <m/>
    <n v="78.84"/>
  </r>
  <r>
    <x v="0"/>
    <s v="Nyundo"/>
    <s v="Public"/>
    <x v="0"/>
    <s v="Rubavu"/>
    <s v="Nyundo"/>
    <s v="CKIV_1"/>
    <m/>
    <n v="420.48"/>
  </r>
  <r>
    <x v="0"/>
    <s v="Ndengera Foundation"/>
    <s v="Public"/>
    <x v="0"/>
    <s v="Rubavu"/>
    <s v="Rubavu"/>
    <s v="CKIV_1"/>
    <m/>
    <n v="21812.400000000001"/>
  </r>
  <r>
    <x v="0"/>
    <s v="Gisa"/>
    <s v="Public"/>
    <x v="0"/>
    <s v="Rubavu"/>
    <s v="Rugerero"/>
    <s v="CKIV_1"/>
    <m/>
    <n v="131.4"/>
  </r>
  <r>
    <x v="0"/>
    <s v="Kabirizi"/>
    <s v="Public"/>
    <x v="0"/>
    <s v="Rubavu"/>
    <s v="Rugerero"/>
    <s v="CKIV_1"/>
    <m/>
    <n v="131.4"/>
  </r>
  <r>
    <x v="0"/>
    <s v="Rwaza"/>
    <s v="Public"/>
    <x v="0"/>
    <s v="Rubavu"/>
    <s v="Rugerero"/>
    <s v="CKIV_1"/>
    <m/>
    <n v="78.84"/>
  </r>
  <r>
    <x v="0"/>
    <m/>
    <s v="Public"/>
    <x v="0"/>
    <s v="Ruhango"/>
    <s v="Biraro"/>
    <s v="NAKN_2"/>
    <m/>
    <n v="9460.8000000000011"/>
  </r>
  <r>
    <x v="0"/>
    <m/>
    <s v="Public"/>
    <x v="0"/>
    <s v="Ruhango"/>
    <s v="Bisambu"/>
    <s v="NAKN_2"/>
    <m/>
    <n v="3416.4"/>
  </r>
  <r>
    <x v="0"/>
    <m/>
    <s v="Public"/>
    <x v="0"/>
    <s v="Ruhango"/>
    <s v="Bunyeshywa"/>
    <s v="NAKN_2"/>
    <m/>
    <n v="5256"/>
  </r>
  <r>
    <x v="0"/>
    <m/>
    <s v="Public"/>
    <x v="0"/>
    <s v="Ruhango"/>
    <s v="Bunyogombe"/>
    <s v="NNYU_3"/>
    <m/>
    <n v="5256"/>
  </r>
  <r>
    <x v="0"/>
    <m/>
    <s v="Public"/>
    <x v="0"/>
    <s v="Ruhango"/>
    <s v="Buremera"/>
    <s v="NAKN_2"/>
    <m/>
    <n v="4467.6000000000004"/>
  </r>
  <r>
    <x v="0"/>
    <m/>
    <s v="Public"/>
    <x v="0"/>
    <s v="Ruhango"/>
    <s v="Buremera"/>
    <s v="NAKN_2"/>
    <m/>
    <n v="3942"/>
  </r>
  <r>
    <x v="0"/>
    <m/>
    <s v="Public"/>
    <x v="0"/>
    <s v="Ruhango"/>
    <s v="Buremera II"/>
    <s v="NAKN_2"/>
    <m/>
    <n v="4817.1239999999989"/>
  </r>
  <r>
    <x v="0"/>
    <m/>
    <s v="Public"/>
    <x v="0"/>
    <s v="Ruhango"/>
    <s v="Bureshi"/>
    <s v="NAKN_2"/>
    <m/>
    <n v="7884"/>
  </r>
  <r>
    <x v="0"/>
    <m/>
    <s v="Public"/>
    <x v="0"/>
    <s v="Ruhango"/>
    <s v="Burima"/>
    <s v="NAKN_2"/>
    <m/>
    <n v="7358.4000000000005"/>
  </r>
  <r>
    <x v="0"/>
    <m/>
    <s v="Public"/>
    <x v="0"/>
    <s v="Ruhango"/>
    <s v="Busego"/>
    <s v="NNYU_3"/>
    <m/>
    <n v="0"/>
  </r>
  <r>
    <x v="0"/>
    <m/>
    <s v="Public"/>
    <x v="0"/>
    <s v="Ruhango"/>
    <s v="Butare I"/>
    <s v="NAKN_2"/>
    <m/>
    <n v="3942"/>
  </r>
  <r>
    <x v="0"/>
    <m/>
    <s v="Public"/>
    <x v="0"/>
    <s v="Ruhango"/>
    <s v="Buterana"/>
    <s v="NAKN_2"/>
    <m/>
    <n v="2365.2000000000003"/>
  </r>
  <r>
    <x v="0"/>
    <m/>
    <s v="Public"/>
    <x v="0"/>
    <s v="Ruhango"/>
    <s v="Bwangacumu"/>
    <s v="NNYU_3"/>
    <m/>
    <n v="3153.6"/>
  </r>
  <r>
    <x v="0"/>
    <m/>
    <s v="Public"/>
    <x v="0"/>
    <s v="Ruhango"/>
    <s v="Bwangacumu II"/>
    <s v="NNYU_3"/>
    <m/>
    <n v="10512"/>
  </r>
  <r>
    <x v="0"/>
    <m/>
    <s v="Public"/>
    <x v="0"/>
    <s v="Ruhango"/>
    <s v="Bwangacumu III"/>
    <s v="NNYU_3"/>
    <m/>
    <n v="5256"/>
  </r>
  <r>
    <x v="0"/>
    <s v="Karambo II village"/>
    <s v="Public"/>
    <x v="0"/>
    <s v="Ruhango"/>
    <s v="Bweramana"/>
    <s v="NNYU_3"/>
    <m/>
    <n v="17607.600000000002"/>
  </r>
  <r>
    <x v="0"/>
    <s v="ESAPAG socondary School"/>
    <s v="Public"/>
    <x v="0"/>
    <s v="Ruhango"/>
    <s v="Bweramana"/>
    <s v="NNYU_3"/>
    <m/>
    <n v="17607.600000000002"/>
  </r>
  <r>
    <x v="0"/>
    <s v="ESAPAG socondary School II"/>
    <s v="Public"/>
    <x v="0"/>
    <s v="Ruhango"/>
    <s v="Bweramana"/>
    <s v="NNYU_3"/>
    <m/>
    <n v="8672.4"/>
  </r>
  <r>
    <x v="0"/>
    <s v="Rusororo"/>
    <s v="Public"/>
    <x v="0"/>
    <s v="Ruhango"/>
    <s v="Bweramana"/>
    <s v="NNYU_3"/>
    <m/>
    <n v="4730.4000000000005"/>
  </r>
  <r>
    <x v="0"/>
    <m/>
    <s v="Public"/>
    <x v="0"/>
    <s v="Ruhango"/>
    <s v="Bwiza"/>
    <s v="NAKN_2"/>
    <m/>
    <n v="3153.6"/>
  </r>
  <r>
    <x v="0"/>
    <m/>
    <s v="Public"/>
    <x v="0"/>
    <s v="Ruhango"/>
    <s v="Cyeru"/>
    <s v="NAKN_2"/>
    <m/>
    <n v="86.724000000000018"/>
  </r>
  <r>
    <x v="0"/>
    <m/>
    <s v="Public"/>
    <x v="0"/>
    <s v="Ruhango"/>
    <s v="Cyeru Village"/>
    <s v="NAKN_2"/>
    <m/>
    <n v="3153.6"/>
  </r>
  <r>
    <x v="0"/>
    <m/>
    <s v="Public"/>
    <x v="0"/>
    <s v="Ruhango"/>
    <s v="Cyinyambo"/>
    <s v="NAKN_2"/>
    <m/>
    <n v="5203.4400000000005"/>
  </r>
  <r>
    <x v="0"/>
    <m/>
    <s v="Public"/>
    <x v="0"/>
    <s v="Ruhango"/>
    <s v="Cyobe"/>
    <s v="NAKN_2"/>
    <m/>
    <n v="0"/>
  </r>
  <r>
    <x v="0"/>
    <m/>
    <s v="Public"/>
    <x v="0"/>
    <s v="Ruhango"/>
    <s v="Gacuriro"/>
    <s v="NAKN_2"/>
    <m/>
    <n v="3942"/>
  </r>
  <r>
    <x v="0"/>
    <m/>
    <s v="Public"/>
    <x v="0"/>
    <s v="Ruhango"/>
    <s v="Gafunzo"/>
    <s v="NAKN_2"/>
    <m/>
    <n v="2628"/>
  </r>
  <r>
    <x v="0"/>
    <m/>
    <s v="Public"/>
    <x v="0"/>
    <s v="Ruhango"/>
    <s v="Gahama Village"/>
    <s v="NAKN_2"/>
    <m/>
    <n v="1314"/>
  </r>
  <r>
    <x v="0"/>
    <m/>
    <s v="Public"/>
    <x v="0"/>
    <s v="Ruhango"/>
    <s v="Gahunga"/>
    <s v="NAKN_2"/>
    <m/>
    <n v="3942"/>
  </r>
  <r>
    <x v="0"/>
    <m/>
    <s v="Public"/>
    <x v="0"/>
    <s v="Ruhango"/>
    <s v="Gako Village"/>
    <s v="NAKN_2"/>
    <m/>
    <n v="5518.8"/>
  </r>
  <r>
    <x v="0"/>
    <m/>
    <s v="Public"/>
    <x v="0"/>
    <s v="Ruhango"/>
    <s v="Gaseke"/>
    <s v="NAKN_2"/>
    <m/>
    <n v="4914.3599999999997"/>
  </r>
  <r>
    <x v="0"/>
    <m/>
    <s v="Public"/>
    <x v="0"/>
    <s v="Ruhango"/>
    <s v="Gasharu"/>
    <s v="NAKN_2"/>
    <m/>
    <n v="5256"/>
  </r>
  <r>
    <x v="0"/>
    <m/>
    <s v="Public"/>
    <x v="0"/>
    <s v="Ruhango"/>
    <s v="Gasuna"/>
    <s v="NAKN_2"/>
    <m/>
    <n v="4730.4000000000005"/>
  </r>
  <r>
    <x v="0"/>
    <m/>
    <s v="Public"/>
    <x v="0"/>
    <s v="Ruhango"/>
    <s v="Gataka Village"/>
    <s v="NAKN_2"/>
    <m/>
    <n v="0"/>
  </r>
  <r>
    <x v="0"/>
    <m/>
    <s v="Public"/>
    <x v="0"/>
    <s v="Ruhango"/>
    <s v="Gatengezi"/>
    <s v="NNYU_3"/>
    <m/>
    <n v="13140"/>
  </r>
  <r>
    <x v="0"/>
    <m/>
    <s v="Public"/>
    <x v="0"/>
    <s v="Ruhango"/>
    <s v="Gitisi Secondary School"/>
    <s v="NNYU_3"/>
    <m/>
    <n v="8409.6"/>
  </r>
  <r>
    <x v="0"/>
    <m/>
    <s v="Public"/>
    <x v="0"/>
    <s v="Ruhango"/>
    <s v="Jokoma"/>
    <s v="NAKN_2"/>
    <m/>
    <n v="3495.2400000000002"/>
  </r>
  <r>
    <x v="0"/>
    <m/>
    <s v="Public"/>
    <x v="0"/>
    <s v="Ruhango"/>
    <s v="Kabaja"/>
    <s v="NNYU_3"/>
    <m/>
    <n v="6570"/>
  </r>
  <r>
    <x v="0"/>
    <m/>
    <s v="Public"/>
    <x v="0"/>
    <s v="Ruhango"/>
    <s v="Kabaja 1"/>
    <s v="NNYU_3"/>
    <m/>
    <n v="6832.8"/>
  </r>
  <r>
    <x v="0"/>
    <m/>
    <s v="Public"/>
    <x v="0"/>
    <s v="Ruhango"/>
    <s v="Kabambati"/>
    <s v="NAKN_2"/>
    <m/>
    <n v="10774.800000000001"/>
  </r>
  <r>
    <x v="0"/>
    <m/>
    <s v="Public"/>
    <x v="0"/>
    <s v="Ruhango"/>
    <s v="Kabega"/>
    <s v="NNYU_3"/>
    <m/>
    <n v="2995.92"/>
  </r>
  <r>
    <x v="0"/>
    <m/>
    <s v="Public"/>
    <x v="0"/>
    <s v="Ruhango"/>
    <s v="Kabuga"/>
    <s v="NAKN_2"/>
    <m/>
    <n v="0"/>
  </r>
  <r>
    <x v="0"/>
    <m/>
    <s v="Public"/>
    <x v="0"/>
    <s v="Ruhango"/>
    <s v="Kabuga II"/>
    <s v="NAKN_2"/>
    <m/>
    <n v="5256"/>
  </r>
  <r>
    <x v="0"/>
    <m/>
    <s v="Public"/>
    <x v="0"/>
    <s v="Ruhango"/>
    <s v="Kabuga Village"/>
    <s v="NNYU_3"/>
    <m/>
    <n v="6570"/>
  </r>
  <r>
    <x v="0"/>
    <m/>
    <s v="Public"/>
    <x v="0"/>
    <s v="Ruhango"/>
    <s v="Kaburanjwiri"/>
    <s v="NAKN_2"/>
    <m/>
    <n v="3416.4"/>
  </r>
  <r>
    <x v="0"/>
    <m/>
    <s v="Public"/>
    <x v="0"/>
    <s v="Ruhango"/>
    <s v="Kabutare II"/>
    <s v="NAKN_2"/>
    <m/>
    <n v="3942"/>
  </r>
  <r>
    <x v="0"/>
    <m/>
    <s v="Public"/>
    <x v="0"/>
    <s v="Ruhango"/>
    <s v="Kagazi"/>
    <s v="NAKN_2"/>
    <m/>
    <n v="8672.4"/>
  </r>
  <r>
    <x v="0"/>
    <m/>
    <s v="Public"/>
    <x v="0"/>
    <s v="Ruhango"/>
    <s v="Kagazi 2"/>
    <s v="NAKN_2"/>
    <m/>
    <n v="1839.6000000000001"/>
  </r>
  <r>
    <x v="0"/>
    <m/>
    <s v="Public"/>
    <x v="0"/>
    <s v="Ruhango"/>
    <s v="Kamabano"/>
    <s v="NNYU_3"/>
    <m/>
    <n v="8672.4"/>
  </r>
  <r>
    <x v="0"/>
    <m/>
    <s v="Public"/>
    <x v="0"/>
    <s v="Ruhango"/>
    <s v="Kanaba Village"/>
    <s v="NAKN_2"/>
    <m/>
    <n v="6570"/>
  </r>
  <r>
    <x v="0"/>
    <m/>
    <s v="Public"/>
    <x v="0"/>
    <s v="Ruhango"/>
    <s v="Kantwari"/>
    <s v="NAKN_2"/>
    <m/>
    <n v="4467.6000000000004"/>
  </r>
  <r>
    <x v="0"/>
    <m/>
    <s v="Public"/>
    <x v="0"/>
    <s v="Ruhango"/>
    <s v="Kanyinya"/>
    <s v="NAKN_2"/>
    <m/>
    <n v="0"/>
  </r>
  <r>
    <x v="0"/>
    <m/>
    <s v="Public"/>
    <x v="0"/>
    <s v="Ruhango"/>
    <s v="Karama"/>
    <s v="NAKN_2"/>
    <m/>
    <n v="3942"/>
  </r>
  <r>
    <x v="0"/>
    <m/>
    <s v="Public"/>
    <x v="0"/>
    <s v="Ruhango"/>
    <s v="Karambo Village"/>
    <s v="NNYU_3"/>
    <m/>
    <n v="4415.04"/>
  </r>
  <r>
    <x v="0"/>
    <m/>
    <s v="Public"/>
    <x v="0"/>
    <s v="Ruhango"/>
    <s v="Karusizi"/>
    <s v="NAKN_2"/>
    <m/>
    <n v="6307.2"/>
  </r>
  <r>
    <x v="0"/>
    <m/>
    <s v="Public"/>
    <x v="0"/>
    <s v="Ruhango"/>
    <s v="Kidoma Village"/>
    <s v="NAKN_2"/>
    <m/>
    <n v="4730.4000000000005"/>
  </r>
  <r>
    <x v="0"/>
    <m/>
    <s v="Public"/>
    <x v="0"/>
    <s v="Ruhango"/>
    <s v="Kigabiro"/>
    <s v="NAKN_2"/>
    <m/>
    <n v="0"/>
  </r>
  <r>
    <x v="0"/>
    <m/>
    <s v="Public"/>
    <x v="0"/>
    <s v="Ruhango"/>
    <s v="Kigarama"/>
    <s v="CKIV_2"/>
    <m/>
    <n v="2628"/>
  </r>
  <r>
    <x v="0"/>
    <m/>
    <s v="Public"/>
    <x v="0"/>
    <s v="Ruhango"/>
    <s v="Kigimbu Village"/>
    <s v="NAKN_2"/>
    <m/>
    <n v="5256"/>
  </r>
  <r>
    <x v="0"/>
    <m/>
    <s v="Public"/>
    <x v="0"/>
    <s v="Ruhango"/>
    <s v="Kinama"/>
    <s v="NAKN_2"/>
    <m/>
    <n v="5518.8"/>
  </r>
  <r>
    <x v="0"/>
    <m/>
    <s v="Public"/>
    <x v="0"/>
    <s v="Ruhango"/>
    <s v="Kinkene"/>
    <s v="NAKN_2"/>
    <m/>
    <n v="5256"/>
  </r>
  <r>
    <x v="0"/>
    <m/>
    <s v="Public"/>
    <x v="0"/>
    <s v="Ruhango"/>
    <s v="Kinunu"/>
    <s v="CKIV_2"/>
    <m/>
    <n v="8672.4"/>
  </r>
  <r>
    <x v="0"/>
    <m/>
    <s v="Public"/>
    <x v="0"/>
    <s v="Ruhango"/>
    <s v="Kiruhura"/>
    <s v="NAKN_2"/>
    <m/>
    <n v="4257.3599999999997"/>
  </r>
  <r>
    <x v="0"/>
    <m/>
    <s v="Public"/>
    <x v="0"/>
    <s v="Ruhango"/>
    <s v="Mirambi"/>
    <s v="NAKN_2"/>
    <m/>
    <n v="3942"/>
  </r>
  <r>
    <x v="0"/>
    <m/>
    <s v="Public"/>
    <x v="0"/>
    <s v="Ruhango"/>
    <s v="Mubuga"/>
    <s v="NAKN_2"/>
    <m/>
    <n v="0"/>
  </r>
  <r>
    <x v="0"/>
    <m/>
    <s v="Public"/>
    <x v="0"/>
    <s v="Ruhango"/>
    <s v="Munini"/>
    <s v="NAKL_1"/>
    <s v="Akagera Lower Catchment"/>
    <n v="5203.4400000000005"/>
  </r>
  <r>
    <x v="0"/>
    <m/>
    <s v="Public"/>
    <x v="0"/>
    <s v="Ruhango"/>
    <s v="Murama Secondary School"/>
    <s v="NNYU_3"/>
    <m/>
    <n v="4467.6000000000004"/>
  </r>
  <r>
    <x v="0"/>
    <m/>
    <s v="Public"/>
    <x v="0"/>
    <s v="Ruhango"/>
    <s v="Murinzi Village"/>
    <s v="NNYU_3"/>
    <m/>
    <n v="3679.2000000000003"/>
  </r>
  <r>
    <x v="0"/>
    <m/>
    <s v="Public"/>
    <x v="0"/>
    <s v="Ruhango"/>
    <s v="Muyenzi"/>
    <s v="NAKN_2"/>
    <m/>
    <n v="19710"/>
  </r>
  <r>
    <x v="0"/>
    <m/>
    <s v="Public"/>
    <x v="0"/>
    <s v="Ruhango"/>
    <s v="Muyunzwe Village"/>
    <s v="NAKN_2"/>
    <m/>
    <n v="3942"/>
  </r>
  <r>
    <x v="0"/>
    <m/>
    <s v="Public"/>
    <x v="0"/>
    <s v="Ruhango"/>
    <s v="Mwari"/>
    <s v="NAKN_2"/>
    <m/>
    <n v="2846.1240000000003"/>
  </r>
  <r>
    <x v="0"/>
    <m/>
    <s v="Public"/>
    <x v="0"/>
    <s v="Ruhango"/>
    <s v="Ngurukizi Village"/>
    <s v="NNYU_3"/>
    <m/>
    <n v="13140"/>
  </r>
  <r>
    <x v="0"/>
    <m/>
    <s v="Public"/>
    <x v="0"/>
    <s v="Ruhango"/>
    <s v="Nyabigunzo"/>
    <s v="NAKN_2"/>
    <m/>
    <n v="8672.4"/>
  </r>
  <r>
    <x v="0"/>
    <m/>
    <s v="Public"/>
    <x v="0"/>
    <s v="Ruhango"/>
    <s v="Nyacyonga"/>
    <s v="NAKN_2"/>
    <s v="Gishara/Mukunguri sub catchment"/>
    <n v="4730.4000000000005"/>
  </r>
  <r>
    <x v="0"/>
    <m/>
    <s v="Public"/>
    <x v="0"/>
    <s v="Ruhango"/>
    <s v="Nyamiyaga"/>
    <s v="NAKN_2"/>
    <m/>
    <n v="7884"/>
  </r>
  <r>
    <x v="0"/>
    <m/>
    <s v="Public"/>
    <x v="0"/>
    <s v="Ruhango"/>
    <s v="Nyamugali"/>
    <s v="NNYU_3"/>
    <m/>
    <n v="4467.6000000000004"/>
  </r>
  <r>
    <x v="0"/>
    <m/>
    <s v="Public"/>
    <x v="0"/>
    <s v="Ruhango"/>
    <s v="Nyamugari"/>
    <s v="NAKN_2"/>
    <m/>
    <n v="3416.4"/>
  </r>
  <r>
    <x v="0"/>
    <m/>
    <s v="Public"/>
    <x v="0"/>
    <s v="Ruhango"/>
    <s v="Nyamutarama"/>
    <s v="NAKN_2"/>
    <m/>
    <n v="4415.04"/>
  </r>
  <r>
    <x v="0"/>
    <m/>
    <s v="Public"/>
    <x v="0"/>
    <s v="Ruhango"/>
    <s v="Nyangandika"/>
    <s v="NAKN_2"/>
    <m/>
    <n v="4467.6000000000004"/>
  </r>
  <r>
    <x v="0"/>
    <m/>
    <s v="Public"/>
    <x v="0"/>
    <s v="Ruhango"/>
    <s v="Nyarugenge"/>
    <s v="NAKN_2"/>
    <m/>
    <n v="4467.6000000000004"/>
  </r>
  <r>
    <x v="0"/>
    <m/>
    <s v="Public"/>
    <x v="0"/>
    <s v="Ruhango"/>
    <s v="Nyarusange"/>
    <s v="NAKN_2"/>
    <m/>
    <n v="3942"/>
  </r>
  <r>
    <x v="0"/>
    <m/>
    <s v="Public"/>
    <x v="0"/>
    <s v="Ruhango"/>
    <s v="Nyarusange"/>
    <s v="NNYU_3"/>
    <m/>
    <n v="3066.8760000000007"/>
  </r>
  <r>
    <x v="0"/>
    <m/>
    <s v="Public"/>
    <x v="0"/>
    <s v="Ruhango"/>
    <s v="Nyarusange II"/>
    <s v="NAKN_2"/>
    <m/>
    <n v="3416.4"/>
  </r>
  <r>
    <x v="0"/>
    <m/>
    <s v="Public"/>
    <x v="0"/>
    <s v="Ruhango"/>
    <s v="Nyarusange III"/>
    <s v="NAKN_2"/>
    <m/>
    <n v="8672.4"/>
  </r>
  <r>
    <x v="0"/>
    <m/>
    <s v="Public"/>
    <x v="0"/>
    <s v="Ruhango"/>
    <s v="Nyaruteja Village"/>
    <s v="NAKN_2"/>
    <m/>
    <n v="2680.56"/>
  </r>
  <r>
    <x v="0"/>
    <m/>
    <s v="Public"/>
    <x v="0"/>
    <s v="Ruhango"/>
    <s v="Nyundo II"/>
    <s v="NAKN_2"/>
    <m/>
    <n v="4380.8760000000011"/>
  </r>
  <r>
    <x v="0"/>
    <m/>
    <s v="Public"/>
    <x v="0"/>
    <s v="Ruhango"/>
    <s v="Nyundo Village"/>
    <s v="NAKN_2"/>
    <m/>
    <n v="7884"/>
  </r>
  <r>
    <x v="0"/>
    <m/>
    <s v="Public"/>
    <x v="0"/>
    <s v="Ruhango"/>
    <s v="Ruduha"/>
    <s v="NAKN_2"/>
    <m/>
    <n v="3942"/>
  </r>
  <r>
    <x v="0"/>
    <m/>
    <s v="Public"/>
    <x v="0"/>
    <s v="Ruhango"/>
    <s v="Ruduha II"/>
    <s v="NAKN_2"/>
    <m/>
    <n v="0"/>
  </r>
  <r>
    <x v="0"/>
    <m/>
    <s v="Public"/>
    <x v="0"/>
    <s v="Ruhango"/>
    <s v="Rugarama"/>
    <s v="NAKN_2"/>
    <m/>
    <n v="3468.96"/>
  </r>
  <r>
    <x v="0"/>
    <m/>
    <s v="Public"/>
    <x v="0"/>
    <s v="Ruhango"/>
    <s v="Rugarama I"/>
    <s v="NAKN_2"/>
    <m/>
    <n v="4467.6000000000004"/>
  </r>
  <r>
    <x v="0"/>
    <m/>
    <s v="Public"/>
    <x v="0"/>
    <s v="Ruhango"/>
    <s v="Rugarama II"/>
    <s v="NAKN_2"/>
    <m/>
    <n v="2628"/>
  </r>
  <r>
    <x v="0"/>
    <m/>
    <s v="Public"/>
    <x v="0"/>
    <s v="Ruhango"/>
    <s v="Rugondo"/>
    <s v="NNYU_3"/>
    <m/>
    <n v="3153.6"/>
  </r>
  <r>
    <x v="0"/>
    <m/>
    <s v="Public"/>
    <x v="0"/>
    <s v="Ruhango"/>
    <s v="Ruko"/>
    <s v="NAKN_2"/>
    <m/>
    <n v="3416.4"/>
  </r>
  <r>
    <x v="0"/>
    <m/>
    <s v="Public"/>
    <x v="0"/>
    <s v="Ruhango"/>
    <s v="Rural Village"/>
    <s v="NNYU_3"/>
    <m/>
    <n v="2995.92"/>
  </r>
  <r>
    <x v="0"/>
    <m/>
    <s v="Public"/>
    <x v="0"/>
    <s v="Ruhango"/>
    <s v="Rusebeya"/>
    <s v="NNYU_3"/>
    <m/>
    <n v="4467.6000000000004"/>
  </r>
  <r>
    <x v="0"/>
    <m/>
    <s v="Public"/>
    <x v="0"/>
    <s v="Ruhango"/>
    <s v="Ruvugizo"/>
    <s v="NNYU_3"/>
    <m/>
    <n v="4730.4000000000005"/>
  </r>
  <r>
    <x v="0"/>
    <m/>
    <s v="Public"/>
    <x v="0"/>
    <s v="Ruhango"/>
    <s v="Ruyenzi"/>
    <s v="NAKN_2"/>
    <m/>
    <n v="2995.92"/>
  </r>
  <r>
    <x v="0"/>
    <m/>
    <s v="Public"/>
    <x v="0"/>
    <s v="Ruhango"/>
    <s v="Ruyenzi II"/>
    <s v="NAKN_2"/>
    <m/>
    <n v="3495.2400000000002"/>
  </r>
  <r>
    <x v="0"/>
    <m/>
    <s v="Public"/>
    <x v="0"/>
    <s v="Ruhango"/>
    <s v="Rwinkuba"/>
    <s v="NNYU_3"/>
    <m/>
    <n v="17607.600000000002"/>
  </r>
  <r>
    <x v="0"/>
    <m/>
    <s v="Public"/>
    <x v="0"/>
    <s v="Ruhango"/>
    <s v="Rwinkuba"/>
    <s v="NAKN_2"/>
    <m/>
    <n v="2628"/>
  </r>
  <r>
    <x v="0"/>
    <m/>
    <s v="Public"/>
    <x v="0"/>
    <s v="Ruhango"/>
    <s v="Ryabonyinka"/>
    <s v="NAKN_2"/>
    <m/>
    <n v="3416.4"/>
  </r>
  <r>
    <x v="0"/>
    <m/>
    <s v="Public"/>
    <x v="0"/>
    <s v="Ruhango"/>
    <s v="Ryabonyinka"/>
    <s v="NAKN_2"/>
    <m/>
    <n v="3066.8760000000007"/>
  </r>
  <r>
    <x v="0"/>
    <m/>
    <s v="Public"/>
    <x v="0"/>
    <s v="Ruhango"/>
    <s v="Sabudali I"/>
    <s v="NAKN_2"/>
    <m/>
    <n v="5256"/>
  </r>
  <r>
    <x v="0"/>
    <m/>
    <s v="Public"/>
    <x v="0"/>
    <s v="Ruhango"/>
    <s v="Sabudali III"/>
    <s v="NAKN_2"/>
    <m/>
    <n v="4380.8760000000011"/>
  </r>
  <r>
    <x v="0"/>
    <m/>
    <s v="Public"/>
    <x v="0"/>
    <s v="Ruhango"/>
    <s v="Tambwe"/>
    <s v="NAKN_2"/>
    <m/>
    <n v="5256"/>
  </r>
  <r>
    <x v="0"/>
    <m/>
    <s v="Public"/>
    <x v="0"/>
    <s v="Ruhango"/>
    <s v="Uwimana 2"/>
    <s v="NAKN_2"/>
    <m/>
    <n v="10774.800000000001"/>
  </r>
  <r>
    <x v="0"/>
    <m/>
    <s v="Public"/>
    <x v="0"/>
    <s v="Ruhango"/>
    <s v="Uwimana Village"/>
    <s v="NAKN_2"/>
    <m/>
    <n v="6044.4000000000005"/>
  </r>
  <r>
    <x v="0"/>
    <m/>
    <s v="Public"/>
    <x v="0"/>
    <s v="Ruhango"/>
    <s v="Vunga Technical College"/>
    <s v="NAKN_2"/>
    <m/>
    <n v="2890.8"/>
  </r>
  <r>
    <x v="0"/>
    <m/>
    <s v="Public"/>
    <x v="0"/>
    <s v="Ruhango"/>
    <s v="Vunga Village"/>
    <s v="NAKN_2"/>
    <m/>
    <n v="7095.6"/>
  </r>
  <r>
    <x v="0"/>
    <m/>
    <s v="Public"/>
    <x v="0"/>
    <s v="Ruhango"/>
    <m/>
    <s v="NAKN_2"/>
    <m/>
    <n v="3153.6"/>
  </r>
  <r>
    <x v="0"/>
    <m/>
    <s v="Public"/>
    <x v="0"/>
    <s v="Ruhango Secondary School"/>
    <m/>
    <s v="NNYU_3"/>
    <m/>
    <n v="3942"/>
  </r>
  <r>
    <x v="0"/>
    <s v="Kabihogo"/>
    <s v="Public"/>
    <x v="0"/>
    <s v="Rutsiro"/>
    <s v="Boneza"/>
    <s v="CKIV_2"/>
    <m/>
    <n v="8672.4"/>
  </r>
  <r>
    <x v="0"/>
    <s v="Kabuga"/>
    <s v="Public"/>
    <x v="0"/>
    <s v="Rutsiro"/>
    <s v="Boneza"/>
    <s v="CKIV_2"/>
    <m/>
    <n v="6570"/>
  </r>
  <r>
    <x v="0"/>
    <s v="Remera"/>
    <s v="Public"/>
    <x v="0"/>
    <s v="Rutsiro"/>
    <s v="Boneza"/>
    <s v="CKIV_2"/>
    <m/>
    <n v="4467.6000000000004"/>
  </r>
  <r>
    <x v="0"/>
    <s v="Bushaka"/>
    <s v="Public"/>
    <x v="0"/>
    <s v="Rutsiro"/>
    <s v="Boneza"/>
    <s v="CKIV_2"/>
    <m/>
    <n v="17344.8"/>
  </r>
  <r>
    <x v="0"/>
    <m/>
    <s v="Public"/>
    <x v="0"/>
    <s v="Rutsiro"/>
    <s v="Rugamba"/>
    <s v="CKIV_2"/>
    <m/>
    <n v="8672.4"/>
  </r>
  <r>
    <x v="0"/>
    <m/>
    <s v="Public"/>
    <x v="0"/>
    <s v="Rutsiro"/>
    <s v="Rusororo 2"/>
    <s v="NNYU_3"/>
    <m/>
    <n v="2628"/>
  </r>
  <r>
    <x v="0"/>
    <m/>
    <s v="Public"/>
    <x v="0"/>
    <s v="Rutsiro"/>
    <s v="Rusororo 3"/>
    <s v="CKIV_2"/>
    <m/>
    <n v="5518.8"/>
  </r>
  <r>
    <x v="0"/>
    <m/>
    <s v="Public"/>
    <x v="0"/>
    <s v="Rutsiro"/>
    <s v="Rwimbogo"/>
    <s v="CKIV_2"/>
    <m/>
    <n v="4467.6000000000004"/>
  </r>
  <r>
    <x v="0"/>
    <s v="Cyanya"/>
    <s v="Public"/>
    <x v="0"/>
    <s v="Rwamagana"/>
    <s v="Bigabiro"/>
    <s v="NAKU_1"/>
    <m/>
    <n v="13140"/>
  </r>
  <r>
    <x v="0"/>
    <s v="Kiruruma"/>
    <s v="Public"/>
    <x v="0"/>
    <s v="Rwamagana"/>
    <s v="Gahengeri"/>
    <s v="NAKU_1"/>
    <m/>
    <n v="47304"/>
  </r>
  <r>
    <x v="0"/>
    <s v="Karambo"/>
    <s v="Public"/>
    <x v="0"/>
    <s v="Rwamagana"/>
    <s v="Gahengeri"/>
    <s v="NAKU_1"/>
    <m/>
    <n v="43362"/>
  </r>
  <r>
    <x v="0"/>
    <s v="Kamurindi"/>
    <s v="Public"/>
    <x v="0"/>
    <s v="Rwamagana"/>
    <s v="Gahengeri"/>
    <s v="NAKU_1"/>
    <m/>
    <n v="31536"/>
  </r>
  <r>
    <x v="0"/>
    <s v="Kabigondo"/>
    <s v="Public"/>
    <x v="0"/>
    <s v="Rwamagana"/>
    <s v="Gahengeri"/>
    <s v="NAKU_1"/>
    <m/>
    <n v="22338"/>
  </r>
  <r>
    <x v="0"/>
    <s v="Nyamugari"/>
    <s v="Public"/>
    <x v="0"/>
    <s v="Rwamagana"/>
    <s v="Gahengeri"/>
    <s v="NAKU_1"/>
    <m/>
    <n v="17607.600000000002"/>
  </r>
  <r>
    <x v="0"/>
    <s v="Nyamugari II"/>
    <s v="Public"/>
    <x v="0"/>
    <s v="Rwamagana"/>
    <s v="Gahengeri"/>
    <s v="NAKU_1"/>
    <m/>
    <n v="15768"/>
  </r>
  <r>
    <x v="0"/>
    <s v="Akinyambo"/>
    <s v="Public"/>
    <x v="0"/>
    <s v="Rwamagana"/>
    <s v="Muyumbu"/>
    <s v="NAKU_1"/>
    <m/>
    <n v="22338"/>
  </r>
  <r>
    <x v="0"/>
    <s v="GITESANYI HPN12A1"/>
    <s v="Public"/>
    <x v="0"/>
    <s v="Kayonza"/>
    <s v="Murama"/>
    <s v="NAKL_1"/>
    <s v="Akagera Lower Catchment"/>
    <n v="2522.88"/>
  </r>
  <r>
    <x v="0"/>
    <s v="KABOZA HPR-1"/>
    <s v="Public"/>
    <x v="0"/>
    <s v="Kayonza"/>
    <s v="Murama"/>
    <s v="NAKL_1"/>
    <s v="Akagera Lower Catchment"/>
    <n v="2522.88"/>
  </r>
  <r>
    <x v="0"/>
    <s v="RUKIZI HPN14"/>
    <s v="Public"/>
    <x v="0"/>
    <s v="Kayonza"/>
    <s v="Murama"/>
    <s v="NAKL_1"/>
    <s v="Akagera Lower Catchment"/>
    <n v="2522.88"/>
  </r>
  <r>
    <x v="0"/>
    <s v="RUKIZI HPR02"/>
    <s v="Public"/>
    <x v="0"/>
    <s v="Kayonza"/>
    <s v="Murama"/>
    <s v="NAKL_1"/>
    <s v="Akagera Lower Catchment"/>
    <n v="2522.88"/>
  </r>
  <r>
    <x v="0"/>
    <s v="RUKIZI HPR03"/>
    <s v="Public"/>
    <x v="0"/>
    <s v="Kayonza"/>
    <s v="Murama"/>
    <s v="NAKL_1"/>
    <s v="Akagera Lower Catchment"/>
    <n v="2522.88"/>
  </r>
  <r>
    <x v="0"/>
    <s v="KIZENGA HPN15"/>
    <s v="Public"/>
    <x v="0"/>
    <s v="Kayonza"/>
    <s v="Murama"/>
    <s v="NAKL_1"/>
    <s v="Akagera Lower Catchment"/>
    <n v="2522.88"/>
  </r>
  <r>
    <x v="0"/>
    <s v="KANYINYA"/>
    <s v="Public"/>
    <x v="0"/>
    <s v="Kayonza"/>
    <s v="Murama"/>
    <s v="NAKL_1"/>
    <s v="Akagera Lower Catchment"/>
    <n v="2522.88"/>
  </r>
  <r>
    <x v="0"/>
    <s v="KANYINYA HPR04"/>
    <s v="Public"/>
    <x v="0"/>
    <s v="Kayonza"/>
    <s v="Murama"/>
    <s v="NAKL_1"/>
    <s v="Akagera Lower Catchment"/>
    <n v="2522.88"/>
  </r>
  <r>
    <x v="0"/>
    <s v="KANYINYA HPR05"/>
    <s v="Public"/>
    <x v="0"/>
    <s v="Kayonza"/>
    <s v="Murama"/>
    <s v="NAKL_1"/>
    <s v="Akagera Lower Catchment"/>
    <n v="2522.88"/>
  </r>
  <r>
    <x v="0"/>
    <s v="KANYINYA HPN11A1"/>
    <s v="Public"/>
    <x v="0"/>
    <s v="Kayonza"/>
    <s v="Murama"/>
    <s v="NAKL_1"/>
    <s v="Akagera Lower Catchment"/>
    <n v="2522.88"/>
  </r>
  <r>
    <x v="0"/>
    <s v="GASIBYA HPN13"/>
    <s v="Public"/>
    <x v="0"/>
    <s v="Kayonza"/>
    <s v="Murama"/>
    <s v="NAKL_1"/>
    <s v="Akagera Lower Catchment"/>
    <n v="2522.88"/>
  </r>
  <r>
    <x v="0"/>
    <s v="GCYURIRO"/>
    <s v="Public"/>
    <x v="0"/>
    <s v="Ruhango"/>
    <s v="Ntongwe"/>
    <s v="NAKN_2"/>
    <s v="Gishara/Mukunguri Sub-Catchment"/>
    <n v="8751.2400000000016"/>
  </r>
  <r>
    <x v="0"/>
    <s v="GACURIRO2"/>
    <s v="Public"/>
    <x v="0"/>
    <s v="Ruhango"/>
    <s v="Ntongwe"/>
    <s v="NAKN_2"/>
    <s v="Gishara/Mukunguri Sub-Catchment"/>
    <n v="7885.5767999999998"/>
  </r>
  <r>
    <x v="0"/>
    <s v="RUSARO"/>
    <s v="Public"/>
    <x v="0"/>
    <s v="Ruhango"/>
    <s v="Ntongwe"/>
    <s v="NAKN_2"/>
    <s v="Gishara/Mukunguri Sub-Catchment"/>
    <n v="8309.7360000000008"/>
  </r>
  <r>
    <x v="0"/>
    <s v="KABATWA"/>
    <s v="Public"/>
    <x v="0"/>
    <s v="Rusizi"/>
    <s v="Nkombo"/>
    <s v="CKIV_3"/>
    <s v="Kamiranzovu Sub-Catchment"/>
    <n v="1892.16"/>
  </r>
  <r>
    <x v="0"/>
    <s v="GATURO"/>
    <s v="Public"/>
    <x v="0"/>
    <s v="Rusizi"/>
    <s v="Nkombo"/>
    <s v="CKIV_3"/>
    <s v="Kamiranzovu Sub-Catchment"/>
    <n v="1892.16"/>
  </r>
  <r>
    <x v="0"/>
    <s v="KABASHINGA"/>
    <s v="Public"/>
    <x v="0"/>
    <s v="Rusizi"/>
    <s v="Nkombo"/>
    <s v="CKIV_3"/>
    <s v="Kamiranzovu Sub-Catchment"/>
    <n v="1892.16"/>
  </r>
  <r>
    <x v="0"/>
    <s v="GISUNYU"/>
    <s v="Public"/>
    <x v="0"/>
    <s v="Rusizi"/>
    <s v="Nkombo"/>
    <s v="CKIV_3"/>
    <s v="Kamiranzovu Sub-Catchment"/>
    <n v="1892.16"/>
  </r>
  <r>
    <x v="0"/>
    <s v="RUKOBA"/>
    <s v="Public"/>
    <x v="0"/>
    <s v="Rusizi"/>
    <s v="Nkombo"/>
    <s v="CKIV_3"/>
    <s v="Kamiranzovu Sub-Catchment"/>
    <n v="1892.16"/>
  </r>
  <r>
    <x v="0"/>
    <s v="RUREMBO"/>
    <s v="Public"/>
    <x v="0"/>
    <s v="Rusizi"/>
    <s v="Nkombo"/>
    <s v="CKIV_3"/>
    <s v="Kamiranzovu Sub-Catchment"/>
    <n v="1892.16"/>
  </r>
  <r>
    <x v="0"/>
    <s v="GITURO"/>
    <s v="Public"/>
    <x v="0"/>
    <s v="Rusizi"/>
    <s v="Nkombo"/>
    <s v="CKIV_3"/>
    <s v="Kamiranzovu Sub-Catchment"/>
    <n v="1892.16"/>
  </r>
  <r>
    <x v="0"/>
    <s v="KAMAJYIMBO"/>
    <s v="Public"/>
    <x v="0"/>
    <s v="Rusizi"/>
    <s v="Nkombo"/>
    <s v="CKIV_3"/>
    <s v="Kamiranzovu Sub-Catchment"/>
    <n v="1892.16"/>
  </r>
  <r>
    <x v="0"/>
    <s v="GITWA"/>
    <s v="Public"/>
    <x v="0"/>
    <s v="Rusizi"/>
    <s v="Nkombo"/>
    <s v="CKIV_3"/>
    <s v="Kamiranzovu Sub-Catchment"/>
    <n v="1892.16"/>
  </r>
  <r>
    <x v="0"/>
    <s v="KAMUGI"/>
    <s v="Public"/>
    <x v="0"/>
    <s v="Rusizi"/>
    <s v="Nkombo"/>
    <s v="CKIV_3"/>
    <s v="Kamiranzovu Sub-Catchment"/>
    <n v="1892.16"/>
  </r>
  <r>
    <x v="0"/>
    <s v="KABUYE"/>
    <s v="Public"/>
    <x v="0"/>
    <s v="Rusizi"/>
    <s v="Nkombo"/>
    <s v="CKIV_3"/>
    <s v="Kamiranzovu Sub-Catchment"/>
    <n v="1576.8"/>
  </r>
  <r>
    <x v="0"/>
    <s v="RUBOMBA"/>
    <s v="Public"/>
    <x v="0"/>
    <s v="Rusizi"/>
    <s v="Nkombo"/>
    <s v="CKIV_3"/>
    <s v="Kamiranzovu Sub-Catchment"/>
    <n v="2522.88"/>
  </r>
  <r>
    <x v="0"/>
    <s v="KABUGA"/>
    <s v="Public"/>
    <x v="0"/>
    <s v="Rusizi"/>
    <s v="Nkombo"/>
    <s v="CKIV_3"/>
    <s v="Kamiranzovu Sub-Catchment"/>
    <n v="1892.16"/>
  </r>
  <r>
    <x v="0"/>
    <s v="RYARUKUNDO"/>
    <s v="Public"/>
    <x v="0"/>
    <s v="Rusizi"/>
    <s v="Nkombo"/>
    <s v="CKIV_3"/>
    <s v="Kamiranzovu Sub-Catchment"/>
    <n v="2207.5200000000004"/>
  </r>
  <r>
    <x v="0"/>
    <s v="MURWENJE"/>
    <s v="Public"/>
    <x v="0"/>
    <s v="Rusizi"/>
    <s v="Nkombo"/>
    <s v="CKIV_3"/>
    <s v="Kamiranzovu Sub-Catchment"/>
    <n v="2049.84"/>
  </r>
  <r>
    <x v="0"/>
    <s v="GATEMBO I"/>
    <s v="Public"/>
    <x v="0"/>
    <s v="Nyamasheke"/>
    <s v="Bushenge"/>
    <s v="CKIV_3"/>
    <s v="Kamiranzovu Sub-Catchment"/>
    <n v="1892.16"/>
  </r>
  <r>
    <x v="0"/>
    <s v="KIJABWE"/>
    <s v="Public"/>
    <x v="0"/>
    <s v="Nyamasheke"/>
    <s v="Bushenge"/>
    <s v="CKIV_3"/>
    <s v="Kamiranzovu Sub-Catchment"/>
    <n v="13087.44"/>
  </r>
  <r>
    <x v="0"/>
    <s v="NKOMANE"/>
    <s v="Public"/>
    <x v="0"/>
    <s v="Nyamasheke"/>
    <s v="Bushenge"/>
    <s v="CKIV_3"/>
    <s v="Kamiranzovu Sub-Catchment"/>
    <n v="15768"/>
  </r>
  <r>
    <x v="0"/>
    <s v="RWAMUYAGA"/>
    <s v="Public"/>
    <x v="0"/>
    <s v="Nyamasheke"/>
    <s v="Bushenge"/>
    <s v="CKIV_3"/>
    <s v="Kamiranzovu Sub-Catchment"/>
    <n v="1419.1200000000001"/>
  </r>
  <r>
    <x v="0"/>
    <s v="NYAKAGEZI"/>
    <s v="Public"/>
    <x v="0"/>
    <s v="Nyamasheke"/>
    <s v="Bushenge"/>
    <s v="CKIV_3"/>
    <s v="Kamiranzovu Sub-Catchment"/>
    <n v="4888.08"/>
  </r>
  <r>
    <x v="0"/>
    <s v="NYAKABINGO"/>
    <s v="Public"/>
    <x v="0"/>
    <s v="Nyamasheke"/>
    <s v="Bushenge"/>
    <s v="CKIV_3"/>
    <s v="Kamiranzovu Sub-Catchment"/>
    <n v="1892.16"/>
  </r>
  <r>
    <x v="0"/>
    <s v="KAVUMU"/>
    <s v="Public"/>
    <x v="0"/>
    <s v="Rutsiro"/>
    <s v="Mushonyi"/>
    <s v="CKIV_2"/>
    <s v="Koko/Muregeya Sub-Catchment"/>
    <n v="3468.96"/>
  </r>
  <r>
    <x v="0"/>
    <s v="MUREGEYA"/>
    <s v="Public"/>
    <x v="0"/>
    <s v="Rutsiro"/>
    <s v="Mushubati"/>
    <s v="CKIV_2"/>
    <s v="Koko/Muregeya Sub-Catchment"/>
    <n v="3153.6"/>
  </r>
  <r>
    <x v="0"/>
    <s v="KAZIBAZIBA"/>
    <s v="Public"/>
    <x v="0"/>
    <s v="Rutsiro"/>
    <s v="Mushubati"/>
    <s v="CKIV_3"/>
    <s v="Koko/Muregeya Sub-Catchment"/>
    <n v="3153.6"/>
  </r>
  <r>
    <x v="0"/>
    <s v="NYARUSANGE"/>
    <s v="Public"/>
    <x v="0"/>
    <s v="Rutsiro"/>
    <s v="Mushubati"/>
    <s v="CKIV_2"/>
    <s v="Koko/Muregeya Sub-Catchment"/>
    <n v="5045.76"/>
  </r>
  <r>
    <x v="0"/>
    <s v="NYARUSANGE"/>
    <s v="Public"/>
    <x v="0"/>
    <s v="Rusizi"/>
    <s v="Nkanka"/>
    <s v="CKIV_3"/>
    <s v="Kamiranzovu Sub-Catchment"/>
    <n v="1892.16"/>
  </r>
  <r>
    <x v="0"/>
    <s v="MUGIKOMBE"/>
    <s v="Public"/>
    <x v="0"/>
    <s v="Rutsiro"/>
    <s v="Boneza"/>
    <s v="CKIV_2"/>
    <s v="Koko/Muregeya Sub-Catchment"/>
    <n v="5518.8"/>
  </r>
  <r>
    <x v="0"/>
    <s v="MAZUNGA"/>
    <s v="Public"/>
    <x v="0"/>
    <s v="Rutsiro"/>
    <s v="Boneza"/>
    <s v="CKIV_2"/>
    <s v="Koko/Muregeya Sub-Catchment"/>
    <n v="5203.4400000000005"/>
  </r>
  <r>
    <x v="0"/>
    <s v="GAHABWA"/>
    <s v="Public"/>
    <x v="0"/>
    <s v="Rutsiro"/>
    <s v="Boneza"/>
    <s v="CKIV_2"/>
    <s v="Koko/Muregeya Sub-Catchment"/>
    <n v="4415.0400000000009"/>
  </r>
  <r>
    <x v="0"/>
    <s v="NYIRAKANAGU"/>
    <s v="Public"/>
    <x v="0"/>
    <s v="Rutsiro"/>
    <s v="Boneza"/>
    <s v="CKIV_2"/>
    <s v="Koko/Muregeya Sub-Catchment"/>
    <n v="1892.16"/>
  </r>
  <r>
    <x v="0"/>
    <s v="GATARE"/>
    <s v="Public"/>
    <x v="0"/>
    <s v="Karongi"/>
    <s v="Gishyita"/>
    <s v="CKIV_2"/>
    <s v="Koko/Muregeya Sub-Catchment"/>
    <n v="1103.7600000000002"/>
  </r>
  <r>
    <x v="0"/>
    <s v="KAREZO"/>
    <s v="Public"/>
    <x v="0"/>
    <s v="Muhanga"/>
    <s v="Muhanga"/>
    <s v="NNYL_2"/>
    <s v="Mambu/Base Sub-Catchment"/>
    <n v="315.36"/>
  </r>
  <r>
    <x v="0"/>
    <s v="NYAHINDA"/>
    <s v="Public"/>
    <x v="0"/>
    <s v="Muhanga"/>
    <s v="Muhanga"/>
    <s v="NNYL_2"/>
    <s v="Mambu/Base Sub-Catchment"/>
    <n v="4730.4000000000005"/>
  </r>
  <r>
    <x v="0"/>
    <s v="GIHARASI"/>
    <s v="Public"/>
    <x v="0"/>
    <s v="Muhanga"/>
    <s v="Muhanga"/>
    <s v="NNYL_2"/>
    <s v="Mambu/Base Sub-Catchment"/>
    <n v="630.72"/>
  </r>
  <r>
    <x v="0"/>
    <s v="MISIRI"/>
    <s v="Public"/>
    <x v="0"/>
    <s v="Muhanga"/>
    <s v="Muhanga"/>
    <s v="NNYL_2"/>
    <s v="Mambu/Base Sub-Catchment"/>
    <n v="473.04"/>
  </r>
  <r>
    <x v="0"/>
    <s v="KARANDA"/>
    <s v="Public"/>
    <x v="0"/>
    <s v="Muhanga"/>
    <s v="Muhanga"/>
    <s v="NNYL_2"/>
    <s v="Mambu/Base Sub-Catchment"/>
    <n v="3153.6"/>
  </r>
  <r>
    <x v="0"/>
    <s v="MURAMBI"/>
    <s v="Public"/>
    <x v="0"/>
    <s v="Muhanga"/>
    <s v="Muhanga"/>
    <s v="NNYL_2"/>
    <s v="Mambu/Base Sub-Catchment"/>
    <n v="473.04"/>
  </r>
  <r>
    <x v="0"/>
    <s v="RUTEMBE"/>
    <s v="Public"/>
    <x v="0"/>
    <s v="Muhanga"/>
    <s v="Muhanga"/>
    <s v="NNYL_2"/>
    <s v="Mambu/Base Sub-Catchment"/>
    <n v="4730.4000000000005"/>
  </r>
  <r>
    <x v="0"/>
    <s v="RUVUTU"/>
    <s v="Public"/>
    <x v="0"/>
    <s v="Muhanga"/>
    <s v="Muhanga"/>
    <s v="NNYL_2"/>
    <s v="Mambu/Base Sub-Catchment"/>
    <n v="4730.4000000000005"/>
  </r>
  <r>
    <x v="0"/>
    <s v="GASHUNZI"/>
    <s v="Public"/>
    <x v="0"/>
    <s v="Muhanga"/>
    <s v="Muhanga"/>
    <s v="NNYL_2"/>
    <s v="Mambu/Base Sub-Catchment"/>
    <n v="315.36"/>
  </r>
  <r>
    <x v="0"/>
    <s v="NYAKABUGA"/>
    <s v="Public"/>
    <x v="0"/>
    <s v="Muhanga"/>
    <s v="Muhanga"/>
    <s v="NNYL_2"/>
    <s v="Mambu/Base Sub-Catchment"/>
    <n v="315.36"/>
  </r>
  <r>
    <x v="0"/>
    <s v="GACYAMO"/>
    <s v="Public"/>
    <x v="0"/>
    <s v="Muhanga"/>
    <s v="Muhanga"/>
    <s v="NNYL_2"/>
    <s v="Mambu/Base Sub-Catchment"/>
    <n v="4730.4000000000005"/>
  </r>
  <r>
    <x v="0"/>
    <s v="KADIHE"/>
    <s v="Public"/>
    <x v="0"/>
    <s v="Muhanga"/>
    <s v="Muhanga"/>
    <s v="NNYL_2"/>
    <s v="Mambu/Base Sub-Catchment"/>
    <n v="315.36"/>
  </r>
  <r>
    <x v="0"/>
    <s v="KAVOMO"/>
    <s v="Public"/>
    <x v="0"/>
    <s v="Muhanga"/>
    <s v="Muhanga"/>
    <s v="NNYL_2"/>
    <s v="Mambu/Base Sub-Catchment"/>
    <n v="6307.2"/>
  </r>
  <r>
    <x v="0"/>
    <s v="KAGUNDA"/>
    <s v="Public"/>
    <x v="0"/>
    <s v="Muhanga"/>
    <s v="Muhanga"/>
    <s v="NNYL_2"/>
    <s v="Mambu/Base Sub-Catchment"/>
    <n v="4730.4000000000005"/>
  </r>
  <r>
    <x v="0"/>
    <s v="GATARE"/>
    <s v="Public"/>
    <x v="0"/>
    <s v="Muhanga"/>
    <s v="Muhanga"/>
    <s v="NNYL_2"/>
    <s v="Mambu/Base Sub-Catchment"/>
    <n v="630.72"/>
  </r>
  <r>
    <x v="0"/>
    <s v="GIKELI"/>
    <s v="Public"/>
    <x v="0"/>
    <s v="Muhanga"/>
    <s v="Muhanga"/>
    <s v="NNYL_2"/>
    <s v="Mambu/Base Sub-Catchment"/>
    <n v="630.72"/>
  </r>
  <r>
    <x v="0"/>
    <s v="KAZIRIBA"/>
    <s v="Public"/>
    <x v="0"/>
    <s v="Muhanga"/>
    <s v="Muhanga"/>
    <s v="NNYL_2"/>
    <s v="Mambu/Base Sub-Catchment"/>
    <n v="3153.6"/>
  </r>
  <r>
    <x v="0"/>
    <s v="TEREZA"/>
    <s v="Public"/>
    <x v="0"/>
    <s v="Muhanga"/>
    <s v="Muhanga"/>
    <s v="NNYL_2"/>
    <s v="Mambu/Base Sub-Catchment"/>
    <n v="4730.4000000000005"/>
  </r>
  <r>
    <x v="0"/>
    <s v="GASAGARA"/>
    <s v="Public"/>
    <x v="0"/>
    <s v="Muhanga"/>
    <s v="Muhanga"/>
    <s v="NNYL_2"/>
    <s v="Mambu/Base Sub-Catchment"/>
    <n v="6307.2"/>
  </r>
  <r>
    <x v="0"/>
    <s v="GATARE"/>
    <s v="Public"/>
    <x v="0"/>
    <s v="Muhanga"/>
    <s v="Muhanga"/>
    <s v="NNYL_2"/>
    <s v="Mambu/Base Sub-Catchment"/>
    <n v="4730.4000000000005"/>
  </r>
  <r>
    <x v="0"/>
    <s v="RWABASHEJA"/>
    <s v="Public"/>
    <x v="0"/>
    <s v="Muhanga"/>
    <s v="Muhanga"/>
    <s v="NNYL_2"/>
    <s v="Mambu/Base Sub-Catchment"/>
    <n v="11037.6"/>
  </r>
  <r>
    <x v="0"/>
    <s v="KAVOMO"/>
    <s v="Public"/>
    <x v="0"/>
    <s v="Muhanga"/>
    <s v="Muhanga"/>
    <s v="NNYL_2"/>
    <s v="Mambu/Base Sub-Catchment"/>
    <n v="6307.2"/>
  </r>
  <r>
    <x v="0"/>
    <s v="NYAKAGEZI"/>
    <s v="Public"/>
    <x v="0"/>
    <s v="Muhanga"/>
    <s v="Muhanga"/>
    <s v="NNYL_2"/>
    <s v="Mambu/Base Sub-Catchment"/>
    <n v="315.36"/>
  </r>
  <r>
    <x v="0"/>
    <s v="MUCYABAKARA"/>
    <s v="Public"/>
    <x v="0"/>
    <s v="Muhanga"/>
    <s v="Muhanga"/>
    <s v="NNYL_2"/>
    <s v="Mambu/Base Sub-Catchment"/>
    <n v="14191.2"/>
  </r>
  <r>
    <x v="0"/>
    <s v="KANABA"/>
    <s v="Public"/>
    <x v="0"/>
    <s v="Muhanga"/>
    <s v="Muhanga"/>
    <s v="NNYL_2"/>
    <s v="Mambu/Base Sub-Catchment"/>
    <n v="3153.6"/>
  </r>
  <r>
    <x v="0"/>
    <s v="NYAKABINGO"/>
    <s v="Public"/>
    <x v="0"/>
    <s v="Muhanga"/>
    <s v="Muhanga"/>
    <s v="NNYL_2"/>
    <s v="Mambu/Base Sub-Catchment"/>
    <n v="15768"/>
  </r>
  <r>
    <x v="0"/>
    <s v="KAMASENGE"/>
    <s v="Public"/>
    <x v="0"/>
    <s v="Muhanga"/>
    <s v="Muhanga"/>
    <s v="NNYL_2"/>
    <s v="Mambu/Base Sub-Catchment"/>
    <n v="7884"/>
  </r>
  <r>
    <x v="0"/>
    <s v="KAMUGUGU"/>
    <s v="Public"/>
    <x v="0"/>
    <s v="Muhanga"/>
    <s v="Muhanga"/>
    <s v="NNYL_2"/>
    <s v="Mambu/Base Sub-Catchment"/>
    <n v="4730.4000000000005"/>
  </r>
  <r>
    <x v="0"/>
    <s v="KUBIRARO"/>
    <s v="Public"/>
    <x v="0"/>
    <s v="Kicukiro"/>
    <s v="Kanombe"/>
    <s v="NAKU_1"/>
    <s v="Mugesera/Sake sub catchmentt"/>
    <n v="7884"/>
  </r>
  <r>
    <x v="0"/>
    <s v="BAMPOREZE II"/>
    <s v="Public"/>
    <x v="0"/>
    <s v="Kicukiro"/>
    <s v="Kanombe"/>
    <s v="NAKU_1"/>
    <s v="Mugesera/Sake sub catchmentt"/>
    <n v="12614.4"/>
  </r>
  <r>
    <x v="0"/>
    <s v="hp bwiza 1"/>
    <s v="Public"/>
    <x v="0"/>
    <s v="Gasabo"/>
    <s v="Kimironko"/>
    <s v="NAKU_1"/>
    <s v="Mugesera/Sake sub catchmentt"/>
    <n v="394.2"/>
  </r>
  <r>
    <x v="0"/>
    <s v="hp bwiza 2"/>
    <s v="Public"/>
    <x v="0"/>
    <s v="Gasabo"/>
    <s v="Kimironko"/>
    <s v="NAKU_1"/>
    <s v="Mugesera/Sake sub catchmentt"/>
    <n v="4257.3600000000006"/>
  </r>
  <r>
    <x v="0"/>
    <s v="HP BWIZA I"/>
    <s v="Public"/>
    <x v="0"/>
    <s v="Kicukiro"/>
    <s v="Masaka"/>
    <s v="NAKU_1"/>
    <s v="Mugesera/Sake sub catchmentt"/>
    <n v="7884"/>
  </r>
  <r>
    <x v="0"/>
    <s v="HUND PUMP BWIZA II"/>
    <s v="Public"/>
    <x v="0"/>
    <s v="Kicukiro"/>
    <s v="Masaka"/>
    <s v="NAKU_1"/>
    <s v="Mugesera/Sake sub catchmentt"/>
    <n v="6307.2"/>
  </r>
  <r>
    <x v="0"/>
    <s v="HP KIYOVU"/>
    <s v="Public"/>
    <x v="0"/>
    <s v="Kicukiro"/>
    <s v="Masaka"/>
    <s v="NAKU_1"/>
    <s v="Mugesera/Sake sub catchmentt"/>
    <n v="9460.8000000000011"/>
  </r>
  <r>
    <x v="0"/>
    <s v="HP MURI KIRA"/>
    <s v="Public"/>
    <x v="0"/>
    <s v="Gasabo"/>
    <s v="Ndera"/>
    <s v="NAKU_1"/>
    <s v="Mugesera/Sake sub catchmentt"/>
    <n v="7884"/>
  </r>
  <r>
    <x v="0"/>
    <s v="MURI GITARA"/>
    <s v="Public"/>
    <x v="0"/>
    <s v="Kicukiro"/>
    <s v="Nyarugunga"/>
    <s v="NAKU_1"/>
    <s v="Mugesera/Sake sub catchmentt"/>
    <n v="14191.2"/>
  </r>
  <r>
    <x v="0"/>
    <s v="kwa Rwahama/nyagikoto vil"/>
    <s v="Public"/>
    <x v="0"/>
    <s v="Ngoma"/>
    <s v="Rurenge"/>
    <s v="NAKU_1"/>
    <s v="Mugesera/Sake sub catchmentt"/>
    <n v="11037.6"/>
  </r>
  <r>
    <x v="0"/>
    <s v="KAVUBIRO"/>
    <m/>
    <x v="0"/>
    <s v="Ngoma"/>
    <s v="Rurenge"/>
    <s v="NAKU_1"/>
    <s v="Mugesera/Sake sub catchmentt"/>
    <n v="5518.8"/>
  </r>
  <r>
    <x v="0"/>
    <s v="Kararama"/>
    <s v="Public"/>
    <x v="0"/>
    <s v="Rulindo"/>
    <s v="Cyinzuzi"/>
    <s v="NNYL_1"/>
    <s v="Nyabugogo Sub-Catchment"/>
    <n v="12614.4"/>
  </r>
  <r>
    <x v="0"/>
    <s v="HP IHURIRO"/>
    <s v="Public"/>
    <x v="0"/>
    <s v="Gasabo"/>
    <s v="Jabana"/>
    <s v="NNYL_1"/>
    <s v="Nyabugogo Sub-Catchment"/>
    <n v="7884"/>
  </r>
  <r>
    <x v="0"/>
    <s v="HP KIBAZI"/>
    <s v="Public"/>
    <x v="0"/>
    <s v="Gasabo"/>
    <s v="Kacyiru"/>
    <s v="NNYL_1"/>
    <s v="Nyabugogo Sub-Catchment"/>
    <n v="7884"/>
  </r>
  <r>
    <x v="0"/>
    <s v="HP RUTAGARA I"/>
    <s v="Public"/>
    <x v="0"/>
    <s v="Nyarugenge"/>
    <s v="Kanyinya"/>
    <s v="NNYL_1"/>
    <s v="Nyabugogo Sub-Catchment"/>
    <n v="7884"/>
  </r>
  <r>
    <x v="0"/>
    <s v="HP KAMENGE"/>
    <s v="Public"/>
    <x v="0"/>
    <s v="Nyarugenge"/>
    <s v="Kigali"/>
    <s v="NNYL_1"/>
    <s v="Nyabugogo Sub-Catchment"/>
    <n v="12614.4"/>
  </r>
  <r>
    <x v="0"/>
    <s v="HP GITIKINYONI"/>
    <s v="Public"/>
    <x v="0"/>
    <s v="Nyarugenge"/>
    <s v="Kigali"/>
    <s v="NNYL_1"/>
    <s v="Nyabugogo Sub-Catchment"/>
    <n v="7884"/>
  </r>
  <r>
    <x v="1"/>
    <s v="Abakangukiyekawa CWS"/>
    <s v="Abakangukiyekawa Coop."/>
    <x v="0"/>
    <s v="Ngoma"/>
    <s v="Gashanda"/>
    <s v="NAKU_1"/>
    <s v="Mugesera/Sake sub catchmentt"/>
    <n v="50806.629537233603"/>
  </r>
  <r>
    <x v="1"/>
    <s v="Abangakurushwa II"/>
    <s v="Abangakurushwa Cooperative"/>
    <x v="0"/>
    <s v="Nyamasheke"/>
    <s v="Ruharambuga"/>
    <s v="CKIV_3"/>
    <s v="Kamiranzovu Sub-Catchment"/>
    <n v="52052.603103703499"/>
  </r>
  <r>
    <x v="1"/>
    <s v="ARABICA CWS"/>
    <s v="ARABICA Coop."/>
    <x v="0"/>
    <s v="Ruhango"/>
    <s v="Ntongwe"/>
    <s v="NAKN_2"/>
    <s v="Gishara/Mukunguri Sub-Catchment"/>
    <n v="51428.802256461102"/>
  </r>
  <r>
    <x v="1"/>
    <s v="ATC Kinazi"/>
    <s v="UWAMAHORO Dieudonné"/>
    <x v="0"/>
    <s v="Ruhango"/>
    <s v="Kinazi"/>
    <s v="NAKN_2"/>
    <s v="Gishara/Mukunguri Sub-Catchment"/>
    <n v="51475.867066011902"/>
  </r>
  <r>
    <x v="1"/>
    <s v="Birembo CWS"/>
    <s v="C Dormans Ltd"/>
    <x v="0"/>
    <s v="Nyamasheke"/>
    <s v="Macuba"/>
    <s v="CKIV_3"/>
    <s v="Kamiranzovu Sub-Catchment"/>
    <n v="52122.073840003803"/>
  </r>
  <r>
    <x v="1"/>
    <s v="Bufcoffee Kamonyi ( ex.Shenga CWS )"/>
    <s v="Bufcoffee Ltd ( ex.Mr. RUKUNDO J.Bosco )"/>
    <x v="0"/>
    <s v="Kamonyi"/>
    <s v="Gacurabwenge"/>
    <s v="NAKN_2"/>
    <s v="Gishara/Mukunguri Sub-Catchment"/>
    <n v="51687.869732324602"/>
  </r>
  <r>
    <x v="1"/>
    <s v="Buganza CWS ( ex. Gaseke Coffee-Sylver )"/>
    <s v="Dormans ltd"/>
    <x v="0"/>
    <s v="Gatsibo"/>
    <s v="Murambi"/>
    <s v="NNYL_1"/>
    <s v="Nyabugogo Sub-Catchment"/>
    <n v="49129.296272425097"/>
  </r>
  <r>
    <x v="1"/>
    <s v="Bugoyi CWS ( former COOCAK Kigeyo )"/>
    <s v="Mr. VUGUZIGA Christine"/>
    <x v="0"/>
    <s v="Rutsiro"/>
    <s v="Kigeyo"/>
    <s v="CKIV_2"/>
    <s v="Koko/Muregeya Sub-Catchment"/>
    <n v="51412.020894574198"/>
  </r>
  <r>
    <x v="1"/>
    <s v="Buhanga CWS"/>
    <s v="Buhanga Coffee Coop."/>
    <x v="0"/>
    <s v="Gisagara"/>
    <s v="Musha"/>
    <s v="NAKN_2"/>
    <s v="Gishara/Mukunguri Sub-Catchment"/>
    <n v="51834.508370453303"/>
  </r>
  <r>
    <x v="1"/>
    <s v="Buhoro CWS/COTECAGA"/>
    <s v="C Dormans Ltd"/>
    <x v="0"/>
    <s v="Nyamasheke"/>
    <s v="Macuba"/>
    <s v="CKIV_3"/>
    <s v="Kamiranzovu Sub-Catchment"/>
    <n v="51777.736608353101"/>
  </r>
  <r>
    <x v="1"/>
    <s v="Bujyujyu CWS"/>
    <s v="Mr.NTEZIRIZAZA Theogene"/>
    <x v="0"/>
    <s v="Rwamagana"/>
    <s v="Muyumbu"/>
    <s v="NAKU_1"/>
    <s v="Mugesera/Sake sub catchmentt"/>
    <n v="51266.913277647604"/>
  </r>
  <r>
    <x v="1"/>
    <s v="Bukiro Coffee"/>
    <s v="Bukiro Coffee Cooperative"/>
    <x v="0"/>
    <s v="Nyamasheke"/>
    <s v="Nyabitekeri"/>
    <s v="CKIV_3"/>
    <s v="Kamiranzovu Sub-Catchment"/>
    <n v="50619.811870007397"/>
  </r>
  <r>
    <x v="1"/>
    <s v="Bukonya CWS"/>
    <s v="Mrs.MUKAKARANGWA Christine"/>
    <x v="0"/>
    <s v="Gakenke"/>
    <s v="Mataba"/>
    <s v="NNYL_2"/>
    <s v="Mambu/Base Sub-Catchment"/>
    <n v="52049.444914346401"/>
  </r>
  <r>
    <x v="1"/>
    <s v="Buriza CWS"/>
    <s v="CAFERWA Ltd/Mr. Faustin MBUNDU"/>
    <x v="0"/>
    <s v="Rulindo"/>
    <s v="Burega"/>
    <s v="NNYL_1"/>
    <s v="Nyabugogo Sub-Catchment"/>
    <n v="51338.659720410004"/>
  </r>
  <r>
    <x v="1"/>
    <s v="Bushekeri CWS"/>
    <s v="Mr.NDEREYIMANA Louis"/>
    <x v="0"/>
    <s v="Nyamasheke"/>
    <s v="Bushekeri"/>
    <s v="CKIV_3"/>
    <s v="Kamiranzovu Sub-Catchment"/>
    <n v="51984.5077532449"/>
  </r>
  <r>
    <x v="1"/>
    <s v="Bushenge CWS (ex.Impala coffee )"/>
    <s v="IMPEXCOR Ltd"/>
    <x v="0"/>
    <s v="Nyamasheke"/>
    <s v="Bushenge"/>
    <s v="CKIV_3"/>
    <s v="Kamiranzovu Sub-Catchment"/>
    <n v="51242.463052080799"/>
  </r>
  <r>
    <x v="1"/>
    <s v="Bushoki/Inyongeramusaruro"/>
    <s v="Mucyodusenge Jean Claude/Inyongeramusaruro Coop."/>
    <x v="0"/>
    <s v="Rulindo"/>
    <s v="Bushoki"/>
    <s v="NNYL_2"/>
    <s v="Mambu/Base Sub-Catchment"/>
    <n v="51908.742043605504"/>
  </r>
  <r>
    <x v="1"/>
    <s v="Butara CWS"/>
    <s v="Mr.MFURANZIMA Jean Pierre"/>
    <x v="0"/>
    <s v="Nyanza"/>
    <s v="Kigoma"/>
    <s v="NAKN_2"/>
    <s v="Gishara/Mukunguri Sub-Catchment"/>
    <n v="52024.776236834601"/>
  </r>
  <r>
    <x v="1"/>
    <s v="Butembo coffee"/>
    <s v="Butembo Coffee Ltd/Kubwimana Jean Bosco"/>
    <x v="0"/>
    <s v="Nyamasheke"/>
    <s v="Gihombo"/>
    <s v="CKIV_2"/>
    <s v="Koko/Muregeya Sub-Catchment"/>
    <n v="50104.938316692198"/>
  </r>
  <r>
    <x v="1"/>
    <s v="Bwishaza Coffee"/>
    <s v="Bwishaza coop./C.Dormans Ltd"/>
    <x v="0"/>
    <s v="Rutsiro"/>
    <s v="Gihango"/>
    <s v="CKIV_2"/>
    <s v="Koko/Muregeya Sub-Catchment"/>
    <n v="51060.266215958203"/>
  </r>
  <r>
    <x v="1"/>
    <s v="Café de Gisagara ( ex. Moubarak CWS )"/>
    <s v="Café de Gisagara Ltd/ Q Young Jung"/>
    <x v="0"/>
    <s v="Gisagara"/>
    <s v="Ndora"/>
    <s v="NAKN_1"/>
    <s v="Giswi/Agatobwe Sub-Catchment"/>
    <n v="51521.347998009798"/>
  </r>
  <r>
    <x v="1"/>
    <s v="CAFERWA Shangi CWS"/>
    <s v="CAFERWA Ltd/ Mr.MBUNDU Kananura"/>
    <x v="0"/>
    <s v="Nyamasheke"/>
    <s v="Shangi"/>
    <s v="CKIV_3"/>
    <s v="Kamiranzovu Sub-Catchment"/>
    <n v="50709.815607824901"/>
  </r>
  <r>
    <x v="1"/>
    <s v="COCAGI CWS"/>
    <s v="COCAGI Coop."/>
    <x v="0"/>
    <s v="Rusizi"/>
    <s v="Nzahaha"/>
    <s v="CRUS_1"/>
    <s v="Rubyiro Sub-Catchment"/>
    <n v="51311.680962818296"/>
  </r>
  <r>
    <x v="1"/>
    <s v="COCAMU Musaza"/>
    <s v="COCAMU Coop."/>
    <x v="0"/>
    <s v="Kirehe"/>
    <s v="Musaza"/>
    <s v="NAKU_2"/>
    <s v="Rweru Sub-Catchment"/>
    <n v="52003.911795359199"/>
  </r>
  <r>
    <x v="1"/>
    <s v="COCATU CWS"/>
    <s v="COCATU Coop."/>
    <x v="0"/>
    <s v="Rulindo"/>
    <s v="Tumba"/>
    <s v="NNYL_1"/>
    <s v="Nyabugogo Sub-Catchment"/>
    <n v="49670.992462964401"/>
  </r>
  <r>
    <x v="1"/>
    <s v="COCUCAMU CWS"/>
    <s v="COCUCAMU Coop/ rented by Munsasire Celestin"/>
    <x v="0"/>
    <s v="Nyagatare"/>
    <s v="Mukama"/>
    <s v="NMUV_2"/>
    <s v="Warufu/Muvumba Sub-Catchment"/>
    <n v="50629.452386024801"/>
  </r>
  <r>
    <x v="1"/>
    <s v="Coffee Village"/>
    <s v="Coffee Village Ltd /Mr.Tom BAGAZA )"/>
    <x v="0"/>
    <s v="Gatsibo"/>
    <s v="Muhura"/>
    <s v="NNYL_1"/>
    <s v="Nyabugogo Sub-Catchment"/>
    <n v="52045.982343850403"/>
  </r>
  <r>
    <x v="1"/>
    <s v="COOCAN Duhuzimbaraga"/>
    <s v="COOCAN Duhuzimbaraga Coop."/>
    <x v="0"/>
    <s v="Nyamasheke"/>
    <s v="Karambi"/>
    <s v="CKIV_3"/>
    <s v="Kamiranzovu Sub-Catchment"/>
    <n v="51278.382390660401"/>
  </r>
  <r>
    <x v="1"/>
    <s v="COOPAC Gishamwana"/>
    <s v="COOPAC Ltd"/>
    <x v="0"/>
    <s v="Rutsiro"/>
    <s v="Mushonyi"/>
    <s v="CKIV_2"/>
    <s v="Koko/Muregeya Sub-Catchment"/>
    <n v="51129.633350624303"/>
  </r>
  <r>
    <x v="1"/>
    <s v="COOPAC Kabirizi"/>
    <s v="COOPAC Ltd"/>
    <x v="0"/>
    <s v="Rutsiro"/>
    <s v="Kivumu"/>
    <s v="CKIV_2"/>
    <s v="Koko/Muregeya Sub-Catchment"/>
    <n v="51129.633350624303"/>
  </r>
  <r>
    <x v="1"/>
    <s v="COOPAC Kirorero"/>
    <s v="COOPAC Ltd"/>
    <x v="0"/>
    <s v="Rutsiro"/>
    <s v="Boneza"/>
    <s v="CKIV_2"/>
    <s v="Koko/Muregeya Sub-Catchment"/>
    <n v="49855.495932109501"/>
  </r>
  <r>
    <x v="1"/>
    <s v="COOPAC Muyongwe"/>
    <s v="COOPAC Ltd/ Mr.NZUNGIZE Emmanuel"/>
    <x v="0"/>
    <s v="Gakenke"/>
    <s v="Muyongwe"/>
    <s v="NNYL_1"/>
    <s v="Nyabugogo Sub-Catchment"/>
    <n v="49078.761260927298"/>
  </r>
  <r>
    <x v="1"/>
    <s v="COOPAC Nyabumera CWS"/>
    <s v="COOPAC Ltd/Mr.RWAKAGARA Nzungize"/>
    <x v="0"/>
    <s v="Nyamasheke"/>
    <s v="Mahembe"/>
    <s v="CKIV_3"/>
    <s v="Kamiranzovu Sub-Catchment"/>
    <n v="50923.683202681001"/>
  </r>
  <r>
    <x v="1"/>
    <s v="COOPAC Nyamwenda"/>
    <s v="COOPAC Ltd"/>
    <x v="0"/>
    <s v="Rubavu"/>
    <s v="Nyamyumba"/>
    <s v="CKIV_1"/>
    <s v="Sebeya Sub-Catchment"/>
    <n v="49074.411189494997"/>
  </r>
  <r>
    <x v="1"/>
    <s v="COOPAC Rulindo"/>
    <s v="COOPAC Ltd/Mr.Rwakagara NZUNGIZE"/>
    <x v="0"/>
    <s v="Rulindo"/>
    <s v="Bushoki"/>
    <s v="NNYL_2"/>
    <s v="Mambu/Base Sub-Catchment"/>
    <n v="51830.608347383597"/>
  </r>
  <r>
    <x v="1"/>
    <s v="COPROFICAG"/>
    <s v="COPROFICAG Coop."/>
    <x v="0"/>
    <s v="Rusizi"/>
    <s v="Gitambi"/>
    <s v="CRUS_1"/>
    <s v="Rubyiro Sub-Catchment"/>
    <n v="50141.129619120104"/>
  </r>
  <r>
    <x v="1"/>
    <s v="COSHACO ( ex.Shara coffee)"/>
    <s v="Shara Coffee Coop"/>
    <x v="0"/>
    <s v="Nyamasheke"/>
    <s v="Kagano"/>
    <s v="CKIV_3"/>
    <s v="Kamiranzovu Sub-Catchment"/>
    <n v="49119.635726920897"/>
  </r>
  <r>
    <x v="1"/>
    <s v="CTMK-Nyagihanga Coffee"/>
    <s v="Mayange coffee coop ( ex.Terimberemuhinzi wa kawa)"/>
    <x v="0"/>
    <s v="Gatsibo"/>
    <s v="Nyagihanga"/>
    <s v="NAKL_1"/>
    <s v="Akagera Lower Catchment"/>
    <n v="49224.891242143698"/>
  </r>
  <r>
    <x v="1"/>
    <s v="Cyahinda CWS"/>
    <s v="Cyahinda Coffee Ltd/Mrs Niyonsaba Betty Sheba"/>
    <x v="0"/>
    <s v="Nyaruguru"/>
    <s v="Cyahinda"/>
    <s v="NAKN_1"/>
    <s v="Giswi/Agatobwe Sub-Catchment"/>
    <n v="51912.4869525752"/>
  </r>
  <r>
    <x v="1"/>
    <s v="Cyato CWS"/>
    <s v="Mr.NDAGIJIMANA Leon Fidele"/>
    <x v="0"/>
    <s v="Nyamasheke"/>
    <s v="Cyato"/>
    <s v="CKIV_3"/>
    <s v="Kamiranzovu Sub-Catchment"/>
    <n v="51634.5358075564"/>
  </r>
  <r>
    <x v="1"/>
    <s v="Cyimbiri CWS"/>
    <s v="A.E.B.R/Church"/>
    <x v="0"/>
    <s v="Rutsiro"/>
    <s v="Kigeyo"/>
    <s v="CKIV_2"/>
    <s v="Koko/Muregeya Sub-Catchment"/>
    <n v="52127.1259078804"/>
  </r>
  <r>
    <x v="1"/>
    <s v="Cyingwa I"/>
    <s v="Tuzamurane Coop."/>
    <x v="0"/>
    <s v="Rusizi"/>
    <s v="Gitambi"/>
    <s v="CRUS_1"/>
    <s v="Rubyiro Sub-Catchment"/>
    <n v="51603.733510820697"/>
  </r>
  <r>
    <x v="1"/>
    <s v="Cyingwa II / Gaseke"/>
    <s v="Tuzamurane Coop."/>
    <x v="0"/>
    <s v="Rusizi"/>
    <s v="Nyakabuye"/>
    <s v="CRUS_1"/>
    <s v="Rubyiro Sub-Catchment"/>
    <n v="51733.063753156399"/>
  </r>
  <r>
    <x v="1"/>
    <s v="Cyiza CWS ( New CWS )"/>
    <s v="Butara Mountain Coffee /Mrs.UWICYUSA Martine"/>
    <x v="0"/>
    <s v="Ngoma"/>
    <s v="Kibungo"/>
    <s v="NAKL_1"/>
    <s v="Akagera Lower Catchment"/>
    <n v="51836.373580937099"/>
  </r>
  <r>
    <x v="1"/>
    <s v="Cyondo CWS"/>
    <s v="Mr.NGIRABANYIGINYA Augustin"/>
    <x v="0"/>
    <s v="Rutsiro"/>
    <s v="Kivumu"/>
    <s v="CKIV_2"/>
    <s v="Koko/Muregeya Sub-Catchment"/>
    <n v="51954.919194902599"/>
  </r>
  <r>
    <x v="1"/>
    <s v="Dormans Kanjongo ( ex.COPROCA )"/>
    <s v="C Dormans Ltd"/>
    <x v="0"/>
    <s v="Nyamasheke"/>
    <s v="Kanjongo"/>
    <s v="CKIV_3"/>
    <s v="Kamiranzovu Sub-Catchment"/>
    <n v="52106.843549028898"/>
  </r>
  <r>
    <x v="1"/>
    <s v="EDEN CWS"/>
    <s v="Mr. NAHIMANA Venuste"/>
    <x v="0"/>
    <s v="Rusizi"/>
    <s v="Nkanka"/>
    <s v="CKIV_3"/>
    <s v="Kamiranzovu Sub-Catchment"/>
    <n v="51276.769467685801"/>
  </r>
  <r>
    <x v="1"/>
    <s v="ENAS Bugarura"/>
    <s v="Alfred NKUBIRI/ENAS"/>
    <x v="0"/>
    <s v="Gatsibo"/>
    <s v="Remera"/>
    <s v="NAKL_1"/>
    <s v="Akagera Lower Catchment"/>
    <n v="49111.4726528912"/>
  </r>
  <r>
    <x v="1"/>
    <s v="ENAS Rwamiko"/>
    <s v="Mr.Alfred NKUBIRI"/>
    <x v="0"/>
    <s v="Gicumbi"/>
    <s v="Giti"/>
    <s v="NNYL_1"/>
    <s v="Nyabugogo Sub-Catchment"/>
    <n v="49920.565028669698"/>
  </r>
  <r>
    <x v="1"/>
    <s v="ENAS/Mpanga"/>
    <s v="Alfred NKUBIRI/ENAS"/>
    <x v="0"/>
    <s v="Kirehe"/>
    <s v="Mpanga"/>
    <s v="NAKL_1"/>
    <s v="Akagera Lower Catchment"/>
    <n v="50580.410299675801"/>
  </r>
  <r>
    <x v="1"/>
    <s v="ENAS/Mubuga"/>
    <s v="ENAS/NKUBILI Alfred"/>
    <x v="0"/>
    <s v="Karongi"/>
    <s v="Mubuga"/>
    <s v="CKIV_2"/>
    <s v="Koko/Muregeya Sub-Catchment"/>
    <n v="51769.920004046398"/>
  </r>
  <r>
    <x v="1"/>
    <s v="Gahara CWS"/>
    <s v="Mr.IyakaremyeJeremie"/>
    <x v="0"/>
    <s v="Kirehe"/>
    <s v="Kigina"/>
    <s v="NAKL_1"/>
    <s v="Akagera Lower Catchment"/>
    <n v="49105.215882602002"/>
  </r>
  <r>
    <x v="1"/>
    <s v="Gakoma CWS/Mahembe 2"/>
    <s v="Mr.Justin MUSABYIMANA"/>
    <x v="0"/>
    <s v="Nyamasheke"/>
    <s v="Gihombo"/>
    <s v="CKIV_2"/>
    <s v="Koko/Muregeya Sub-Catchment"/>
    <n v="52071.494335828"/>
  </r>
  <r>
    <x v="1"/>
    <s v="Gasaka CWS"/>
    <s v="Mr. Martin NGOGA"/>
    <x v="0"/>
    <s v="Nyamagabe"/>
    <s v="Gasaka"/>
    <s v="NNYU_2"/>
    <s v="Mwogo Sub-Catchment"/>
    <n v="52071.494335828"/>
  </r>
  <r>
    <x v="1"/>
    <s v="Gaseke-RWACOF Ltd ( ex. COPROCANYA )"/>
    <s v="RWACOF Ltd ( ex HAGENIMANA Sylver)"/>
    <x v="0"/>
    <s v="Rusizi"/>
    <s v="Nyakabuye"/>
    <s v="CRUS_1"/>
    <s v="Rubyiro Sub-Catchment"/>
    <n v="51789.504385727203"/>
  </r>
  <r>
    <x v="1"/>
    <s v="Gasharu CWS"/>
    <s v="Mr.RUMENERANGABO Celestin"/>
    <x v="0"/>
    <s v="Nyamasheke"/>
    <s v="Macuba"/>
    <s v="CKIV_3"/>
    <s v="Kamiranzovu Sub-Catchment"/>
    <n v="49748.087765319498"/>
  </r>
  <r>
    <x v="1"/>
    <s v="Gashonga Coffee"/>
    <s v="Gashonga Coffee Coop."/>
    <x v="0"/>
    <s v="Rusizi"/>
    <s v="Gashonga"/>
    <s v="CRUS_1"/>
    <s v="Rubyiro Sub-Catchment"/>
    <n v="51574.1066945887"/>
  </r>
  <r>
    <x v="1"/>
    <s v="Gatare CWS"/>
    <s v="RTC Ltd"/>
    <x v="0"/>
    <s v="Nyamasheke"/>
    <s v="Karambi"/>
    <s v="CKIV_3"/>
    <s v="Kamiranzovu Sub-Catchment"/>
    <n v="51361.7724435618"/>
  </r>
  <r>
    <x v="1"/>
    <s v="Gatare CWS ( ex.COPROCAGA)"/>
    <s v="IMPEXCOR Ltd/Mr.MWUMVANEZA Erneste"/>
    <x v="0"/>
    <s v="Nyamasheke"/>
    <s v="Macuba"/>
    <s v="CKIV_3"/>
    <s v="Kamiranzovu Sub-Catchment"/>
    <n v="52050.829830227303"/>
  </r>
  <r>
    <x v="1"/>
    <s v="Gift Coffee Company Ltd"/>
    <s v="Mr.MANIRAKIZA Damien"/>
    <x v="0"/>
    <s v="Huye"/>
    <s v="Maraba"/>
    <s v="NAKN_1"/>
    <s v="Giswi/Agatobwe Sub-Catchment"/>
    <n v="51797.898074694902"/>
  </r>
  <r>
    <x v="1"/>
    <s v="Gihombo CWS"/>
    <s v="Mr.MUTAGOMA Joseph"/>
    <x v="0"/>
    <s v="Nyamasheke"/>
    <s v="Gihombo"/>
    <s v="CKIV_2"/>
    <s v="Koko/Muregeya Sub-Catchment"/>
    <n v="51245.1663649896"/>
  </r>
  <r>
    <x v="1"/>
    <s v="Gikonko CWS/Rwatano CWS"/>
    <s v="Mr. Isaie Ndahimana / Rubayiza Aloys"/>
    <x v="0"/>
    <s v="Gisagara"/>
    <s v="Gikonko"/>
    <s v="NAKN_2"/>
    <s v="Gishara/Mukunguri Sub-Catchment"/>
    <n v="52065.350589080997"/>
  </r>
  <r>
    <x v="1"/>
    <s v="Gisaka Coffee"/>
    <s v="Gisaka coffee Coop."/>
    <x v="0"/>
    <s v="Kirehe"/>
    <s v="Mushikiri"/>
    <s v="NAKL_1"/>
    <s v="Akagera Lower Catchment"/>
    <n v="50925.190616269101"/>
  </r>
  <r>
    <x v="1"/>
    <s v="Gisaka Trading Company B ( ex.COOPACEL-Cyiha )"/>
    <s v="Mr.BIZIMUNGU Philemon"/>
    <x v="0"/>
    <s v="Kirehe"/>
    <s v="Gatore"/>
    <s v="NAKU_2"/>
    <s v="Rweru Sub-Catchment"/>
    <n v="52124.600015645599"/>
  </r>
  <r>
    <x v="1"/>
    <s v="Gisiza CWS/COCAHU"/>
    <s v="COCAHU Coop."/>
    <x v="0"/>
    <s v="Gatsibo"/>
    <s v="Kageyo"/>
    <s v="NAKL_1"/>
    <s v="Akagera Lower Catchment"/>
    <n v="51631.1516119351"/>
  </r>
  <r>
    <x v="1"/>
    <s v="Gisuma coffee"/>
    <s v="Gisuma Coffee Coop"/>
    <x v="0"/>
    <s v="Rusizi"/>
    <s v="Giheke"/>
    <s v="CKIV_3"/>
    <s v="Kamiranzovu Sub-Catchment"/>
    <n v="51395.255041524397"/>
  </r>
  <r>
    <x v="1"/>
    <s v="Gitaba CWS"/>
    <s v="Mr.RUDAHUNGA Francois"/>
    <x v="0"/>
    <s v="Nyamasheke"/>
    <s v="Nyabitekeri"/>
    <s v="CKIV_3"/>
    <s v="Kamiranzovu Sub-Catchment"/>
    <n v="50775.892932731702"/>
  </r>
  <r>
    <x v="1"/>
    <s v="Gitambi CWS"/>
    <s v="CODECABU Cooperative"/>
    <x v="0"/>
    <s v="Rusizi"/>
    <s v="Gikundamvura"/>
    <s v="CRUS_1"/>
    <s v="Rubyiro Sub-Catchment"/>
    <n v="52136.385050415003"/>
  </r>
  <r>
    <x v="1"/>
    <s v="Gitega high Coffee"/>
    <s v="TRAPRO Ltd/Mr.UWITIJE Bernard"/>
    <x v="0"/>
    <s v="Nyamagabe"/>
    <s v="Cyanika"/>
    <s v="NNYU_2"/>
    <s v="Mwogo Sub-Catchment"/>
    <n v="51202.646167995699"/>
  </r>
  <r>
    <x v="1"/>
    <s v="Gitesi CWS/KOPAKIKA"/>
    <s v="Mr. Alexis GAHIZI"/>
    <x v="0"/>
    <s v="Karongi"/>
    <s v="Gitesi"/>
    <s v="CKIV_2"/>
    <s v="Koko/Muregeya Sub-Catchment"/>
    <n v="51661.534170157298"/>
  </r>
  <r>
    <x v="1"/>
    <s v="Gitwe CWS ( New CWS )"/>
    <s v="Mr.NIYONSENGA Désiré"/>
    <x v="0"/>
    <s v="Nyamasheke"/>
    <s v="Karambi"/>
    <s v="CKIV_3"/>
    <s v="Kamiranzovu Sub-Catchment"/>
    <n v="51308.064230626696"/>
  </r>
  <r>
    <x v="1"/>
    <s v="Gutanga Farms CWS"/>
    <s v="Rwanda Trading Company Ltd"/>
    <x v="0"/>
    <s v="Rwamagana"/>
    <s v="Karenge"/>
    <s v="NAKU_1"/>
    <s v="Mugesera/Sake sub catchmentt"/>
    <n v="50026.342509366703"/>
  </r>
  <r>
    <x v="1"/>
    <s v="Habumugisha JP CWS ( ex Musha coop)"/>
    <s v="Mr.HABUMUGISHA J.Paul"/>
    <x v="0"/>
    <s v="Rwamagana"/>
    <s v="Musha"/>
    <s v="NAKU_1"/>
    <s v="Mugesera/Sake sub catchmentt"/>
    <n v="51962.233481459902"/>
  </r>
  <r>
    <x v="1"/>
    <s v="Huye Coffee"/>
    <s v="Mr. HAGUMAMAHORO Patrice"/>
    <x v="0"/>
    <s v="Huye"/>
    <s v="Huye"/>
    <s v="NAKN_1"/>
    <s v="Giswi/Agatobwe Sub-Catchment"/>
    <n v="52113.415359459097"/>
  </r>
  <r>
    <x v="1"/>
    <s v="Huye Coffee Investment"/>
    <s v="Huye Coffee Investment Ltd/Mr. RUDAHUNGA Abdul"/>
    <x v="0"/>
    <s v="Huye"/>
    <s v="Simbi"/>
    <s v="NNYU_2"/>
    <s v="Mwogo Sub-Catchment"/>
    <n v="52113.415359459097"/>
  </r>
  <r>
    <x v="1"/>
    <s v="I.A.K.B CWS"/>
    <s v="Mr.HITIYISE Alexis Muvunyi ( ex.IAKB Coop )"/>
    <x v="0"/>
    <s v="Ngoma"/>
    <s v="Murama"/>
    <s v="NAKU_2"/>
    <s v="Rweru Sub-Catchment"/>
    <n v="51986.995116582802"/>
  </r>
  <r>
    <x v="1"/>
    <s v="IBISI Mountain Coffee ( New CWS )"/>
    <s v="TRAPRO Ltd/Mr.UWITUJE Bernard"/>
    <x v="0"/>
    <s v="Huye"/>
    <s v="Maraba"/>
    <s v="NAKN_1"/>
    <s v="Giswi/Agatobwe Sub-Catchment"/>
    <n v="52037.721257732599"/>
  </r>
  <r>
    <x v="1"/>
    <s v="Ihirwe CWS"/>
    <s v="Mrs.UWUMUKIZA Valentine ( New CWS )"/>
    <x v="0"/>
    <s v="Rusizi"/>
    <s v="Rwimbogo"/>
    <s v="CRUS_1"/>
    <s v="Rubyiro Sub-Catchment"/>
    <n v="52037.721257732599"/>
  </r>
  <r>
    <x v="1"/>
    <s v="IMPEXCOR CWS Shyogwe ( ex.KAYCO Shyogwe)"/>
    <s v="IMPEXCOR/Mr.MWUMVANEZA Ernest"/>
    <x v="0"/>
    <s v="Muhanga"/>
    <s v="Shyogwe"/>
    <s v="NAKN_2"/>
    <s v="Gishara/Mukunguri Sub-Catchment"/>
    <n v="52125.4420113327"/>
  </r>
  <r>
    <x v="1"/>
    <s v="IMPEXCOR Ltd Murambi ( New CWS )"/>
    <s v="IMPEXCOR Ltd/MWUMVANEZA Ernest"/>
    <x v="0"/>
    <s v="Gatsibo"/>
    <s v="Murambi"/>
    <s v="NNYL_1"/>
    <s v="Nyabugogo Sub-Catchment"/>
    <n v="51999.446516260803"/>
  </r>
  <r>
    <x v="1"/>
    <s v="IMPEXCOR Muhura"/>
    <s v="IMPEXCOR Ltd/MWUMVANEZA Ernest"/>
    <x v="0"/>
    <s v="Gatsibo"/>
    <s v="Muhura"/>
    <s v="NNYL_1"/>
    <s v="Nyabugogo Sub-Catchment"/>
    <n v="50999.185382433199"/>
  </r>
  <r>
    <x v="1"/>
    <s v="IMPEXCOR Mutenderi"/>
    <s v="IMPEXCOR Ltd"/>
    <x v="0"/>
    <s v="Ngoma"/>
    <s v="Mutenderi"/>
    <s v="NAKU_2"/>
    <s v="Rweru Sub-Catchment"/>
    <n v="51428.802256461102"/>
  </r>
  <r>
    <x v="1"/>
    <s v="IMPEXCOR Ngarama (ex.COCAF )"/>
    <s v="IMPEXCOR Ltd/MWUMVANEZA Ernest"/>
    <x v="0"/>
    <s v="Gatsibo"/>
    <s v="Nyagihanga"/>
    <s v="NAKL_1"/>
    <s v="Akagera Lower Catchment"/>
    <n v="49400.978009900602"/>
  </r>
  <r>
    <x v="1"/>
    <s v="IMPEXCOR Nyakabuye"/>
    <s v="IMPEXCOR Ltd/Mr. MWUMVANEZA Innocent"/>
    <x v="0"/>
    <s v="Rusizi"/>
    <s v="Nyakabuye"/>
    <s v="CRUS_1"/>
    <s v="Rubyiro Sub-Catchment"/>
    <n v="49400.978009900602"/>
  </r>
  <r>
    <x v="1"/>
    <s v="Ishema CWS"/>
    <s v="C Dormans Ltd"/>
    <x v="0"/>
    <s v="Rusizi"/>
    <s v="Gikundamvura"/>
    <s v="CRUS_1"/>
    <s v="Rubyiro Sub-Catchment"/>
    <n v="49667.9636554217"/>
  </r>
  <r>
    <x v="1"/>
    <s v="Ishema Women's CWS/RTC"/>
    <s v="Mrs. TUSHABE Joy"/>
    <x v="0"/>
    <s v="Ngoma"/>
    <s v="Rurenge"/>
    <s v="NAKU_1"/>
    <s v="Mugesera/Sake sub catchmentt"/>
    <n v="51113.228822603101"/>
  </r>
  <r>
    <x v="1"/>
    <s v="IWACU Coffee/RTC"/>
    <s v="RTC Ltd"/>
    <x v="0"/>
    <s v="Nyamagabe"/>
    <s v="Kibirizi"/>
    <s v="NNYU_2"/>
    <s v="Mwogo Sub-Catchment"/>
    <n v="51766.071164931003"/>
  </r>
  <r>
    <x v="1"/>
    <s v="IWACU CWS"/>
    <s v="Mr.BIZIMANA Evariste"/>
    <x v="0"/>
    <s v="Nyanza"/>
    <s v="Nyagisozi"/>
    <s v="NNYU_2"/>
    <s v="Mwogo Sub-Catchment"/>
    <n v="51766.071164931003"/>
  </r>
  <r>
    <x v="1"/>
    <s v="Izere CWS"/>
    <s v="Izere Coffee Coop. ( ex.COCAMUYI Coop.)"/>
    <x v="0"/>
    <s v="Nyanza"/>
    <s v="Muyira"/>
    <s v="NAKN_2"/>
    <s v="Gishara/Mukunguri Sub-Catchment"/>
    <n v="51814.600921671001"/>
  </r>
  <r>
    <x v="1"/>
    <s v="Juru Coffee Washing Station"/>
    <s v="Mr.KARASI Leonard"/>
    <x v="0"/>
    <s v="Kayonza"/>
    <s v="Gahini"/>
    <s v="NAKL_1"/>
    <s v="Akagera Lower Catchment"/>
    <n v="51893.048698762701"/>
  </r>
  <r>
    <x v="1"/>
    <s v="Kabira Coffee Company Ltd (ex.KAY.CO Ltd )"/>
    <s v="Kabira Coffee Company Ltd"/>
    <x v="0"/>
    <s v="Gakenke"/>
    <s v="Coko"/>
    <s v="NNYL_2"/>
    <s v="Mambu/Base Sub-Catchment"/>
    <n v="51748.472871254402"/>
  </r>
  <r>
    <x v="1"/>
    <s v="KAFEKI CWS"/>
    <s v="KAFEKI Coop."/>
    <x v="0"/>
    <s v="Nyanza"/>
    <s v="Kigoma"/>
    <s v="NAKN_2"/>
    <s v="Gishara/Mukunguri Sub-Catchment"/>
    <n v="51195.508191201399"/>
  </r>
  <r>
    <x v="1"/>
    <s v="Kageyo CWS"/>
    <s v="KODUKA Coop."/>
    <x v="0"/>
    <s v="Ngororero"/>
    <s v="Kageyo"/>
    <s v="NNYU_3"/>
    <s v="Nyabarongo Upstream Sub-Catchment"/>
    <n v="51202.877565027004"/>
  </r>
  <r>
    <x v="1"/>
    <s v="Kageyo CWS ( ex.COCAKA site )"/>
    <s v="Mr.VUGANEZA Diogene"/>
    <x v="0"/>
    <s v="Gatsibo"/>
    <s v="Kageyo"/>
    <s v="NAKL_1"/>
    <s v="Akagera Lower Catchment"/>
    <n v="52086.493366544499"/>
  </r>
  <r>
    <x v="1"/>
    <s v="Kanya Coffee"/>
    <s v="RTC Ltd ( ex.Kanyamirwa Edmond )"/>
    <x v="0"/>
    <s v="Nyamasheke"/>
    <s v="Kanjongo"/>
    <s v="CKIV_3"/>
    <s v="Kamiranzovu Sub-Catchment"/>
    <n v="52088.3655324313"/>
  </r>
  <r>
    <x v="1"/>
    <s v="Kanyege CWS"/>
    <s v="Mr.KAYIJUKA Alphonse"/>
    <x v="0"/>
    <s v="Nyamasheke"/>
    <s v="Macuba"/>
    <s v="CKIV_3"/>
    <s v="Kamiranzovu Sub-Catchment"/>
    <n v="50135.6815872351"/>
  </r>
  <r>
    <x v="1"/>
    <s v="Kanzu CWS"/>
    <s v="C Dormans Ltd"/>
    <x v="0"/>
    <s v="Nyamasheke"/>
    <s v="Karambi"/>
    <s v="CKIV_3"/>
    <s v="Kamiranzovu Sub-Catchment"/>
    <n v="51803.341319843399"/>
  </r>
  <r>
    <x v="1"/>
    <s v="Karama coffee"/>
    <s v="Karama Coffee Coop."/>
    <x v="0"/>
    <s v="Kamonyi"/>
    <s v="Karama"/>
    <s v="NNYL_2"/>
    <s v="Mambu/Base Sub-Catchment"/>
    <n v="50038.862991379603"/>
  </r>
  <r>
    <x v="1"/>
    <s v="Karambi CWS/Kanya coffee"/>
    <s v="Karambi Mountain coffee Ltd/Mr.KANYAMIBWA Edmond"/>
    <x v="0"/>
    <s v="Nyamasheke"/>
    <s v="Karambi"/>
    <s v="CKIV_3"/>
    <s v="Kamiranzovu Sub-Catchment"/>
    <n v="51970.071376385204"/>
  </r>
  <r>
    <x v="1"/>
    <s v="Karengera-Cyiya CWS"/>
    <s v="Karengera Ltd/Mr.Aphrodis MUGAMBIRA"/>
    <x v="0"/>
    <s v="Nyamasheke"/>
    <s v="Kirimbi"/>
    <s v="CKIV_3"/>
    <s v="Kamiranzovu Sub-Catchment"/>
    <n v="51909.301250541001"/>
  </r>
  <r>
    <x v="1"/>
    <s v="Karengera-Kivugiza CWS"/>
    <s v="Karengera Ltd/Mr.Aphrodis MUGAMBIRA"/>
    <x v="0"/>
    <s v="Nyamasheke"/>
    <s v="Kirimbi"/>
    <s v="CKIV_3"/>
    <s v="Kamiranzovu Sub-Catchment"/>
    <n v="51482.9527900881"/>
  </r>
  <r>
    <x v="1"/>
    <s v="Karisimbi CWS/DALLAS INVESTMENT LTD"/>
    <s v="DALLAS INVESTMENT LTD /Mrs.Kamarade Immy"/>
    <x v="0"/>
    <s v="Gicumbi"/>
    <s v="Nyamiyaga"/>
    <s v="NMUV_2"/>
    <s v="Warufu/Muvumba Sub-Catchment"/>
    <n v="51627.869209850702"/>
  </r>
  <r>
    <x v="1"/>
    <s v="Kayumbu CWS"/>
    <s v="RWACOF Ltd"/>
    <x v="0"/>
    <s v="Kamonyi"/>
    <s v="Kayumbu"/>
    <s v="NNYL_2"/>
    <s v="Mambu/Base Sub-Catchment"/>
    <n v="52111.629356175697"/>
  </r>
  <r>
    <x v="1"/>
    <s v="Kibingo CWS"/>
    <s v="COPROCAGI Coop."/>
    <x v="0"/>
    <s v="Gisagara"/>
    <s v="Nyanza"/>
    <s v="NAKN_1"/>
    <s v="Giswi/Agatobwe Sub-Catchment"/>
    <n v="50590.604535546401"/>
  </r>
  <r>
    <x v="1"/>
    <s v="Kigembe coffee"/>
    <s v="Kigembe Coffee Coop"/>
    <x v="0"/>
    <s v="Gisagara"/>
    <s v="Kigembe"/>
    <s v="NAKN_1"/>
    <s v="Giswi/Agatobwe Sub-Catchment"/>
    <n v="49428.335673054498"/>
  </r>
  <r>
    <x v="1"/>
    <s v="Kigufi CWS"/>
    <s v="Mr. BIZOZA Sebageni"/>
    <x v="0"/>
    <s v="Rubavu"/>
    <s v="Nyamyumba"/>
    <s v="CKIV_1"/>
    <s v="Sebeya Sub-Catchment"/>
    <n v="51557.505556552103"/>
  </r>
  <r>
    <x v="1"/>
    <s v="Kinini CWS / Malcohm &amp; Clear"/>
    <s v="R &amp; B IMPORT EXPORT Ltd"/>
    <x v="0"/>
    <s v="Rulindo"/>
    <s v="Rusiga"/>
    <s v="NNYL_1"/>
    <s v="Nyabugogo Sub-Catchment"/>
    <n v="52071.494335828"/>
  </r>
  <r>
    <x v="1"/>
    <s v="Kinunga Coffee ( New CWS )"/>
    <s v="IMPEXCOR Ltd"/>
    <x v="0"/>
    <s v="Nyamasheke"/>
    <s v="Nyabitekeri"/>
    <s v="CKIV_3"/>
    <s v="Kamiranzovu Sub-Catchment"/>
    <n v="51988.044162928702"/>
  </r>
  <r>
    <x v="1"/>
    <s v="Kinyaga coffee"/>
    <s v="Kinyaga Coffee Coop."/>
    <x v="0"/>
    <s v="Rusizi"/>
    <s v="Nkanka"/>
    <s v="CKIV_3"/>
    <s v="Kamiranzovu Sub-Catchment"/>
    <n v="52132.0421564348"/>
  </r>
  <r>
    <x v="1"/>
    <s v="Kirezi CWS"/>
    <s v="Kirezi Coffee Coop."/>
    <x v="0"/>
    <s v="Nyanza"/>
    <s v="Nyagisozi"/>
    <s v="NNYU_2"/>
    <s v="Mwogo Sub-Catchment"/>
    <n v="50181.093150360502"/>
  </r>
  <r>
    <x v="1"/>
    <s v="KIUKK/Jeremie"/>
    <s v="Coop KIUKK/Ungukamuhinzi ( rented )"/>
    <x v="0"/>
    <s v="Kirehe"/>
    <s v="Kigina"/>
    <s v="NAKL_1"/>
    <s v="Akagera Lower Catchment"/>
    <n v="52105.2255939475"/>
  </r>
  <r>
    <x v="1"/>
    <s v="Kivu Lake Coffee Ltd ( former Ingoboka )"/>
    <s v="Kivu Lake Coffee Ltd ( former Ingoboka )"/>
    <x v="0"/>
    <s v="Rutsiro"/>
    <s v="Kigeyo"/>
    <s v="CKIV_2"/>
    <s v="Koko/Muregeya Sub-Catchment"/>
    <n v="49688.419113910197"/>
  </r>
  <r>
    <x v="1"/>
    <s v="KOAKAGI"/>
    <s v="KOAKAGI Coop."/>
    <x v="0"/>
    <s v="Gisagara"/>
    <s v="Mamba"/>
    <s v="NAKN_2"/>
    <s v="Gishara/Mukunguri Sub-Catchment"/>
    <n v="51834.508370453303"/>
  </r>
  <r>
    <x v="1"/>
    <s v="KOBAKAMU"/>
    <s v="KOBAKAMU Coop."/>
    <x v="0"/>
    <s v="Muhanga"/>
    <s v="Muhanga"/>
    <s v="NNYL_2"/>
    <s v="Mambu/Base Sub-Catchment"/>
    <n v="49450.715795851698"/>
  </r>
  <r>
    <x v="1"/>
    <s v="KOGIMUWAKA"/>
    <s v="KOGIMUWAKA Coop."/>
    <x v="0"/>
    <s v="Huye"/>
    <s v="Rusatira"/>
    <s v="NAKN_2"/>
    <s v="Gishara/Mukunguri Sub-Catchment"/>
    <n v="51796.711079744302"/>
  </r>
  <r>
    <x v="1"/>
    <s v="KOPAKABI"/>
    <s v="KOPAKABI Coop."/>
    <x v="0"/>
    <s v="Rwamagana"/>
    <s v="Karenge"/>
    <s v="NAKU_1"/>
    <s v="Mugesera/Sake sub catchmentt"/>
    <n v="51967.599960112901"/>
  </r>
  <r>
    <x v="1"/>
    <s v="KOPAKAMA Mushubati"/>
    <s v="KOPAKAMA Coop."/>
    <x v="0"/>
    <s v="Rutsiro"/>
    <s v="Mushubati"/>
    <s v="CKIV_2"/>
    <s v="Koko/Muregeya Sub-Catchment"/>
    <n v="51857.415441249002"/>
  </r>
  <r>
    <x v="1"/>
    <s v="KOPAKAMA Nyagatare"/>
    <s v="KOPAKAMA Coop."/>
    <x v="0"/>
    <s v="Rutsiro"/>
    <s v="Mushubati"/>
    <s v="CKIV_2"/>
    <s v="Koko/Muregeya Sub-Catchment"/>
    <n v="51287.165402245402"/>
  </r>
  <r>
    <x v="1"/>
    <s v="KOTUKANYA"/>
    <s v="COOP. KOTUKANYA"/>
    <x v="0"/>
    <s v="Rusizi"/>
    <s v="Nyakabuye"/>
    <s v="CRUS_1"/>
    <s v="Rubyiro Sub-Catchment"/>
    <n v="52009.103694547797"/>
  </r>
  <r>
    <x v="1"/>
    <s v="Land of thousand hills"/>
    <s v="Ruli Mountain coffee/ex. SOPROCAF"/>
    <x v="0"/>
    <s v="Gakenke"/>
    <s v="Ruli"/>
    <s v="NNYL_2"/>
    <s v="Mambu/Base Sub-Catchment"/>
    <n v="49023.855890798099"/>
  </r>
  <r>
    <x v="1"/>
    <s v="LIZA CWS"/>
    <s v="LIZA Coffee Ltd"/>
    <x v="0"/>
    <s v="Rusizi"/>
    <s v="Mururu"/>
    <s v="CKIV_3"/>
    <s v="Kamiranzovu Sub-Catchment"/>
    <n v="50090.605307441401"/>
  </r>
  <r>
    <x v="1"/>
    <s v="Mabaro Coffee ( ex.Mwezi coffee )"/>
    <s v="Mr.Matabaro Venuste ( ex.Mwezi coffee coop.)"/>
    <x v="0"/>
    <s v="Nyamasheke"/>
    <s v="Karengera"/>
    <s v="CKIV_3"/>
    <s v="Kamiranzovu Sub-Catchment"/>
    <n v="49730.7865140309"/>
  </r>
  <r>
    <x v="1"/>
    <s v="Mahembe CWS-Nyagatare"/>
    <s v="Mr.Justin MUSABYIMANA"/>
    <x v="0"/>
    <s v="Nyamasheke"/>
    <s v="Mahembe"/>
    <s v="CKIV_3"/>
    <s v="Kamiranzovu Sub-Catchment"/>
    <n v="51684.651211358498"/>
  </r>
  <r>
    <x v="1"/>
    <s v="Manyana CWS ( ex.KAYCO Manyana )"/>
    <s v="Dormans Ltd"/>
    <x v="0"/>
    <s v="Kamonyi"/>
    <s v="Kayumbu"/>
    <s v="NNYL_2"/>
    <s v="Mambu/Base Sub-Catchment"/>
    <n v="51834.508370453303"/>
  </r>
  <r>
    <x v="1"/>
    <s v="MARA CWS"/>
    <s v="Rented by Hidden Wealth /Mr.Robert BIGIRIMANA/RSC Ltd"/>
    <x v="0"/>
    <s v="Karongi"/>
    <s v="Mubuga"/>
    <s v="CKIV_2"/>
    <s v="Koko/Muregeya Sub-Catchment"/>
    <n v="52124.448453093399"/>
  </r>
  <r>
    <x v="1"/>
    <s v="Maraba I/Cyarumbo CWS"/>
    <s v="ABAHUZAMUGAMBI Coop."/>
    <x v="0"/>
    <s v="Huye"/>
    <s v="Maraba"/>
    <s v="NAKN_1"/>
    <s v="Giswi/Agatobwe Sub-Catchment"/>
    <n v="51815.109638050999"/>
  </r>
  <r>
    <x v="1"/>
    <s v="Maraba II/Kabuye CWS"/>
    <s v="ABAHUZAMUGAMBI Coop."/>
    <x v="0"/>
    <s v="Huye"/>
    <s v="Maraba"/>
    <s v="NAKN_1"/>
    <s v="Giswi/Agatobwe Sub-Catchment"/>
    <n v="51529.779801911398"/>
  </r>
  <r>
    <x v="1"/>
    <s v="Maraba III/Sovu"/>
    <s v="ABAHUZAMUGAMBI Coop."/>
    <x v="0"/>
    <s v="Huye"/>
    <s v="Huye"/>
    <s v="NAKN_1"/>
    <s v="Giswi/Agatobwe Sub-Catchment"/>
    <n v="51027.561028477197"/>
  </r>
  <r>
    <x v="1"/>
    <s v="Mashesha CWS"/>
    <s v="RWACOF Ltd"/>
    <x v="0"/>
    <s v="Rusizi"/>
    <s v="Gitambi"/>
    <s v="CRUS_1"/>
    <s v="Rubyiro Sub-Catchment"/>
    <n v="52075.206919825701"/>
  </r>
  <r>
    <x v="1"/>
    <s v="Matare CWS ( New CWS )"/>
    <s v="KOTEMUKAMA Coop"/>
    <x v="0"/>
    <s v="Nyamasheke"/>
    <s v="Macuba"/>
    <s v="CKIV_3"/>
    <s v="Kamiranzovu Sub-Catchment"/>
    <n v="52071.2243098502"/>
  </r>
  <r>
    <x v="1"/>
    <s v="Matyazo coffee"/>
    <s v="Matyazo coffee coop./Tech"/>
    <x v="0"/>
    <s v="Ngororero"/>
    <s v="Matyazo"/>
    <s v="NNYU_3"/>
    <s v="Nyabarongo Upstream Sub-Catchment"/>
    <n v="52108.191761423703"/>
  </r>
  <r>
    <x v="1"/>
    <s v="Mayaga Coffee ( COMACO )"/>
    <s v="COMACO Coop."/>
    <x v="0"/>
    <s v="Ruhango"/>
    <s v="Ntongwe"/>
    <s v="NAKN_2"/>
    <s v="Gishara/Mukunguri Sub-Catchment"/>
    <n v="52105.596385056102"/>
  </r>
  <r>
    <x v="1"/>
    <s v="Mayogi coffee"/>
    <s v="Mayogi Coffee Coop."/>
    <x v="0"/>
    <s v="Gicumbi"/>
    <s v="Muko"/>
    <s v="NMUV_2"/>
    <s v="Warufu/Muvumba Sub-Catchment"/>
    <n v="49694.001446004397"/>
  </r>
  <r>
    <x v="1"/>
    <s v="Mbilima CWS"/>
    <s v="Dukundekawa Coop."/>
    <x v="0"/>
    <s v="Gakenke"/>
    <s v="Coko"/>
    <s v="NNYL_2"/>
    <s v="Mambu/Base Sub-Catchment"/>
    <n v="51129.633350624303"/>
  </r>
  <r>
    <x v="1"/>
    <s v="MCAC Muyumbu ( rented by new Investor )"/>
    <s v="MCAC Coop."/>
    <x v="0"/>
    <s v="Rwamagana"/>
    <s v="Muyumbu"/>
    <s v="NAKU_1"/>
    <s v="Mugesera/Sake sub catchmentt"/>
    <n v="52122.073840003803"/>
  </r>
  <r>
    <x v="1"/>
    <s v="MIG Ltd Ngoma"/>
    <s v="MIG Ltd"/>
    <x v="0"/>
    <s v="Nyamagabe"/>
    <s v="Cyanika"/>
    <s v="NNYU_2"/>
    <s v="Mwogo Sub-Catchment"/>
    <n v="51494.874003360703"/>
  </r>
  <r>
    <x v="1"/>
    <s v="MIG Ltd/Kibumbwe"/>
    <s v="MIG Ltd"/>
    <x v="0"/>
    <s v="Nyamagabe"/>
    <s v="Kibumbwe"/>
    <s v="NNYU_1"/>
    <s v="Mbirurume Sub-Catchment"/>
    <n v="51831.184875571598"/>
  </r>
  <r>
    <x v="1"/>
    <s v="MIG Murera"/>
    <s v="MIG Ltd"/>
    <x v="0"/>
    <s v="Huye"/>
    <s v="Kigoma"/>
    <s v="NNYU_2"/>
    <s v="Mwogo Sub-Catchment"/>
    <n v="51920.213365604803"/>
  </r>
  <r>
    <x v="1"/>
    <s v="Minazi/Abakundakawa"/>
    <s v="Abakundakawa Coop."/>
    <x v="0"/>
    <s v="Gakenke"/>
    <s v="Minazi"/>
    <s v="NNYL_2"/>
    <s v="Mambu/Base Sub-Catchment"/>
    <n v="51988.974745815001"/>
  </r>
  <r>
    <x v="1"/>
    <s v="Mother land CWS"/>
    <s v="Mother land co. Ltd/Mr.Gasigwa Fred"/>
    <x v="0"/>
    <s v="Nyamagabe"/>
    <s v="Kamegeri"/>
    <s v="NAKN_1"/>
    <s v="Giswi/Agatobwe Sub-Catchment"/>
    <n v="52068.2369701633"/>
  </r>
  <r>
    <x v="1"/>
    <s v="Mpanda CWS"/>
    <s v="Mpanda Coffee Ltd/Mr. Nizeyimana Clement"/>
    <x v="0"/>
    <s v="Ruhango"/>
    <s v="Byimana"/>
    <s v="NAKN_2"/>
    <s v="Gishara/Mukunguri Sub-Catchment"/>
    <n v="52105.2255939475"/>
  </r>
  <r>
    <x v="1"/>
    <s v="Mpembe CWS"/>
    <s v="Rented by Hidden Wealth /Mr.Robert BIGIRIMANA/RSC Ltd"/>
    <x v="0"/>
    <s v="Karongi"/>
    <s v="Gishyita"/>
    <s v="CKIV_2"/>
    <s v="Koko/Muregeya Sub-Catchment"/>
    <n v="51036.725926019499"/>
  </r>
  <r>
    <x v="1"/>
    <s v="Mubuga coffee ( ex.Murangara)"/>
    <s v="Mr. ABIMANA  Mathias"/>
    <x v="0"/>
    <s v="Karongi"/>
    <s v="Mubuga"/>
    <s v="CKIV_2"/>
    <s v="Koko/Muregeya Sub-Catchment"/>
    <n v="52027.243962053901"/>
  </r>
  <r>
    <x v="1"/>
    <s v="Mugina CWS"/>
    <s v="CBC Ltd  ( ex.COFII )"/>
    <x v="0"/>
    <s v="Kamonyi"/>
    <s v="Mugina"/>
    <s v="NAKN_2"/>
    <s v="Gishara/Mukunguri Sub-Catchment"/>
    <n v="50728.998060382197"/>
  </r>
  <r>
    <x v="1"/>
    <s v="Mugonero CWS"/>
    <s v="ENAS Ltd/Mr.NKUBIRI Alfred"/>
    <x v="0"/>
    <s v="Nyamasheke"/>
    <s v="Mahembe"/>
    <s v="CKIV_3"/>
    <s v="Kamiranzovu Sub-Catchment"/>
    <n v="51642.1850947938"/>
  </r>
  <r>
    <x v="1"/>
    <s v="Muhehwe CWS-Rusizi Specialty Coffee"/>
    <s v="Rusizi specialty coffee/Ngabonziza Jean Bosco"/>
    <x v="0"/>
    <s v="Rusizi"/>
    <s v="Rwimbogo"/>
    <s v="CRUS_1"/>
    <s v="Rubyiro Sub-Catchment"/>
    <n v="49770.753994002698"/>
  </r>
  <r>
    <x v="1"/>
    <s v="Muhororo CWS"/>
    <s v="Mrs. NUWAYEZU Agnes/Rumenerangabo C"/>
    <x v="0"/>
    <s v="Nyamasheke"/>
    <s v="Kirimbi"/>
    <s v="CKIV_3"/>
    <s v="Kamiranzovu Sub-Catchment"/>
    <n v="49671.174606340603"/>
  </r>
  <r>
    <x v="1"/>
    <s v="Muhororo CWS"/>
    <s v="KOPIGUKA Coop."/>
    <x v="0"/>
    <s v="Ngororero"/>
    <s v="Muhororo"/>
    <s v="NNYU_3"/>
    <s v="Nyabarongo Upstream Sub-Catchment"/>
    <n v="51800.594257013297"/>
  </r>
  <r>
    <x v="1"/>
    <s v="Muhura CWS"/>
    <s v="Rwanda Trading Company Ltd"/>
    <x v="0"/>
    <s v="Gatsibo"/>
    <s v="Muhura"/>
    <s v="NNYL_1"/>
    <s v="Nyabugogo Sub-Catchment"/>
    <n v="51873.504371352901"/>
  </r>
  <r>
    <x v="1"/>
    <s v="Mukindo CWS"/>
    <s v="Mukindo Coffee Coop."/>
    <x v="0"/>
    <s v="Gisagara"/>
    <s v="Mukindo"/>
    <s v="NAKN_2"/>
    <s v="Gishara/Mukunguri Sub-Catchment"/>
    <n v="51981.884860304002"/>
  </r>
  <r>
    <x v="1"/>
    <s v="Mununu/Aburwagasabo"/>
    <s v="Aburwagasabo Coop."/>
    <x v="0"/>
    <s v="Rwamagana"/>
    <s v="Fumbwe"/>
    <s v="NAKU_1"/>
    <s v="Mugesera/Sake sub catchmentt"/>
    <n v="51798.101559759103"/>
  </r>
  <r>
    <x v="1"/>
    <s v="MUNYACE CWS"/>
    <s v="Mr.MUNYABUGINGO Celestin"/>
    <x v="0"/>
    <s v="Kirehe"/>
    <s v="Gatore"/>
    <s v="NAKU_2"/>
    <s v="Rweru Sub-Catchment"/>
    <n v="49865.6037239586"/>
  </r>
  <r>
    <x v="1"/>
    <s v="Munyavu General Business Company (ex. Tuzamurubukungu Coop )"/>
    <s v="Tuzamurubukungu Coop./ rented by MGBC Ltd"/>
    <x v="0"/>
    <s v="Kirehe"/>
    <s v="Mpanga"/>
    <s v="NAKL_1"/>
    <s v="Akagera Lower Catchment"/>
    <n v="52122.073840003803"/>
  </r>
  <r>
    <x v="1"/>
    <s v="Muraho trading Company - Rugali CWS"/>
    <s v="Muraho Trading Company Ltd/Nalini Anbalagan"/>
    <x v="0"/>
    <s v="Nyamasheke"/>
    <s v="Macuba"/>
    <s v="CKIV_3"/>
    <s v="Kamiranzovu Sub-Catchment"/>
    <n v="49022.790777000002"/>
  </r>
  <r>
    <x v="1"/>
    <s v="Murundo CWS/TEUSCHER Ltd"/>
    <s v="TEUSCHER Ltd"/>
    <x v="0"/>
    <s v="Nyamasheke"/>
    <s v="Mahembe"/>
    <s v="CKIV_3"/>
    <s v="Kamiranzovu Sub-Catchment"/>
    <n v="52130.493319288697"/>
  </r>
  <r>
    <x v="1"/>
    <s v="Musasa CWS"/>
    <s v="RWACOF Ltd"/>
    <x v="0"/>
    <s v="Rutsiro"/>
    <s v="Musasa"/>
    <s v="CKIV_2"/>
    <s v="Koko/Muregeya Sub-Catchment"/>
    <n v="51931.869010910203"/>
  </r>
  <r>
    <x v="1"/>
    <s v="Musasa CWS/Gatagara"/>
    <s v="Dukundekawa Coop."/>
    <x v="0"/>
    <s v="Gakenke"/>
    <s v="Ruli"/>
    <s v="NNYL_2"/>
    <s v="Mambu/Base Sub-Catchment"/>
    <n v="49378.470350259202"/>
  </r>
  <r>
    <x v="1"/>
    <s v="Musenyi"/>
    <s v="Mr.Simeon Ngendahayo/C.Dormans Ltd"/>
    <x v="0"/>
    <s v="Karongi"/>
    <s v="Gishyita"/>
    <s v="CKIV_2"/>
    <s v="Koko/Muregeya Sub-Catchment"/>
    <n v="51496.069836469302"/>
  </r>
  <r>
    <x v="1"/>
    <s v="Mushaka CWS"/>
    <s v="Mrs. NYIRANKUNZURWANDA Beata"/>
    <x v="0"/>
    <s v="Rusizi"/>
    <s v="Rwimbogo"/>
    <s v="CRUS_1"/>
    <s v="Rubyiro Sub-Catchment"/>
    <n v="50707.177956194602"/>
  </r>
  <r>
    <x v="1"/>
    <s v="Mushonyi CWS"/>
    <s v="RWACOF Ltd"/>
    <x v="0"/>
    <s v="Rutsiro"/>
    <s v="Mushonyi"/>
    <s v="CKIV_2"/>
    <s v="Koko/Muregeya Sub-Catchment"/>
    <n v="51261.763741844501"/>
  </r>
  <r>
    <x v="1"/>
    <s v="Mutenderi CWS"/>
    <s v="Mrs. Betty UBUMWE"/>
    <x v="0"/>
    <s v="Ngoma"/>
    <s v="Mutenderi"/>
    <s v="NAKU_2"/>
    <s v="Rweru Sub-Catchment"/>
    <n v="49168.796785486396"/>
  </r>
  <r>
    <x v="1"/>
    <s v="Mutovu CWS"/>
    <s v="KOAKAKANYA Coop./ Mr.KAYUMBA Fabien"/>
    <x v="0"/>
    <s v="Nyamasheke"/>
    <s v="Karambi"/>
    <s v="CKIV_3"/>
    <s v="Kamiranzovu Sub-Catchment"/>
    <n v="51709.997265003403"/>
  </r>
  <r>
    <x v="1"/>
    <s v="Muyange CWS ( ex.Abangangakurushwa I )"/>
    <s v="Mr.MUNYURA Pierre ( MICOF Ltd )"/>
    <x v="0"/>
    <s v="Nyamasheke"/>
    <s v="Nyabitekeri"/>
    <s v="CKIV_3"/>
    <s v="Kamiranzovu Sub-Catchment"/>
    <n v="51546.651544231303"/>
  </r>
  <r>
    <x v="1"/>
    <s v="Muyongwe CWS/SOTKAMU"/>
    <s v="Mr.Antoine Urimubenshi"/>
    <x v="0"/>
    <s v="Gakenke"/>
    <s v="Muyongwe"/>
    <s v="NNYL_1"/>
    <s v="Nyabugogo Sub-Catchment"/>
    <n v="52037.721257732599"/>
  </r>
  <r>
    <x v="1"/>
    <s v="Muyumbu Shema CWS"/>
    <s v="Mr.SHEMA Charles"/>
    <x v="0"/>
    <s v="Rwamagana"/>
    <s v="Muyumbu"/>
    <s v="NAKU_1"/>
    <s v="Mugesera/Sake sub catchmentt"/>
    <n v="50233.860615271602"/>
  </r>
  <r>
    <x v="1"/>
    <s v="Mwasa CWS"/>
    <s v="COACAM Coop"/>
    <x v="0"/>
    <s v="Nyamasheke"/>
    <s v="Macuba"/>
    <s v="CKIV_3"/>
    <s v="Kamiranzovu Sub-Catchment"/>
    <n v="52067.5955781062"/>
  </r>
  <r>
    <x v="1"/>
    <s v="Nasho Coffee"/>
    <s v="Nasho coffee Coop"/>
    <x v="0"/>
    <s v="Kirehe"/>
    <s v="Nasho"/>
    <s v="NAKL_1"/>
    <s v="Akagera Lower Catchment"/>
    <n v="51511.368395376099"/>
  </r>
  <r>
    <x v="1"/>
    <s v="Ngamba CWS"/>
    <s v="RWACOF Ltd"/>
    <x v="0"/>
    <s v="Kamonyi"/>
    <s v="Ngamba"/>
    <s v="NNYL_2"/>
    <s v="Mambu/Base Sub-Catchment"/>
    <n v="52122.073840003803"/>
  </r>
  <r>
    <x v="1"/>
    <s v="Ngoma Trading Company"/>
    <s v="NTC Ltd/KAKS"/>
    <x v="0"/>
    <s v="Ngoma"/>
    <s v="Kazo"/>
    <s v="NAKU_1"/>
    <s v="Mugesera/Sake sub catchmentt"/>
    <n v="51245.1663649896"/>
  </r>
  <r>
    <x v="1"/>
    <s v="Ngororero CWS ( New CWS )"/>
    <s v="Ngororero Coffee Growers Ltd"/>
    <x v="0"/>
    <s v="Ngororero"/>
    <s v="Ngororero"/>
    <s v="NNYU_3"/>
    <s v="Nyabarongo Upstream Sub-Catchment"/>
    <n v="49027.337844832597"/>
  </r>
  <r>
    <x v="1"/>
    <s v="Nkara/Dukundekawa II"/>
    <s v="Dukundekawa Coop."/>
    <x v="0"/>
    <s v="Gakenke"/>
    <s v="Ruli"/>
    <s v="NNYL_2"/>
    <s v="Mambu/Base Sub-Catchment"/>
    <n v="52088.3655324313"/>
  </r>
  <r>
    <x v="1"/>
    <s v="Nkora CWS/CAFERWA"/>
    <s v="Mr. Faustin MBUNDU/RTC Ltd"/>
    <x v="0"/>
    <s v="Rutsiro"/>
    <s v="Mushonyi"/>
    <s v="CKIV_2"/>
    <s v="Koko/Muregeya Sub-Catchment"/>
    <n v="51122.690990164803"/>
  </r>
  <r>
    <x v="1"/>
    <s v="Ntango Coffee"/>
    <s v="Basha High Coffee"/>
    <x v="0"/>
    <s v="Nyamasheke"/>
    <s v="Nyabitekeri"/>
    <s v="CKIV_3"/>
    <s v="Kamiranzovu Sub-Catchment"/>
    <n v="51563.533586569902"/>
  </r>
  <r>
    <x v="1"/>
    <s v="Ntarama CWS"/>
    <s v="Dr. NDAHIRO Alfred"/>
    <x v="0"/>
    <s v="Bugesera"/>
    <s v="Ntarama"/>
    <s v="NAKN_2"/>
    <s v="Gishara/Mukunguri Sub-Catchment"/>
    <n v="52054.612684333697"/>
  </r>
  <r>
    <x v="1"/>
    <s v="Ntyazo CWS"/>
    <s v="Dutezimberekawa Coop."/>
    <x v="0"/>
    <s v="Nyanza"/>
    <s v="Ntyazo"/>
    <s v="NAKN_2"/>
    <s v="Gishara/Mukunguri Sub-Catchment"/>
    <n v="52067.561820255403"/>
  </r>
  <r>
    <x v="1"/>
    <s v="NYACO CWS ( ex.COPROCAFE )/ENAS"/>
    <s v="ENAS Ltd/Mr.NKUBIRI Alfred"/>
    <x v="0"/>
    <s v="Nyamasheke"/>
    <s v="Karambi"/>
    <s v="CKIV_3"/>
    <s v="Kamiranzovu Sub-Catchment"/>
    <n v="51313.798091173601"/>
  </r>
  <r>
    <x v="1"/>
    <s v="Nyakabande Coffee Ltd"/>
    <s v="Mr.NSENGIMANA Alphonse"/>
    <x v="0"/>
    <s v="Kirehe"/>
    <s v="Mushikiri"/>
    <s v="NAKL_1"/>
    <s v="Akagera Lower Catchment"/>
    <n v="51597.325944303899"/>
  </r>
  <r>
    <x v="1"/>
    <s v="Nyakizu Mountain Coffee ( former COCARU )"/>
    <s v="Mr.Kazungu Charles ( ex.COCARU Coop )"/>
    <x v="0"/>
    <s v="Ruhango"/>
    <s v="Ruhango"/>
    <s v="NAKN_2"/>
    <s v="Gishara/Mukunguri Sub-Catchment"/>
    <n v="52102.832169239402"/>
  </r>
  <r>
    <x v="1"/>
    <s v="Nyakizu Mountain Coffee A"/>
    <s v="Mr.Kazungu Charles"/>
    <x v="0"/>
    <s v="Nyaruguru"/>
    <s v="Nyagisozi"/>
    <s v="NAKN_1"/>
    <s v="Giswi/Agatobwe Sub-Catchment"/>
    <n v="50245.079318197902"/>
  </r>
  <r>
    <x v="1"/>
    <s v="Nyamasheke hills coffee ( New CWS )"/>
    <s v="N &amp; U Association"/>
    <x v="0"/>
    <s v="Nyamasheke"/>
    <s v="Kanjongo"/>
    <s v="CKIV_3"/>
    <s v="Kamiranzovu Sub-Catchment"/>
    <n v="52101.281373387399"/>
  </r>
  <r>
    <x v="1"/>
    <s v="Nyamiriundi coffee. B"/>
    <s v="Nyamirundi Cooperative"/>
    <x v="0"/>
    <s v="Nyamasheke"/>
    <s v="Nyabitekeri"/>
    <s v="CKIV_3"/>
    <s v="Kamiranzovu Sub-Catchment"/>
    <n v="52003.911795359199"/>
  </r>
  <r>
    <x v="1"/>
    <s v="Nyamirundi coffee A"/>
    <s v="Nyamirundi Cooperative"/>
    <x v="0"/>
    <s v="Nyamasheke"/>
    <s v="Nyabitekeri"/>
    <s v="CKIV_3"/>
    <s v="Kamiranzovu Sub-Catchment"/>
    <n v="49266.6896621548"/>
  </r>
  <r>
    <x v="1"/>
    <s v="Nyamiyaga CWS"/>
    <s v="RWACOF Ltd"/>
    <x v="0"/>
    <s v="Kamonyi"/>
    <s v="Nyamiyaga"/>
    <s v="NAKN_2"/>
    <s v="Gishara/Mukunguri Sub-Catchment"/>
    <n v="52010.676337933699"/>
  </r>
  <r>
    <x v="1"/>
    <s v="Nyampinga CWS/Womens"/>
    <s v="Nyampinga Coop ( COPENYA )"/>
    <x v="0"/>
    <s v="Nyaruguru"/>
    <s v="Rusenge"/>
    <s v="NAKN_1"/>
    <s v="Giswi/Agatobwe Sub-Catchment"/>
    <n v="51934.511548748102"/>
  </r>
  <r>
    <x v="1"/>
    <s v="Nyampundu Coffee"/>
    <s v="Mr.NKORONKO Francois"/>
    <x v="0"/>
    <s v="Gicumbi"/>
    <s v="Muko"/>
    <s v="NMUV_2"/>
    <s v="Warufu/Muvumba Sub-Catchment"/>
    <n v="50577.192072377999"/>
  </r>
  <r>
    <x v="1"/>
    <s v="Nyamyumba CWS"/>
    <s v="RWACOF Ltd"/>
    <x v="0"/>
    <s v="Rubavu"/>
    <s v="Nyamyumba"/>
    <s v="CKIV_1"/>
    <s v="Sebeya Sub-Catchment"/>
    <n v="51030.013815423401"/>
  </r>
  <r>
    <x v="1"/>
    <s v="Nyantinja CWS"/>
    <s v="COCAMUGI Coop."/>
    <x v="0"/>
    <s v="Gisagara"/>
    <s v="Mukindo"/>
    <s v="NAKN_2"/>
    <s v="Gishara/Mukunguri Sub-Catchment"/>
    <n v="51671.389438886101"/>
  </r>
  <r>
    <x v="1"/>
    <s v="Nyarubaka CWS"/>
    <s v="Nyarubaka Coffee Coop."/>
    <x v="0"/>
    <s v="Kamonyi"/>
    <s v="Nyarubaka"/>
    <s v="NAKN_2"/>
    <s v="Gishara/Mukunguri Sub-Catchment"/>
    <n v="50148.451903387198"/>
  </r>
  <r>
    <x v="1"/>
    <s v="Nyarubuye CWS ( New CWS )"/>
    <s v="Mrs.UWIMANA Esperance"/>
    <x v="0"/>
    <s v="Karongi"/>
    <s v="Twumba"/>
    <s v="CKIV_2"/>
    <s v="Koko/Muregeya Sub-Catchment"/>
    <n v="51580.4252723432"/>
  </r>
  <r>
    <x v="1"/>
    <s v="Nyarusiza/Bufcoffee"/>
    <s v="BUFCOFFEE Ltd /Mrs. Mukashyaka Epiphanie"/>
    <x v="0"/>
    <s v="Nyamagabe"/>
    <s v="Kamegeri"/>
    <s v="NAKN_1"/>
    <s v="Giswi/Agatobwe Sub-Catchment"/>
    <n v="52125.2736147467"/>
  </r>
  <r>
    <x v="1"/>
    <s v="Nyenji CWS-Rusizi Specialty Coffee"/>
    <s v="Rusizi specialty coffee/Ngabonziza Jean Bosco"/>
    <x v="0"/>
    <s v="Rusizi"/>
    <s v="Nzahaha"/>
    <s v="CRUS_1"/>
    <s v="Rubyiro Sub-Catchment"/>
    <n v="52066.211470986498"/>
  </r>
  <r>
    <x v="1"/>
    <s v="Nyungwe High coffee"/>
    <s v="Rwanda Trading Company Ltd"/>
    <x v="0"/>
    <s v="Nyamasheke"/>
    <s v="Kagano"/>
    <s v="CKIV_3"/>
    <s v="Kamiranzovu Sub-Catchment"/>
    <n v="49354.936839712696"/>
  </r>
  <r>
    <x v="1"/>
    <s v="Nzahaha hills coffee/Butambamo CWS"/>
    <s v="Nzahaha Hills coffee  Ltd/Ndisabiye Samson"/>
    <x v="0"/>
    <s v="Rusizi"/>
    <s v="Nzahaha"/>
    <s v="CRUS_1"/>
    <s v="Rubyiro Sub-Catchment"/>
    <n v="51749.727393217501"/>
  </r>
  <r>
    <x v="1"/>
    <s v="Nzige CWS"/>
    <s v="ENAS/NKUBIRI Alfred"/>
    <x v="0"/>
    <s v="Rwamagana"/>
    <s v="Nzige"/>
    <s v="NAKU_1"/>
    <s v="Mugesera/Sake sub catchmentt"/>
    <n v="51966.093345948597"/>
  </r>
  <r>
    <x v="1"/>
    <s v="RAB/Rubona"/>
    <s v="RAB Southern Zone"/>
    <x v="0"/>
    <s v="Huye"/>
    <s v="Rusatira"/>
    <s v="NAKN_2"/>
    <s v="Gishara/Mukunguri Sub-Catchment"/>
    <n v="52012.130548710003"/>
  </r>
  <r>
    <x v="1"/>
    <s v="Remera CWS ( New CWS )"/>
    <s v="Honest Coffee Company &amp; Multiservices Ltd"/>
    <x v="0"/>
    <s v="Gatsibo"/>
    <s v="Remera"/>
    <s v="NAKL_1"/>
    <s v="Akagera Lower Catchment"/>
    <n v="50657.558255360898"/>
  </r>
  <r>
    <x v="1"/>
    <s v="Remera/Bufcoffee"/>
    <s v="BUFCOFFEE Ltd /Mrs. Mukashyaka Epiphanie"/>
    <x v="0"/>
    <s v="Nyamagabe"/>
    <s v="Gasaka"/>
    <s v="NNYU_2"/>
    <s v="Mwogo Sub-Catchment"/>
    <n v="50881.886569210197"/>
  </r>
  <r>
    <x v="1"/>
    <s v="Rugamba/Kinunu Agro-Process. Industr"/>
    <s v="Hon. Chrysologue KUBWIMANA"/>
    <x v="0"/>
    <s v="Rutsiro"/>
    <s v="Boneza"/>
    <s v="CKIV_2"/>
    <s v="Koko/Muregeya Sub-Catchment"/>
    <n v="51455.632643421501"/>
  </r>
  <r>
    <x v="1"/>
    <s v="Rugando CWS ( New CWS )"/>
    <s v="Mr.HIGIRO Eugene"/>
    <x v="0"/>
    <s v="Bugesera"/>
    <s v="Nyarugenge"/>
    <m/>
    <m/>
    <n v="51930.073372699"/>
  </r>
  <r>
    <x v="1"/>
    <s v="Rugoma CWS"/>
    <s v="Mr. NDUWUMWAMI Herman"/>
    <x v="0"/>
    <s v="Kirehe"/>
    <s v="Nasho"/>
    <s v="NAKL_1"/>
    <s v="Akagera Lower Catchment"/>
    <n v="51930.073372699"/>
  </r>
  <r>
    <x v="1"/>
    <s v="Rukara CWS/Twongerumusaruro"/>
    <s v="Twongerumusaruro wa Kawa Coop."/>
    <x v="0"/>
    <s v="Kayonza"/>
    <s v="Rukara"/>
    <s v="NAKL_1"/>
    <s v="Akagera Lower Catchment"/>
    <n v="51733.385812203902"/>
  </r>
  <r>
    <x v="1"/>
    <s v="Rusasa CWS"/>
    <s v="IKAWA YACU Coop."/>
    <x v="0"/>
    <s v="Gakenke"/>
    <s v="Rusasa"/>
    <s v="NMUK_2"/>
    <s v="Giciye/Mukungwa Sub-Catchment"/>
    <n v="51868.096411409802"/>
  </r>
  <r>
    <x v="1"/>
    <s v="Rusave Farmers Coffee Cooperative ( New CWS )"/>
    <s v="Rusave Farmers Coffee Cooperative"/>
    <x v="0"/>
    <s v="Kayonza"/>
    <s v="Rwinkwavu"/>
    <s v="NAKL_1"/>
    <s v="Akagera Lower Catchment"/>
    <n v="49180.846555655597"/>
  </r>
  <r>
    <x v="1"/>
    <s v="Rushashi/Abakundakawa"/>
    <s v="Abakundakawa Coop."/>
    <x v="0"/>
    <s v="Gakenke"/>
    <s v="Rushashi"/>
    <s v="NNYL_2"/>
    <s v="Mambu/Base Sub-Catchment"/>
    <n v="52088.3655324313"/>
  </r>
  <r>
    <x v="1"/>
    <s v="Rushubi CWS ( ex. SONICOFF )"/>
    <s v="Café de Gisagara Ltd/ Q Young Jung"/>
    <x v="0"/>
    <s v="Nyaruguru"/>
    <s v="Ngoma"/>
    <s v="NAKN_1"/>
    <s v="Giswi/Agatobwe Sub-Catchment"/>
    <n v="52122.915929911498"/>
  </r>
  <r>
    <x v="1"/>
    <s v="Ruvumbu CWS"/>
    <s v="Mr.MUTAGOMA Joseph"/>
    <x v="0"/>
    <s v="Nyamasheke"/>
    <s v="Gihombo"/>
    <s v="CKIV_2"/>
    <s v="Koko/Muregeya Sub-Catchment"/>
    <n v="51462.408918189103"/>
  </r>
  <r>
    <x v="1"/>
    <s v="RWACOF Karambi ( New CWS )"/>
    <s v="RWACOF Ltd"/>
    <x v="0"/>
    <s v="Nyamasheke"/>
    <s v="Karambi"/>
    <s v="CKIV_3"/>
    <s v="Kamiranzovu Sub-Catchment"/>
    <n v="51970.071376385204"/>
  </r>
  <r>
    <x v="1"/>
    <s v="RWACOF Mubuga ( ex.KMC )"/>
    <s v="RWACOF Ltd ( ex.Nicolas )"/>
    <x v="0"/>
    <s v="Karongi"/>
    <s v="Mubuga"/>
    <s v="CKIV_2"/>
    <s v="Koko/Muregeya Sub-Catchment"/>
    <n v="51213.113202107597"/>
  </r>
  <r>
    <x v="1"/>
    <s v="RWACOPRO Ltd ( New CWS )"/>
    <s v="Mr.HABINSHUTI Fidele"/>
    <x v="0"/>
    <s v="Nyagatare"/>
    <s v="Gatunda"/>
    <s v="NMUV_2"/>
    <s v="Warufu/Muvumba Sub-Catchment"/>
    <n v="51495.5477046007"/>
  </r>
  <r>
    <x v="1"/>
    <s v="Rwamatamu coffee Ltd ( ex.Rwabisindu CWS )"/>
    <s v="Mr. RUTAGANDA Gaston"/>
    <x v="0"/>
    <s v="Nyamasheke"/>
    <s v="Gihombo"/>
    <s v="CKIV_2"/>
    <s v="Koko/Muregeya Sub-Catchment"/>
    <n v="51904.217395551801"/>
  </r>
  <r>
    <x v="1"/>
    <s v="Rwamiko CWS/Rusenyi"/>
    <s v="Mr.Robert BIGIRIMANA"/>
    <x v="0"/>
    <s v="Gicumbi"/>
    <s v="Rwamiko"/>
    <s v="NNYL_1"/>
    <s v="Nyabugogo Sub-Catchment"/>
    <n v="51208.630911082902"/>
  </r>
  <r>
    <x v="1"/>
    <s v="Rwanda Mountain Coffee"/>
    <s v="Mr.RUBAYIZA Aloys"/>
    <x v="0"/>
    <s v="Huye"/>
    <s v="Kigoma"/>
    <s v="NNYU_2"/>
    <s v="Mwogo Sub-Catchment"/>
    <n v="50563.378643403397"/>
  </r>
  <r>
    <x v="1"/>
    <s v="Rwanda Traiding Company CWS"/>
    <s v="RTC Ltd"/>
    <x v="0"/>
    <s v="Kayonza"/>
    <s v="Nyamirama"/>
    <s v="NAKL_1"/>
    <s v="Akagera Lower Catchment"/>
    <n v="49678.812839059501"/>
  </r>
  <r>
    <x v="1"/>
    <s v="Rwatano CWS"/>
    <s v="RWACOF Ltd"/>
    <x v="0"/>
    <s v="Gisagara"/>
    <s v="Musha"/>
    <s v="NAKN_2"/>
    <s v="Gishara/Mukunguri Sub-Catchment"/>
    <n v="51309.280817154497"/>
  </r>
  <r>
    <x v="1"/>
    <s v="Rwinyoni CWS"/>
    <s v="RWACOF Ltd"/>
    <x v="0"/>
    <s v="Rutsiro"/>
    <s v="Kivumu"/>
    <s v="CKIV_2"/>
    <s v="Koko/Muregeya Sub-Catchment"/>
    <n v="52071.494335828"/>
  </r>
  <r>
    <x v="1"/>
    <s v="SAKE Farm Ltd/Leatitia"/>
    <s v="Mrs.KAYITESI Leatitia"/>
    <x v="0"/>
    <s v="Ngoma"/>
    <s v="Sake"/>
    <s v="NAKU_1"/>
    <s v="Mugesera/Sake sub catchmentt"/>
    <n v="50243.227741047602"/>
  </r>
  <r>
    <x v="1"/>
    <s v="Shangi Mountain coffee"/>
    <s v="Mr.KOMEZUSENGE Daniel"/>
    <x v="0"/>
    <s v="Nyamasheke"/>
    <s v="Shangi"/>
    <s v="CKIV_3"/>
    <s v="Kamiranzovu Sub-Catchment"/>
    <n v="52003.911795359199"/>
  </r>
  <r>
    <x v="1"/>
    <s v="Sholi CWS"/>
    <s v="Abateraninkunga Coop/Sholi"/>
    <x v="0"/>
    <s v="Muhanga"/>
    <s v="Cyeza"/>
    <s v="NNYL_2"/>
    <s v="Mambu/Base Sub-Catchment"/>
    <n v="51909.657107245403"/>
  </r>
  <r>
    <x v="1"/>
    <s v="Shyara CWS/Ngenda"/>
    <s v="Rwanda Trading Company Ltd"/>
    <x v="0"/>
    <s v="Bugesera"/>
    <s v="Shyara"/>
    <s v="NAKN_2"/>
    <s v="Gishara/Mukunguri Sub-Catchment"/>
    <n v="49295.9331189722"/>
  </r>
  <r>
    <x v="1"/>
    <s v="SICAF Kirambo"/>
    <s v="Mr.Mugunga NDOBA/"/>
    <x v="0"/>
    <s v="Nyamasheke"/>
    <s v="Kanjongo"/>
    <s v="CKIV_3"/>
    <s v="Kamiranzovu Sub-Catchment"/>
    <n v="52105.2255939475"/>
  </r>
  <r>
    <x v="1"/>
    <s v="SICAF Mwito"/>
    <s v="Mr.Mugunga NDOBA"/>
    <x v="0"/>
    <s v="Nyamasheke"/>
    <s v="Bushenge"/>
    <s v="CKIV_3"/>
    <s v="Kamiranzovu Sub-Catchment"/>
    <n v="51246.427004422098"/>
  </r>
  <r>
    <x v="1"/>
    <s v="SOPROVACA Shyogwe"/>
    <s v="SOPROVACA  s.a"/>
    <x v="0"/>
    <s v="Muhanga"/>
    <s v="Shyogwe"/>
    <s v="NAKN_2"/>
    <s v="Gishara/Mukunguri Sub-Catchment"/>
    <n v="51597.325944303899"/>
  </r>
  <r>
    <x v="1"/>
    <s v="Tumba coffee Ltd"/>
    <s v="Mr. MUGIRANEZA Faustin"/>
    <x v="0"/>
    <s v="Rulindo"/>
    <s v="Tumba"/>
    <s v="NNYL_1"/>
    <s v="Nyabugogo Sub-Catchment"/>
    <n v="52131.2340810389"/>
  </r>
  <r>
    <x v="1"/>
    <s v="TURENGERIKAWA"/>
    <s v="Turengerikawa Coop."/>
    <x v="0"/>
    <s v="Rusizi"/>
    <s v="Nyakabuye"/>
    <s v="CRUS_1"/>
    <s v="Rubyiro Sub-Catchment"/>
    <n v="51192.039942349104"/>
  </r>
  <r>
    <x v="1"/>
    <s v="Twagira CWS"/>
    <s v="Mr.Twagirayezu JMV"/>
    <x v="0"/>
    <s v="Gisagara"/>
    <s v="Kigembe"/>
    <s v="NAKN_1"/>
    <s v="Giswi/Agatobwe Sub-Catchment"/>
    <n v="51506.177913631102"/>
  </r>
  <r>
    <x v="1"/>
    <s v="Twigire CWS"/>
    <s v="TWIGIRE Cooperative"/>
    <x v="0"/>
    <s v="Nyamasheke"/>
    <s v="Kirimbi"/>
    <s v="CKIV_3"/>
    <s v="Kamiranzovu Sub-Catchment"/>
    <n v="51868.418522496599"/>
  </r>
  <r>
    <x v="1"/>
    <s v="Twisungane/ Zone Cyarubare"/>
    <s v="RTC Ltd"/>
    <x v="0"/>
    <s v="Kayonza"/>
    <s v="Murama"/>
    <s v="NAKL_1"/>
    <s v="Akagera Lower Catchment"/>
    <n v="52003.911795359199"/>
  </r>
  <r>
    <x v="1"/>
    <s v="Twongerekawa Coko"/>
    <s v="Twongerekawa Coop."/>
    <x v="0"/>
    <s v="Gakenke"/>
    <s v="Coko"/>
    <s v="NNYL_2"/>
    <s v="Mambu/Base Sub-Catchment"/>
    <n v="51345.056986118703"/>
  </r>
  <r>
    <x v="1"/>
    <s v="Twumba Coffee"/>
    <s v="Twumba Coffee Ltd/ Mr.MUTAGENGWA Gerard"/>
    <x v="0"/>
    <s v="Karongi"/>
    <s v="Twumba"/>
    <s v="CKIV_2"/>
    <s v="Koko/Muregeya Sub-Catchment"/>
    <n v="50615.844789718103"/>
  </r>
  <r>
    <x v="1"/>
    <s v="UCAR Kamonyi"/>
    <s v="COCAKAM Jyambere ( ex.UCAR Coop.)"/>
    <x v="0"/>
    <s v="Kamonyi"/>
    <s v="Rukoma"/>
    <s v="NNYL_2"/>
    <s v="Mambu/Base Sub-Catchment"/>
    <n v="51631.1516119351"/>
  </r>
  <r>
    <x v="1"/>
    <s v="United Fast Services Ltd ( ex.Muhari CWS (SDLMJ))"/>
    <s v="Didier Joseph &amp; Ngabonziza Audace ( ex.Mr.MUGANGA Jean )"/>
    <x v="0"/>
    <s v="Rusizi"/>
    <s v="Gihundwe"/>
    <s v="CKIV_3"/>
    <s v="Kamiranzovu Sub-Catchment"/>
    <n v="52046.928256364401"/>
  </r>
  <r>
    <x v="1"/>
    <s v="Vunga coffee"/>
    <s v="Vunga coffee coop."/>
    <x v="0"/>
    <s v="Nyabihu"/>
    <s v="Shyira"/>
    <s v="NMUK_2"/>
    <s v="Giciye/Mukungwa Sub-Catchment"/>
    <n v="50636.338498256198"/>
  </r>
  <r>
    <x v="1"/>
    <s v="Wamugeyo CWS"/>
    <s v="Mr.NKUNZURWANDA Gerard"/>
    <x v="0"/>
    <s v="Nyamasheke"/>
    <s v="Kanjongo"/>
    <s v="CKIV_3"/>
    <s v="Kamiranzovu Sub-Catchment"/>
    <n v="51665.005309590597"/>
  </r>
  <r>
    <x v="2"/>
    <s v="Sebasengo"/>
    <s v="A2 Mining &amp; All Scraps Company"/>
    <x v="0"/>
    <s v="Kayonza"/>
    <s v="Mwiri"/>
    <s v="NAKL_1"/>
    <s v="Akagera Lower Catchment"/>
    <n v="907.49466480000001"/>
  </r>
  <r>
    <x v="2"/>
    <s v="Nyagisozi, Munyana"/>
    <s v="Africa Mining Company"/>
    <x v="0"/>
    <s v="Gakenke"/>
    <s v="Munyana"/>
    <s v="CKIV_1"/>
    <s v="Sebeya Sub-Catchment"/>
    <n v="874.82112899999993"/>
  </r>
  <r>
    <x v="2"/>
    <s v="Kanama"/>
    <s v="Africa Volcanoes Mining Ltd (AVOLMI)"/>
    <x v="0"/>
    <s v="Gasabo"/>
    <s v="Remera"/>
    <s v="NMUV_1"/>
    <s v="Murindi Sub-Catchment"/>
    <n v="882.98951280000006"/>
  </r>
  <r>
    <x v="2"/>
    <s v="Bukanda, Ndamiye"/>
    <s v="African Multibusiness Line (AML)"/>
    <x v="0"/>
    <s v="Gasabo"/>
    <s v="Kimironko"/>
    <s v="NAKU_1"/>
    <s v="Mugesera/Sake sub catchmentt"/>
    <n v="822.89354520000006"/>
  </r>
  <r>
    <x v="2"/>
    <s v="Gikombe &amp; Gasura I"/>
    <s v="Crystal Mining &amp; Trading Company"/>
    <x v="0"/>
    <s v="Gasabo"/>
    <s v="Nduba"/>
    <s v="NNYL_1"/>
    <s v="Nyabugogo sub catchment"/>
    <n v="1131.8099975999999"/>
  </r>
  <r>
    <x v="2"/>
    <s v="Buzinganjwiri, Busoro, Mbirima, Ruli, Coko, Gakenke"/>
    <s v="AFRIMICO Ltd"/>
    <x v="0"/>
    <s v="Nyarugenge"/>
    <s v="Nyarugenge"/>
    <s v="NAKL_1"/>
    <s v="Akagera Lower Catchment"/>
    <n v="856.15053719999992"/>
  </r>
  <r>
    <x v="2"/>
    <s v="Muhanga"/>
    <s v="COREMIR Minerals"/>
    <x v="0"/>
    <s v="Bugesera"/>
    <s v="Musenyi"/>
    <s v="NAKN_3"/>
    <s v="Cyohoha lake Sub-Catchment"/>
    <n v="1085.3669003999998"/>
  </r>
  <r>
    <x v="2"/>
    <s v="Mukingi, Gitanga"/>
    <s v="AKARAMATA Vita Import Export (AVIE) Ltd"/>
    <x v="0"/>
    <s v="Kicukiro"/>
    <s v="Nyarugunga"/>
    <s v="NAKU_1"/>
    <s v="Mugesera/Sake sub catchmentt"/>
    <n v="783.80199360000006"/>
  </r>
  <r>
    <x v="2"/>
    <s v="NA"/>
    <s v="Service Polyvalent de Construction et Topographie (SPCT) Ltd"/>
    <x v="0"/>
    <s v="Gasabo"/>
    <s v="Nduba"/>
    <s v="NNYL_1"/>
    <s v="Nyabugogo sub catchment"/>
    <n v="1658.4025296"/>
  </r>
  <r>
    <x v="2"/>
    <s v="Bushaka, Nkira"/>
    <s v="All-Hanga Ltd"/>
    <x v="0"/>
    <s v="Rubavu"/>
    <s v="Gisenyi"/>
    <s v="CKIV_1"/>
    <s v="Sebeya Sub-Catchment"/>
    <n v="638.08953479999991"/>
  </r>
  <r>
    <x v="2"/>
    <s v="Gisororo"/>
    <s v="JURU Mining and Trade Co Ltd"/>
    <x v="0"/>
    <s v="Bugesera"/>
    <s v="Juru"/>
    <s v="NAKU_1"/>
    <s v="Mugesera/Sake sub catchment"/>
    <n v="3178.8888515999997"/>
  </r>
  <r>
    <x v="2"/>
    <s v="Mbuye"/>
    <s v="Ameki Color"/>
    <x v="0"/>
    <s v="Ngoma"/>
    <s v="Jarama"/>
    <s v="NAKU_1"/>
    <s v="Mugesera/Sake sub catchmentt"/>
    <n v="1228.9789175999999"/>
  </r>
  <r>
    <x v="2"/>
    <s v="Twinyange"/>
    <s v="ASMOS Ltd"/>
    <x v="0"/>
    <s v="Bugesera"/>
    <s v="Rweru"/>
    <s v="NAKU_1"/>
    <s v="Mugesera/Sake sub catchmentt"/>
    <n v="511.91150028000004"/>
  </r>
  <r>
    <x v="2"/>
    <s v="Kintambwe"/>
    <s v="Kigali Good"/>
    <x v="0"/>
    <s v="Bugesera"/>
    <s v="Rweru"/>
    <s v="NAKU_2"/>
    <s v="Rweru Sub-Catchment"/>
    <n v="859.65127319999999"/>
  </r>
  <r>
    <x v="2"/>
    <s v="Kintambwe"/>
    <s v="Kigali Goods"/>
    <x v="0"/>
    <s v="Bugesera"/>
    <s v="Rweru"/>
    <s v="NAKU_2"/>
    <s v="Rweru Sub-Catchment"/>
    <n v="830.47847339999998"/>
  </r>
  <r>
    <x v="2"/>
    <s v="Nyakibanda"/>
    <s v="BAMICO Ltd"/>
    <x v="0"/>
    <s v="Nyarugenge"/>
    <s v="Nyarugenge"/>
    <s v="NAKU_1"/>
    <s v="Mugesera/Sake sub catchmentt"/>
    <n v="695.44325939999999"/>
  </r>
  <r>
    <x v="2"/>
    <s v="Kawangira, Rwibikona"/>
    <s v="BARWA Mining Company (BARWA)"/>
    <x v="0"/>
    <s v="Kicukiro"/>
    <s v="Kanombe"/>
    <s v="NAKL_1"/>
    <s v="Akagera Lower Catchment"/>
    <n v="514.24532424000006"/>
  </r>
  <r>
    <x v="2"/>
    <s v="Kibuye"/>
    <s v="BBD Bravo Ltd"/>
    <x v="0"/>
    <s v="Nyamasheke"/>
    <s v="Kanjongo"/>
    <s v="CKIV_3"/>
    <s v="Kamiranzovu Sub-Catchment"/>
    <n v="557.42106785999999"/>
  </r>
  <r>
    <x v="2"/>
    <s v="Gitaraga"/>
    <s v="Mining Transporter Company"/>
    <x v="0"/>
    <s v="Bugesera"/>
    <s v="Mwogo"/>
    <s v="NAKU_1"/>
    <s v="Mugesera/Sake sub catchment"/>
    <n v="2703.8154839999997"/>
  </r>
  <r>
    <x v="2"/>
    <s v="Kinanira, Rwenkeke"/>
    <s v="Betisida Mining Company Ltd"/>
    <x v="0"/>
    <s v="Kamonyi"/>
    <s v="Nyamiyaga"/>
    <s v="NNYL_2"/>
    <s v="Mambu/Base sub catchment"/>
    <n v="2794.3913514000001"/>
  </r>
  <r>
    <x v="2"/>
    <s v="Cyabusheshe"/>
    <s v="BIRASHOBOKA Mining"/>
    <x v="0"/>
    <s v="Gasabo"/>
    <s v="Gisozi"/>
    <s v="NNYL_1"/>
    <s v="Nyabugogo Sub-Catchment"/>
    <n v="756.96301800000003"/>
  </r>
  <r>
    <x v="2"/>
    <s v="NA"/>
    <s v="Agasaro Mining Company"/>
    <x v="0"/>
    <s v="Gakenke"/>
    <s v="Rugendabari"/>
    <s v="NMUK_1"/>
    <s v="Burera/Ruhondo sub catchment"/>
    <n v="840.98068139999998"/>
  </r>
  <r>
    <x v="2"/>
    <s v="NA"/>
    <s v="BMTC"/>
    <x v="0"/>
    <s v="Kamonyi"/>
    <s v="Mugina"/>
    <s v="NAKN_1"/>
    <s v="Giswi/Agatobwe Sub-Catchment"/>
    <n v="822.31008959999997"/>
  </r>
  <r>
    <x v="2"/>
    <s v="NA"/>
    <s v="BOCCA 1207"/>
    <x v="0"/>
    <s v="Rubavu"/>
    <s v="Nyamyumba"/>
    <s v="NNYL_1"/>
    <s v="Nyabugogo Sub-Catchment"/>
    <n v="721.23201420000009"/>
  </r>
  <r>
    <x v="2"/>
    <s v="Kagati, Kinkori"/>
    <s v="Crisolite Mining Company"/>
    <x v="0"/>
    <s v="Kamonyi"/>
    <s v="Rukoma"/>
    <s v="NNYL_2"/>
    <s v="Mambu/Base sub catchment"/>
    <n v="1109.0552135999999"/>
  </r>
  <r>
    <x v="2"/>
    <s v="Gisizi, Rwibiraro"/>
    <s v="Gisizi Mining (GIMI) Ltd"/>
    <x v="0"/>
    <s v="Nyamasheke"/>
    <s v="Kanjongo"/>
    <s v="CKIV_3"/>
    <s v="Kamiranzovu sub catchment"/>
    <n v="1791.8154186000002"/>
  </r>
  <r>
    <x v="2"/>
    <s v="Kavumu"/>
    <s v="Brumine Ltd"/>
    <x v="0"/>
    <s v="Nyamasheke"/>
    <s v="Kanjongo"/>
    <s v="CKIV_2"/>
    <s v="Koko/Muregeya Sub-Catchment"/>
    <n v="734.59315620000007"/>
  </r>
  <r>
    <x v="2"/>
    <s v="Bugambira, Rukira"/>
    <s v="BUGAMBIRA Mines Ltd"/>
    <x v="0"/>
    <s v="Nyamasheke"/>
    <s v="Kanjongo"/>
    <s v="NAKU_1"/>
    <s v="Mugesera/Sake sub catchmentt"/>
    <n v="769.60051620000013"/>
  </r>
  <r>
    <x v="2"/>
    <s v="NA"/>
    <s v="Cyabingo Mining Company Ltd"/>
    <x v="0"/>
    <s v="Gakenke"/>
    <s v="Cyabingo"/>
    <s v="NMUK_2"/>
    <s v="Giciye/Mukungwa sub catchment"/>
    <n v="3716.8352784000003"/>
  </r>
  <r>
    <x v="2"/>
    <s v="Nteko"/>
    <s v="Busanze Miners Company"/>
    <x v="0"/>
    <s v="Nyaruguru"/>
    <s v="Busanze"/>
    <s v="NAKN_1"/>
    <s v="Giswi/Agatobwe Sub-Catchment"/>
    <n v="827.71273320000012"/>
  </r>
  <r>
    <x v="2"/>
    <s v="Kirebe"/>
    <s v="Business Excellence Co. Ltd"/>
    <x v="0"/>
    <s v="Nyagatare"/>
    <s v="Rwimiyaga"/>
    <s v="NAKL_1"/>
    <s v="Akagera Lower Catchment"/>
    <n v="647.27329080000004"/>
  </r>
  <r>
    <x v="2"/>
    <s v="Gaseke, Kamuramira"/>
    <s v="CALLIANE MINING Company"/>
    <x v="0"/>
    <s v="NA"/>
    <s v="Kamuramiro"/>
    <s v="CRUS_1"/>
    <s v="Rubyiro Sub-Catchment"/>
    <n v="1969.9680306"/>
  </r>
  <r>
    <x v="2"/>
    <s v="Kigote"/>
    <s v="Mme MUGABONAKE Jeanne"/>
    <x v="0"/>
    <s v="Gakenke"/>
    <s v="Cyabingo"/>
    <s v="NMUK_2"/>
    <s v="Giciye/Mukungwa sub catchment"/>
    <n v="3373.6813109999994"/>
  </r>
  <r>
    <x v="2"/>
    <s v="Sholi"/>
    <s v="CEMAM"/>
    <x v="0"/>
    <s v="Muhanga"/>
    <s v="Kabacuzi"/>
    <s v="CKIV_2"/>
    <s v="Koko/Muregeya Sub-Catchment"/>
    <n v="844.1078465999999"/>
  </r>
  <r>
    <x v="2"/>
    <s v="Gitega"/>
    <s v="CEMIEX"/>
    <x v="0"/>
    <s v="Ngororero"/>
    <s v="Hindiro"/>
    <s v="NAKN_2"/>
    <s v="Gishara/Mukunguri Sub-Catchment"/>
    <n v="869.60487360000013"/>
  </r>
  <r>
    <x v="2"/>
    <s v="Nyamyumba"/>
    <s v="CEMINYAKI"/>
    <x v="0"/>
    <s v="Rubavu"/>
    <s v="Nyamyumba"/>
    <s v="CKIV_1"/>
    <s v="Sebeya Sub-Catchment"/>
    <n v="4659.7001657999999"/>
  </r>
  <r>
    <x v="2"/>
    <s v="Nyamabuye"/>
    <s v="Chrysostome Mining Ltd"/>
    <x v="0"/>
    <s v="Nyamasheke"/>
    <s v="Kanjongo"/>
    <s v="CKIV_3"/>
    <s v="Kamiranzovu Sub-Catchment"/>
    <n v="877.18980179999994"/>
  </r>
  <r>
    <x v="2"/>
    <s v="Murehe"/>
    <s v="CODEMICOTA"/>
    <x v="0"/>
    <s v="Kamonyi"/>
    <s v="Rukoma"/>
    <s v="CKIV_2"/>
    <s v="Koko/Muregeya Sub-Catchment"/>
    <n v="877.65656639999997"/>
  </r>
  <r>
    <x v="2"/>
    <s v="NA"/>
    <s v="Mining Quality Supply Ltd"/>
    <x v="0"/>
    <s v="Nyamasheke"/>
    <s v="Kanjongo"/>
    <s v="CKIV_3"/>
    <s v="Kamiranzovu sub catchment"/>
    <n v="2554.0423301999999"/>
  </r>
  <r>
    <x v="2"/>
    <s v="Kindeko"/>
    <s v="Embrella Mining Ltd"/>
    <x v="0"/>
    <s v="Gasabo"/>
    <s v="Kimironko"/>
    <s v="NNYL_1"/>
    <s v="Nyabugogo sub catchment"/>
    <n v="1834.0227839999998"/>
  </r>
  <r>
    <x v="2"/>
    <s v="NA"/>
    <s v="COMIKAGI"/>
    <x v="0"/>
    <s v="Gakenke"/>
    <s v="Ruli"/>
    <s v="NNYL_2"/>
    <s v="Mambu/Base Sub-Catchment"/>
    <n v="933.02654040000004"/>
  </r>
  <r>
    <x v="2"/>
    <s v="Rusumbamaso"/>
    <s v="Jabana Mining and Quarrying Co. Ltd"/>
    <x v="0"/>
    <s v="Gasabo"/>
    <s v="Jabana"/>
    <s v="NNYL_1"/>
    <s v="Nyabugogo sub catchment"/>
    <n v="4229.6930976000003"/>
  </r>
  <r>
    <x v="2"/>
    <s v="Rusera"/>
    <s v="COOPEMIKANDO"/>
    <x v="0"/>
    <s v="Kayonza"/>
    <s v="Nyamirama"/>
    <s v="NAKL_1"/>
    <s v="Akagera Lower Catchment"/>
    <n v="940.26139439999997"/>
  </r>
  <r>
    <x v="2"/>
    <s v="Ngara"/>
    <s v="Cooperative ABAHIZI"/>
    <x v="0"/>
    <s v="Ngoma"/>
    <s v="Karembo"/>
    <s v="NAKU_1"/>
    <s v="Mugesera/Sake sub catchmentt"/>
    <n v="943.12032900000008"/>
  </r>
  <r>
    <x v="2"/>
    <s v="NA"/>
    <s v="Cooperative AMKG"/>
    <x v="0"/>
    <s v="Rutsiro"/>
    <s v="Nyabirasi"/>
    <s v="CKIV_1"/>
    <s v="Sebeya Sub-Catchment"/>
    <n v="955.31455920000008"/>
  </r>
  <r>
    <x v="2"/>
    <s v="Mwogambere, Nyamuremure"/>
    <s v="Cooperative COEMIKI"/>
    <x v="0"/>
    <s v="Ngororero"/>
    <s v="Ndaro"/>
    <s v="NNYU_3"/>
    <s v="Nyabarongo Upstream Sub-Catchment"/>
    <n v="1290.8252532000001"/>
  </r>
  <r>
    <x v="2"/>
    <s v="Karemera"/>
    <s v="NT. F Mining Co. Ltd"/>
    <x v="0"/>
    <s v="Nyamasheke"/>
    <s v="Kanjongo"/>
    <s v="CKIV_3"/>
    <s v="Kamiranzovu sub catchment"/>
    <n v="5283.2160906000008"/>
  </r>
  <r>
    <x v="2"/>
    <s v="NA"/>
    <s v="Cooperative COMIKA"/>
    <x v="0"/>
    <s v="Kamonyi"/>
    <s v="Rukoma"/>
    <s v="CKIV_2"/>
    <s v="Koko/Muregeya Sub-Catchment"/>
    <n v="525.33098814000004"/>
  </r>
  <r>
    <x v="2"/>
    <s v="Rusumo"/>
    <s v="Societe d'Exploitation et Vente des Minerais (SEVEM) Umubano Mining Ltd"/>
    <x v="0"/>
    <s v="Gasabo"/>
    <s v="Remera"/>
    <s v="NNYL_1"/>
    <s v="Nyabugogo sub catchment"/>
    <n v="34248.939102000004"/>
  </r>
  <r>
    <x v="2"/>
    <s v="Nyagatovu"/>
    <s v="East African Minerals &amp; Metals (EAMM)"/>
    <x v="0"/>
    <s v="Karongi"/>
    <s v="Gishyita"/>
    <s v="CKIV_2"/>
    <s v="Koko/Muregeya sub catchment"/>
    <n v="1197.3321060000001"/>
  </r>
  <r>
    <x v="2"/>
    <s v="Mwogambere, Nyamuremure"/>
    <s v="Cooperative des Exploitations Miniere de Kibanda (COEMIKI)"/>
    <x v="0"/>
    <s v="Ngororero"/>
    <s v="Ndaro"/>
    <s v="NNYU_3"/>
    <s v="Nyabarongo Upstream Sub-Catchment"/>
    <n v="979.76136540000016"/>
  </r>
  <r>
    <x v="2"/>
    <s v="Nyamyumba"/>
    <s v="Cooperative KAMICO"/>
    <x v="0"/>
    <s v="Rutsiro"/>
    <s v="Kivumu"/>
    <s v="CKIV_1"/>
    <s v="Sebeya Sub-Catchment"/>
    <n v="992.36401499999999"/>
  </r>
  <r>
    <x v="2"/>
    <s v="NA"/>
    <s v="Cooperative KOPAMU"/>
    <x v="0"/>
    <s v="Kayonza"/>
    <s v="Murundi"/>
    <s v="NAKL_1"/>
    <s v="Akagera Lower Catchment"/>
    <n v="1037.231781"/>
  </r>
  <r>
    <x v="2"/>
    <s v="Gitoki"/>
    <s v="Cooperative Miniere de KAHI (CMK)"/>
    <x v="0"/>
    <s v="Gatsibo"/>
    <s v="Gitoki"/>
    <s v="NAKL_1"/>
    <s v="Akagera Lower Catchment"/>
    <n v="1037.9902733999998"/>
  </r>
  <r>
    <x v="2"/>
    <s v="NA"/>
    <s v="Keds General Trading Ltd"/>
    <x v="0"/>
    <s v="Gatsibo"/>
    <s v="Kiramuruzi"/>
    <s v="NNYL_1"/>
    <s v="Nyabugogo sub catchment"/>
    <n v="2012.4201300000002"/>
  </r>
  <r>
    <x v="2"/>
    <s v="Kinyonzwe"/>
    <s v="Cooperative Mutuntu Karongi (KOKAMK)"/>
    <x v="0"/>
    <s v="Karongi"/>
    <s v="Mutuntu"/>
    <s v="CKIV_2"/>
    <s v="Koko/Muregeya Sub-Catchment"/>
    <n v="1063.6623371999999"/>
  </r>
  <r>
    <x v="2"/>
    <s v="Rwabyayoni, Rukaragata"/>
    <s v="Africome International Ltd"/>
    <x v="0"/>
    <s v="Kicukiro"/>
    <s v="Kigarama"/>
    <s v="NNYL_1"/>
    <s v="Nyabugogo sub catchment"/>
    <n v="656.60858699999994"/>
  </r>
  <r>
    <x v="2"/>
    <s v="NA"/>
    <s v="Cooperative UBUKUNGU"/>
    <x v="0"/>
    <s v="Gakenke"/>
    <s v="Kamubuga"/>
    <s v="NAKN_1"/>
    <s v="Giswi/Agatobwe Sub-Catchment"/>
    <n v="1486.2830112000001"/>
  </r>
  <r>
    <x v="2"/>
    <s v="Gisagara"/>
    <s v="MG&amp;Sec"/>
    <x v="0"/>
    <s v="Gisagara"/>
    <s v="Kibirizi"/>
    <s v="NAKN_2"/>
    <s v="Gishara/Mukunguri sub catchment"/>
    <n v="2100.5219856000003"/>
  </r>
  <r>
    <x v="2"/>
    <s v="Nkomero"/>
    <s v="Cornado Mining Company"/>
    <x v="0"/>
    <s v="Nyamasheke"/>
    <s v="Karengera"/>
    <s v="CKIV_3"/>
    <s v="Kamiranzovu Sub-Catchment"/>
    <n v="1089.2177099999999"/>
  </r>
  <r>
    <x v="2"/>
    <s v="Nyanga, Karwa"/>
    <s v="Alfa Mineral Supply Ltd"/>
    <x v="0"/>
    <s v="Kicukiro"/>
    <s v="Kicukiro"/>
    <s v="NAKU_1"/>
    <s v="Mugesera/Sake sub catchment"/>
    <n v="614.10949379999988"/>
  </r>
  <r>
    <x v="2"/>
    <s v="Kamashinge, Buyoga"/>
    <s v="Interafrican Mining Corporation (IMC)"/>
    <x v="0"/>
    <s v="Kicukiro"/>
    <s v="Kigarama"/>
    <s v="NNYL_1"/>
    <s v="Nyabugogo sub catchment"/>
    <n v="5592.6463014000001"/>
  </r>
  <r>
    <x v="2"/>
    <s v="Murambi, Cyantenga"/>
    <s v="COMIRWA"/>
    <x v="0"/>
    <s v="Kamonyi"/>
    <s v="Rukoma"/>
    <s v="NNYL_2"/>
    <s v="Mambu/Base sub catchment"/>
    <n v="933.37661400000002"/>
  </r>
  <r>
    <x v="2"/>
    <s v="Rukoki-Rubanga"/>
    <s v="DEMIKA (Developpement Minier de Kayonza)"/>
    <x v="0"/>
    <s v="Kayonza"/>
    <s v="Rwinkwavu"/>
    <s v="NAKL_1"/>
    <s v="Akagera Lower Catchment"/>
    <n v="2261.1125717999998"/>
  </r>
  <r>
    <x v="2"/>
    <s v="Ryabunori, Bwikurure"/>
    <s v="DEMIKARU Ltd"/>
    <x v="0"/>
    <s v="Rubavu"/>
    <s v="Kanama"/>
    <s v="CKIV_1"/>
    <s v="Sebeya Sub-Catchment"/>
    <n v="448.31479686"/>
  </r>
  <r>
    <x v="2"/>
    <s v="Gatebe"/>
    <s v="Development Mining Company (DEMICO)"/>
    <x v="0"/>
    <s v="Kamonyi"/>
    <s v="Rukoma"/>
    <s v="NNYL_2"/>
    <s v="Mambu/Base Sub-Catchment"/>
    <n v="3367.3451376000003"/>
  </r>
  <r>
    <x v="2"/>
    <s v="Busogo"/>
    <s v="DUJACK  Minerals Company"/>
    <x v="0"/>
    <s v="Rutsiro"/>
    <s v="Nyabirasi"/>
    <s v="CKIV_1"/>
    <s v="Sebeya Sub-Catchment"/>
    <n v="376.54970952000002"/>
  </r>
  <r>
    <x v="2"/>
    <s v="NA"/>
    <s v="DUKORENEZA"/>
    <x v="0"/>
    <s v="Rubavu"/>
    <s v="Nyundo"/>
    <s v="CKIV_1"/>
    <s v="Sebeya Sub-Catchment"/>
    <n v="1141.4370215999998"/>
  </r>
  <r>
    <x v="2"/>
    <s v="NA"/>
    <s v="Dukunde Mining Company Ltd"/>
    <x v="0"/>
    <s v="Gatsibo"/>
    <s v="Remera"/>
    <s v="NAKL_1"/>
    <s v="Akagera Lower Catchment"/>
    <n v="3851.6136131999997"/>
  </r>
  <r>
    <x v="2"/>
    <s v="Migera, Nyagasambu"/>
    <s v="ISHYAKA Minerals"/>
    <x v="0"/>
    <s v="Kayonza"/>
    <s v="Mwiri"/>
    <s v="NAKL_1"/>
    <s v="Akagera Lower Catchment"/>
    <n v="4240.7787618000002"/>
  </r>
  <r>
    <x v="2"/>
    <s v="Kajwi, Bututsi, Buturuba"/>
    <s v="DUSUZUME-IMIRIMO"/>
    <x v="0"/>
    <s v="Gakenke"/>
    <s v="Gashyenyi"/>
    <s v="NAKN_2"/>
    <s v="Gishara/Mukunguri Sub-Catchment"/>
    <n v="1166.4672834"/>
  </r>
  <r>
    <x v="2"/>
    <s v="Rebero"/>
    <s v="E and G Company"/>
    <x v="0"/>
    <s v="Gatsibo"/>
    <s v="Rwimbogo"/>
    <s v="NAKL_1"/>
    <s v="Akagera Lower Catchment"/>
    <n v="1174.4606309999999"/>
  </r>
  <r>
    <x v="2"/>
    <s v="Rwikiniro"/>
    <s v="E&amp;G Mining Company"/>
    <x v="0"/>
    <s v="Gatsibo"/>
    <s v="Rwimbogo"/>
    <s v="NAKL_1"/>
    <s v="Akagera Lower Catchment"/>
    <n v="1194.1230977999999"/>
  </r>
  <r>
    <x v="2"/>
    <s v="Rusororo 2"/>
    <s v="Kigali Mining Company (KMC)"/>
    <x v="0"/>
    <s v="Kicukiro"/>
    <s v="Kigarama"/>
    <s v="NNYL_1"/>
    <s v="Nyabugogo sub catchment"/>
    <n v="840.98068139999998"/>
  </r>
  <r>
    <x v="2"/>
    <s v="Gituza"/>
    <s v="East African Mining Company (EAMICO)"/>
    <x v="0"/>
    <s v="Kicukiro"/>
    <s v="Gikondo"/>
    <s v="NAKN_2"/>
    <s v="Gishara/Mukunguri Sub-Catchment"/>
    <n v="1215.7109694000001"/>
  </r>
  <r>
    <x v="2"/>
    <s v="NA"/>
    <s v="ECOATEF Ltd"/>
    <x v="0"/>
    <s v="Bugesera"/>
    <s v="Rugarama"/>
    <s v="NAKL_1"/>
    <s v="Akagera Lower Catchment"/>
    <n v="1276.5070842"/>
  </r>
  <r>
    <x v="2"/>
    <s v="NA"/>
    <s v="B&amp;K Business Activity Ltd"/>
    <x v="0"/>
    <s v="Kicukiro"/>
    <s v="Gatenga"/>
    <s v="NNYL_1"/>
    <s v="Nyabugogo sub catchment"/>
    <n v="672.16336500000011"/>
  </r>
  <r>
    <x v="2"/>
    <s v="Mpinga, Nyagatongo, Gashashi, Wimana"/>
    <s v="Elayono Mining Company"/>
    <x v="0"/>
    <s v="Nyamasheke"/>
    <s v="Ruharambuga"/>
    <s v="CKIV_3"/>
    <s v="Kamiranzovu Sub-Catchment"/>
    <n v="844.48141740000005"/>
  </r>
  <r>
    <x v="2"/>
    <s v="Minazi"/>
    <s v="Ets SINDAMBIWE Simon"/>
    <x v="0"/>
    <s v="Kicukiro"/>
    <s v="Niboyi"/>
    <s v="NAKU_1"/>
    <s v="Mugesera/Sake sub catchment"/>
    <n v="1387.1886863999998"/>
  </r>
  <r>
    <x v="2"/>
    <s v="NA"/>
    <s v="Empire Mining Groupe Ltd"/>
    <x v="0"/>
    <s v="Rubavu"/>
    <s v="Rugerero"/>
    <s v="NMUK_1"/>
    <s v="Burera/Ruhondo Sub-Catchment"/>
    <n v="704.45197859999996"/>
  </r>
  <r>
    <x v="2"/>
    <s v="NA"/>
    <s v="Entreprise CYUSA"/>
    <x v="0"/>
    <s v="Ruhango"/>
    <s v="Byimana"/>
    <s v="NAKN_1"/>
    <s v="Giswi/Agatobwe Sub-Catchment"/>
    <n v="618.10049100000003"/>
  </r>
  <r>
    <x v="2"/>
    <s v="Gatora, Mugorore, Kajevuba, Gatenderi"/>
    <s v="Entreprise EKAMIN Ltd"/>
    <x v="0"/>
    <s v="Bugesera"/>
    <s v="Juru"/>
    <s v="NAKU_1"/>
    <s v="Mugesera/Sake sub catchmentt"/>
    <n v="3628.7334234"/>
  </r>
  <r>
    <x v="2"/>
    <s v="Mpanga, Rwesero, Musave"/>
    <s v="EPROCOMI Ltd"/>
    <x v="0"/>
    <s v="Gakenke"/>
    <s v="Coko"/>
    <s v="NAKN_1"/>
    <s v="Giswi/Agatobwe Sub-Catchment"/>
    <n v="1418.0186598"/>
  </r>
  <r>
    <x v="2"/>
    <s v="Kabuga, Gakinjiro"/>
    <s v="Ese RUTABIKANGWA Emmanuel"/>
    <x v="0"/>
    <s v="Rubavu"/>
    <s v="Nyundo"/>
    <s v="CKIV_1"/>
    <s v="Sebeya Sub-Catchment"/>
    <n v="1311.3977525999999"/>
  </r>
  <r>
    <x v="2"/>
    <s v="Rukankama 1"/>
    <s v="Ets Hajos"/>
    <x v="0"/>
    <s v="Rwamagana"/>
    <s v="Karenge"/>
    <s v="CRUS_1"/>
    <s v="Rubyiro Sub-Catchment"/>
    <n v="5749.0125078000001"/>
  </r>
  <r>
    <x v="2"/>
    <s v="Rubare"/>
    <s v="Ets Kalinda Valens"/>
    <x v="0"/>
    <s v="Kamonyi"/>
    <s v="Rukoma"/>
    <s v="NNYL_2"/>
    <s v="Mambu/Base Sub-Catchment"/>
    <n v="1340.5705524"/>
  </r>
  <r>
    <x v="2"/>
    <s v="Busanza"/>
    <s v="Ets KP Ltd"/>
    <x v="0"/>
    <s v="Gasabo"/>
    <s v="Kimironko"/>
    <s v="NAKU_1"/>
    <s v="Mugesera/Sake sub catchmentt"/>
    <n v="1385.8467378"/>
  </r>
  <r>
    <x v="2"/>
    <s v="Kirwa, Ruhango"/>
    <s v="Ets Mbanzabugabo"/>
    <x v="0"/>
    <s v="Ruhango"/>
    <s v="Kihira"/>
    <s v="CKIV_1"/>
    <s v="Sebeya Sub-Catchment"/>
    <n v="3753.5930063999999"/>
  </r>
  <r>
    <x v="2"/>
    <s v="Gasura"/>
    <s v="Ets MUNSAD Minerals Ltd"/>
    <x v="0"/>
    <s v="Muhanga"/>
    <s v="Muhanga"/>
    <s v="NAKL_1"/>
    <s v="Akagera Lower Catchment"/>
    <n v="2088.4095978"/>
  </r>
  <r>
    <x v="2"/>
    <s v="NA"/>
    <s v="Execok Ltd"/>
    <x v="0"/>
    <s v="Kicukiro"/>
    <s v="Niboye"/>
    <s v="NAKU_1"/>
    <s v="Mugesera/Sake sub catchment"/>
    <n v="1413.2691696000002"/>
  </r>
  <r>
    <x v="2"/>
    <s v="NA"/>
    <s v="Kayenzi Mining Company (KAMICO)"/>
    <x v="0"/>
    <s v="Kicukuro"/>
    <s v="Kagarama"/>
    <s v="NAKU_1"/>
    <s v="Mugesera/Sake sub catchment"/>
    <n v="961.75607220000006"/>
  </r>
  <r>
    <x v="2"/>
    <s v="Nkongoro"/>
    <s v="Expinsco Mining Group Ltd"/>
    <x v="0"/>
    <s v="Kicukiro"/>
    <s v="Gikondo"/>
    <s v="NNYL_1"/>
    <s v="Nyabugogo sub catchment"/>
    <n v="1466.2469735999998"/>
  </r>
  <r>
    <x v="2"/>
    <s v="Rusumo"/>
    <s v="Hydro Africa International"/>
    <x v="0"/>
    <s v="Kicukiro"/>
    <s v="Kagarama"/>
    <s v="NAKU_1"/>
    <s v="Mugesera/Sake sub catchment"/>
    <n v="4128.1717547999997"/>
  </r>
  <r>
    <x v="2"/>
    <s v="NA"/>
    <s v="FARAISE Company Ltd"/>
    <x v="0"/>
    <s v="Burera"/>
    <s v="Kivuye"/>
    <s v="NAKN_1"/>
    <s v="Giswi/Agatobwe Sub-Catchment"/>
    <n v="4983.5182428000007"/>
  </r>
  <r>
    <x v="2"/>
    <s v="NA"/>
    <s v="FOTORERO Mining Company Ltd"/>
    <x v="0"/>
    <s v="Nyagatare"/>
    <s v="Rwimiyaga"/>
    <s v="NAKL_1"/>
    <s v="Akagera Lower Catchment"/>
    <n v="1493.7277512000001"/>
  </r>
  <r>
    <x v="2"/>
    <s v="Kagano 2, Ntobo"/>
    <s v="N.L Mining Company Ltd"/>
    <x v="0"/>
    <s v="Kicukiro"/>
    <s v="Kagarama"/>
    <s v="NAKU_1"/>
    <s v="Mugesera/Sake sub catchment"/>
    <n v="3792.1011017999999"/>
  </r>
  <r>
    <x v="2"/>
    <s v="NA"/>
    <s v="Efficient Mining Company Ltd"/>
    <x v="0"/>
    <s v="Muhanga"/>
    <s v="Rugendabari"/>
    <s v="NNYL_2"/>
    <s v="Mambu/Base sub catchment"/>
    <n v="1282.8667547999999"/>
  </r>
  <r>
    <x v="2"/>
    <s v="Nyagisozi"/>
    <s v="GAMICO"/>
    <x v="0"/>
    <s v="Gatsibo"/>
    <s v="Kageyo"/>
    <s v="NAKL_1"/>
    <s v="Akagera Lower Catchment"/>
    <n v="1640.0585148000002"/>
  </r>
  <r>
    <x v="2"/>
    <s v="Muduha, Mukokobore"/>
    <s v="Gar Mining Company"/>
    <x v="0"/>
    <s v="Rubavu"/>
    <s v="Nyundo"/>
    <s v="CKIV_1"/>
    <s v="Sebeya Sub-Catchment"/>
    <n v="1647.2933688000003"/>
  </r>
  <r>
    <x v="2"/>
    <s v="NA"/>
    <s v="GASAVE Mining Company Ltd"/>
    <x v="0"/>
    <s v="Muhanga"/>
    <s v="Rugendabali"/>
    <s v="NNYL_2"/>
    <s v="Mambu/Base Sub-Catchment"/>
    <n v="5807.9415630000003"/>
  </r>
  <r>
    <x v="2"/>
    <s v="NA"/>
    <s v="GASIZA Mining Company"/>
    <x v="0"/>
    <s v="Nyabihu"/>
    <s v="Muringa"/>
    <s v="NMUK_2"/>
    <s v="Giciye/Mukungwa Sub-Catchment"/>
    <n v="1657.1537753999999"/>
  </r>
  <r>
    <x v="2"/>
    <s v="Rukore"/>
    <s v="GATEVA Mining Company"/>
    <x v="0"/>
    <s v="Musanze"/>
    <s v="Kinigi"/>
    <s v="NMUK_2"/>
    <s v="Giciye/Mukungwa Sub-Catchment"/>
    <n v="1701.0880115999998"/>
  </r>
  <r>
    <x v="2"/>
    <s v="Buhabwa"/>
    <s v="General Mining Company Ltd"/>
    <x v="0"/>
    <s v="Kicukiro"/>
    <s v="Kicukiro"/>
    <s v="NMUV_2"/>
    <s v="Warufu/Muvumba Sub-Catchment"/>
    <n v="1711.1234543999999"/>
  </r>
  <r>
    <x v="2"/>
    <s v="KINOGI"/>
    <s v="Cooperative COMINYA"/>
    <x v="0"/>
    <s v="Muhanga"/>
    <s v="Kabacuzi"/>
    <s v="NNYL_2"/>
    <s v="Mambu/Base sub catchment"/>
    <n v="2790.3071592000001"/>
  </r>
  <r>
    <x v="2"/>
    <s v="Rulindo, Kabuye"/>
    <s v="GEODEX Mining and Quarry"/>
    <x v="0"/>
    <s v="Bugesera"/>
    <s v="Musenyi"/>
    <s v="NAKN_2"/>
    <s v="Gishara/Mukunguri Sub-Catchment"/>
    <n v="1729.7357010000001"/>
  </r>
  <r>
    <x v="2"/>
    <s v="NA"/>
    <s v="Cooperative COMAR"/>
    <x v="0"/>
    <s v="Muhanga"/>
    <s v="Kabacuzi"/>
    <s v="NNYL_2"/>
    <s v="Mambu/Base sub catchment"/>
    <n v="916.24650480000014"/>
  </r>
  <r>
    <x v="2"/>
    <s v="Kambyeyi, Kirwa, Gisovu"/>
    <s v="GLMT Ltd"/>
    <x v="0"/>
    <s v="Muhanga"/>
    <s v="Mushishiro"/>
    <s v="NNYU_3"/>
    <s v="Nyabarongo Upstream Sub-Catchment"/>
    <n v="1824.7806821999998"/>
  </r>
  <r>
    <x v="2"/>
    <s v="Rukore"/>
    <s v="Great Lakes Minerals International Ltd"/>
    <x v="0"/>
    <s v="Kicukiro"/>
    <s v="Niboye"/>
    <s v="CKIV_2"/>
    <s v="Koko/Muregeya Sub-Catchment"/>
    <n v="1829.2149480000003"/>
  </r>
  <r>
    <x v="2"/>
    <s v="NA"/>
    <s v="H&amp;B Mining Company Ltd"/>
    <x v="0"/>
    <s v="Karenge"/>
    <s v="Ngamba"/>
    <s v="NAKL_1"/>
    <s v="Akagera Lower Catchment"/>
    <n v="1830.4985514"/>
  </r>
  <r>
    <x v="2"/>
    <s v="NA"/>
    <s v="HABATU Mining Company Ltd"/>
    <x v="0"/>
    <s v="Rwamagana"/>
    <s v="Karenge"/>
    <s v="NAKL_1"/>
    <s v="Akagera Lower Catchment"/>
    <n v="1889.8943712000003"/>
  </r>
  <r>
    <x v="2"/>
    <s v="Bujyujyu"/>
    <s v="HAGARARA Ltd"/>
    <x v="0"/>
    <s v="Rwamagana"/>
    <s v="Muyumbu"/>
    <s v="NAKU_1"/>
    <s v="Mugesera/Sake sub catchmentt"/>
    <n v="4955.5123547999992"/>
  </r>
  <r>
    <x v="2"/>
    <s v="Nyirabuhene"/>
    <s v="Hago Mining Company Ltd"/>
    <x v="0"/>
    <s v="Nyarugenge"/>
    <s v="Muhima"/>
    <s v="NNYL_1"/>
    <s v="Nyabugogo Sub-Catchment"/>
    <n v="1958.2170684000002"/>
  </r>
  <r>
    <x v="2"/>
    <s v="Nyagasagara"/>
    <s v="Hard Metal Rwanda"/>
    <x v="0"/>
    <s v="Bugesera"/>
    <s v="Musenyi"/>
    <s v="NAKL_1"/>
    <s v="Akagera Lower Catchment"/>
    <n v="1469.9462435999999"/>
  </r>
  <r>
    <x v="2"/>
    <s v="Rushubi I"/>
    <s v="Harvest Mining Company"/>
    <x v="0"/>
    <s v="Kicukiro"/>
    <s v="Kagarama"/>
    <s v="NAKU_1"/>
    <s v="Mugesera/Sake sub catchmentt"/>
    <n v="2331.7107473999999"/>
  </r>
  <r>
    <x v="2"/>
    <s v="Rukoma"/>
    <s v="HATALE Company Ltd"/>
    <x v="0"/>
    <s v="Kamonyi"/>
    <s v="Rukoma"/>
    <s v="CKIV_2"/>
    <s v="Koko/Muregeya Sub-Catchment"/>
    <n v="1244.7322296"/>
  </r>
  <r>
    <x v="2"/>
    <s v="NA"/>
    <s v="Holly World Company"/>
    <x v="0"/>
    <s v="Gasabo"/>
    <s v="Kimironko"/>
    <s v="NAKU_1"/>
    <s v="Mugesera/Sake sub catchmentt"/>
    <n v="3227.8991550000001"/>
  </r>
  <r>
    <x v="2"/>
    <s v="Munyinya, Gitotsi"/>
    <s v="Hope Minerals Company Ltd"/>
    <x v="0"/>
    <s v="Nyabihu"/>
    <s v="Rugera"/>
    <s v="NMUK_2"/>
    <s v="Giciye/Mukungwa Sub-Catchment"/>
    <n v="4789.8108528000002"/>
  </r>
  <r>
    <x v="2"/>
    <s v="Munyinya, Gitotsi, Gisoro"/>
    <s v="Hope Mining Company Ltd"/>
    <x v="0"/>
    <s v="Nyabihu"/>
    <s v="Rugera"/>
    <s v="NMUK_2"/>
    <s v="Giciye/Mukungwa Sub-Catchment"/>
    <n v="5142.2182733999998"/>
  </r>
  <r>
    <x v="2"/>
    <s v="Gatovu"/>
    <s v="Furniture and Business Technology (FBTEC)"/>
    <x v="0"/>
    <s v="Muhanga"/>
    <s v="Cyeza"/>
    <s v="NNYL_2"/>
    <s v="Mambu/Base sub catchment"/>
    <n v="1202.7233976"/>
  </r>
  <r>
    <x v="2"/>
    <s v="Ruhinga"/>
    <s v="Nissi Business Corporation"/>
    <x v="0"/>
    <s v="Musanze"/>
    <s v="Muhoza"/>
    <s v="NMUK_2"/>
    <s v="Giciye/Mukungwa sub catchment"/>
    <n v="4725.2571227999997"/>
  </r>
  <r>
    <x v="2"/>
    <s v="Nyaruvumu, Gituntu"/>
    <s v="Excellent Mining Company"/>
    <x v="0"/>
    <s v="Muhanga"/>
    <s v="Nyamabuye"/>
    <s v="NNYL_2"/>
    <s v="Mambu/Base sub catchment"/>
    <n v="1403.1753804"/>
  </r>
  <r>
    <x v="2"/>
    <s v="NA"/>
    <s v="ISHEJA Mining Company Ltd"/>
    <x v="0"/>
    <s v="Nyabihu"/>
    <s v="Mukamira"/>
    <s v="CKIV_1"/>
    <s v="Sebeya Sub-Catchment"/>
    <n v="3806.6875019999998"/>
  </r>
  <r>
    <x v="2"/>
    <s v="Ngurugunzu"/>
    <s v="Burera Minerals Deposits Company Ltd"/>
    <x v="0"/>
    <s v="Ngororero"/>
    <s v="Gatumba"/>
    <s v="NNYU_3"/>
    <s v="Nyabarongo upstream sub catchment"/>
    <n v="785.06209980000006"/>
  </r>
  <r>
    <x v="2"/>
    <s v="NA"/>
    <s v="NSYABIRE Company Ltd"/>
    <x v="0"/>
    <s v="Ngororero"/>
    <s v="Bwira"/>
    <s v="NNYU_3"/>
    <s v="Nyabarongo upstream sub catchment"/>
    <n v="5073.1719324000005"/>
  </r>
  <r>
    <x v="2"/>
    <s v="Mutaho"/>
    <s v="Jalas Mining Company"/>
    <x v="0"/>
    <s v="Gasabo"/>
    <s v="Kanyinya"/>
    <s v="NNYL_1"/>
    <s v="Nyabugogo Sub-Catchment"/>
    <n v="3908.2088448"/>
  </r>
  <r>
    <x v="2"/>
    <s v="Gitarama, Uwamakumba, Gitwa 5"/>
    <s v="Jasper Minerals Suppliers Ltd"/>
    <x v="0"/>
    <s v="Gasabo"/>
    <s v="Kimihurura"/>
    <s v="NNYL_1"/>
    <s v="Nyabugogo Sub-Catchment"/>
    <n v="4251.2809698000001"/>
  </r>
  <r>
    <x v="2"/>
    <s v="Gabiro, Gihanga, Murambi"/>
    <s v="Joint Mining and General Service Ltd"/>
    <x v="0"/>
    <s v="Nyarugenge"/>
    <s v="Nyarugenge"/>
    <s v="CKIV_2"/>
    <s v="Koko/Muregeya Sub-Catchment"/>
    <n v="3389.5164654"/>
  </r>
  <r>
    <x v="2"/>
    <s v="Mwiyanike, Gatare"/>
    <s v="Rungo Mining Company Ltd"/>
    <x v="0"/>
    <s v="Ngororero"/>
    <s v="Kagano"/>
    <s v="NNYU_3"/>
    <s v="Nyabarongo upstream sub catchment"/>
    <n v="43275.419945999995"/>
  </r>
  <r>
    <x v="2"/>
    <s v="Muturirwa"/>
    <s v="KABAYA Mining Ltd"/>
    <x v="0"/>
    <s v="Ngororero"/>
    <s v="Kabaya"/>
    <s v="CRUS_1"/>
    <s v="Rubyiro Sub-Catchment"/>
    <n v="1910.4555192000003"/>
  </r>
  <r>
    <x v="2"/>
    <s v="NA"/>
    <s v="Rwanda Mining Africa Central Ltd"/>
    <x v="0"/>
    <s v="Ngororero"/>
    <s v="Kavumu"/>
    <s v="NNYU_3"/>
    <s v="Nyabarongo upstream sub catchment"/>
    <n v="4372.0563605999996"/>
  </r>
  <r>
    <x v="2"/>
    <s v="Kibanda"/>
    <s v="Kamina Mining Development Ltd"/>
    <x v="0"/>
    <s v="Ngororero"/>
    <s v="Ndaro"/>
    <s v="NNYU_3"/>
    <s v="Nyabarongo Upstream Sub-Catchment"/>
    <n v="754.62919380000005"/>
  </r>
  <r>
    <x v="2"/>
    <s v="Rwikiniro"/>
    <s v="Millenium Mining Company Ltd"/>
    <x v="0"/>
    <s v="Muhanga"/>
    <s v="Kabacuzi"/>
    <s v="NNYL_2"/>
    <s v="Mambu/Base sub catchment"/>
    <n v="2130.3365868000001"/>
  </r>
  <r>
    <x v="2"/>
    <s v="Kashyaka, Kabugazi"/>
    <s v="KANAMUGIRE Innocent"/>
    <x v="0"/>
    <s v="Huye"/>
    <s v="Rwaniro"/>
    <s v="NNYU_2"/>
    <s v="Mwogo Sub-Catchment"/>
    <n v="768.63213780000001"/>
  </r>
  <r>
    <x v="2"/>
    <s v="Rambura"/>
    <s v="Blessed Minerals Co Ltf"/>
    <x v="0"/>
    <s v="Nyabihu"/>
    <s v="Jomba"/>
    <s v="NMUK_2"/>
    <s v="Giciye/Mukungwa sub catchment"/>
    <n v="853.81671299999994"/>
  </r>
  <r>
    <x v="2"/>
    <s v="Akamapfiro"/>
    <s v="M-CEMICO Ltd"/>
    <x v="0"/>
    <s v="Ngoma"/>
    <s v="Remera"/>
    <s v="NAKU_1"/>
    <s v="Mugesera/Sake sub catchment"/>
    <n v="2937.3380700000002"/>
  </r>
  <r>
    <x v="2"/>
    <s v="Cyamabuye - Nyamutukura - Bukinanyana"/>
    <s v="Int Mining and Auto Multiservice Company Ltd"/>
    <x v="0"/>
    <s v="Nyabihu"/>
    <s v="Jenda"/>
    <s v="NMUK_2"/>
    <s v="Giciye/Mukungwa sub catchment"/>
    <n v="4215.1066979999996"/>
  </r>
  <r>
    <x v="2"/>
    <s v="Kabagabo"/>
    <s v="KGMC Ltd"/>
    <x v="0"/>
    <s v="Rwamagana"/>
    <s v="Muyumbu"/>
    <s v="NAKU_1"/>
    <s v="Mugesera/Sake sub catchmentt"/>
    <n v="918"/>
  </r>
  <r>
    <x v="2"/>
    <s v="NA"/>
    <s v="KIAMANYA"/>
    <x v="0"/>
    <s v="Nyamasheke"/>
    <s v="Kagano"/>
    <s v="CKIV_3"/>
    <s v="Kamiranzovu Sub-Catchment"/>
    <n v="2025.0811254"/>
  </r>
  <r>
    <x v="2"/>
    <s v="Rwenzo"/>
    <s v="RWENZO Mining Company Ltd"/>
    <x v="0"/>
    <s v="Nyabihu"/>
    <s v="Rambura"/>
    <s v="NMUK_2"/>
    <s v="Giciye/Mukungwa sub catchment"/>
    <n v="6973.7891519999994"/>
  </r>
  <r>
    <x v="2"/>
    <s v="Gihumbi"/>
    <s v="Kanyamihunga Ananias"/>
    <x v="0"/>
    <s v="Nyamagabe"/>
    <s v="Gasaka"/>
    <s v="NNYU_2"/>
    <s v="Mwogo sub catchment"/>
    <n v="792.55383359999996"/>
  </r>
  <r>
    <x v="2"/>
    <s v="NA"/>
    <s v="CODINYA"/>
    <x v="0"/>
    <s v="Nyamasheke"/>
    <s v="Cyato"/>
    <s v="CKIV_3"/>
    <s v="Kamiranzovu sub catchment"/>
    <n v="910.44679319999989"/>
  </r>
  <r>
    <x v="2"/>
    <s v="Gahira, Rwamiyaga, Nganzo"/>
    <s v="KIGEYO Mining Cooperative"/>
    <x v="0"/>
    <s v="Rutsiro"/>
    <s v="Kigeyo"/>
    <s v="CKIV_1"/>
    <s v="Sebeya Sub-Catchment"/>
    <n v="921.49760820000006"/>
  </r>
  <r>
    <x v="2"/>
    <s v="Rubingo"/>
    <s v="Kings Mining Company"/>
    <x v="0"/>
    <s v="Gasabo"/>
    <s v="Ndera"/>
    <s v="NAKU_1"/>
    <s v="Mugesera/Sake sub catchmentt"/>
    <n v="753.46228199999996"/>
  </r>
  <r>
    <x v="2"/>
    <s v="NA"/>
    <s v="KIVU Metal Supplier"/>
    <x v="0"/>
    <s v="Bugesera"/>
    <s v="Ntarama"/>
    <s v="NAKN_2"/>
    <s v="Gishara/Mukunguri Sub-Catchment"/>
    <n v="4982.3513309999998"/>
  </r>
  <r>
    <x v="2"/>
    <s v="Kanjongo"/>
    <s v="Ramy Mining Company"/>
    <x v="0"/>
    <s v="Nyamasheke"/>
    <s v="Kanjongo"/>
    <s v="CKIV_3"/>
    <s v="Kamiranzovu sub catchment"/>
    <n v="12764.989002000002"/>
  </r>
  <r>
    <x v="2"/>
    <s v="NA"/>
    <s v="KOPABAMANYA"/>
    <x v="0"/>
    <s v="Bugesera"/>
    <s v="Nyamata"/>
    <s v="NNYU_3"/>
    <s v="Nyabarongo Upstream Sub-Catchment"/>
    <n v="260.44196657999998"/>
  </r>
  <r>
    <x v="2"/>
    <s v="Busoro"/>
    <s v="Cooperative COMINYABU"/>
    <x v="0"/>
    <s v="Rubavu"/>
    <s v="Nyamyumba"/>
    <s v="CKIV_1"/>
    <s v="Sebeya sub catchment"/>
    <n v="959.80717020000009"/>
  </r>
  <r>
    <x v="2"/>
    <s v="NA"/>
    <s v="Kanama Mining Solution Ltd"/>
    <x v="0"/>
    <s v="Rubavu"/>
    <s v="Rubavu"/>
    <s v="CKIV_1"/>
    <s v="Sebeya sub catchment"/>
    <n v="730.12404240000001"/>
  </r>
  <r>
    <x v="2"/>
    <s v="Rukomasho"/>
    <s v="BONEZA Mining Company Ltd"/>
    <x v="0"/>
    <s v="Rutsiro"/>
    <s v="Boneza"/>
    <s v="CKIV_2"/>
    <s v="Koko/Muregeya sub catchment"/>
    <n v="729.69212640000001"/>
  </r>
  <r>
    <x v="2"/>
    <s v="Mugina"/>
    <s v="KUYAVO Mininng Company (KUYAMICO) Ltd"/>
    <x v="0"/>
    <s v="Nyarugenge"/>
    <s v="Nyarugenge"/>
    <s v="NAKL_1"/>
    <s v="Akagera Lower Catchment"/>
    <n v="4641.6130302000001"/>
  </r>
  <r>
    <x v="2"/>
    <s v="NA"/>
    <s v="Colone Mines Ltd"/>
    <x v="0"/>
    <s v="Nyarugenge"/>
    <s v="Muhima"/>
    <s v="NNYL_1"/>
    <s v="Nyabugogo sub catchment"/>
    <n v="922.40764139999987"/>
  </r>
  <r>
    <x v="2"/>
    <s v="NA"/>
    <s v="Cooperative NYAMICO"/>
    <x v="0"/>
    <s v="Rutsiro"/>
    <s v="Nyabirasi"/>
    <s v="CKIV_1"/>
    <s v="Sebeya sub catchment"/>
    <n v="1131.5417664000001"/>
  </r>
  <r>
    <x v="2"/>
    <s v="Gakomeye"/>
    <s v="Koperative Tuhagere"/>
    <x v="0"/>
    <s v="Rutsiro"/>
    <s v="Gihango"/>
    <s v="CKIV_2"/>
    <s v="Koko/Muregeya sub catchment"/>
    <n v="728.37367440000003"/>
  </r>
  <r>
    <x v="2"/>
    <s v="NA"/>
    <s v="MCGK Ltd"/>
    <x v="0"/>
    <s v="Kirehe"/>
    <s v="Gahara"/>
    <s v="CKIV_2"/>
    <s v="Koko/Muregeya Sub-Catchment"/>
    <n v="4734.382533"/>
  </r>
  <r>
    <x v="2"/>
    <s v="NA"/>
    <s v="Merci Jesus Company Ltd"/>
    <x v="0"/>
    <s v="Nyanza"/>
    <s v="Nyagasozi"/>
    <s v="NNYU_2"/>
    <s v="Mwogo Sub-Catchment"/>
    <n v="3568.6374558000002"/>
  </r>
  <r>
    <x v="2"/>
    <s v="Uwumurenge"/>
    <s v="Generation Mining Development Company Ltd"/>
    <x v="0"/>
    <s v="Nyarugenge"/>
    <s v="Runzenze"/>
    <s v="NNYL_1"/>
    <s v="Nyabugogo sub catchment"/>
    <n v="1717.5998159999999"/>
  </r>
  <r>
    <x v="2"/>
    <s v="Gasasa"/>
    <s v="KKN Mining Company Ltd"/>
    <x v="0"/>
    <s v="Nyarugenge"/>
    <s v="Muhima"/>
    <s v="NNYL_1"/>
    <s v="Nyabugogo sub catchment"/>
    <n v="192.17761523999999"/>
  </r>
  <r>
    <x v="2"/>
    <s v="Giseke"/>
    <s v="KUAKA"/>
    <x v="0"/>
    <s v="Rutsiro"/>
    <s v="Musasa"/>
    <s v="CKIV_2"/>
    <s v="Koko/Muregeya sub catchment"/>
    <n v="246.43902270000001"/>
  </r>
  <r>
    <x v="2"/>
    <s v="Bunyongwe, Kinyenkanda"/>
    <s v="Mining &amp; General Trading (MIGETRA) Ltd"/>
    <x v="0"/>
    <s v="Rutsiro"/>
    <s v="Ruhango"/>
    <s v="CKIV_1"/>
    <s v="Sebeya Sub-Catchment"/>
    <n v="2136.9296393999998"/>
  </r>
  <r>
    <x v="2"/>
    <s v="Cyasemakamba"/>
    <s v="Mining Company Gahara Kirehe Ltd"/>
    <x v="0"/>
    <s v="Kirehe"/>
    <s v="Gahara"/>
    <s v="CKIV_2"/>
    <s v="Koko/Muregeya Sub-Catchment"/>
    <n v="2152.5662603999999"/>
  </r>
  <r>
    <x v="2"/>
    <s v="NA"/>
    <s v="Mining Construction and Commerce Society (Societe MCCS) Ltd"/>
    <x v="0"/>
    <s v="Muhanga"/>
    <s v="Kiyumba"/>
    <s v="NNYL_2"/>
    <s v="Mambu/Base Sub-Catchment"/>
    <n v="2481.0754818"/>
  </r>
  <r>
    <x v="2"/>
    <s v="Rambo, Nyaruhonga"/>
    <s v="Mining International Company (MIC) Ltd"/>
    <x v="0"/>
    <s v="Rubavu"/>
    <s v="Nyamyumba"/>
    <s v="CKIV_1"/>
    <s v="Sebeya Sub-Catchment"/>
    <n v="2399.8349105999996"/>
  </r>
  <r>
    <x v="2"/>
    <s v="Kirwa&amp;Rukeri"/>
    <s v="Mining Powerful Company"/>
    <x v="0"/>
    <s v="Ruhango"/>
    <s v="Kinihira"/>
    <s v="CKIV_1"/>
    <s v="Sebeya Sub-Catchment"/>
    <n v="2549.0246082000003"/>
  </r>
  <r>
    <x v="2"/>
    <s v="Gakoko"/>
    <s v="KUMICO"/>
    <x v="0"/>
    <s v="Rutsiro"/>
    <s v="Nyabirasi"/>
    <s v="CKIV_1"/>
    <s v="Sebeya sub catchment"/>
    <n v="2349.2144274000002"/>
  </r>
  <r>
    <x v="2"/>
    <s v="NA"/>
    <s v="ROKA Rwanda Ltd"/>
    <x v="0"/>
    <s v="Nyarugenge"/>
    <s v="Kigali"/>
    <s v="NNYL_1"/>
    <s v="Nyabugogo sub catchment"/>
    <n v="21615.783054"/>
  </r>
  <r>
    <x v="2"/>
    <s v="Rusumbantwali, Nyamirambo"/>
    <s v="Minning Innovation and Technology"/>
    <x v="0"/>
    <s v="Ngoma"/>
    <s v="Karembo"/>
    <s v="NAKU_1"/>
    <s v="Mugesera/Sake sub catchmentt"/>
    <n v="2778.6145422"/>
  </r>
  <r>
    <x v="2"/>
    <s v="NA"/>
    <s v="Rwanda Allied Partners"/>
    <x v="0"/>
    <s v="Nyarugenge"/>
    <s v="Kiyovu"/>
    <s v="NNYL_1"/>
    <s v="Nyabugogo sub catchment"/>
    <n v="3287.9951225999998"/>
  </r>
  <r>
    <x v="2"/>
    <s v="Nyabitare"/>
    <s v="MKI Mining Company Ltd"/>
    <x v="0"/>
    <s v="Kirehe"/>
    <s v="Nyamugari"/>
    <s v="NAKL_1"/>
    <s v="Akagera Lower Catchment"/>
    <n v="2852.7134538"/>
  </r>
  <r>
    <x v="2"/>
    <s v="Gahondo, Bukiro, Gagera"/>
    <s v="Maziba Mining and Trading Ltd"/>
    <x v="0"/>
    <s v="Rutsiro"/>
    <s v="Kivumu"/>
    <s v="CKIV_2"/>
    <s v="Koko/Muregeya sub catchment"/>
    <n v="803.63949779999996"/>
  </r>
  <r>
    <x v="2"/>
    <s v="NA"/>
    <s v="MMB Production"/>
    <x v="0"/>
    <s v="Nyamasheke"/>
    <s v="Kanjongo"/>
    <s v="CKIV_3"/>
    <s v="Kamiranzovu Sub-Catchment"/>
    <n v="3294.9147522000003"/>
  </r>
  <r>
    <x v="2"/>
    <s v="Rutabo 1, Kanda"/>
    <s v="SIMBARWA Mine Ltd"/>
    <x v="0"/>
    <s v="Nyaruguru"/>
    <s v="Busanze"/>
    <s v="NAKN_1"/>
    <s v="Giswi/Agatobwe sub catchment"/>
    <n v="10680.409236000001"/>
  </r>
  <r>
    <x v="2"/>
    <s v="Kigufi, Busese"/>
    <s v="Amarongi"/>
    <x v="0"/>
    <s v="Rubavu"/>
    <s v="Nyamyumba"/>
    <s v="CKIV_1"/>
    <s v="Sebeya sub catchment"/>
    <n v="670.12126919999992"/>
  </r>
  <r>
    <x v="2"/>
    <s v="NA"/>
    <s v="MUKARWESA Felicitee"/>
    <x v="0"/>
    <s v="Kicukiro"/>
    <s v="Kagarama"/>
    <s v="NAKU_1"/>
    <s v="Mugesera/Sake sub catchmentt"/>
    <n v="3399.2366837999998"/>
  </r>
  <r>
    <x v="2"/>
    <s v="Rugambira, Rukira"/>
    <s v="MultiServe Consults Ltd"/>
    <x v="0"/>
    <s v="Kayonza"/>
    <s v="Ruramira"/>
    <s v="NAKU_1"/>
    <s v="Mugesera/Sake sub catchmentt"/>
    <n v="3476.3112203999995"/>
  </r>
  <r>
    <x v="2"/>
    <s v="Muhanga, Mushishiro"/>
    <s v="Munazi Minerals Company Ltd"/>
    <x v="0"/>
    <s v="Muhanga"/>
    <s v="Mushishiro"/>
    <s v="NAKN_2"/>
    <s v="Gishara/Mukunguri Sub-Catchment"/>
    <n v="3541.1331816000002"/>
  </r>
  <r>
    <x v="2"/>
    <s v="NA"/>
    <s v="MUNYABARENZI Mathias"/>
    <x v="0"/>
    <s v="Gakenke"/>
    <s v="Ruli"/>
    <s v="NNYL_2"/>
    <s v="Mambu/Base Sub-Catchment"/>
    <n v="5730"/>
  </r>
  <r>
    <x v="2"/>
    <s v="Murunda"/>
    <s v="Murunda Exploitation and Processing Company (MEPROCO) Ltd"/>
    <x v="0"/>
    <s v="Rutsiro"/>
    <s v="Murunda"/>
    <s v="CKIV_2"/>
    <s v="Koko/Muregeya Sub-Catchment"/>
    <n v="3613.890144"/>
  </r>
  <r>
    <x v="2"/>
    <s v="NA"/>
    <s v="Mushonyi Mining Company (MUMICO) Ltd"/>
    <x v="0"/>
    <s v="Kicukiro"/>
    <s v="Kigarama"/>
    <s v="NAKU_1"/>
    <s v="Mugesera/Sake sub catchmentt"/>
    <n v="2856"/>
  </r>
  <r>
    <x v="2"/>
    <s v="Mweya"/>
    <s v="BAGAZI Company Ltd"/>
    <x v="0"/>
    <s v="Rubavu"/>
    <s v="Bugeshi"/>
    <s v="CKIV_1"/>
    <s v="Sebeya sub catchment"/>
    <n v="678.75641760000008"/>
  </r>
  <r>
    <x v="2"/>
    <s v="NA"/>
    <s v="MWURIRE Urwego Mining"/>
    <x v="0"/>
    <s v="Rwamagana"/>
    <s v="Mwurire"/>
    <s v="NAKU_1"/>
    <s v="Mugesera/Sake sub catchmentt"/>
    <n v="4557.5953668000002"/>
  </r>
  <r>
    <x v="2"/>
    <s v="NA"/>
    <s v="International Mining Company"/>
    <x v="0"/>
    <s v="Rubavu"/>
    <s v="Nyamyumba"/>
    <s v="CKIV_1"/>
    <s v="Sebeya sub catchment"/>
    <n v="1958.6838329999998"/>
  </r>
  <r>
    <x v="2"/>
    <s v="Gasagara"/>
    <s v="N.S.L Mining Company Ltd"/>
    <x v="0"/>
    <s v="Bugesera"/>
    <s v="Ruhuha"/>
    <s v="NAKN_3"/>
    <s v="Cyohoha lake Sub-Catchment"/>
    <n v="828.7281054"/>
  </r>
  <r>
    <x v="2"/>
    <s v="Bweyeye"/>
    <s v="NDIKUMANA Frodouard"/>
    <x v="0"/>
    <s v="Rusizi"/>
    <s v="Bweyeye"/>
    <s v="CRUS_2"/>
    <s v="Ruhwa Sub-Catchment"/>
    <n v="3547.0495842"/>
  </r>
  <r>
    <x v="2"/>
    <s v="NA"/>
    <s v="NDIKUMANA Froduard"/>
    <x v="0"/>
    <s v="Rusizi"/>
    <s v="Bweyeye"/>
    <s v="CRUS_2"/>
    <s v="Ruhwa Sub-Catchment"/>
    <n v="4248.2818470000002"/>
  </r>
  <r>
    <x v="2"/>
    <s v="Bugarama mine"/>
    <s v="New Bugarama Mining Company Ltd"/>
    <x v="0"/>
    <s v="Burera"/>
    <s v="Kagogo"/>
    <s v="NAKN_1"/>
    <s v="Giswi/Agatobwe Sub-Catchment"/>
    <n v="1982.2206065999999"/>
  </r>
  <r>
    <x v="2"/>
    <s v="Kamuramira, Rukina"/>
    <s v="Cooperative Miniere de Kinihira-Gitinda (COMIKIGI)"/>
    <x v="0"/>
    <s v="Ruhango"/>
    <s v="Kinihira"/>
    <s v="NNYU_3"/>
    <s v="Nyabarongo upstream sub catchment"/>
    <n v="1062.0286608000001"/>
  </r>
  <r>
    <x v="2"/>
    <s v="NA"/>
    <s v="BECHA Co Ltd"/>
    <x v="0"/>
    <s v="Rutsiro"/>
    <s v="Ruhango"/>
    <s v="CKIV_2"/>
    <s v="Koko/Muregeya sub catchment"/>
    <n v="718.45492260000003"/>
  </r>
  <r>
    <x v="2"/>
    <s v="NA"/>
    <s v="NGOGA Specialities"/>
    <x v="0"/>
    <s v="Nyamasheke"/>
    <s v="Kajongo"/>
    <s v="CKIV_2"/>
    <s v="Koko/Muregeya Sub-Catchment"/>
    <n v="4511.4205008000008"/>
  </r>
  <r>
    <x v="2"/>
    <s v="Nyabisindu, Nyamisa"/>
    <s v="Ngororero Mining Company Ltd (NMC)"/>
    <x v="0"/>
    <s v="Ngororero"/>
    <s v="Gatumba"/>
    <s v="NNYU_3"/>
    <s v="Nyabarongo Upstream Sub-Catchment"/>
    <n v="4533.5334827999995"/>
  </r>
  <r>
    <x v="2"/>
    <s v="Businde, Gatsibo"/>
    <s v="NICHU Mining Company"/>
    <x v="0"/>
    <s v="Kicukiro"/>
    <s v="Nyarugunga"/>
    <s v="NAKU_1"/>
    <s v="Mugesera/Sake sub catchmentt"/>
    <n v="4595.9049288000006"/>
  </r>
  <r>
    <x v="2"/>
    <s v="Kidugudu"/>
    <s v="NIKA Mining Ltd"/>
    <x v="0"/>
    <s v="Gatsibo"/>
    <s v="Rwimbogo"/>
    <s v="NAKL_1"/>
    <s v="Akagera Lower Catchment"/>
    <n v="2464.7387141999998"/>
  </r>
  <r>
    <x v="2"/>
    <s v="Rusumo, Kivumu"/>
    <s v="Future Promotion Company Ltd"/>
    <x v="0"/>
    <s v="Rutsiro"/>
    <s v="Gihango"/>
    <s v="CKIV_2"/>
    <s v="Koko/Muregeya sub catchment"/>
    <n v="5701.1691161999997"/>
  </r>
  <r>
    <x v="2"/>
    <s v="Mbobo, Nyagatama"/>
    <s v="NIYIGENA Mining Company Ltd"/>
    <x v="0"/>
    <s v="Ngororero"/>
    <s v="Nyange"/>
    <s v="NNYU_3"/>
    <s v="Nyabarongo Upstream Sub-Catchment"/>
    <n v="2496"/>
  </r>
  <r>
    <x v="2"/>
    <s v="Ryaruganzu 1, Kageyo"/>
    <s v="Love each other Mining Co Ltd"/>
    <x v="0"/>
    <s v="Rutsiro"/>
    <s v="Mukura"/>
    <s v="CKIV_2"/>
    <s v="Koko/Muregeya sub catchment"/>
    <n v="2090.1948143999998"/>
  </r>
  <r>
    <x v="2"/>
    <s v="Nyarugenge"/>
    <s v="Potentiel Minerals Company (PMC)"/>
    <x v="0"/>
    <s v="Rutsiro"/>
    <s v="Musasa"/>
    <s v="CKIV_2"/>
    <s v="Koko/Muregeya sub catchment"/>
    <n v="7611.9056580000006"/>
  </r>
  <r>
    <x v="2"/>
    <s v="Nyirabihanya, Bukokora"/>
    <s v="NT. Mining Company"/>
    <x v="0"/>
    <s v="Kicukiro"/>
    <s v="Kigarama"/>
    <s v="NAKU_1"/>
    <s v="Mugesera/Sake sub catchmentt"/>
    <n v="5462.1620435999994"/>
  </r>
  <r>
    <x v="2"/>
    <s v="Uwamasata"/>
    <s v="Nteko Africa Mining Company"/>
    <x v="0"/>
    <s v="Nyaruguru"/>
    <s v="Busanze"/>
    <s v="NAKN_1"/>
    <s v="Giswi/Agatobwe Sub-Catchment"/>
    <n v="5637.4322243999995"/>
  </r>
  <r>
    <x v="2"/>
    <s v="Jarama"/>
    <s v="NTIDENDEREZA Mining Ltd"/>
    <x v="0"/>
    <s v="Ngoma"/>
    <s v="Jarama"/>
    <s v="CKIV_2"/>
    <s v="Koko/Muregeya Sub-Catchment"/>
    <n v="6696.346512000001"/>
  </r>
  <r>
    <x v="2"/>
    <s v="Kibiraro"/>
    <s v="OUASIS Company Ltd"/>
    <x v="0"/>
    <s v="Huye"/>
    <s v="Rwaniro"/>
    <s v="NNYU_2"/>
    <s v="Mwogo Sub-Catchment"/>
    <n v="7221.8653260000001"/>
  </r>
  <r>
    <x v="2"/>
    <s v="Musha Ntunga"/>
    <s v="Pella Rwanda Resources Ltd"/>
    <x v="0"/>
    <s v="Rwamagana"/>
    <s v="Musha"/>
    <s v="NAKU_1"/>
    <s v="Mugesera/Sake sub catchmentt"/>
    <n v="7359.9110100000007"/>
  </r>
  <r>
    <x v="2"/>
    <s v="Nyarusange"/>
    <s v="Bright Miners Dealers (BMD)"/>
    <x v="0"/>
    <s v="Rwamagana"/>
    <s v="Muhazi"/>
    <s v="NAKU_1"/>
    <s v="Mugesera/Sake sub catchment"/>
    <n v="734.59315620000007"/>
  </r>
  <r>
    <x v="2"/>
    <s v="Mulinja"/>
    <s v="Pride Mining Company (PMC) Ltd"/>
    <x v="0"/>
    <s v="Kicukiro"/>
    <s v="Gahanga"/>
    <s v="NAKN_2"/>
    <s v="Gishara/Mukunguri Sub-Catchment"/>
    <n v="7618.3236720000004"/>
  </r>
  <r>
    <x v="2"/>
    <s v="Nyabigega"/>
    <s v="Progress Mining Welfare Ltd"/>
    <x v="0"/>
    <s v="Kayonza"/>
    <s v="Rukara"/>
    <s v="NAKL_1"/>
    <s v="Akagera Lower Catchment"/>
    <n v="8872.1122560000003"/>
  </r>
  <r>
    <x v="2"/>
    <s v="NA"/>
    <s v="Purity General Services"/>
    <x v="0"/>
    <s v="Gasabo"/>
    <s v="Ndera"/>
    <s v="NAKU_1"/>
    <s v="Mugesera/Sake sub catchmentt"/>
    <n v="3906"/>
  </r>
  <r>
    <x v="2"/>
    <s v="NA"/>
    <s v="MICA Ltd"/>
    <x v="0"/>
    <s v="Rutsiro"/>
    <s v="Murunda"/>
    <s v="CKIV_2"/>
    <s v="Koko/Muregeya sub catchment"/>
    <n v="2107.1150381999996"/>
  </r>
  <r>
    <x v="2"/>
    <s v="Ruhwa"/>
    <s v="Rapha Minerals Company Ltd"/>
    <x v="0"/>
    <s v="Rusizi"/>
    <s v="Bugarama"/>
    <s v="CRUS_1"/>
    <s v="Rubyiro Sub-Catchment"/>
    <n v="14400.999612000001"/>
  </r>
  <r>
    <x v="2"/>
    <s v="Gakoma"/>
    <s v="Real Brothers Mining Company Ltd"/>
    <x v="0"/>
    <s v="Kayonzi"/>
    <s v="Murundi"/>
    <s v="NAKL_1"/>
    <s v="Akagera Lower Catchment"/>
    <n v="15440.48481"/>
  </r>
  <r>
    <x v="2"/>
    <s v="Nyamabuye"/>
    <s v="Real Omer Ltd"/>
    <x v="0"/>
    <s v="Gasabo"/>
    <s v="Gatsata"/>
    <s v="NNYL_1"/>
    <s v="Nyabugogo Sub-Catchment"/>
    <n v="19541.830379999999"/>
  </r>
  <r>
    <x v="2"/>
    <s v="Gakoma"/>
    <s v="Reliance Mining Ltd"/>
    <x v="0"/>
    <s v="Muhanga"/>
    <s v="Nyamabuye"/>
    <s v="NNYL_2"/>
    <s v="Mambu/Base Sub-Catchment"/>
    <n v="2220"/>
  </r>
  <r>
    <x v="2"/>
    <s v="NA"/>
    <s v="RFGM"/>
    <x v="0"/>
    <s v="Rutsiro"/>
    <s v="Rusebeya"/>
    <s v="NNYU_3"/>
    <s v="Nyabarongo Upstream Sub-Catchment"/>
    <n v="21219.091326000002"/>
  </r>
  <r>
    <x v="2"/>
    <s v="Kabaratama, Mubuga"/>
    <s v="Mubuga Mining Cooperative (MUMICO) / Dukore"/>
    <x v="0"/>
    <s v="Rutsiro"/>
    <s v="Nyabirasi"/>
    <s v="CKIV_2"/>
    <s v="Koko/Muregeya sub catchment"/>
    <n v="3380.566092"/>
  </r>
  <r>
    <x v="2"/>
    <s v="NA"/>
    <s v="RP Mining Solutions Limited"/>
    <x v="0"/>
    <s v="Rubavu"/>
    <s v="Kanama"/>
    <s v="CKIV_1"/>
    <s v="Sebeya Sub-Catchment"/>
    <n v="27022.436375999998"/>
  </r>
  <r>
    <x v="2"/>
    <s v="Runombe"/>
    <s v="RUBAVU Exploitation Trading Company (RETC) Ltd"/>
    <x v="0"/>
    <s v="Rutsiro"/>
    <s v="Gihango"/>
    <s v="CKIV_2"/>
    <s v="Koko/Muregeya Sub-Catchment"/>
    <n v="28838.559852000002"/>
  </r>
  <r>
    <x v="2"/>
    <s v="Gashyenzi"/>
    <s v="RUGAMBA Mining Company"/>
    <x v="0"/>
    <s v="Nyanza"/>
    <s v="Busasamana"/>
    <s v="NAKN_2"/>
    <s v="Gishara/Mukunguri Sub-Catchment"/>
    <n v="33344.182073999997"/>
  </r>
  <r>
    <x v="2"/>
    <s v="Gicaca - Kicukiro"/>
    <s v="Ruhuha Business Services Ltd"/>
    <x v="0"/>
    <s v="Kicukiro"/>
    <s v="Kigarama"/>
    <s v="NNYL_1"/>
    <s v="Nyabugogo Sub-Catchment"/>
    <n v="42799.611581999998"/>
  </r>
  <r>
    <x v="2"/>
    <s v="NA"/>
    <s v="Rukaragata Mining Company Ltd"/>
    <x v="0"/>
    <s v="Nyarugenge"/>
    <s v="Nyamirambo"/>
    <s v="NNYL_1"/>
    <s v="Nyabugogo Sub-Catchment"/>
    <n v="43195.953234000001"/>
  </r>
  <r>
    <x v="2"/>
    <s v="NA"/>
    <s v="RULI Mining Trade Ltd"/>
    <x v="0"/>
    <s v="Gakenke"/>
    <s v="Ruli"/>
    <s v="NNYL_2"/>
    <s v="Mambu/Base Sub-Catchment"/>
    <n v="3750"/>
  </r>
  <r>
    <x v="2"/>
    <s v="Nyamibambwe"/>
    <s v="Muyira Mining Company Ltd"/>
    <x v="0"/>
    <s v="Rutsiro"/>
    <s v="Rusebeya"/>
    <s v="NNYU_3"/>
    <s v="Nyabarongo upstream sub catchment"/>
    <n v="4060.8757818000004"/>
  </r>
  <r>
    <x v="2"/>
    <s v="NA"/>
    <s v="RUTOBWE Mining Company Ltd"/>
    <x v="0"/>
    <s v="Nyaruguru"/>
    <s v="Cyahinda"/>
    <s v="NAKN_1"/>
    <s v="Giswi/Agatobwe Sub-Catchment"/>
    <n v="2436.7328262000001"/>
  </r>
  <r>
    <x v="2"/>
    <s v="Rusovu"/>
    <s v="RUTUNGANYA Daniel Mining"/>
    <x v="0"/>
    <s v="Muhanga"/>
    <s v="Nyarusange"/>
    <s v="NNYU_3"/>
    <s v="Nyabarongo Upstream Sub-Catchment"/>
    <n v="2551.6736574000001"/>
  </r>
  <r>
    <x v="2"/>
    <s v="Kanyana, Satsinsyi"/>
    <s v="New Line Development Company"/>
    <x v="0"/>
    <s v="Rutsiro"/>
    <s v="Rusebeya"/>
    <s v="NNYU_3"/>
    <s v="Nyabarongo upstream sub catchment"/>
    <n v="4276.404426000001"/>
  </r>
  <r>
    <x v="2"/>
    <s v="NA"/>
    <s v="New Line Mining Company Ltd"/>
    <x v="0"/>
    <s v="Rutsiro"/>
    <s v="Rusebeya"/>
    <s v="NNYU_3"/>
    <s v="Nyabarongo upstream sub catchment"/>
    <n v="4383.293564399999"/>
  </r>
  <r>
    <x v="2"/>
    <s v="Kabiriza, Dagoni"/>
    <s v="Rwanda Young Miners Ltd"/>
    <x v="0"/>
    <s v="Ngororero"/>
    <s v="Bwira"/>
    <s v="NNYU_3"/>
    <s v="Nyabarongo Upstream Sub-Catchment"/>
    <n v="6087.75288"/>
  </r>
  <r>
    <x v="2"/>
    <s v="Mukondero"/>
    <s v="Society for Women Promotion"/>
    <x v="0"/>
    <s v="Rutsiro"/>
    <s v="Kivumu"/>
    <s v="CKIV_2"/>
    <s v="Koko/Muregeya sub catchment"/>
    <n v="90"/>
  </r>
  <r>
    <x v="2"/>
    <s v="NA"/>
    <s v="RWILIRIZA Mining Ltd"/>
    <x v="0"/>
    <s v="Ngoma"/>
    <s v="Jarama"/>
    <s v="NAKU_1"/>
    <s v="Mugesera/Sake sub catchmentt"/>
    <n v="4887.8314596"/>
  </r>
  <r>
    <x v="2"/>
    <s v="NA"/>
    <s v="Satelite Mining Company Ltd"/>
    <x v="0"/>
    <s v="Rubavu"/>
    <s v="Kanzenze"/>
    <s v="CKIV_1"/>
    <s v="Sebeya Sub-Catchment"/>
    <n v="4394.2276884000003"/>
  </r>
  <r>
    <x v="2"/>
    <s v="Rugarama"/>
    <s v="SEAVMC Ltd"/>
    <x v="0"/>
    <s v="Nyagatare"/>
    <s v="Musheli"/>
    <s v="CKIV_2"/>
    <s v="Koko/Muregeya Sub-Catchment"/>
    <n v="2960.6763096"/>
  </r>
  <r>
    <x v="2"/>
    <s v="Nyakigando"/>
    <s v="SEMUKA Mining Limited"/>
    <x v="0"/>
    <s v="Gasabo"/>
    <s v="Kimironko"/>
    <s v="NAKU_1"/>
    <s v="Mugesera/Sake sub catchmentt"/>
    <n v="3730.2547661999997"/>
  </r>
  <r>
    <x v="2"/>
    <s v="Nyarusange, Cyeru"/>
    <s v="MMB Mining Company Ltd"/>
    <x v="0"/>
    <s v="Rwamagana"/>
    <s v="Muhazi"/>
    <s v="NAKU_1"/>
    <s v="Mugesera/Sake sub catchment"/>
    <n v="2923.1949377999999"/>
  </r>
  <r>
    <x v="2"/>
    <s v="Rwambogo"/>
    <s v="SESECO Ltd"/>
    <x v="0"/>
    <s v="Ngororero"/>
    <s v="Ndaro"/>
    <s v="NNYU_3"/>
    <s v="Nyabarongo Upstream Sub-Catchment"/>
    <n v="7324.113636"/>
  </r>
  <r>
    <x v="2"/>
    <s v="Bicumbi, Kigarama"/>
    <s v="DUMAC Mining Company Ltd"/>
    <x v="0"/>
    <s v="Rwamagana"/>
    <s v="Nzige"/>
    <s v="NAKU_1"/>
    <s v="Mugesera/Sake sub catchment"/>
    <n v="1143.1290438000001"/>
  </r>
  <r>
    <x v="2"/>
    <s v="NA"/>
    <s v="Sky Minerals Ltd"/>
    <x v="0"/>
    <s v="Kicukiro"/>
    <s v="Kicukiro"/>
    <s v="NAKU_1"/>
    <s v="Mugesera/Sake sub catchmentt"/>
    <n v="2604"/>
  </r>
  <r>
    <x v="2"/>
    <s v="Rwimpiri, Karambo, Buhana"/>
    <s v="SM SUGIRA"/>
    <x v="0"/>
    <s v="Nyanza"/>
    <s v="Busasamana"/>
    <s v="NAKN_2"/>
    <s v="Gishara/Mukunguri Sub-Catchment"/>
    <n v="34169.133989999995"/>
  </r>
  <r>
    <x v="2"/>
    <s v="Ryarubasha, Shyunga"/>
    <s v="Societe des Mines et Carrieres (SOMICAR) Ltd"/>
    <x v="0"/>
    <s v="Gakenke"/>
    <s v="Coko"/>
    <s v="NNYL_2"/>
    <s v="Mambu/Base Sub-Catchment"/>
    <n v="1988.0551668000003"/>
  </r>
  <r>
    <x v="2"/>
    <s v="Mayunzwe, Kizibere, Giti, Cyuma, Nyamabuye"/>
    <s v="Societe d'Exploitation de Ruhango (SEMIRU)"/>
    <x v="0"/>
    <s v="Ruhango"/>
    <s v="Mbue"/>
    <s v="NAKN_2"/>
    <s v="Gishara/Mukunguri Sub-Catchment"/>
    <n v="2450.1523146"/>
  </r>
  <r>
    <x v="2"/>
    <s v="Gatare I"/>
    <s v="KAGA Mining Company"/>
    <x v="0"/>
    <s v="Rwamagana"/>
    <s v="Gahengeri"/>
    <s v="NAKU_1"/>
    <s v="Mugesera/Sake sub catchment"/>
    <n v="1450.1087394000001"/>
  </r>
  <r>
    <x v="2"/>
    <s v="NA"/>
    <s v="Societe d'Exploitation Minieres au Rwanda (SEMIRWA) Ltd"/>
    <x v="0"/>
    <s v="Gakenke"/>
    <s v="Coko"/>
    <s v="NNYL_2"/>
    <s v="Mambu/Base Sub-Catchment"/>
    <n v="47116.366752000002"/>
  </r>
  <r>
    <x v="2"/>
    <s v="Rohero, Kaphunda"/>
    <s v="Societe Miniere et Execution des Projets (SMEP)"/>
    <x v="0"/>
    <s v="Rutsiro"/>
    <s v="Kivumu"/>
    <s v="CKIV_1"/>
    <s v="Sebeya Sub-Catchment"/>
    <n v="71217.300239999997"/>
  </r>
  <r>
    <x v="2"/>
    <s v="NA"/>
    <s v="Misercorde Company Ltd"/>
    <x v="0"/>
    <s v="Rwamagana"/>
    <s v="Gahengeri"/>
    <s v="NAKU_1"/>
    <s v="Mugesera/Sake sub catchment"/>
    <n v="2816.1891083999999"/>
  </r>
  <r>
    <x v="3"/>
    <s v="KANWIRIRI"/>
    <s v="Public"/>
    <x v="0"/>
    <s v="Gatsibo"/>
    <s v="Gitoki"/>
    <s v="NAKL_1"/>
    <s v="Akagera Lower Catchment"/>
    <n v="70955.999999999985"/>
  </r>
  <r>
    <x v="3"/>
    <s v="MINAGO"/>
    <s v="Public"/>
    <x v="0"/>
    <s v="Gatsibo"/>
    <s v="Gitoki"/>
    <s v="NAKL_1"/>
    <s v="Akagera Lower Catchment"/>
    <n v="107222.39999999999"/>
  </r>
  <r>
    <x v="3"/>
    <s v="GISHARARA"/>
    <s v="Public"/>
    <x v="0"/>
    <s v="Gatsibo"/>
    <s v="Gitoki"/>
    <s v="NAKL_1"/>
    <s v="Akagera Lower Catchment"/>
    <n v="18921.600000000002"/>
  </r>
  <r>
    <x v="3"/>
    <s v="GISHARARA"/>
    <s v="Public"/>
    <x v="0"/>
    <s v="Gatsibo"/>
    <s v="Gitoki"/>
    <s v="NAKL_1"/>
    <s v="Akagera Lower Catchment"/>
    <n v="11826.000000000002"/>
  </r>
  <r>
    <x v="3"/>
    <s v="RWAGASIMBA"/>
    <s v="Public"/>
    <x v="0"/>
    <s v="Gatsibo"/>
    <s v="Gitoki"/>
    <s v="NAKL_1"/>
    <s v="Akagera Lower Catchment"/>
    <n v="7884.0000000000009"/>
  </r>
  <r>
    <x v="3"/>
    <s v="KATAGAYIFU"/>
    <s v="Public"/>
    <x v="0"/>
    <s v="Gatsibo"/>
    <s v="Gitoki"/>
    <s v="NAKL_1"/>
    <s v="Akagera Lower Catchment"/>
    <n v="7884.0000000000009"/>
  </r>
  <r>
    <x v="3"/>
    <s v="RUKOMA"/>
    <s v="Public"/>
    <x v="0"/>
    <s v="Gatsibo"/>
    <s v="Gitoki"/>
    <s v="NAKL_1"/>
    <s v="Akagera Lower Catchment"/>
    <n v="9460.8000000000011"/>
  </r>
  <r>
    <x v="3"/>
    <s v="KAGARAMA"/>
    <s v="Public"/>
    <x v="0"/>
    <s v="Gatsibo"/>
    <s v="Gitoki"/>
    <s v="NAKL_1"/>
    <s v="Akagera Lower Catchment"/>
    <n v="3153.6000000000004"/>
  </r>
  <r>
    <x v="3"/>
    <s v="MUTEMBEYI"/>
    <s v="Public"/>
    <x v="0"/>
    <s v="Gatsibo"/>
    <s v="Gitoki"/>
    <s v="NAKL_1"/>
    <s v="Akagera Lower Catchment"/>
    <n v="3153.6000000000004"/>
  </r>
  <r>
    <x v="3"/>
    <s v="RONDPOINT"/>
    <s v="Public"/>
    <x v="0"/>
    <s v="Gatsibo"/>
    <s v="Gitoki"/>
    <s v="NAKL_1"/>
    <s v="Akagera Lower Catchment"/>
    <n v="7884.0000000000009"/>
  </r>
  <r>
    <x v="3"/>
    <s v="RUSHENGE"/>
    <s v="Public"/>
    <x v="0"/>
    <s v="Gatsibo"/>
    <s v="Gitoki"/>
    <s v="NAKL_1"/>
    <s v="Akagera Lower Catchment"/>
    <n v="11037.6"/>
  </r>
  <r>
    <x v="3"/>
    <s v="RUKAGATI"/>
    <s v="Public"/>
    <x v="0"/>
    <s v="Kayonza"/>
    <s v="Kabare"/>
    <s v="NAKL_1"/>
    <s v="Akagera Lower Catchment"/>
    <n v="1103.7600000000002"/>
  </r>
  <r>
    <x v="3"/>
    <s v="KIGONGI"/>
    <s v="Public"/>
    <x v="0"/>
    <s v="Kayonza"/>
    <s v="Kabare"/>
    <s v="NAKL_1"/>
    <s v="Akagera Lower Catchment"/>
    <n v="1576.8000000000002"/>
  </r>
  <r>
    <x v="3"/>
    <s v="GAHIGI"/>
    <s v="Public"/>
    <x v="0"/>
    <s v="Kayonza"/>
    <s v="Kabare"/>
    <s v="NAKL_1"/>
    <s v="Akagera Lower Catchment"/>
    <n v="4730.4000000000005"/>
  </r>
  <r>
    <x v="3"/>
    <s v="GAHAMA"/>
    <s v="Public"/>
    <x v="0"/>
    <s v="Kayonza"/>
    <s v="Kabare"/>
    <s v="NAKL_1"/>
    <s v="Akagera Lower Catchment"/>
    <n v="6307.2000000000007"/>
  </r>
  <r>
    <x v="3"/>
    <s v="TITO"/>
    <s v="Public"/>
    <x v="0"/>
    <s v="Gatsibo"/>
    <s v="Kabarore"/>
    <s v="NAKL_1"/>
    <s v="Akagera Lower Catchment"/>
    <n v="55187.999999999993"/>
  </r>
  <r>
    <x v="3"/>
    <s v="NYAMUKO"/>
    <s v="Public"/>
    <x v="0"/>
    <s v="Gatsibo"/>
    <s v="Kabarore"/>
    <s v="NAKL_1"/>
    <s v="Akagera Lower Catchment"/>
    <n v="6307.2000000000007"/>
  </r>
  <r>
    <x v="3"/>
    <s v="KAGOGO"/>
    <s v="Public"/>
    <x v="0"/>
    <s v="Nyagatare"/>
    <s v="Katabagemu"/>
    <s v="NAKL_1"/>
    <s v="Akagera Lower Catchment"/>
    <n v="473.04"/>
  </r>
  <r>
    <x v="3"/>
    <s v="GATARI"/>
    <s v="Public"/>
    <x v="0"/>
    <s v="Kirehe"/>
    <s v="Kigarama"/>
    <s v="NAKL_1"/>
    <s v="Akagera Lower Catchment"/>
    <n v="7884.0000000000009"/>
  </r>
  <r>
    <x v="3"/>
    <s v="NYARURIBA"/>
    <s v="Public"/>
    <x v="0"/>
    <s v="Kayonza"/>
    <s v="Murama"/>
    <s v="NAKL_1"/>
    <s v="Akagera Lower Catchment"/>
    <n v="28382.400000000001"/>
  </r>
  <r>
    <x v="3"/>
    <s v="KIDIMBA"/>
    <s v="Public"/>
    <x v="0"/>
    <s v="Kayonza"/>
    <s v="Murama"/>
    <s v="NAKL_1"/>
    <s v="Akagera Lower Catchment"/>
    <n v="12614.400000000001"/>
  </r>
  <r>
    <x v="3"/>
    <s v="KABONOBONO"/>
    <s v="Public"/>
    <x v="0"/>
    <s v="Kayonza"/>
    <s v="Murama"/>
    <s v="NAKL_1"/>
    <s v="Akagera Lower Catchment"/>
    <n v="23652.000000000004"/>
  </r>
  <r>
    <x v="3"/>
    <s v="GICACA"/>
    <s v="Public"/>
    <x v="0"/>
    <s v="Kayonza"/>
    <s v="Murama"/>
    <s v="NAKL_1"/>
    <s v="Akagera Lower Catchment"/>
    <n v="630.72"/>
  </r>
  <r>
    <x v="3"/>
    <s v="GAHIMA"/>
    <s v="Public"/>
    <x v="0"/>
    <s v="Kayonza"/>
    <s v="Murama"/>
    <s v="NAKL_1"/>
    <s v="Akagera Lower Catchment"/>
    <n v="12614.400000000001"/>
  </r>
  <r>
    <x v="3"/>
    <s v="CHEZ PETERO"/>
    <s v="Public"/>
    <x v="0"/>
    <s v="Kayonza"/>
    <s v="Murama"/>
    <s v="NAKL_1"/>
    <s v="Akagera Lower Catchment"/>
    <n v="11037.6"/>
  </r>
  <r>
    <x v="3"/>
    <s v="KIREHE"/>
    <s v="Public"/>
    <x v="0"/>
    <s v="Kayonza"/>
    <s v="Murundi"/>
    <s v="NAKL_1"/>
    <s v="Akagera Lower Catchment"/>
    <n v="3311.2799999999997"/>
  </r>
  <r>
    <x v="3"/>
    <s v="NYARWUMBA"/>
    <s v="Public"/>
    <x v="0"/>
    <s v="Kayonza"/>
    <s v="Murundi"/>
    <s v="NAKL_1"/>
    <s v="Akagera Lower Catchment"/>
    <n v="1892.16"/>
  </r>
  <r>
    <x v="3"/>
    <s v="GAHONDO"/>
    <s v="Public"/>
    <x v="0"/>
    <s v="Kayonza"/>
    <s v="Murundi"/>
    <s v="NAKL_1"/>
    <s v="Akagera Lower Catchment"/>
    <n v="4415.0400000000009"/>
  </r>
  <r>
    <x v="3"/>
    <s v="NYABIKUKA"/>
    <s v="Public"/>
    <x v="0"/>
    <s v="Kayonza"/>
    <s v="Murundi"/>
    <s v="NAKL_1"/>
    <s v="Akagera Lower Catchment"/>
    <n v="3468.9600000000005"/>
  </r>
  <r>
    <x v="3"/>
    <s v="RUHONDO"/>
    <s v="Public"/>
    <x v="0"/>
    <s v="Kayonza"/>
    <s v="Murundi"/>
    <s v="NAKL_1"/>
    <s v="Akagera Lower Catchment"/>
    <n v="1734.4800000000002"/>
  </r>
  <r>
    <x v="3"/>
    <s v="KAMUGABO"/>
    <s v="Public"/>
    <x v="0"/>
    <s v="Kayonza"/>
    <s v="Murundi"/>
    <s v="NAKL_1"/>
    <s v="Akagera Lower Catchment"/>
    <n v="3153.6000000000004"/>
  </r>
  <r>
    <x v="3"/>
    <s v="KINYINYA"/>
    <s v="Public"/>
    <x v="0"/>
    <s v="Kayonza"/>
    <s v="Murundi"/>
    <s v="NAKL_1"/>
    <s v="Akagera Lower Catchment"/>
    <n v="2838.24"/>
  </r>
  <r>
    <x v="3"/>
    <s v="MUNZANGA"/>
    <s v="Public"/>
    <x v="0"/>
    <s v="Kayonza"/>
    <s v="Murundi"/>
    <s v="NAKL_1"/>
    <s v="Akagera Lower Catchment"/>
    <n v="2995.92"/>
  </r>
  <r>
    <x v="3"/>
    <s v="MUGATARE"/>
    <s v="Public"/>
    <x v="0"/>
    <s v="Kayonza"/>
    <s v="Murundi"/>
    <s v="NAKL_1"/>
    <s v="Akagera Lower Catchment"/>
    <n v="1419.12"/>
  </r>
  <r>
    <x v="3"/>
    <s v="MURYANYIRIMITARE"/>
    <s v="Public"/>
    <x v="0"/>
    <s v="Kayonza"/>
    <s v="Murundi"/>
    <s v="NAKL_1"/>
    <s v="Akagera Lower Catchment"/>
    <n v="3311.2799999999997"/>
  </r>
  <r>
    <x v="3"/>
    <s v="RWINKOMO"/>
    <s v="Public"/>
    <x v="0"/>
    <s v="Kayonza"/>
    <s v="Murundi"/>
    <s v="NAKL_1"/>
    <s v="Akagera Lower Catchment"/>
    <n v="1419.12"/>
  </r>
  <r>
    <x v="3"/>
    <s v="KWISUMO"/>
    <s v="Public"/>
    <x v="0"/>
    <s v="Kayonza"/>
    <s v="Murundi"/>
    <s v="NAKL_1"/>
    <s v="Akagera Lower Catchment"/>
    <n v="3626.64"/>
  </r>
  <r>
    <x v="3"/>
    <s v="NGOMA"/>
    <s v="Public"/>
    <x v="0"/>
    <s v="Kayonza"/>
    <s v="Murundi"/>
    <s v="NAKL_1"/>
    <s v="Akagera Lower Catchment"/>
    <n v="2522.88"/>
  </r>
  <r>
    <x v="3"/>
    <s v="SHYOZA"/>
    <s v="Public"/>
    <x v="0"/>
    <s v="Kayonza"/>
    <s v="Murundi"/>
    <s v="NAKL_1"/>
    <s v="Akagera Lower Catchment"/>
    <n v="3626.64"/>
  </r>
  <r>
    <x v="3"/>
    <s v="SANZA"/>
    <s v="Public"/>
    <x v="0"/>
    <s v="Kayonza"/>
    <s v="Murundi"/>
    <s v="NAKL_1"/>
    <s v="Akagera Lower Catchment"/>
    <n v="2207.5200000000004"/>
  </r>
  <r>
    <x v="3"/>
    <s v="MUKISENGE"/>
    <s v="Public"/>
    <x v="0"/>
    <s v="Kayonza"/>
    <s v="Murundi"/>
    <s v="NAKL_1"/>
    <s v="Akagera Lower Catchment"/>
    <n v="2365.2000000000003"/>
  </r>
  <r>
    <x v="3"/>
    <s v="MATYAZO"/>
    <s v="Public"/>
    <x v="0"/>
    <s v="Kayonza"/>
    <s v="Murundi"/>
    <s v="NAKL_1"/>
    <s v="Akagera Lower Catchment"/>
    <n v="630.72"/>
  </r>
  <r>
    <x v="3"/>
    <s v="NYIRAYUHI"/>
    <s v="Public"/>
    <x v="0"/>
    <s v="Kayonza"/>
    <s v="Murundi"/>
    <s v="NAKL_1"/>
    <s v="Akagera Lower Catchment"/>
    <n v="2049.84"/>
  </r>
  <r>
    <x v="3"/>
    <s v="RUVUNA"/>
    <s v="Public"/>
    <x v="0"/>
    <s v="Kayonza"/>
    <s v="Murundi"/>
    <s v="NAKL_1"/>
    <s v="Akagera Lower Catchment"/>
    <n v="4099.68"/>
  </r>
  <r>
    <x v="3"/>
    <s v="MUGAHAMA"/>
    <s v="Public"/>
    <x v="0"/>
    <s v="Kayonza"/>
    <s v="Murundi"/>
    <s v="NAKL_1"/>
    <s v="Akagera Lower Catchment"/>
    <n v="3153.6000000000004"/>
  </r>
  <r>
    <x v="3"/>
    <s v="NYAMIRAMA"/>
    <s v="Public"/>
    <x v="0"/>
    <s v="Kayonza"/>
    <s v="Murundi"/>
    <s v="NAKL_1"/>
    <s v="Akagera Lower Catchment"/>
    <n v="6307.2000000000007"/>
  </r>
  <r>
    <x v="3"/>
    <s v="KAYOGO"/>
    <s v="Public"/>
    <x v="0"/>
    <s v="Kayonza"/>
    <s v="Murundi"/>
    <s v="NAKL_1"/>
    <s v="Akagera Lower Catchment"/>
    <n v="18921.600000000002"/>
  </r>
  <r>
    <x v="3"/>
    <s v="KADUMBAZI"/>
    <s v="Public"/>
    <x v="0"/>
    <s v="Kayonza"/>
    <s v="Murundi"/>
    <s v="NAKL_1"/>
    <s v="Akagera Lower Catchment"/>
    <n v="14191.2"/>
  </r>
  <r>
    <x v="3"/>
    <s v="GISAGARA"/>
    <s v="Public"/>
    <x v="0"/>
    <s v="Kayonza"/>
    <s v="Murundi"/>
    <s v="NAKL_1"/>
    <s v="Akagera Lower Catchment"/>
    <n v="12614.400000000001"/>
  </r>
  <r>
    <x v="3"/>
    <s v="CYAHAFI"/>
    <s v="Public"/>
    <x v="0"/>
    <s v="Kayonza"/>
    <s v="Murundi"/>
    <s v="NAKL_1"/>
    <s v="Akagera Lower Catchment"/>
    <n v="7884.0000000000009"/>
  </r>
  <r>
    <x v="3"/>
    <s v="URUGARAMA"/>
    <s v="Public"/>
    <x v="0"/>
    <s v="Kayonza"/>
    <s v="Mwiri"/>
    <s v="NAKL_1"/>
    <s v="Akagera Lower Catchment"/>
    <n v="6307.2000000000007"/>
  </r>
  <r>
    <x v="3"/>
    <s v="RWAZANA"/>
    <s v="Public"/>
    <x v="0"/>
    <s v="Kayonza"/>
    <s v="Mwiri"/>
    <s v="NAKL_1"/>
    <s v="Akagera Lower Catchment"/>
    <n v="5518.8"/>
  </r>
  <r>
    <x v="3"/>
    <s v="RUGEGE"/>
    <s v="Public"/>
    <x v="0"/>
    <s v="Kayonza"/>
    <s v="Mwiri"/>
    <s v="NAKL_1"/>
    <s v="Akagera Lower Catchment"/>
    <n v="3153.6000000000004"/>
  </r>
  <r>
    <x v="3"/>
    <s v="RUBONOBONO"/>
    <s v="Public"/>
    <x v="0"/>
    <s v="Kayonza"/>
    <s v="Mwiri"/>
    <s v="NAKL_1"/>
    <s v="Akagera Lower Catchment"/>
    <n v="3153.6000000000004"/>
  </r>
  <r>
    <x v="3"/>
    <s v="MIGERA"/>
    <s v="Public"/>
    <x v="0"/>
    <s v="Kayonza"/>
    <s v="Mwiri"/>
    <s v="NAKL_1"/>
    <s v="Akagera Lower Catchment"/>
    <n v="2365.2000000000003"/>
  </r>
  <r>
    <x v="3"/>
    <s v="RUHURA"/>
    <s v="Public"/>
    <x v="0"/>
    <s v="Kirehe"/>
    <s v="Nasho"/>
    <s v="NAKL_1"/>
    <s v="Akagera Lower Catchment"/>
    <n v="4730.4000000000005"/>
  </r>
  <r>
    <x v="3"/>
    <s v="MITSINDO"/>
    <s v="Public"/>
    <x v="0"/>
    <s v="Kirehe"/>
    <s v="Nasho"/>
    <s v="NAKL_1"/>
    <s v="Akagera Lower Catchment"/>
    <n v="6307.2000000000007"/>
  </r>
  <r>
    <x v="3"/>
    <s v="KWA GASHAYIJA"/>
    <s v="Public"/>
    <x v="0"/>
    <s v="Gatsibo"/>
    <s v="Ngarama"/>
    <s v="NAKL_1"/>
    <s v="Akagera Lower Catchment"/>
    <n v="28382.400000000001"/>
  </r>
  <r>
    <x v="3"/>
    <s v="KU KIBIKIRA"/>
    <s v="Public"/>
    <x v="0"/>
    <s v="Gatsibo"/>
    <s v="Ngarama"/>
    <s v="NAKL_1"/>
    <s v="Akagera Lower Catchment"/>
    <n v="1576.8000000000002"/>
  </r>
  <r>
    <x v="3"/>
    <s v="KIVUMU II"/>
    <s v="Public"/>
    <x v="0"/>
    <s v="Ngoma"/>
    <s v="Remera"/>
    <s v="NAKL_1"/>
    <s v="Akagera Lower Catchment"/>
    <n v="930.31200000000001"/>
  </r>
  <r>
    <x v="3"/>
    <s v="NYAMAKOMA"/>
    <s v="Public"/>
    <x v="0"/>
    <s v="Ngoma"/>
    <s v="Remera"/>
    <s v="NAKL_1"/>
    <s v="Akagera Lower Catchment"/>
    <n v="5913.0000000000009"/>
  </r>
  <r>
    <x v="3"/>
    <s v="KIRIBA I"/>
    <s v="Public"/>
    <x v="0"/>
    <s v="Ngoma"/>
    <s v="Remera"/>
    <s v="NAKL_1"/>
    <s v="Akagera Lower Catchment"/>
    <n v="19710"/>
  </r>
  <r>
    <x v="3"/>
    <s v="KIRIBA I"/>
    <s v="Public"/>
    <x v="0"/>
    <s v="Ngoma"/>
    <s v="Remera"/>
    <s v="NAKL_1"/>
    <s v="Akagera Lower Catchment"/>
    <n v="19710"/>
  </r>
  <r>
    <x v="3"/>
    <s v="KIVUMU I"/>
    <s v="Public"/>
    <x v="0"/>
    <s v="Ngoma"/>
    <s v="Remera"/>
    <s v="NAKL_1"/>
    <s v="Akagera Lower Catchment"/>
    <n v="2207.5200000000004"/>
  </r>
  <r>
    <x v="3"/>
    <s v="GASEBEYA II"/>
    <s v="Public"/>
    <x v="0"/>
    <s v="Ngoma"/>
    <s v="Remera"/>
    <s v="NAKL_1"/>
    <s v="Akagera Lower Catchment"/>
    <n v="3942.0000000000005"/>
  </r>
  <r>
    <x v="3"/>
    <s v="MIKAMO"/>
    <s v="Public"/>
    <x v="0"/>
    <s v="Ngoma"/>
    <s v="Remera"/>
    <s v="NAKL_1"/>
    <s v="Akagera Lower Catchment"/>
    <n v="3626.64"/>
  </r>
  <r>
    <x v="3"/>
    <s v="KANABA"/>
    <s v="Public"/>
    <x v="0"/>
    <s v="Ngoma"/>
    <s v="Remera"/>
    <s v="NAKL_1"/>
    <s v="Akagera Lower Catchment"/>
    <n v="630.72"/>
  </r>
  <r>
    <x v="3"/>
    <s v="MUKONO"/>
    <s v="Public"/>
    <x v="0"/>
    <s v="Ngoma"/>
    <s v="Remera"/>
    <s v="NAKL_1"/>
    <s v="Akagera Lower Catchment"/>
    <n v="6307.2000000000007"/>
  </r>
  <r>
    <x v="3"/>
    <s v="MUKONO"/>
    <s v="Public"/>
    <x v="0"/>
    <s v="Ngoma"/>
    <s v="Remera"/>
    <s v="NAKL_1"/>
    <s v="Akagera Lower Catchment"/>
    <n v="6307.2000000000007"/>
  </r>
  <r>
    <x v="3"/>
    <s v="MIKAMO"/>
    <s v="Public"/>
    <x v="0"/>
    <s v="Ngoma"/>
    <s v="Remera"/>
    <s v="NAKL_1"/>
    <s v="Akagera Lower Catchment"/>
    <n v="2680.56"/>
  </r>
  <r>
    <x v="3"/>
    <s v="MIKAMO"/>
    <s v="Public"/>
    <x v="0"/>
    <s v="Ngoma"/>
    <s v="Remera"/>
    <s v="NAKL_1"/>
    <s v="Akagera Lower Catchment"/>
    <n v="2680.56"/>
  </r>
  <r>
    <x v="3"/>
    <s v="NYARUHOHO"/>
    <s v="Public"/>
    <x v="0"/>
    <s v="Ngoma"/>
    <s v="Remera"/>
    <s v="NAKL_1"/>
    <s v="Akagera Lower Catchment"/>
    <n v="157.68"/>
  </r>
  <r>
    <x v="3"/>
    <s v="RWANZOKA I"/>
    <s v="Public"/>
    <x v="0"/>
    <s v="Ngoma"/>
    <s v="Remera"/>
    <s v="NAKL_1"/>
    <s v="Akagera Lower Catchment"/>
    <n v="5203.4400000000005"/>
  </r>
  <r>
    <x v="3"/>
    <s v="RWANZOKA III"/>
    <s v="Public"/>
    <x v="0"/>
    <s v="Ngoma"/>
    <s v="Remera"/>
    <s v="NAKL_1"/>
    <s v="Akagera Lower Catchment"/>
    <n v="0"/>
  </r>
  <r>
    <x v="3"/>
    <s v="RWANZOKA IV"/>
    <s v="Public"/>
    <x v="0"/>
    <s v="Ngoma"/>
    <s v="Remera"/>
    <s v="NAKL_1"/>
    <s v="Akagera Lower Catchment"/>
    <n v="4730.4000000000005"/>
  </r>
  <r>
    <x v="3"/>
    <s v="KWA MUZUNGU"/>
    <s v="Public"/>
    <x v="0"/>
    <s v="Ngoma"/>
    <s v="Remera"/>
    <s v="NAKL_1"/>
    <s v="Akagera Lower Catchment"/>
    <n v="8672.4000000000015"/>
  </r>
  <r>
    <x v="3"/>
    <s v="KARUDENDE"/>
    <s v="Public"/>
    <x v="0"/>
    <s v="Ngoma"/>
    <s v="Remera"/>
    <s v="NAKL_1"/>
    <s v="Akagera Lower Catchment"/>
    <n v="4257.3600000000006"/>
  </r>
  <r>
    <x v="3"/>
    <s v="RWANKUBA"/>
    <s v="Public"/>
    <x v="0"/>
    <s v="Ngoma"/>
    <s v="Remera"/>
    <s v="NAKL_1"/>
    <s v="Akagera Lower Catchment"/>
    <n v="2365.2000000000003"/>
  </r>
  <r>
    <x v="3"/>
    <s v="RUSOZI"/>
    <s v="Public"/>
    <x v="0"/>
    <s v="Ngoma"/>
    <s v="Remera"/>
    <s v="NAKL_1"/>
    <s v="Akagera Lower Catchment"/>
    <n v="788.40000000000009"/>
  </r>
  <r>
    <x v="3"/>
    <s v="NYAKIBANDE"/>
    <s v="Public"/>
    <x v="0"/>
    <s v="Ngoma"/>
    <s v="Remera"/>
    <s v="NAKL_1"/>
    <s v="Akagera Lower Catchment"/>
    <n v="1261.44"/>
  </r>
  <r>
    <x v="3"/>
    <s v="MUKINGA"/>
    <s v="Public"/>
    <x v="0"/>
    <s v="Ngoma"/>
    <s v="Remera"/>
    <s v="NAKL_1"/>
    <s v="Akagera Lower Catchment"/>
    <n v="1261.44"/>
  </r>
  <r>
    <x v="3"/>
    <s v="GAPFURO"/>
    <s v="Public"/>
    <x v="0"/>
    <s v="Ngoma"/>
    <s v="Remera"/>
    <s v="NAKL_1"/>
    <s v="Akagera Lower Catchment"/>
    <n v="788.40000000000009"/>
  </r>
  <r>
    <x v="3"/>
    <s v="NYAKIBANDE II"/>
    <s v="Public"/>
    <x v="0"/>
    <s v="Ngoma"/>
    <s v="Remera"/>
    <s v="NAKL_1"/>
    <s v="Akagera Lower Catchment"/>
    <n v="4730.4000000000005"/>
  </r>
  <r>
    <x v="3"/>
    <s v="RWANZOKA II"/>
    <s v="Public"/>
    <x v="0"/>
    <s v="Ngoma"/>
    <s v="Remera"/>
    <s v="NAKL_1"/>
    <s v="Akagera Lower Catchment"/>
    <n v="0"/>
  </r>
  <r>
    <x v="3"/>
    <s v="RUGUNDU"/>
    <s v="Public"/>
    <x v="0"/>
    <s v="Ngoma"/>
    <s v="Remera"/>
    <s v="NAKL_1"/>
    <s v="Akagera Lower Catchment"/>
    <n v="8672.4000000000015"/>
  </r>
  <r>
    <x v="3"/>
    <s v="NKWANGU"/>
    <s v="Public"/>
    <x v="0"/>
    <s v="Ngoma"/>
    <s v="Remera"/>
    <s v="NAKL_1"/>
    <s v="Akagera Lower Catchment"/>
    <n v="0"/>
  </r>
  <r>
    <x v="3"/>
    <s v="GASEBEYA I"/>
    <s v="Public"/>
    <x v="0"/>
    <s v="Ngoma"/>
    <s v="Remera"/>
    <s v="NAKL_1"/>
    <s v="Akagera Lower Catchment"/>
    <n v="19236.960000000003"/>
  </r>
  <r>
    <x v="3"/>
    <s v="NYAMUKO"/>
    <s v="Public"/>
    <x v="0"/>
    <s v="Burera"/>
    <s v="Cyanika"/>
    <s v="NMUK_1"/>
    <s v="Burera/Ruhondo Sub-Catchment"/>
    <n v="7899.768"/>
  </r>
  <r>
    <x v="3"/>
    <s v="KAVOMO"/>
    <s v="Public"/>
    <x v="0"/>
    <s v="Burera"/>
    <s v="Cyanika"/>
    <s v="NMUK_1"/>
    <s v="Burera/Ruhondo Sub-Catchment"/>
    <n v="2759.4"/>
  </r>
  <r>
    <x v="3"/>
    <s v="KANKUBA"/>
    <s v="Public"/>
    <x v="0"/>
    <s v="Burera"/>
    <s v="Cyanika"/>
    <s v="NMUK_1"/>
    <s v="Burera/Ruhondo Sub-Catchment"/>
    <n v="1592.5680000000002"/>
  </r>
  <r>
    <x v="3"/>
    <s v="RUFUKU"/>
    <s v="Public"/>
    <x v="0"/>
    <s v="Burera"/>
    <s v="Cyanika"/>
    <s v="NMUK_1"/>
    <s v="Burera/Ruhondo Sub-Catchment"/>
    <n v="1313.9474400000001"/>
  </r>
  <r>
    <x v="3"/>
    <s v="NYEBYOMBI"/>
    <s v="Public"/>
    <x v="0"/>
    <s v="Burera"/>
    <s v="Cyanika"/>
    <s v="NMUK_1"/>
    <s v="Burera/Ruhondo Sub-Catchment"/>
    <n v="1182.6000000000001"/>
  </r>
  <r>
    <x v="3"/>
    <s v="RUBANGA"/>
    <s v="Public"/>
    <x v="0"/>
    <s v="Burera"/>
    <s v="Cyanika"/>
    <s v="NMUK_1"/>
    <s v="Burera/Ruhondo Sub-Catchment"/>
    <n v="1182.6000000000001"/>
  </r>
  <r>
    <x v="3"/>
    <s v="GAHAMA"/>
    <s v="Public"/>
    <x v="0"/>
    <s v="Burera"/>
    <s v="Cyanika"/>
    <s v="NMUK_1"/>
    <s v="Burera/Ruhondo Sub-Catchment"/>
    <n v="525.07440000000008"/>
  </r>
  <r>
    <x v="3"/>
    <s v="RUSEKE"/>
    <s v="Public"/>
    <x v="0"/>
    <s v="Burera"/>
    <s v="Cyanika"/>
    <s v="NMUK_1"/>
    <s v="Burera/Ruhondo Sub-Catchment"/>
    <n v="1971.0000000000002"/>
  </r>
  <r>
    <x v="3"/>
    <s v="KAMANGA"/>
    <s v="Public"/>
    <x v="0"/>
    <s v="Burera"/>
    <s v="Cyanika"/>
    <s v="NMUK_1"/>
    <s v="Burera/Ruhondo Sub-Catchment"/>
    <n v="2626.9488000000001"/>
  </r>
  <r>
    <x v="3"/>
    <s v="CYAHAFI"/>
    <s v="Public"/>
    <x v="0"/>
    <s v="Burera"/>
    <s v="Cyanika"/>
    <s v="NMUK_1"/>
    <s v="Burera/Ruhondo Sub-Catchment"/>
    <n v="1971.0000000000002"/>
  </r>
  <r>
    <x v="3"/>
    <s v="KAVVOMO"/>
    <s v="Public"/>
    <x v="0"/>
    <s v="Burera"/>
    <s v="Cyanika"/>
    <s v="NMUK_1"/>
    <s v="Burera/Ruhondo Sub-Catchment"/>
    <n v="1592.5680000000002"/>
  </r>
  <r>
    <x v="3"/>
    <s v="KAMUSHI"/>
    <s v="Public"/>
    <x v="0"/>
    <s v="Burera"/>
    <s v="Cyanika"/>
    <s v="NMUK_1"/>
    <s v="Burera/Ruhondo Sub-Catchment"/>
    <n v="1050.1488000000002"/>
  </r>
  <r>
    <x v="3"/>
    <s v="RWUMBA"/>
    <s v="Public"/>
    <x v="0"/>
    <s v="Burera"/>
    <s v="Cyanika"/>
    <s v="NMUK_1"/>
    <s v="Burera/Ruhondo Sub-Catchment"/>
    <n v="1119.5279999999998"/>
  </r>
  <r>
    <x v="3"/>
    <s v="GATUGUNGURU"/>
    <s v="Public"/>
    <x v="0"/>
    <s v="Burera"/>
    <s v="Cyanika"/>
    <s v="NMUK_1"/>
    <s v="Burera/Ruhondo Sub-Catchment"/>
    <n v="1750.248"/>
  </r>
  <r>
    <x v="3"/>
    <s v="KABINGO 2"/>
    <s v="Public"/>
    <x v="0"/>
    <s v="Burera"/>
    <s v="Cyanika"/>
    <s v="NMUK_1"/>
    <s v="Burera/Ruhondo Sub-Catchment"/>
    <n v="1313.9474400000001"/>
  </r>
  <r>
    <x v="3"/>
    <s v="NYAMUKO"/>
    <s v="Public"/>
    <x v="0"/>
    <s v="Burera"/>
    <s v="Cyanika"/>
    <s v="NMUK_1"/>
    <s v="Burera/Ruhondo Sub-Catchment"/>
    <n v="2388.8520000000003"/>
  </r>
  <r>
    <x v="3"/>
    <s v="NYABITARE"/>
    <s v="Public"/>
    <x v="0"/>
    <s v="Burera"/>
    <s v="Cyanika"/>
    <s v="NMUK_1"/>
    <s v="Burera/Ruhondo Sub-Catchment"/>
    <n v="1313.4744000000001"/>
  </r>
  <r>
    <x v="3"/>
    <s v="KABINGO"/>
    <s v="Public"/>
    <x v="0"/>
    <s v="Burera"/>
    <s v="Cyanika"/>
    <s v="NMUK_1"/>
    <s v="Burera/Ruhondo Sub-Catchment"/>
    <n v="2626.9488000000001"/>
  </r>
  <r>
    <x v="3"/>
    <s v="KAGINA"/>
    <s v="Public"/>
    <x v="0"/>
    <s v="Burera"/>
    <s v="Cyanika"/>
    <s v="NMUK_1"/>
    <s v="Burera/Ruhondo Sub-Catchment"/>
    <n v="1971.0000000000002"/>
  </r>
  <r>
    <x v="3"/>
    <s v="RWANZOVU"/>
    <s v="Public"/>
    <x v="0"/>
    <s v="Burera"/>
    <s v="Cyanika"/>
    <s v="NMUK_1"/>
    <s v="Burera/Ruhondo Sub-Catchment"/>
    <n v="1592.5680000000002"/>
  </r>
  <r>
    <x v="3"/>
    <s v="KARUCONDO"/>
    <s v="Public"/>
    <x v="0"/>
    <s v="Burera"/>
    <s v="Cyanika"/>
    <s v="NMUK_1"/>
    <s v="Burera/Ruhondo Sub-Catchment"/>
    <n v="275.94000000000005"/>
  </r>
  <r>
    <x v="3"/>
    <s v="DAHAKANA"/>
    <s v="Public"/>
    <x v="0"/>
    <s v="Burera"/>
    <s v="Cyanika"/>
    <s v="NMUK_1"/>
    <s v="Burera/Ruhondo Sub-Catchment"/>
    <n v="7899.768"/>
  </r>
  <r>
    <x v="3"/>
    <s v="NYAMAZI"/>
    <s v="Public"/>
    <x v="0"/>
    <s v="Burera"/>
    <s v="Cyanika"/>
    <s v="NMUK_1"/>
    <s v="Burera/Ruhondo Sub-Catchment"/>
    <n v="1750.248"/>
  </r>
  <r>
    <x v="3"/>
    <s v="HINDURIRO"/>
    <s v="Public"/>
    <x v="0"/>
    <s v="Burera"/>
    <s v="Cyanika"/>
    <s v="NMUK_1"/>
    <s v="Burera/Ruhondo Sub-Catchment"/>
    <n v="2626.9488000000001"/>
  </r>
  <r>
    <x v="3"/>
    <s v="NYAMUKO"/>
    <s v="Public"/>
    <x v="0"/>
    <s v="Burera"/>
    <s v="Cyanika"/>
    <s v="NMUK_1"/>
    <s v="Burera/Ruhondo Sub-Catchment"/>
    <n v="2759.4"/>
  </r>
  <r>
    <x v="3"/>
    <s v="MUDAHAKANA"/>
    <s v="Public"/>
    <x v="0"/>
    <s v="Burera"/>
    <s v="Cyanika"/>
    <s v="NMUK_1"/>
    <s v="Burera/Ruhondo Sub-Catchment"/>
    <n v="520.34400000000005"/>
  </r>
  <r>
    <x v="3"/>
    <s v="GASURURU"/>
    <s v="Public"/>
    <x v="0"/>
    <s v="Burera"/>
    <s v="Cyanika"/>
    <s v="NMUK_1"/>
    <s v="Burera/Ruhondo Sub-Catchment"/>
    <n v="3942.0000000000005"/>
  </r>
  <r>
    <x v="3"/>
    <s v="BUKANUKA"/>
    <s v="Public"/>
    <x v="0"/>
    <s v="Burera"/>
    <s v="Cyanika"/>
    <s v="NMUK_1"/>
    <s v="Burera/Ruhondo Sub-Catchment"/>
    <n v="875.12400000000002"/>
  </r>
  <r>
    <x v="3"/>
    <s v="GASURUR2"/>
    <s v="Public"/>
    <x v="0"/>
    <s v="Burera"/>
    <s v="Cyanika"/>
    <s v="NMUK_1"/>
    <s v="Burera/Ruhondo Sub-Catchment"/>
    <n v="1592.5680000000002"/>
  </r>
  <r>
    <x v="3"/>
    <s v="KABUTIMBIRI"/>
    <s v="Public"/>
    <x v="0"/>
    <s v="Burera"/>
    <s v="Cyanika"/>
    <s v="NMUK_1"/>
    <s v="Burera/Ruhondo Sub-Catchment"/>
    <n v="2626.9488000000001"/>
  </r>
  <r>
    <x v="3"/>
    <s v="GAHONGOROMA"/>
    <s v="Public"/>
    <x v="0"/>
    <s v="Burera"/>
    <s v="Cyanika"/>
    <s v="NMUK_1"/>
    <s v="Burera/Ruhondo Sub-Catchment"/>
    <n v="1750.248"/>
  </r>
  <r>
    <x v="3"/>
    <s v="GAHONGOROMA 2"/>
    <s v="Public"/>
    <x v="0"/>
    <s v="Burera"/>
    <s v="Cyanika"/>
    <s v="NMUK_1"/>
    <s v="Burera/Ruhondo Sub-Catchment"/>
    <n v="2626.9488000000001"/>
  </r>
  <r>
    <x v="3"/>
    <s v="KAVOMO2"/>
    <s v="Public"/>
    <x v="0"/>
    <s v="Burera"/>
    <s v="Cyanika"/>
    <s v="NMUK_1"/>
    <s v="Burera/Ruhondo Sub-Catchment"/>
    <n v="275.94000000000005"/>
  </r>
  <r>
    <x v="3"/>
    <s v="KAMUGOROZO"/>
    <s v="Public"/>
    <x v="0"/>
    <s v="Burera"/>
    <s v="Cyanika"/>
    <s v="NMUK_1"/>
    <s v="Burera/Ruhondo Sub-Catchment"/>
    <n v="1313.9474400000001"/>
  </r>
  <r>
    <x v="3"/>
    <s v="MARIYA"/>
    <s v="Public"/>
    <x v="0"/>
    <s v="Burera"/>
    <s v="Cyanika"/>
    <s v="NMUK_1"/>
    <s v="Burera/Ruhondo Sub-Catchment"/>
    <n v="3942.0000000000005"/>
  </r>
  <r>
    <x v="3"/>
    <s v="KASENGONDO"/>
    <s v="Public"/>
    <x v="0"/>
    <s v="Burera"/>
    <s v="Cyanika"/>
    <s v="NMUK_1"/>
    <s v="Burera/Ruhondo Sub-Catchment"/>
    <n v="1971.0000000000002"/>
  </r>
  <r>
    <x v="3"/>
    <s v="MURUSANGE"/>
    <s v="Public"/>
    <x v="0"/>
    <s v="Burera"/>
    <s v="Cyanika"/>
    <s v="NMUK_1"/>
    <s v="Burera/Ruhondo Sub-Catchment"/>
    <n v="2759.4"/>
  </r>
  <r>
    <x v="3"/>
    <s v="GASUZA"/>
    <s v="Public"/>
    <x v="0"/>
    <s v="Burera"/>
    <s v="Cyanika"/>
    <s v="NMUK_1"/>
    <s v="Burera/Ruhondo Sub-Catchment"/>
    <n v="2626.9488000000001"/>
  </r>
  <r>
    <x v="3"/>
    <s v="GAHAMA"/>
    <s v="Public"/>
    <x v="0"/>
    <s v="Burera"/>
    <s v="Cyanika"/>
    <s v="NMUK_1"/>
    <s v="Burera/Ruhondo Sub-Catchment"/>
    <n v="985.50000000000011"/>
  </r>
  <r>
    <x v="3"/>
    <s v="KANYAMA"/>
    <s v="Public"/>
    <x v="0"/>
    <s v="Burera"/>
    <s v="Cyanika"/>
    <s v="NMUK_1"/>
    <s v="Burera/Ruhondo Sub-Catchment"/>
    <n v="2759.4"/>
  </r>
  <r>
    <x v="3"/>
    <s v="MUTENGA"/>
    <s v="Public"/>
    <x v="0"/>
    <s v="Burera"/>
    <s v="Cyanika"/>
    <s v="NMUK_1"/>
    <s v="Burera/Ruhondo Sub-Catchment"/>
    <n v="1313.9474400000001"/>
  </r>
  <r>
    <x v="3"/>
    <s v="GITEGA"/>
    <s v="Public"/>
    <x v="0"/>
    <s v="Burera"/>
    <s v="Cyanika"/>
    <s v="NMUK_1"/>
    <s v="Burera/Ruhondo Sub-Catchment"/>
    <n v="2759.4"/>
  </r>
  <r>
    <x v="3"/>
    <s v="KARUGAZI"/>
    <s v="Public"/>
    <x v="0"/>
    <s v="Burera"/>
    <s v="Cyanika"/>
    <s v="NMUK_1"/>
    <s v="Burera/Ruhondo Sub-Catchment"/>
    <n v="1971.0000000000002"/>
  </r>
  <r>
    <x v="3"/>
    <s v="KARUGIRANKA"/>
    <s v="Public"/>
    <x v="0"/>
    <s v="Burera"/>
    <s v="Cyanika"/>
    <s v="NMUK_1"/>
    <s v="Burera/Ruhondo Sub-Catchment"/>
    <n v="2626.9488000000001"/>
  </r>
  <r>
    <x v="3"/>
    <s v="GASHARU"/>
    <s v="Public"/>
    <x v="0"/>
    <s v="Burera"/>
    <s v="Cyanika"/>
    <s v="NMUK_1"/>
    <s v="Burera/Ruhondo Sub-Catchment"/>
    <n v="1971.0000000000002"/>
  </r>
  <r>
    <x v="3"/>
    <s v="KAVOMO"/>
    <s v="Public"/>
    <x v="0"/>
    <s v="Burera"/>
    <s v="Cyanika"/>
    <s v="NMUK_1"/>
    <s v="Burera/Ruhondo Sub-Catchment"/>
    <n v="2759.4"/>
  </r>
  <r>
    <x v="3"/>
    <s v="KURUTARE"/>
    <s v="Public"/>
    <x v="0"/>
    <s v="Burera"/>
    <s v="Cyanika"/>
    <s v="NMUK_1"/>
    <s v="Burera/Ruhondo Sub-Catchment"/>
    <n v="1971.0000000000002"/>
  </r>
  <r>
    <x v="3"/>
    <s v="KARUSAZA"/>
    <s v="Public"/>
    <x v="0"/>
    <s v="Burera"/>
    <s v="Cyanika"/>
    <s v="NMUK_1"/>
    <s v="Burera/Ruhondo Sub-Catchment"/>
    <n v="1971.0000000000002"/>
  </r>
  <r>
    <x v="3"/>
    <s v="KASEKIGUGU"/>
    <s v="Public"/>
    <x v="0"/>
    <s v="Burera"/>
    <s v="Cyanika"/>
    <s v="NMUK_1"/>
    <s v="Burera/Ruhondo Sub-Catchment"/>
    <n v="4052.3759999999997"/>
  </r>
  <r>
    <x v="3"/>
    <s v="BUFUNDA"/>
    <s v="Public"/>
    <x v="0"/>
    <s v="Burera"/>
    <s v="Cyanika"/>
    <s v="NMUK_1"/>
    <s v="Burera/Ruhondo Sub-Catchment"/>
    <n v="867.24000000000012"/>
  </r>
  <r>
    <x v="3"/>
    <s v="MASHYOZA"/>
    <s v="Public"/>
    <x v="0"/>
    <s v="Burera"/>
    <s v="Cyanika"/>
    <s v="NMUK_1"/>
    <s v="Burera/Ruhondo Sub-Catchment"/>
    <n v="7884.0000000000009"/>
  </r>
  <r>
    <x v="3"/>
    <s v="NKOMANE"/>
    <s v="Public"/>
    <x v="0"/>
    <s v="Burera"/>
    <s v="Cyanika"/>
    <s v="NMUK_1"/>
    <s v="Burera/Ruhondo Sub-Catchment"/>
    <n v="1971.0000000000002"/>
  </r>
  <r>
    <x v="3"/>
    <s v="GASAYO"/>
    <s v="Public"/>
    <x v="0"/>
    <s v="Burera"/>
    <s v="Cyanika"/>
    <s v="NMUK_1"/>
    <s v="Burera/Ruhondo Sub-Catchment"/>
    <n v="2627.8948800000003"/>
  </r>
  <r>
    <x v="3"/>
    <s v="GASURA"/>
    <s v="Public"/>
    <x v="0"/>
    <s v="Burera"/>
    <s v="Cyanika"/>
    <s v="NMUK_1"/>
    <s v="Burera/Ruhondo Sub-Catchment"/>
    <n v="8751.2400000000016"/>
  </r>
  <r>
    <x v="3"/>
    <s v="CYAHAFI"/>
    <s v="Public"/>
    <x v="0"/>
    <s v="Burera"/>
    <s v="Cyanika"/>
    <s v="NMUK_1"/>
    <s v="Burera/Ruhondo Sub-Catchment"/>
    <n v="2626.9488000000001"/>
  </r>
  <r>
    <x v="3"/>
    <s v="RUZAMBUZA"/>
    <s v="Public"/>
    <x v="0"/>
    <s v="Burera"/>
    <s v="Cyanika"/>
    <s v="NMUK_1"/>
    <s v="Burera/Ruhondo Sub-Catchment"/>
    <n v="3942.0000000000005"/>
  </r>
  <r>
    <x v="3"/>
    <s v="MUTENDE"/>
    <s v="Public"/>
    <x v="0"/>
    <s v="Burera"/>
    <s v="Cyanika"/>
    <s v="NMUK_1"/>
    <s v="Burera/Ruhondo Sub-Catchment"/>
    <n v="1971.0000000000002"/>
  </r>
  <r>
    <x v="3"/>
    <s v="NYAMWISHWA"/>
    <s v="Public"/>
    <x v="0"/>
    <s v="Burera"/>
    <s v="Cyanika"/>
    <s v="NMUK_1"/>
    <s v="Burera/Ruhondo Sub-Catchment"/>
    <n v="1971.0000000000002"/>
  </r>
  <r>
    <x v="3"/>
    <s v="BYAGAKURU"/>
    <s v="Public"/>
    <x v="0"/>
    <s v="Burera"/>
    <s v="Cyanika"/>
    <s v="NMUK_1"/>
    <s v="Burera/Ruhondo Sub-Catchment"/>
    <n v="0"/>
  </r>
  <r>
    <x v="3"/>
    <s v="GAHAMA"/>
    <s v="Public"/>
    <x v="0"/>
    <s v="Burera"/>
    <s v="Cyanika"/>
    <s v="NMUK_1"/>
    <s v="Burera/Ruhondo Sub-Catchment"/>
    <n v="3942.0000000000005"/>
  </r>
  <r>
    <x v="3"/>
    <s v="NYIRATABA"/>
    <s v="Public"/>
    <x v="0"/>
    <s v="Burera"/>
    <s v="Cyanika"/>
    <s v="NMUK_1"/>
    <s v="Burera/Ruhondo Sub-Catchment"/>
    <n v="3942.0000000000005"/>
  </r>
  <r>
    <x v="3"/>
    <s v="KAVOMO"/>
    <s v="Public"/>
    <x v="0"/>
    <s v="Burera"/>
    <s v="Cyanika"/>
    <s v="NMUK_1"/>
    <s v="Burera/Ruhondo Sub-Catchment"/>
    <n v="2759.4"/>
  </r>
  <r>
    <x v="3"/>
    <s v="GARARO"/>
    <s v="Public"/>
    <x v="0"/>
    <s v="Burera"/>
    <s v="Cyanika"/>
    <s v="NMUK_1"/>
    <s v="Burera/Ruhondo Sub-Catchment"/>
    <n v="1750.248"/>
  </r>
  <r>
    <x v="3"/>
    <s v="RUHONDO"/>
    <s v="Public"/>
    <x v="0"/>
    <s v="Burera"/>
    <s v="Cyanika"/>
    <s v="NMUK_1"/>
    <s v="Burera/Ruhondo Sub-Catchment"/>
    <n v="4020.84"/>
  </r>
  <r>
    <x v="3"/>
    <s v="RWABUSO"/>
    <s v="Public"/>
    <x v="0"/>
    <s v="Burera"/>
    <s v="Cyanika"/>
    <s v="NMUK_1"/>
    <s v="Burera/Ruhondo Sub-Catchment"/>
    <n v="3942.0000000000005"/>
  </r>
  <r>
    <x v="3"/>
    <s v="AGAHAMA"/>
    <s v="Public"/>
    <x v="0"/>
    <s v="Burera"/>
    <s v="Cyanika"/>
    <s v="NMUK_1"/>
    <s v="Burera/Ruhondo Sub-Catchment"/>
    <n v="1592.5680000000002"/>
  </r>
  <r>
    <x v="3"/>
    <s v="RYAGAHENE"/>
    <s v="Public"/>
    <x v="0"/>
    <s v="Burera"/>
    <s v="Cyanika"/>
    <s v="NMUK_1"/>
    <s v="Burera/Ruhondo Sub-Catchment"/>
    <n v="1313.4744000000001"/>
  </r>
  <r>
    <x v="3"/>
    <s v="RUKOMA"/>
    <s v="Public"/>
    <x v="0"/>
    <s v="Burera"/>
    <s v="Cyanika"/>
    <s v="NMUK_1"/>
    <s v="Burera/Ruhondo Sub-Catchment"/>
    <n v="33270.480000000003"/>
  </r>
  <r>
    <x v="3"/>
    <s v="KAVOMO"/>
    <s v="Public"/>
    <x v="0"/>
    <s v="Burera"/>
    <s v="Cyanika"/>
    <s v="NMUK_1"/>
    <s v="Burera/Ruhondo Sub-Catchment"/>
    <n v="3942.0000000000005"/>
  </r>
  <r>
    <x v="3"/>
    <s v="MUKAMBU"/>
    <s v="Public"/>
    <x v="0"/>
    <s v="Burera"/>
    <s v="Cyanika"/>
    <s v="NMUK_1"/>
    <s v="Burera/Ruhondo Sub-Catchment"/>
    <n v="2626.9488000000001"/>
  </r>
  <r>
    <x v="3"/>
    <s v="VUGANGOMA"/>
    <s v="Public"/>
    <x v="0"/>
    <s v="Burera"/>
    <s v="Cyanika"/>
    <s v="NMUK_1"/>
    <s v="Burera/Ruhondo Sub-Catchment"/>
    <n v="1971.0000000000002"/>
  </r>
  <r>
    <x v="3"/>
    <s v="NYAGISENYI"/>
    <s v="Public"/>
    <x v="0"/>
    <s v="Burera"/>
    <s v="Cyanika"/>
    <s v="NMUK_1"/>
    <s v="Burera/Ruhondo Sub-Catchment"/>
    <n v="1971.0000000000002"/>
  </r>
  <r>
    <x v="3"/>
    <s v="GASURURU"/>
    <s v="Public"/>
    <x v="0"/>
    <s v="Burera"/>
    <s v="Cyanika"/>
    <s v="NMUK_1"/>
    <s v="Burera/Ruhondo Sub-Catchment"/>
    <n v="2743.6320000000001"/>
  </r>
  <r>
    <x v="3"/>
    <s v="GATARE2"/>
    <s v="Public"/>
    <x v="0"/>
    <s v="Burera"/>
    <s v="Cyanika"/>
    <s v="NMUK_1"/>
    <s v="Burera/Ruhondo Sub-Catchment"/>
    <n v="1050.1488000000002"/>
  </r>
  <r>
    <x v="3"/>
    <s v="MURINDI"/>
    <s v="Public"/>
    <x v="0"/>
    <s v="Burera"/>
    <s v="Cyanika"/>
    <s v="NMUK_1"/>
    <s v="Burera/Ruhondo Sub-Catchment"/>
    <n v="1340.28"/>
  </r>
  <r>
    <x v="3"/>
    <s v="KAGARAMA"/>
    <s v="Public"/>
    <x v="0"/>
    <s v="Burera"/>
    <s v="Cyanika"/>
    <s v="NMUK_1"/>
    <s v="Burera/Ruhondo Sub-Catchment"/>
    <n v="2617.4880000000003"/>
  </r>
  <r>
    <x v="3"/>
    <s v="MURINDI2"/>
    <s v="Public"/>
    <x v="0"/>
    <s v="Burera"/>
    <s v="Cyanika"/>
    <s v="NMUK_1"/>
    <s v="Burera/Ruhondo Sub-Catchment"/>
    <n v="1340.28"/>
  </r>
  <r>
    <x v="3"/>
    <s v="KAZIBAZIBA"/>
    <s v="Public"/>
    <x v="0"/>
    <s v="Burera"/>
    <s v="Cyanika"/>
    <s v="NMUK_1"/>
    <s v="Burera/Ruhondo Sub-Catchment"/>
    <n v="3942.0000000000005"/>
  </r>
  <r>
    <x v="3"/>
    <s v="MASENGA"/>
    <s v="Public"/>
    <x v="0"/>
    <s v="Burera"/>
    <s v="Cyanika"/>
    <s v="NMUK_1"/>
    <s v="Burera/Ruhondo Sub-Catchment"/>
    <n v="1313.4744000000001"/>
  </r>
  <r>
    <x v="3"/>
    <s v="GATOKI"/>
    <s v="Public"/>
    <x v="0"/>
    <s v="Burera"/>
    <s v="Cyanika"/>
    <s v="NMUK_1"/>
    <s v="Burera/Ruhondo Sub-Catchment"/>
    <n v="1971.0000000000002"/>
  </r>
  <r>
    <x v="3"/>
    <s v="KIBAYA"/>
    <s v="Public"/>
    <x v="0"/>
    <s v="Burera"/>
    <s v="Cyanika"/>
    <s v="NMUK_1"/>
    <s v="Burera/Ruhondo Sub-Catchment"/>
    <n v="1050.1488000000002"/>
  </r>
  <r>
    <x v="3"/>
    <s v="RUSEKE"/>
    <s v="Public"/>
    <x v="0"/>
    <s v="Burera"/>
    <s v="Cyanika"/>
    <s v="NMUK_1"/>
    <s v="Burera/Ruhondo Sub-Catchment"/>
    <n v="1340.28"/>
  </r>
  <r>
    <x v="3"/>
    <s v="KARUGINA"/>
    <s v="Public"/>
    <x v="0"/>
    <s v="Burera"/>
    <s v="Cyanika"/>
    <s v="NMUK_1"/>
    <s v="Burera/Ruhondo Sub-Catchment"/>
    <n v="3942.0000000000005"/>
  </r>
  <r>
    <x v="3"/>
    <s v="GATARE"/>
    <s v="Public"/>
    <x v="0"/>
    <s v="Burera"/>
    <s v="Cyanika"/>
    <s v="NMUK_1"/>
    <s v="Burera/Ruhondo Sub-Catchment"/>
    <n v="2617.4880000000003"/>
  </r>
  <r>
    <x v="3"/>
    <s v="KIRUMBI"/>
    <s v="Public"/>
    <x v="0"/>
    <s v="Burera"/>
    <s v="Cyanika"/>
    <s v="NMUK_1"/>
    <s v="Burera/Ruhondo Sub-Catchment"/>
    <n v="3942.0000000000005"/>
  </r>
  <r>
    <x v="3"/>
    <s v="NYIRAMARIBU"/>
    <s v="Public"/>
    <x v="0"/>
    <s v="Burera"/>
    <s v="Cyanika"/>
    <s v="NMUK_1"/>
    <s v="Burera/Ruhondo Sub-Catchment"/>
    <n v="1971.0000000000002"/>
  </r>
  <r>
    <x v="3"/>
    <s v="MASHYOZA"/>
    <s v="Public"/>
    <x v="0"/>
    <s v="Rutsiro"/>
    <s v="Boneza"/>
    <s v="CKIV_2"/>
    <s v="Koko/Muregeya Sub-Catchment"/>
    <n v="788.40000000000009"/>
  </r>
  <r>
    <x v="3"/>
    <s v="KAGONDO"/>
    <s v="Public"/>
    <x v="0"/>
    <s v="Rutsiro"/>
    <s v="Boneza"/>
    <s v="CKIV_2"/>
    <s v="Koko/Muregeya Sub-Catchment"/>
    <n v="2049.84"/>
  </r>
  <r>
    <x v="3"/>
    <s v="KAGOGO"/>
    <s v="Public"/>
    <x v="0"/>
    <s v="Rutsiro"/>
    <s v="Boneza"/>
    <s v="CKIV_2"/>
    <s v="Koko/Muregeya Sub-Catchment"/>
    <n v="1576.8000000000002"/>
  </r>
  <r>
    <x v="3"/>
    <s v="KAMESERO"/>
    <s v="Public"/>
    <x v="0"/>
    <s v="Rutsiro"/>
    <s v="Boneza"/>
    <s v="CKIV_2"/>
    <s v="Koko/Muregeya Sub-Catchment"/>
    <n v="1261.44"/>
  </r>
  <r>
    <x v="3"/>
    <s v="NAMBI"/>
    <s v="Public"/>
    <x v="0"/>
    <s v="Rutsiro"/>
    <s v="Boneza"/>
    <s v="CKIV_2"/>
    <s v="Koko/Muregeya Sub-Catchment"/>
    <n v="1576.8000000000002"/>
  </r>
  <r>
    <x v="3"/>
    <s v="RYABYANDAGARA"/>
    <s v="Public"/>
    <x v="0"/>
    <s v="Rutsiro"/>
    <s v="Boneza"/>
    <s v="CKIV_2"/>
    <s v="Koko/Muregeya Sub-Catchment"/>
    <n v="5203.4400000000005"/>
  </r>
  <r>
    <x v="3"/>
    <s v="KIBITARE"/>
    <s v="Public"/>
    <x v="0"/>
    <s v="Rutsiro"/>
    <s v="Boneza"/>
    <s v="CKIV_2"/>
    <s v="Koko/Muregeya Sub-Catchment"/>
    <n v="2995.92"/>
  </r>
  <r>
    <x v="3"/>
    <s v="GATSINGA"/>
    <s v="Public"/>
    <x v="0"/>
    <s v="Rutsiro"/>
    <s v="Boneza"/>
    <s v="CKIV_2"/>
    <s v="Koko/Muregeya Sub-Catchment"/>
    <n v="94608.000000000015"/>
  </r>
  <r>
    <x v="3"/>
    <s v="NYAKABANDA II"/>
    <s v="Public"/>
    <x v="0"/>
    <s v="Rutsiro"/>
    <s v="Boneza"/>
    <s v="CKIV_2"/>
    <s v="Koko/Muregeya Sub-Catchment"/>
    <n v="2995.92"/>
  </r>
  <r>
    <x v="3"/>
    <s v="KABARERA"/>
    <s v="Public"/>
    <x v="0"/>
    <s v="Rutsiro"/>
    <s v="Boneza"/>
    <s v="CKIV_2"/>
    <s v="Koko/Muregeya Sub-Catchment"/>
    <n v="1892.16"/>
  </r>
  <r>
    <x v="3"/>
    <s v="NYAKABANDA I"/>
    <s v="Public"/>
    <x v="0"/>
    <s v="Rutsiro"/>
    <s v="Boneza"/>
    <s v="CKIV_2"/>
    <s v="Koko/Muregeya Sub-Catchment"/>
    <n v="473.04"/>
  </r>
  <r>
    <x v="3"/>
    <s v="RUKURURA"/>
    <s v="Public"/>
    <x v="0"/>
    <s v="Rutsiro"/>
    <s v="Boneza"/>
    <s v="CKIV_2"/>
    <s v="Koko/Muregeya Sub-Catchment"/>
    <n v="1576.8000000000002"/>
  </r>
  <r>
    <x v="3"/>
    <s v="NYAKAGEZI"/>
    <s v="Public"/>
    <x v="0"/>
    <s v="Rutsiro"/>
    <s v="Boneza"/>
    <s v="CKIV_2"/>
    <s v="Koko/Muregeya Sub-Catchment"/>
    <n v="1103.7600000000002"/>
  </r>
  <r>
    <x v="3"/>
    <s v="RUNOMBE"/>
    <s v="Public"/>
    <x v="0"/>
    <s v="Rutsiro"/>
    <s v="Boneza"/>
    <s v="CKIV_2"/>
    <s v="Koko/Muregeya Sub-Catchment"/>
    <n v="1261.44"/>
  </r>
  <r>
    <x v="3"/>
    <s v="GATUGUNGURU"/>
    <s v="Public"/>
    <x v="0"/>
    <s v="Rutsiro"/>
    <s v="Boneza"/>
    <s v="CKIV_2"/>
    <s v="Koko/Muregeya Sub-Catchment"/>
    <n v="3311.2799999999997"/>
  </r>
  <r>
    <x v="3"/>
    <s v="RUGAMBA"/>
    <s v="Public"/>
    <x v="0"/>
    <s v="Rutsiro"/>
    <s v="Boneza"/>
    <s v="CKIV_2"/>
    <s v="Koko/Muregeya Sub-Catchment"/>
    <n v="1419.12"/>
  </r>
  <r>
    <x v="3"/>
    <s v="KABIRIZI"/>
    <s v="Public"/>
    <x v="0"/>
    <s v="Rutsiro"/>
    <s v="Boneza"/>
    <s v="CKIV_2"/>
    <s v="Koko/Muregeya Sub-Catchment"/>
    <n v="4415.0400000000009"/>
  </r>
  <r>
    <x v="3"/>
    <s v="KAGIMBU"/>
    <s v="Public"/>
    <x v="0"/>
    <s v="Rutsiro"/>
    <s v="Boneza"/>
    <s v="CKIV_2"/>
    <s v="Koko/Muregeya Sub-Catchment"/>
    <n v="2365.2000000000003"/>
  </r>
  <r>
    <x v="3"/>
    <s v="KANNYOGO"/>
    <s v="Public"/>
    <x v="0"/>
    <s v="Rutsiro"/>
    <s v="Boneza"/>
    <s v="CKIV_2"/>
    <s v="Koko/Muregeya Sub-Catchment"/>
    <n v="473.04"/>
  </r>
  <r>
    <x v="3"/>
    <s v="SHEJA"/>
    <s v="Public"/>
    <x v="0"/>
    <s v="Rutsiro"/>
    <s v="Boneza"/>
    <s v="CKIV_2"/>
    <s v="Koko/Muregeya Sub-Catchment"/>
    <n v="630.72"/>
  </r>
  <r>
    <x v="3"/>
    <s v="KABUJENJE"/>
    <s v="Public"/>
    <x v="0"/>
    <s v="Rutsiro"/>
    <s v="Boneza"/>
    <s v="CKIV_2"/>
    <s v="Koko/Muregeya Sub-Catchment"/>
    <n v="1576.8000000000002"/>
  </r>
  <r>
    <x v="3"/>
    <s v="KASEMYAMBI"/>
    <s v="Public"/>
    <x v="0"/>
    <s v="Rutsiro"/>
    <s v="Boneza"/>
    <s v="CKIV_2"/>
    <s v="Koko/Muregeya Sub-Catchment"/>
    <n v="1261.44"/>
  </r>
  <r>
    <x v="3"/>
    <s v="GAHABWA"/>
    <s v="Public"/>
    <x v="0"/>
    <s v="Rutsiro"/>
    <s v="Boneza"/>
    <s v="CKIV_2"/>
    <s v="Koko/Muregeya Sub-Catchment"/>
    <n v="946.08"/>
  </r>
  <r>
    <x v="3"/>
    <s v="NANGAMATIKU"/>
    <s v="Public"/>
    <x v="0"/>
    <s v="Nyamasheke"/>
    <s v="Kagano"/>
    <s v="CKIV_3"/>
    <s v="Kamiranzovu Sub-Catchment"/>
    <n v="630.72"/>
  </r>
  <r>
    <x v="3"/>
    <s v="MASAGARA"/>
    <s v="Public"/>
    <x v="0"/>
    <s v="Nyamasheke"/>
    <s v="Kagano"/>
    <s v="CKIV_3"/>
    <s v="Kamiranzovu Sub-Catchment"/>
    <n v="3468.9600000000005"/>
  </r>
  <r>
    <x v="3"/>
    <s v="NYARURUMBI"/>
    <s v="Public"/>
    <x v="0"/>
    <s v="Nyamasheke"/>
    <s v="Kagano"/>
    <s v="CKIV_3"/>
    <s v="Kamiranzovu Sub-Catchment"/>
    <n v="2049.84"/>
  </r>
  <r>
    <x v="3"/>
    <s v="RWAMIKO"/>
    <s v="Public"/>
    <x v="0"/>
    <s v="Nyamasheke"/>
    <s v="Kagano"/>
    <s v="CKIV_3"/>
    <s v="Kamiranzovu Sub-Catchment"/>
    <n v="2207.5200000000004"/>
  </r>
  <r>
    <x v="3"/>
    <s v="KANNYORI"/>
    <s v="Public"/>
    <x v="0"/>
    <s v="Nyamasheke"/>
    <s v="Kagano"/>
    <s v="CKIV_3"/>
    <s v="Kamiranzovu Sub-Catchment"/>
    <n v="1261.44"/>
  </r>
  <r>
    <x v="3"/>
    <s v="RYAMUKIGA"/>
    <s v="Public"/>
    <x v="0"/>
    <s v="Nyamasheke"/>
    <s v="Kagano"/>
    <s v="CKIV_3"/>
    <s v="Kamiranzovu Sub-Catchment"/>
    <n v="2680.56"/>
  </r>
  <r>
    <x v="3"/>
    <s v="KURURUMA"/>
    <s v="Public"/>
    <x v="0"/>
    <s v="Nyamasheke"/>
    <s v="Kagano"/>
    <s v="CKIV_3"/>
    <s v="Kamiranzovu Sub-Catchment"/>
    <n v="1892.16"/>
  </r>
  <r>
    <x v="3"/>
    <s v="MATABA"/>
    <s v="Public"/>
    <x v="0"/>
    <s v="Nyamasheke"/>
    <s v="Kagano"/>
    <s v="CKIV_3"/>
    <s v="Kamiranzovu Sub-Catchment"/>
    <n v="12614.400000000001"/>
  </r>
  <r>
    <x v="3"/>
    <s v="MUYOGORO"/>
    <s v="Public"/>
    <x v="0"/>
    <s v="Nyamasheke"/>
    <s v="Kagano"/>
    <s v="CKIV_3"/>
    <s v="Kamiranzovu Sub-Catchment"/>
    <n v="1971.0000000000002"/>
  </r>
  <r>
    <x v="3"/>
    <s v="GAHAMA"/>
    <s v="Public"/>
    <x v="0"/>
    <s v="Nyamasheke"/>
    <s v="Kagano"/>
    <s v="CKIV_3"/>
    <s v="Kamiranzovu Sub-Catchment"/>
    <n v="1892.16"/>
  </r>
  <r>
    <x v="3"/>
    <s v="RUSAYO"/>
    <s v="Public"/>
    <x v="0"/>
    <s v="Nyamasheke"/>
    <s v="Kagano"/>
    <s v="CKIV_3"/>
    <s v="Kamiranzovu Sub-Catchment"/>
    <n v="3942.0000000000005"/>
  </r>
  <r>
    <x v="3"/>
    <s v="KABINGO"/>
    <s v="Public"/>
    <x v="0"/>
    <s v="Nyamasheke"/>
    <s v="Kagano"/>
    <s v="CKIV_3"/>
    <s v="Kamiranzovu Sub-Catchment"/>
    <n v="1576.8000000000002"/>
  </r>
  <r>
    <x v="3"/>
    <s v="NYAKAGEZI"/>
    <s v="Public"/>
    <x v="0"/>
    <s v="Nyamasheke"/>
    <s v="Kagano"/>
    <s v="CKIV_3"/>
    <s v="Kamiranzovu Sub-Catchment"/>
    <n v="3153.6000000000004"/>
  </r>
  <r>
    <x v="3"/>
    <s v="GASAYO II"/>
    <s v="Public"/>
    <x v="0"/>
    <s v="Nyamasheke"/>
    <s v="Kagano"/>
    <s v="CKIV_3"/>
    <s v="Kamiranzovu Sub-Catchment"/>
    <n v="5203.4400000000005"/>
  </r>
  <r>
    <x v="3"/>
    <s v="RWAMIKO"/>
    <s v="Public"/>
    <x v="0"/>
    <s v="Nyamasheke"/>
    <s v="Kagano"/>
    <s v="CKIV_3"/>
    <s v="Kamiranzovu Sub-Catchment"/>
    <n v="2680.56"/>
  </r>
  <r>
    <x v="3"/>
    <s v="RWAMIKO"/>
    <s v="Public"/>
    <x v="0"/>
    <s v="Nyamasheke"/>
    <s v="Kagano"/>
    <s v="CKIV_3"/>
    <s v="Kamiranzovu Sub-Catchment"/>
    <n v="1419.12"/>
  </r>
  <r>
    <x v="3"/>
    <s v="RYAGAHAMA"/>
    <s v="Public"/>
    <x v="0"/>
    <s v="Nyamasheke"/>
    <s v="Kagano"/>
    <s v="CKIV_3"/>
    <s v="Kamiranzovu Sub-Catchment"/>
    <n v="3311.2799999999997"/>
  </r>
  <r>
    <x v="3"/>
    <s v="RUGOMERO"/>
    <s v="Public"/>
    <x v="0"/>
    <s v="Nyamasheke"/>
    <s v="Kagano"/>
    <s v="CKIV_3"/>
    <s v="Kamiranzovu Sub-Catchment"/>
    <n v="0"/>
  </r>
  <r>
    <x v="3"/>
    <s v="RUDAKOMWA"/>
    <s v="Public"/>
    <x v="0"/>
    <s v="Nyamasheke"/>
    <s v="Kagano"/>
    <s v="CKIV_3"/>
    <s v="Kamiranzovu Sub-Catchment"/>
    <n v="0"/>
  </r>
  <r>
    <x v="3"/>
    <s v="RYARUTUNGURA"/>
    <s v="Public"/>
    <x v="0"/>
    <s v="Nyamasheke"/>
    <s v="Kagano"/>
    <s v="CKIV_3"/>
    <s v="Kamiranzovu Sub-Catchment"/>
    <n v="788.40000000000009"/>
  </r>
  <r>
    <x v="3"/>
    <s v="KAMAKEBA"/>
    <s v="Public"/>
    <x v="0"/>
    <s v="Nyamasheke"/>
    <s v="Kagano"/>
    <s v="CKIV_3"/>
    <s v="Kamiranzovu Sub-Catchment"/>
    <n v="2049.84"/>
  </r>
  <r>
    <x v="3"/>
    <s v="GASEKE"/>
    <s v="Public"/>
    <x v="0"/>
    <s v="Nyamasheke"/>
    <s v="Kagano"/>
    <s v="CKIV_3"/>
    <s v="Kamiranzovu Sub-Catchment"/>
    <n v="3153.6000000000004"/>
  </r>
  <r>
    <x v="3"/>
    <s v="GIKANGAGA"/>
    <s v="Public"/>
    <x v="0"/>
    <s v="Nyamasheke"/>
    <s v="Kagano"/>
    <s v="CKIV_3"/>
    <s v="Kamiranzovu Sub-Catchment"/>
    <n v="2365.2000000000003"/>
  </r>
  <r>
    <x v="3"/>
    <s v="GATENGA"/>
    <s v="Public"/>
    <x v="0"/>
    <s v="Nyamasheke"/>
    <s v="Kagano"/>
    <s v="CKIV_3"/>
    <s v="Kamiranzovu Sub-Catchment"/>
    <n v="2680.56"/>
  </r>
  <r>
    <x v="3"/>
    <s v="KAZABAGARURA"/>
    <s v="Public"/>
    <x v="0"/>
    <s v="Nyamasheke"/>
    <s v="Kagano"/>
    <s v="CKIV_3"/>
    <s v="Kamiranzovu Sub-Catchment"/>
    <n v="788.40000000000009"/>
  </r>
  <r>
    <x v="3"/>
    <s v="GATARE"/>
    <s v="Public"/>
    <x v="0"/>
    <s v="Nyamasheke"/>
    <s v="Kagano"/>
    <s v="CKIV_3"/>
    <s v="Kamiranzovu Sub-Catchment"/>
    <n v="2365.2000000000003"/>
  </r>
  <r>
    <x v="3"/>
    <s v="RWANKOMA"/>
    <s v="Public"/>
    <x v="0"/>
    <s v="Nyamasheke"/>
    <s v="Kagano"/>
    <s v="CKIV_3"/>
    <s v="Kamiranzovu Sub-Catchment"/>
    <n v="473.04"/>
  </r>
  <r>
    <x v="3"/>
    <s v="BASHUMBU"/>
    <s v="Public"/>
    <x v="0"/>
    <s v="Nyamasheke"/>
    <s v="Kagano"/>
    <s v="CKIV_3"/>
    <s v="Kamiranzovu Sub-Catchment"/>
    <n v="1892.16"/>
  </r>
  <r>
    <x v="3"/>
    <s v="RUGOMERO"/>
    <s v="Public"/>
    <x v="0"/>
    <s v="Nyamasheke"/>
    <s v="Kagano"/>
    <s v="CKIV_3"/>
    <s v="Kamiranzovu Sub-Catchment"/>
    <n v="3626.64"/>
  </r>
  <r>
    <x v="3"/>
    <s v="KABINGO"/>
    <s v="Public"/>
    <x v="0"/>
    <s v="Nyamasheke"/>
    <s v="Kagano"/>
    <s v="CKIV_3"/>
    <s v="Kamiranzovu Sub-Catchment"/>
    <n v="3626.64"/>
  </r>
  <r>
    <x v="3"/>
    <s v="KAMUKUNZI"/>
    <s v="Public"/>
    <x v="0"/>
    <s v="Nyamasheke"/>
    <s v="Kagano"/>
    <s v="CKIV_3"/>
    <s v="Kamiranzovu Sub-Catchment"/>
    <n v="1892.16"/>
  </r>
  <r>
    <x v="3"/>
    <s v="RUGOMERO"/>
    <s v="Public"/>
    <x v="0"/>
    <s v="Nyamasheke"/>
    <s v="Kagano"/>
    <s v="CKIV_3"/>
    <s v="Kamiranzovu Sub-Catchment"/>
    <n v="4572.72"/>
  </r>
  <r>
    <x v="3"/>
    <s v="MUKAMATEKE"/>
    <s v="Public"/>
    <x v="0"/>
    <s v="Nyamasheke"/>
    <s v="Kagano"/>
    <s v="CKIV_3"/>
    <s v="Kamiranzovu Sub-Catchment"/>
    <n v="7884.0000000000009"/>
  </r>
  <r>
    <x v="3"/>
    <s v="KAVUMU"/>
    <s v="Public"/>
    <x v="0"/>
    <s v="Nyamasheke"/>
    <s v="Kagano"/>
    <s v="CKIV_3"/>
    <s v="Kamiranzovu Sub-Catchment"/>
    <n v="1261.44"/>
  </r>
  <r>
    <x v="3"/>
    <s v="GASAYO"/>
    <s v="Public"/>
    <x v="0"/>
    <s v="Nyamasheke"/>
    <s v="Kagano"/>
    <s v="CKIV_3"/>
    <s v="Kamiranzovu Sub-Catchment"/>
    <n v="5834.1600000000008"/>
  </r>
  <r>
    <x v="3"/>
    <s v="NYIRANKOMAGURWA"/>
    <s v="Public"/>
    <x v="0"/>
    <s v="Nyamasheke"/>
    <s v="Kagano"/>
    <s v="CKIV_3"/>
    <s v="Kamiranzovu Sub-Catchment"/>
    <n v="473.04"/>
  </r>
  <r>
    <x v="3"/>
    <s v="RWANYAMURIMA"/>
    <s v="Public"/>
    <x v="0"/>
    <s v="Nyamasheke"/>
    <s v="Kagano"/>
    <s v="CKIV_3"/>
    <s v="Kamiranzovu Sub-Catchment"/>
    <n v="2680.56"/>
  </r>
  <r>
    <x v="3"/>
    <s v="GASEKE"/>
    <s v="Public"/>
    <x v="0"/>
    <s v="Nyamasheke"/>
    <s v="Kagano"/>
    <s v="CKIV_3"/>
    <s v="Kamiranzovu Sub-Catchment"/>
    <n v="1892.16"/>
  </r>
  <r>
    <x v="3"/>
    <s v="KIMBIRI"/>
    <s v="Public"/>
    <x v="0"/>
    <s v="Rutsiro"/>
    <s v="Kigeyo"/>
    <s v="CKIV_2"/>
    <s v="Koko/Muregeya Sub-Catchment"/>
    <n v="3942.0000000000005"/>
  </r>
  <r>
    <x v="3"/>
    <s v="NTEKO"/>
    <s v="Public"/>
    <x v="0"/>
    <s v="Rutsiro"/>
    <s v="Kigeyo"/>
    <s v="CKIV_2"/>
    <s v="Koko/Muregeya Sub-Catchment"/>
    <n v="1261.44"/>
  </r>
  <r>
    <x v="3"/>
    <s v="MUNTURO"/>
    <s v="Public"/>
    <x v="0"/>
    <s v="Rutsiro"/>
    <s v="Kigeyo"/>
    <s v="CKIV_2"/>
    <s v="Koko/Muregeya Sub-Catchment"/>
    <n v="788.40000000000009"/>
  </r>
  <r>
    <x v="3"/>
    <s v="KANYIRANKUBA II"/>
    <s v="Public"/>
    <x v="0"/>
    <s v="Rutsiro"/>
    <s v="Kigeyo"/>
    <s v="CKIV_2"/>
    <s v="Koko/Muregeya Sub-Catchment"/>
    <n v="946.08"/>
  </r>
  <r>
    <x v="3"/>
    <s v="KANYIRANKUBA I"/>
    <s v="Public"/>
    <x v="0"/>
    <s v="Rutsiro"/>
    <s v="Kigeyo"/>
    <s v="CKIV_2"/>
    <s v="Koko/Muregeya Sub-Catchment"/>
    <n v="3311.2799999999997"/>
  </r>
  <r>
    <x v="3"/>
    <s v="RUYOGORO I"/>
    <s v="Public"/>
    <x v="0"/>
    <s v="Rutsiro"/>
    <s v="Kigeyo"/>
    <s v="CKIV_2"/>
    <s v="Koko/Muregeya Sub-Catchment"/>
    <n v="946.08"/>
  </r>
  <r>
    <x v="3"/>
    <s v="RUYOGORO II"/>
    <s v="Public"/>
    <x v="0"/>
    <s v="Rutsiro"/>
    <s v="Kigeyo"/>
    <s v="CKIV_2"/>
    <s v="Koko/Muregeya Sub-Catchment"/>
    <n v="3468.9600000000005"/>
  </r>
  <r>
    <x v="3"/>
    <s v="NYARUSAMBU"/>
    <s v="Public"/>
    <x v="0"/>
    <s v="Rutsiro"/>
    <s v="Kigeyo"/>
    <s v="CKIV_2"/>
    <s v="Koko/Muregeya Sub-Catchment"/>
    <n v="1261.44"/>
  </r>
  <r>
    <x v="3"/>
    <s v="RUKONGORANE"/>
    <s v="Public"/>
    <x v="0"/>
    <s v="Rutsiro"/>
    <s v="Kigeyo"/>
    <s v="CKIV_2"/>
    <s v="Koko/Muregeya Sub-Catchment"/>
    <n v="3942.0000000000005"/>
  </r>
  <r>
    <x v="3"/>
    <s v="KANYAMIKENGA"/>
    <s v="Public"/>
    <x v="0"/>
    <s v="Rutsiro"/>
    <s v="Kigeyo"/>
    <s v="CKIV_2"/>
    <s v="Koko/Muregeya Sub-Catchment"/>
    <n v="1261.44"/>
  </r>
  <r>
    <x v="3"/>
    <s v="KINYAMPUNDU"/>
    <s v="Public"/>
    <x v="0"/>
    <s v="Rutsiro"/>
    <s v="Kigeyo"/>
    <s v="CKIV_2"/>
    <s v="Koko/Muregeya Sub-Catchment"/>
    <n v="1419.12"/>
  </r>
  <r>
    <x v="3"/>
    <s v="KAMIRA"/>
    <s v="Public"/>
    <x v="0"/>
    <s v="Rutsiro"/>
    <s v="Kigeyo"/>
    <s v="CKIV_2"/>
    <s v="Koko/Muregeya Sub-Catchment"/>
    <n v="2680.56"/>
  </r>
  <r>
    <x v="3"/>
    <s v="MUKONDO"/>
    <s v="Public"/>
    <x v="0"/>
    <s v="Rutsiro"/>
    <s v="Kigeyo"/>
    <s v="CKIV_2"/>
    <s v="Koko/Muregeya Sub-Catchment"/>
    <n v="630.72"/>
  </r>
  <r>
    <x v="3"/>
    <s v="NAKAMBA II"/>
    <s v="Public"/>
    <x v="0"/>
    <s v="Rutsiro"/>
    <s v="Kigeyo"/>
    <s v="CKIV_2"/>
    <s v="Koko/Muregeya Sub-Catchment"/>
    <n v="630.72"/>
  </r>
  <r>
    <x v="3"/>
    <s v="NYAKAGEZI"/>
    <s v="Public"/>
    <x v="0"/>
    <s v="Rutsiro"/>
    <s v="Kigeyo"/>
    <s v="CKIV_2"/>
    <s v="Koko/Muregeya Sub-Catchment"/>
    <n v="2680.56"/>
  </r>
  <r>
    <x v="3"/>
    <s v="GASHARA"/>
    <s v="Public"/>
    <x v="0"/>
    <s v="Rutsiro"/>
    <s v="Kigeyo"/>
    <s v="CKIV_2"/>
    <s v="Koko/Muregeya Sub-Catchment"/>
    <n v="2207.5200000000004"/>
  </r>
  <r>
    <x v="3"/>
    <s v="NYAKIBANDA"/>
    <s v="Public"/>
    <x v="0"/>
    <s v="Rutsiro"/>
    <s v="Kigeyo"/>
    <s v="CKIV_2"/>
    <s v="Koko/Muregeya Sub-Catchment"/>
    <n v="5203.4400000000005"/>
  </r>
  <r>
    <x v="3"/>
    <s v="MATAKARA"/>
    <s v="Public"/>
    <x v="0"/>
    <s v="Rutsiro"/>
    <s v="Kigeyo"/>
    <s v="CKIV_2"/>
    <s v="Koko/Muregeya Sub-Catchment"/>
    <n v="1576.8000000000002"/>
  </r>
  <r>
    <x v="3"/>
    <s v="BAGINA"/>
    <s v="Public"/>
    <x v="0"/>
    <s v="Rutsiro"/>
    <s v="Kigeyo"/>
    <s v="CKIV_2"/>
    <s v="Koko/Muregeya Sub-Catchment"/>
    <n v="1261.44"/>
  </r>
  <r>
    <x v="3"/>
    <s v="KABITAMBUKO"/>
    <s v="Public"/>
    <x v="0"/>
    <s v="Rutsiro"/>
    <s v="Kigeyo"/>
    <s v="CKIV_2"/>
    <s v="Koko/Muregeya Sub-Catchment"/>
    <n v="1419.12"/>
  </r>
  <r>
    <x v="3"/>
    <s v="BAJYAMBERE"/>
    <s v="Public"/>
    <x v="0"/>
    <s v="Rutsiro"/>
    <s v="Kigeyo"/>
    <s v="CKIV_2"/>
    <s v="Koko/Muregeya Sub-Catchment"/>
    <n v="2680.56"/>
  </r>
  <r>
    <x v="3"/>
    <s v="KABONOBONO"/>
    <s v="Public"/>
    <x v="0"/>
    <s v="Karongi"/>
    <s v="Mubuga"/>
    <s v="CKIV_2"/>
    <s v="Koko/Muregeya Sub-Catchment"/>
    <n v="3153.6000000000004"/>
  </r>
  <r>
    <x v="3"/>
    <s v="CYAHAFI"/>
    <s v="Public"/>
    <x v="0"/>
    <s v="Karongi"/>
    <s v="Mubuga"/>
    <s v="CKIV_2"/>
    <s v="Koko/Muregeya Sub-Catchment"/>
    <n v="315.36"/>
  </r>
  <r>
    <x v="3"/>
    <s v="KIZIBAZIBA"/>
    <s v="Public"/>
    <x v="0"/>
    <s v="Karongi"/>
    <s v="Mubuga"/>
    <s v="CKIV_2"/>
    <s v="Koko/Muregeya Sub-Catchment"/>
    <n v="3468.9600000000005"/>
  </r>
  <r>
    <x v="3"/>
    <s v="RUSEKE"/>
    <s v="Public"/>
    <x v="0"/>
    <s v="Karongi"/>
    <s v="Mubuga"/>
    <s v="CKIV_2"/>
    <s v="Koko/Muregeya Sub-Catchment"/>
    <n v="2838.24"/>
  </r>
  <r>
    <x v="3"/>
    <s v="KAVOGO"/>
    <s v="Public"/>
    <x v="0"/>
    <s v="Karongi"/>
    <s v="Mubuga"/>
    <s v="CKIV_2"/>
    <s v="Koko/Muregeya Sub-Catchment"/>
    <n v="283.82400000000001"/>
  </r>
  <r>
    <x v="3"/>
    <s v="KWVENANTI"/>
    <s v="Public"/>
    <x v="0"/>
    <s v="Karongi"/>
    <s v="Mubuga"/>
    <s v="CKIV_2"/>
    <s v="Koko/Muregeya Sub-Catchment"/>
    <n v="3153.6000000000004"/>
  </r>
  <r>
    <x v="3"/>
    <s v="MUSASA"/>
    <s v="Public"/>
    <x v="0"/>
    <s v="Karongi"/>
    <s v="Mubuga"/>
    <s v="CKIV_2"/>
    <s v="Koko/Muregeya Sub-Catchment"/>
    <n v="2522.88"/>
  </r>
  <r>
    <x v="3"/>
    <s v="RUBOMBO III"/>
    <s v="Public"/>
    <x v="0"/>
    <s v="Karongi"/>
    <s v="Mubuga"/>
    <s v="CKIV_2"/>
    <s v="Koko/Muregeya Sub-Catchment"/>
    <n v="2838.24"/>
  </r>
  <r>
    <x v="3"/>
    <s v="RUBOMBO II"/>
    <s v="Public"/>
    <x v="0"/>
    <s v="Karongi"/>
    <s v="Mubuga"/>
    <s v="CKIV_2"/>
    <s v="Koko/Muregeya Sub-Catchment"/>
    <n v="1576.8000000000002"/>
  </r>
  <r>
    <x v="3"/>
    <s v="RUBOMBO I"/>
    <s v="Public"/>
    <x v="0"/>
    <s v="Karongi"/>
    <s v="Mubuga"/>
    <s v="CKIV_2"/>
    <s v="Koko/Muregeya Sub-Catchment"/>
    <n v="1419.12"/>
  </r>
  <r>
    <x v="3"/>
    <s v="GASEKE"/>
    <s v="Public"/>
    <x v="0"/>
    <s v="Karongi"/>
    <s v="Mubuga"/>
    <s v="CKIV_2"/>
    <s v="Koko/Muregeya Sub-Catchment"/>
    <n v="1261.44"/>
  </r>
  <r>
    <x v="3"/>
    <s v="NYAKIMANZI"/>
    <s v="Public"/>
    <x v="0"/>
    <s v="Karongi"/>
    <s v="Mubuga"/>
    <s v="CKIV_2"/>
    <s v="Koko/Muregeya Sub-Catchment"/>
    <n v="1576.8000000000002"/>
  </r>
  <r>
    <x v="3"/>
    <s v="GATARE"/>
    <s v="Public"/>
    <x v="0"/>
    <s v="Karongi"/>
    <s v="Mubuga"/>
    <s v="CKIV_2"/>
    <s v="Koko/Muregeya Sub-Catchment"/>
    <n v="3153.6000000000004"/>
  </r>
  <r>
    <x v="3"/>
    <s v="RWONGA"/>
    <s v="Public"/>
    <x v="0"/>
    <s v="Karongi"/>
    <s v="Mubuga"/>
    <s v="CKIV_2"/>
    <s v="Koko/Muregeya Sub-Catchment"/>
    <n v="315.36"/>
  </r>
  <r>
    <x v="3"/>
    <s v="MUKAGWA"/>
    <s v="Public"/>
    <x v="0"/>
    <s v="Karongi"/>
    <s v="Mubuga"/>
    <s v="CKIV_2"/>
    <s v="Koko/Muregeya Sub-Catchment"/>
    <n v="630.72"/>
  </r>
  <r>
    <x v="3"/>
    <s v="MARYOHE"/>
    <s v="Public"/>
    <x v="0"/>
    <s v="Karongi"/>
    <s v="Mubuga"/>
    <s v="CKIV_2"/>
    <s v="Koko/Muregeya Sub-Catchment"/>
    <n v="1419.12"/>
  </r>
  <r>
    <x v="3"/>
    <s v="KAVUGANGOM"/>
    <s v="Public"/>
    <x v="0"/>
    <s v="Karongi"/>
    <s v="Mubuga"/>
    <s v="CKIV_2"/>
    <s v="Koko/Muregeya Sub-Catchment"/>
    <n v="1103.7600000000002"/>
  </r>
  <r>
    <x v="3"/>
    <s v="MARA"/>
    <s v="Public"/>
    <x v="0"/>
    <s v="Karongi"/>
    <s v="Mubuga"/>
    <s v="CKIV_2"/>
    <s v="Koko/Muregeya Sub-Catchment"/>
    <n v="2838.24"/>
  </r>
  <r>
    <x v="3"/>
    <s v="KAGIMBU"/>
    <s v="Public"/>
    <x v="0"/>
    <s v="Karongi"/>
    <s v="Mubuga"/>
    <s v="CKIV_2"/>
    <s v="Koko/Muregeya Sub-Catchment"/>
    <n v="1261.44"/>
  </r>
  <r>
    <x v="3"/>
    <s v="MAZA I"/>
    <s v="Public"/>
    <x v="0"/>
    <s v="Karongi"/>
    <s v="Mubuga"/>
    <s v="CKIV_2"/>
    <s v="Koko/Muregeya Sub-Catchment"/>
    <n v="1261.44"/>
  </r>
  <r>
    <x v="3"/>
    <s v="MAZAII"/>
    <s v="Public"/>
    <x v="0"/>
    <s v="Karongi"/>
    <s v="Mubuga"/>
    <s v="CKIV_2"/>
    <s v="Koko/Muregeya Sub-Catchment"/>
    <n v="1103.7600000000002"/>
  </r>
  <r>
    <x v="3"/>
    <s v="RUGOMERO"/>
    <s v="Public"/>
    <x v="0"/>
    <s v="Karongi"/>
    <s v="Mubuga"/>
    <s v="CKIV_2"/>
    <s v="Koko/Muregeya Sub-Catchment"/>
    <n v="2995.92"/>
  </r>
  <r>
    <x v="3"/>
    <s v="GISIZI"/>
    <s v="Public"/>
    <x v="0"/>
    <s v="Karongi"/>
    <s v="Mubuga"/>
    <s v="CKIV_2"/>
    <s v="Koko/Muregeya Sub-Catchment"/>
    <n v="1576.8000000000002"/>
  </r>
  <r>
    <x v="3"/>
    <s v="GASOMWANTURI II"/>
    <s v="Public"/>
    <x v="0"/>
    <s v="Rutsiro"/>
    <s v="Musasa"/>
    <s v="CKIV_2"/>
    <s v="Koko/Muregeya Sub-Catchment"/>
    <n v="3153.6000000000004"/>
  </r>
  <r>
    <x v="3"/>
    <s v="GASOMWANTURI I"/>
    <s v="Public"/>
    <x v="0"/>
    <s v="Rutsiro"/>
    <s v="Musasa"/>
    <s v="CKIV_2"/>
    <s v="Koko/Muregeya Sub-Catchment"/>
    <n v="6149.5200000000013"/>
  </r>
  <r>
    <x v="3"/>
    <s v="RWABUTWERI"/>
    <s v="Public"/>
    <x v="0"/>
    <s v="Rutsiro"/>
    <s v="Musasa"/>
    <s v="CKIV_2"/>
    <s v="Koko/Muregeya Sub-Catchment"/>
    <n v="3942.0000000000005"/>
  </r>
  <r>
    <x v="3"/>
    <s v="GASOMA"/>
    <s v="Public"/>
    <x v="0"/>
    <s v="Rutsiro"/>
    <s v="Musasa"/>
    <s v="CKIV_2"/>
    <s v="Koko/Muregeya Sub-Catchment"/>
    <n v="2207.5200000000004"/>
  </r>
  <r>
    <x v="3"/>
    <s v="SEBIHWEGE"/>
    <s v="Public"/>
    <x v="0"/>
    <s v="Rutsiro"/>
    <s v="Musasa"/>
    <s v="CKIV_2"/>
    <s v="Koko/Muregeya Sub-Catchment"/>
    <n v="4730.4000000000005"/>
  </r>
  <r>
    <x v="3"/>
    <s v="KABAHIRA"/>
    <s v="Public"/>
    <x v="0"/>
    <s v="Rutsiro"/>
    <s v="Musasa"/>
    <s v="CKIV_2"/>
    <s v="Koko/Muregeya Sub-Catchment"/>
    <n v="1734.4800000000002"/>
  </r>
  <r>
    <x v="3"/>
    <s v="RWAFURWE"/>
    <s v="Public"/>
    <x v="0"/>
    <s v="Rutsiro"/>
    <s v="Musasa"/>
    <s v="CKIV_2"/>
    <s v="Koko/Muregeya Sub-Catchment"/>
    <n v="2522.88"/>
  </r>
  <r>
    <x v="3"/>
    <s v="MUBAKWA"/>
    <s v="Public"/>
    <x v="0"/>
    <s v="Rutsiro"/>
    <s v="Musasa"/>
    <s v="CKIV_2"/>
    <s v="Koko/Muregeya Sub-Catchment"/>
    <n v="1576.8000000000002"/>
  </r>
  <r>
    <x v="3"/>
    <s v="KABURIMAGE"/>
    <s v="Public"/>
    <x v="0"/>
    <s v="Rutsiro"/>
    <s v="Musasa"/>
    <s v="CKIV_2"/>
    <s v="Koko/Muregeya Sub-Catchment"/>
    <n v="15768.000000000002"/>
  </r>
  <r>
    <x v="3"/>
    <s v="KANKENGA II"/>
    <s v="Public"/>
    <x v="0"/>
    <s v="Rutsiro"/>
    <s v="Musasa"/>
    <s v="CKIV_2"/>
    <s v="Koko/Muregeya Sub-Catchment"/>
    <n v="1419.12"/>
  </r>
  <r>
    <x v="3"/>
    <s v="KANYENZI"/>
    <s v="Public"/>
    <x v="0"/>
    <s v="Rutsiro"/>
    <s v="Musasa"/>
    <s v="CKIV_2"/>
    <s v="Koko/Muregeya Sub-Catchment"/>
    <n v="2365.2000000000003"/>
  </r>
  <r>
    <x v="3"/>
    <s v="KWAZIKAMA"/>
    <s v="Public"/>
    <x v="0"/>
    <s v="Rutsiro"/>
    <s v="Musasa"/>
    <s v="CKIV_2"/>
    <s v="Koko/Muregeya Sub-Catchment"/>
    <n v="1576.8000000000002"/>
  </r>
  <r>
    <x v="3"/>
    <s v="GASHUNZI I"/>
    <s v="Public"/>
    <x v="0"/>
    <s v="Rutsiro"/>
    <s v="Musasa"/>
    <s v="CKIV_2"/>
    <s v="Koko/Muregeya Sub-Catchment"/>
    <n v="1261.44"/>
  </r>
  <r>
    <x v="3"/>
    <s v="KABIRA"/>
    <s v="Public"/>
    <x v="0"/>
    <s v="Rutsiro"/>
    <s v="Musasa"/>
    <s v="CKIV_2"/>
    <s v="Koko/Muregeya Sub-Catchment"/>
    <n v="1576.8000000000002"/>
  </r>
  <r>
    <x v="3"/>
    <s v="TWABUGEZI"/>
    <s v="Public"/>
    <x v="0"/>
    <s v="Rutsiro"/>
    <s v="Musasa"/>
    <s v="CKIV_2"/>
    <s v="Koko/Muregeya Sub-Catchment"/>
    <n v="1892.16"/>
  </r>
  <r>
    <x v="3"/>
    <s v="NYABUREZA"/>
    <s v="Public"/>
    <x v="0"/>
    <s v="Rutsiro"/>
    <s v="Musasa"/>
    <s v="CKIV_2"/>
    <s v="Koko/Muregeya Sub-Catchment"/>
    <n v="2207.5200000000004"/>
  </r>
  <r>
    <x v="3"/>
    <s v="RUSAGANYA"/>
    <s v="Public"/>
    <x v="0"/>
    <s v="Rutsiro"/>
    <s v="Musasa"/>
    <s v="CKIV_2"/>
    <s v="Koko/Muregeya Sub-Catchment"/>
    <n v="2049.84"/>
  </r>
  <r>
    <x v="3"/>
    <s v="KAZIBAZIBA I"/>
    <s v="Public"/>
    <x v="0"/>
    <s v="Rutsiro"/>
    <s v="Musasa"/>
    <s v="CKIV_2"/>
    <s v="Koko/Muregeya Sub-Catchment"/>
    <n v="315.36"/>
  </r>
  <r>
    <x v="3"/>
    <s v="GASAVE"/>
    <s v="Public"/>
    <x v="0"/>
    <s v="Rutsiro"/>
    <s v="Musasa"/>
    <s v="CKIV_2"/>
    <s v="Koko/Muregeya Sub-Catchment"/>
    <n v="3311.2799999999997"/>
  </r>
  <r>
    <x v="3"/>
    <s v="KAMIRONKO"/>
    <s v="Public"/>
    <x v="0"/>
    <s v="Rutsiro"/>
    <s v="Musasa"/>
    <s v="CKIV_2"/>
    <s v="Koko/Muregeya Sub-Catchment"/>
    <n v="4415.0400000000009"/>
  </r>
  <r>
    <x v="3"/>
    <s v="MURYANTABANA"/>
    <s v="Public"/>
    <x v="0"/>
    <s v="Rutsiro"/>
    <s v="Musasa"/>
    <s v="CKIV_2"/>
    <s v="Koko/Muregeya Sub-Catchment"/>
    <n v="3468.9600000000005"/>
  </r>
  <r>
    <x v="3"/>
    <s v="NYAGASHONGI"/>
    <s v="Public"/>
    <x v="0"/>
    <s v="Rutsiro"/>
    <s v="Musasa"/>
    <s v="CKIV_2"/>
    <s v="Koko/Muregeya Sub-Catchment"/>
    <n v="946.08"/>
  </r>
  <r>
    <x v="3"/>
    <s v="MAKOBOBO"/>
    <s v="Public"/>
    <x v="0"/>
    <s v="Rutsiro"/>
    <s v="Musasa"/>
    <s v="CKIV_2"/>
    <s v="Koko/Muregeya Sub-Catchment"/>
    <n v="2680.56"/>
  </r>
  <r>
    <x v="3"/>
    <s v="NYAKAGEZI"/>
    <s v="Public"/>
    <x v="0"/>
    <s v="Rutsiro"/>
    <s v="Musasa"/>
    <s v="CKIV_2"/>
    <s v="Koko/Muregeya Sub-Catchment"/>
    <n v="5203.4400000000005"/>
  </r>
  <r>
    <x v="3"/>
    <s v="RUYOGORO"/>
    <s v="Public"/>
    <x v="0"/>
    <s v="Rutsiro"/>
    <s v="Musasa"/>
    <s v="CKIV_2"/>
    <s v="Koko/Muregeya Sub-Catchment"/>
    <n v="473.04"/>
  </r>
  <r>
    <x v="3"/>
    <s v="MURYAGIHIRA"/>
    <s v="Public"/>
    <x v="0"/>
    <s v="Rutsiro"/>
    <s v="Musasa"/>
    <s v="CKIV_2"/>
    <s v="Koko/Muregeya Sub-Catchment"/>
    <n v="1734.4800000000002"/>
  </r>
  <r>
    <x v="3"/>
    <s v="KAZIBAZIBA II"/>
    <s v="Public"/>
    <x v="0"/>
    <s v="Rutsiro"/>
    <s v="Musasa"/>
    <s v="CKIV_2"/>
    <s v="Koko/Muregeya Sub-Catchment"/>
    <n v="1261.44"/>
  </r>
  <r>
    <x v="3"/>
    <s v="CYARUBUHORO"/>
    <s v="Public"/>
    <x v="0"/>
    <s v="Nyanza"/>
    <s v="Kibilizi"/>
    <s v="NAKN_2"/>
    <s v="Gishara/Mukunguri sub catchment"/>
    <n v="3942.0000000000005"/>
  </r>
  <r>
    <x v="3"/>
    <s v="NYABWIBEREKA"/>
    <s v="Public"/>
    <x v="0"/>
    <s v="Nyanza"/>
    <s v="Kibilizi"/>
    <s v="NAKN_2"/>
    <s v="Gishara/Mukunguri sub catchment"/>
    <n v="1734.4800000000002"/>
  </r>
  <r>
    <x v="3"/>
    <s v="MBONWA"/>
    <s v="Public"/>
    <x v="0"/>
    <s v="Nyanza"/>
    <s v="Kibilizi"/>
    <s v="NAKN_2"/>
    <s v="Gishara/Mukunguri sub catchment"/>
    <n v="2838.24"/>
  </r>
  <r>
    <x v="3"/>
    <s v="GASEKE"/>
    <s v="Public"/>
    <x v="0"/>
    <s v="Nyanza"/>
    <s v="Kibilizi"/>
    <s v="NAKN_2"/>
    <s v="Gishara/Mukunguri sub catchment"/>
    <n v="3153.6000000000004"/>
  </r>
  <r>
    <x v="3"/>
    <s v="AKAGOMA"/>
    <s v="Public"/>
    <x v="0"/>
    <s v="Nyanza"/>
    <s v="Kibilizi"/>
    <s v="NAKN_2"/>
    <s v="Gishara/Mukunguri sub catchment"/>
    <n v="15768.000000000002"/>
  </r>
  <r>
    <x v="3"/>
    <s v="GATUNGABORO"/>
    <s v="Public"/>
    <x v="0"/>
    <s v="Nyanza"/>
    <s v="Kibilizi"/>
    <s v="NAKN_2"/>
    <s v="Gishara/Mukunguri sub catchment"/>
    <n v="2522.88"/>
  </r>
  <r>
    <x v="3"/>
    <s v="AGATARE"/>
    <s v="Public"/>
    <x v="0"/>
    <s v="Nyanza"/>
    <s v="Kibilizi"/>
    <s v="NAKN_2"/>
    <s v="Gishara/Mukunguri sub catchment"/>
    <n v="3153.6000000000004"/>
  </r>
  <r>
    <x v="3"/>
    <s v="LYAMUKURU"/>
    <s v="Public"/>
    <x v="0"/>
    <s v="Nyanza"/>
    <s v="Kibilizi"/>
    <s v="NAKN_2"/>
    <s v="Gishara/Mukunguri sub catchment"/>
    <n v="1576.8000000000002"/>
  </r>
  <r>
    <x v="3"/>
    <s v="NYAMUKO"/>
    <s v="Public"/>
    <x v="0"/>
    <s v="Nyanza"/>
    <s v="Kibilizi"/>
    <s v="NAKN_2"/>
    <s v="Gishara/Mukunguri sub catchment"/>
    <n v="2207.5200000000004"/>
  </r>
  <r>
    <x v="3"/>
    <s v="MPAZA"/>
    <s v="Public"/>
    <x v="0"/>
    <s v="Nyanza"/>
    <s v="Kibilizi"/>
    <s v="NAKN_2"/>
    <s v="Gishara/Mukunguri sub catchment"/>
    <n v="3153.6000000000004"/>
  </r>
  <r>
    <x v="3"/>
    <s v="RWAGISUKA"/>
    <s v="Public"/>
    <x v="0"/>
    <s v="Nyanza"/>
    <s v="Kibilizi"/>
    <s v="NAKN_2"/>
    <s v="Gishara/Mukunguri sub catchment"/>
    <n v="1576.8000000000002"/>
  </r>
  <r>
    <x v="3"/>
    <s v="GATARE"/>
    <s v="Public"/>
    <x v="0"/>
    <s v="Nyanza"/>
    <s v="Kibilizi"/>
    <s v="NAKN_2"/>
    <s v="Gishara/Mukunguri sub catchment"/>
    <n v="2522.88"/>
  </r>
  <r>
    <x v="3"/>
    <s v="RWASENGUGE"/>
    <s v="Public"/>
    <x v="0"/>
    <s v="Nyanza"/>
    <s v="Kibilizi"/>
    <s v="NAKN_2"/>
    <s v="Gishara/Mukunguri sub catchment"/>
    <n v="1892.16"/>
  </r>
  <r>
    <x v="3"/>
    <s v="RWAKAMOMO"/>
    <s v="Public"/>
    <x v="0"/>
    <s v="Nyanza"/>
    <s v="Kibilizi"/>
    <s v="NAKN_2"/>
    <s v="Gishara/Mukunguri sub catchment"/>
    <n v="3153.6000000000004"/>
  </r>
  <r>
    <x v="3"/>
    <s v="GATOBOTOBO"/>
    <s v="Public"/>
    <x v="0"/>
    <s v="Nyanza"/>
    <s v="Kibilizi"/>
    <s v="NAKN_2"/>
    <s v="Gishara/Mukunguri sub catchment"/>
    <n v="3942.0000000000005"/>
  </r>
  <r>
    <x v="3"/>
    <s v="NYAKALIBA I"/>
    <s v="Public"/>
    <x v="0"/>
    <s v="Nyanza"/>
    <s v="Kibilizi"/>
    <s v="NAKN_2"/>
    <s v="Gishara/Mukunguri sub catchment"/>
    <n v="8357.0400000000009"/>
  </r>
  <r>
    <x v="3"/>
    <s v="GASHIKIRI"/>
    <s v="Public"/>
    <x v="0"/>
    <s v="Nyanza"/>
    <s v="Kibilizi"/>
    <s v="NAKN_2"/>
    <s v="Gishara/Mukunguri sub catchment"/>
    <n v="2207.5200000000004"/>
  </r>
  <r>
    <x v="3"/>
    <s v="NANGA"/>
    <s v="Public"/>
    <x v="0"/>
    <s v="Nyanza"/>
    <s v="Kibilizi"/>
    <s v="NAKN_2"/>
    <s v="Gishara/Mukunguri sub catchment"/>
    <n v="2522.88"/>
  </r>
  <r>
    <x v="3"/>
    <s v="KABINGO"/>
    <s v="Public"/>
    <x v="0"/>
    <s v="Nyanza"/>
    <s v="Kibilizi"/>
    <s v="NAKN_2"/>
    <s v="Gishara/Mukunguri sub catchment"/>
    <n v="946.08"/>
  </r>
  <r>
    <x v="3"/>
    <s v="KIYUMBO"/>
    <s v="Public"/>
    <x v="0"/>
    <s v="Nyanza"/>
    <s v="Kibilizi"/>
    <s v="NAKN_2"/>
    <s v="Gishara/Mukunguri sub catchment"/>
    <n v="2207.5200000000004"/>
  </r>
  <r>
    <x v="3"/>
    <s v="RWABAHINDA"/>
    <s v="Public"/>
    <x v="0"/>
    <s v="Nyanza"/>
    <s v="Kibilizi"/>
    <s v="NAKN_2"/>
    <s v="Gishara/Mukunguri sub catchment"/>
    <n v="7884.0000000000009"/>
  </r>
  <r>
    <x v="3"/>
    <s v="AGAHAMA"/>
    <s v="Public"/>
    <x v="0"/>
    <s v="Nyanza"/>
    <s v="Kibilizi"/>
    <s v="NAKN_2"/>
    <s v="Gishara/Mukunguri sub catchment"/>
    <n v="1103.7600000000002"/>
  </r>
  <r>
    <x v="3"/>
    <s v="NYABITARE"/>
    <s v="Public"/>
    <x v="0"/>
    <s v="Nyanza"/>
    <s v="Kibilizi"/>
    <s v="NAKN_2"/>
    <s v="Gishara/Mukunguri sub catchment"/>
    <n v="7884.0000000000009"/>
  </r>
  <r>
    <x v="3"/>
    <s v="MPIRWA"/>
    <s v="Public"/>
    <x v="0"/>
    <s v="Nyanza"/>
    <s v="Kibilizi"/>
    <s v="NAKN_2"/>
    <s v="Gishara/Mukunguri sub catchment"/>
    <n v="1892.16"/>
  </r>
  <r>
    <x v="3"/>
    <s v="NYAMUKO"/>
    <s v="Public"/>
    <x v="0"/>
    <s v="Nyanza"/>
    <s v="Kibilizi"/>
    <s v="NAKN_2"/>
    <s v="Gishara/Mukunguri sub catchment"/>
    <n v="1261.44"/>
  </r>
  <r>
    <x v="3"/>
    <s v="MUGAHOGO"/>
    <s v="Public"/>
    <x v="0"/>
    <s v="Nyanza"/>
    <s v="Kibilizi"/>
    <s v="NAKN_2"/>
    <s v="Gishara/Mukunguri sub catchment"/>
    <n v="5203.4400000000005"/>
  </r>
  <r>
    <x v="3"/>
    <s v="FUBO"/>
    <s v="Public"/>
    <x v="0"/>
    <s v="Nyanza"/>
    <s v="Kibilizi"/>
    <s v="NAKN_2"/>
    <s v="Gishara/Mukunguri sub catchment"/>
    <n v="1892.16"/>
  </r>
  <r>
    <x v="3"/>
    <s v="KAGENDE"/>
    <s v="Public"/>
    <x v="0"/>
    <s v="Nyanza"/>
    <s v="Kibilizi"/>
    <s v="NAKN_2"/>
    <s v="Gishara/Mukunguri sub catchment"/>
    <n v="3942.0000000000005"/>
  </r>
  <r>
    <x v="3"/>
    <s v="KARUGANO"/>
    <s v="Public"/>
    <x v="0"/>
    <s v="Nyanza"/>
    <s v="Kibilizi"/>
    <s v="NAKN_2"/>
    <s v="Gishara/Mukunguri sub catchment"/>
    <n v="1576.8000000000002"/>
  </r>
  <r>
    <x v="3"/>
    <s v="NYAMUKO II"/>
    <s v="Public"/>
    <x v="0"/>
    <s v="Nyanza"/>
    <s v="Kibilizi"/>
    <s v="NAKN_2"/>
    <s v="Gishara/Mukunguri sub catchment"/>
    <n v="3942.0000000000005"/>
  </r>
  <r>
    <x v="3"/>
    <s v="RWAMUNYINYA"/>
    <s v="Public"/>
    <x v="0"/>
    <s v="Nyanza"/>
    <s v="Kibilizi"/>
    <s v="NAKN_2"/>
    <s v="Gishara/Mukunguri sub catchment"/>
    <n v="2522.88"/>
  </r>
  <r>
    <x v="3"/>
    <s v="RUTARE"/>
    <s v="Public"/>
    <x v="0"/>
    <s v="Nyanza"/>
    <s v="Kibilizi"/>
    <s v="NAKN_2"/>
    <s v="Gishara/Mukunguri sub catchment"/>
    <n v="1892.16"/>
  </r>
  <r>
    <x v="3"/>
    <s v="NYABITARE"/>
    <s v="Public"/>
    <x v="0"/>
    <s v="Nyanza"/>
    <s v="Kibilizi"/>
    <s v="NAKN_2"/>
    <s v="Gishara/Mukunguri sub catchment"/>
    <n v="2680.56"/>
  </r>
  <r>
    <x v="3"/>
    <s v="GASEKE"/>
    <s v="Public"/>
    <x v="0"/>
    <s v="Nyanza"/>
    <s v="Kibilizi"/>
    <s v="NAKN_2"/>
    <s v="Gishara/Mukunguri sub catchment"/>
    <n v="7884.0000000000009"/>
  </r>
  <r>
    <x v="3"/>
    <s v="NGABWE"/>
    <s v="Public"/>
    <x v="0"/>
    <s v="Nyanza"/>
    <s v="Kibilizi"/>
    <s v="NAKN_2"/>
    <s v="Gishara/Mukunguri sub catchment"/>
    <n v="1576.8000000000002"/>
  </r>
  <r>
    <x v="3"/>
    <s v="KABINGO"/>
    <s v="Public"/>
    <x v="0"/>
    <s v="Nyanza"/>
    <s v="Kibilizi"/>
    <s v="NAKN_2"/>
    <s v="Gishara/Mukunguri sub catchment"/>
    <n v="3153.6000000000004"/>
  </r>
  <r>
    <x v="3"/>
    <s v="NYAMUKO III"/>
    <s v="Public"/>
    <x v="0"/>
    <s v="Nyanza"/>
    <s v="Kibilizi"/>
    <s v="NAKN_2"/>
    <s v="Gishara/Mukunguri sub catchment"/>
    <n v="1892.16"/>
  </r>
  <r>
    <x v="3"/>
    <s v="NYAMATA"/>
    <s v="Public"/>
    <x v="0"/>
    <s v="Nyanza"/>
    <s v="Kibilizi"/>
    <s v="NAKN_2"/>
    <s v="Gishara/Mukunguri sub catchment"/>
    <n v="3942.0000000000005"/>
  </r>
  <r>
    <x v="3"/>
    <s v="NYABITARE"/>
    <s v="Public"/>
    <x v="0"/>
    <s v="Nyanza"/>
    <s v="Kibilizi"/>
    <s v="NAKN_2"/>
    <s v="Gishara/Mukunguri sub catchment"/>
    <n v="3153.6000000000004"/>
  </r>
  <r>
    <x v="3"/>
    <s v="NYAMUKO"/>
    <s v="Public"/>
    <x v="0"/>
    <s v="Nyanza"/>
    <s v="Kibilizi"/>
    <s v="NAKN_2"/>
    <s v="Gishara/Mukunguri sub catchment"/>
    <n v="1419.12"/>
  </r>
  <r>
    <x v="3"/>
    <s v="SEJYEJYE"/>
    <s v="Public"/>
    <x v="0"/>
    <s v="Nyanza"/>
    <s v="Kibilizi"/>
    <s v="NAKN_2"/>
    <s v="Gishara/Mukunguri sub catchment"/>
    <n v="3153.6000000000004"/>
  </r>
  <r>
    <x v="3"/>
    <s v="NANGA"/>
    <s v="Public"/>
    <x v="0"/>
    <s v="Nyanza"/>
    <s v="Kibilizi"/>
    <s v="NAKN_2"/>
    <s v="Gishara/Mukunguri sub catchment"/>
    <n v="2207.5200000000004"/>
  </r>
  <r>
    <x v="3"/>
    <s v="SEBUSOGO"/>
    <s v="Public"/>
    <x v="0"/>
    <s v="Nyanza"/>
    <s v="Kibilizi"/>
    <s v="NAKN_2"/>
    <s v="Gishara/Mukunguri sub catchment"/>
    <n v="1892.16"/>
  </r>
  <r>
    <x v="3"/>
    <s v="KANYINYA"/>
    <s v="Public"/>
    <x v="0"/>
    <s v="Nyanza"/>
    <s v="Kibilizi"/>
    <s v="NAKN_2"/>
    <s v="Gishara/Mukunguri sub catchment"/>
    <n v="1892.16"/>
  </r>
  <r>
    <x v="3"/>
    <s v="KIRAGI"/>
    <s v="Public"/>
    <x v="0"/>
    <s v="Nyanza"/>
    <s v="Kibilizi"/>
    <s v="NAKN_2"/>
    <s v="Gishara/Mukunguri sub catchment"/>
    <n v="1576.8000000000002"/>
  </r>
  <r>
    <x v="3"/>
    <s v="CYABACOCORI"/>
    <s v="Public"/>
    <x v="0"/>
    <s v="Nyanza"/>
    <s v="Kibilizi"/>
    <s v="NAKN_2"/>
    <s v="Gishara/Mukunguri sub catchment"/>
    <n v="1892.16"/>
  </r>
  <r>
    <x v="3"/>
    <s v="GAKOMBE"/>
    <s v="Public"/>
    <x v="0"/>
    <s v="Nyanza"/>
    <s v="Kibilizi"/>
    <s v="NAKN_2"/>
    <s v="Gishara/Mukunguri sub catchment"/>
    <n v="2522.88"/>
  </r>
  <r>
    <x v="3"/>
    <s v="NTAKANANIRA"/>
    <s v="Public"/>
    <x v="0"/>
    <s v="Nyanza"/>
    <s v="Kibilizi"/>
    <s v="NAKN_2"/>
    <s v="Gishara/Mukunguri sub catchment"/>
    <n v="15768.000000000002"/>
  </r>
  <r>
    <x v="3"/>
    <s v="NTABAGABO"/>
    <s v="Public"/>
    <x v="0"/>
    <s v="Nyanza"/>
    <s v="Kibilizi"/>
    <s v="NAKN_2"/>
    <s v="Gishara/Mukunguri sub catchment"/>
    <n v="1576.8000000000002"/>
  </r>
  <r>
    <x v="3"/>
    <s v="CYAHAFI"/>
    <s v="Public"/>
    <x v="0"/>
    <s v="Bugesera"/>
    <s v="Nyarugenge"/>
    <s v="NAKN_3"/>
    <s v="Cyohoha lake Sub-Catchment"/>
    <n v="1261.44"/>
  </r>
  <r>
    <x v="3"/>
    <s v="GIKUYU"/>
    <s v="Public"/>
    <x v="0"/>
    <s v="Nyabihu"/>
    <s v="Bigogwe"/>
    <s v="NMUK_2"/>
    <s v="Giciye/Mukungwa Sub-Catchment"/>
    <n v="5203.4400000000005"/>
  </r>
  <r>
    <x v="3"/>
    <s v="RUZIBA"/>
    <s v="Public"/>
    <x v="0"/>
    <s v="Nyabihu"/>
    <s v="Bigogwe"/>
    <s v="NMUK_2"/>
    <s v="Giciye/Mukungwa Sub-Catchment"/>
    <n v="4415.0400000000009"/>
  </r>
  <r>
    <x v="3"/>
    <s v="RWANYA"/>
    <s v="Public"/>
    <x v="0"/>
    <s v="Nyabihu"/>
    <s v="Bigogwe"/>
    <s v="NMUK_2"/>
    <s v="Giciye/Mukungwa Sub-Catchment"/>
    <n v="3942.0000000000005"/>
  </r>
  <r>
    <x v="3"/>
    <s v="KANAMA"/>
    <s v="Public"/>
    <x v="0"/>
    <s v="Nyabihu"/>
    <s v="Bigogwe"/>
    <s v="NMUK_2"/>
    <s v="Giciye/Mukungwa Sub-Catchment"/>
    <n v="7095.6"/>
  </r>
  <r>
    <x v="3"/>
    <s v="RUKORE"/>
    <s v="Public"/>
    <x v="0"/>
    <s v="Musanze"/>
    <s v="Busogo"/>
    <s v="NMUK_2"/>
    <s v="Giciye/Mukungwa Sub-Catchment"/>
    <n v="0"/>
  </r>
  <r>
    <x v="3"/>
    <s v="CYASURE"/>
    <s v="Public"/>
    <x v="0"/>
    <s v="Musanze"/>
    <s v="Busogo"/>
    <s v="NMUK_2"/>
    <s v="Giciye/Mukungwa Sub-Catchment"/>
    <n v="0"/>
  </r>
  <r>
    <x v="3"/>
    <s v="KAGEZI"/>
    <s v="Public"/>
    <x v="0"/>
    <s v="Musanze"/>
    <s v="Busogo"/>
    <s v="NMUK_2"/>
    <s v="Giciye/Mukungwa Sub-Catchment"/>
    <n v="1892.16"/>
  </r>
  <r>
    <x v="3"/>
    <s v="RUTOMVU I"/>
    <s v="Public"/>
    <x v="0"/>
    <s v="Musanze"/>
    <s v="Busogo"/>
    <s v="NMUK_2"/>
    <s v="Giciye/Mukungwa Sub-Catchment"/>
    <n v="2522.88"/>
  </r>
  <r>
    <x v="3"/>
    <s v="RUTOMVU II"/>
    <s v="Public"/>
    <x v="0"/>
    <s v="Musanze"/>
    <s v="Busogo"/>
    <s v="NMUK_2"/>
    <s v="Giciye/Mukungwa Sub-Catchment"/>
    <n v="2522.88"/>
  </r>
  <r>
    <x v="3"/>
    <s v="MUTABONEKA"/>
    <s v="Public"/>
    <x v="0"/>
    <s v="Musanze"/>
    <s v="Busogo"/>
    <s v="NMUK_2"/>
    <s v="Giciye/Mukungwa Sub-Catchment"/>
    <n v="3311.2799999999997"/>
  </r>
  <r>
    <x v="3"/>
    <s v="NYAGITABA I"/>
    <s v="Public"/>
    <x v="0"/>
    <s v="Musanze"/>
    <s v="Busogo"/>
    <s v="NMUK_2"/>
    <s v="Giciye/Mukungwa Sub-Catchment"/>
    <n v="3311.2799999999997"/>
  </r>
  <r>
    <x v="3"/>
    <s v="NYAGITABA II"/>
    <s v="Public"/>
    <x v="0"/>
    <s v="Musanze"/>
    <s v="Busogo"/>
    <s v="NMUK_2"/>
    <s v="Giciye/Mukungwa Sub-Catchment"/>
    <n v="11826.000000000002"/>
  </r>
  <r>
    <x v="3"/>
    <s v="GASENYI"/>
    <s v="Public"/>
    <x v="0"/>
    <s v="Musanze"/>
    <s v="Busogo"/>
    <s v="NMUK_2"/>
    <s v="Giciye/Mukungwa Sub-Catchment"/>
    <n v="1734.4800000000002"/>
  </r>
  <r>
    <x v="3"/>
    <s v="KAGAGA"/>
    <s v="Public"/>
    <x v="0"/>
    <s v="Musanze"/>
    <s v="Busogo"/>
    <s v="NMUK_2"/>
    <s v="Giciye/Mukungwa Sub-Catchment"/>
    <n v="4730.4000000000005"/>
  </r>
  <r>
    <x v="3"/>
    <s v="NZIRANINI"/>
    <s v="Public"/>
    <x v="0"/>
    <s v="Musanze"/>
    <s v="Gacaca"/>
    <s v="NMUK_2"/>
    <s v="Giciye/Mukungwa Sub-Catchment"/>
    <n v="55187.999999999993"/>
  </r>
  <r>
    <x v="3"/>
    <s v="NYOMBE"/>
    <s v="Public"/>
    <x v="0"/>
    <s v="Musanze"/>
    <s v="Gacaca"/>
    <s v="NMUK_2"/>
    <s v="Giciye/Mukungwa Sub-Catchment"/>
    <n v="55187.999999999993"/>
  </r>
  <r>
    <x v="3"/>
    <s v="GATABA"/>
    <s v="Public"/>
    <x v="0"/>
    <s v="Musanze"/>
    <s v="Gacaca"/>
    <s v="NMUK_2"/>
    <s v="Giciye/Mukungwa Sub-Catchment"/>
    <n v="0"/>
  </r>
  <r>
    <x v="3"/>
    <s v="GATARE"/>
    <s v="Public"/>
    <x v="0"/>
    <s v="Musanze"/>
    <s v="Gacaca"/>
    <s v="NMUK_2"/>
    <s v="Giciye/Mukungwa Sub-Catchment"/>
    <n v="7253.28"/>
  </r>
  <r>
    <x v="3"/>
    <s v="GAHAMA"/>
    <s v="Public"/>
    <x v="0"/>
    <s v="Musanze"/>
    <s v="Gacaca"/>
    <s v="NMUK_2"/>
    <s v="Giciye/Mukungwa Sub-Catchment"/>
    <n v="9460.8000000000011"/>
  </r>
  <r>
    <x v="3"/>
    <s v="BUSHARIRA"/>
    <s v="Public"/>
    <x v="0"/>
    <s v="Musanze"/>
    <s v="Gacaca"/>
    <s v="NMUK_2"/>
    <s v="Giciye/Mukungwa Sub-Catchment"/>
    <n v="6937.920000000001"/>
  </r>
  <r>
    <x v="3"/>
    <s v="MUHAMA"/>
    <s v="Public"/>
    <x v="0"/>
    <s v="Musanze"/>
    <s v="Gacaca"/>
    <s v="NMUK_2"/>
    <s v="Giciye/Mukungwa Sub-Catchment"/>
    <n v="12299.040000000003"/>
  </r>
  <r>
    <x v="3"/>
    <s v="NYAMARENDE I"/>
    <s v="Public"/>
    <x v="0"/>
    <s v="Musanze"/>
    <s v="Gacaca"/>
    <s v="NMUK_2"/>
    <s v="Giciye/Mukungwa Sub-Catchment"/>
    <n v="0"/>
  </r>
  <r>
    <x v="3"/>
    <s v="NYAMAREMBE"/>
    <s v="Public"/>
    <x v="0"/>
    <s v="Musanze"/>
    <s v="Gacaca"/>
    <s v="NMUK_2"/>
    <s v="Giciye/Mukungwa Sub-Catchment"/>
    <n v="315.36"/>
  </r>
  <r>
    <x v="3"/>
    <s v="MUSARARA I"/>
    <s v="Public"/>
    <x v="0"/>
    <s v="Musanze"/>
    <s v="Gacaca"/>
    <s v="NMUK_2"/>
    <s v="Giciye/Mukungwa Sub-Catchment"/>
    <n v="0"/>
  </r>
  <r>
    <x v="3"/>
    <s v="KABYA II"/>
    <s v="Public"/>
    <x v="0"/>
    <s v="Musanze"/>
    <s v="Gacaca"/>
    <s v="NMUK_2"/>
    <s v="Giciye/Mukungwa Sub-Catchment"/>
    <n v="0"/>
  </r>
  <r>
    <x v="3"/>
    <s v="GASAKUZA"/>
    <s v="Public"/>
    <x v="0"/>
    <s v="Musanze"/>
    <s v="Gacaca"/>
    <s v="NMUK_2"/>
    <s v="Giciye/Mukungwa Sub-Catchment"/>
    <n v="5518.8"/>
  </r>
  <r>
    <x v="3"/>
    <s v="NYAGIHARA"/>
    <s v="Public"/>
    <x v="0"/>
    <s v="Musanze"/>
    <s v="Gacaca"/>
    <s v="NMUK_2"/>
    <s v="Giciye/Mukungwa Sub-Catchment"/>
    <n v="3153.6000000000004"/>
  </r>
  <r>
    <x v="3"/>
    <s v="MUSARARA II"/>
    <s v="Public"/>
    <x v="0"/>
    <s v="Musanze"/>
    <s v="Gacaca"/>
    <s v="NMUK_2"/>
    <s v="Giciye/Mukungwa Sub-Catchment"/>
    <n v="3942.0000000000005"/>
  </r>
  <r>
    <x v="3"/>
    <s v="KABYA I"/>
    <s v="Public"/>
    <x v="0"/>
    <s v="Musanze"/>
    <s v="Gacaca"/>
    <s v="NMUK_2"/>
    <s v="Giciye/Mukungwa Sub-Catchment"/>
    <n v="0"/>
  </r>
  <r>
    <x v="3"/>
    <s v="KABYA III"/>
    <s v="Public"/>
    <x v="0"/>
    <s v="Musanze"/>
    <s v="Gacaca"/>
    <s v="NMUK_2"/>
    <s v="Giciye/Mukungwa Sub-Catchment"/>
    <n v="0"/>
  </r>
  <r>
    <x v="3"/>
    <s v="KABYA IV"/>
    <s v="Public"/>
    <x v="0"/>
    <s v="Musanze"/>
    <s v="Gacaca"/>
    <s v="NMUK_2"/>
    <s v="Giciye/Mukungwa Sub-Catchment"/>
    <n v="0"/>
  </r>
  <r>
    <x v="3"/>
    <s v="NYABINYONI II"/>
    <s v="Public"/>
    <x v="0"/>
    <s v="Musanze"/>
    <s v="Gacaca"/>
    <s v="NMUK_2"/>
    <s v="Giciye/Mukungwa Sub-Catchment"/>
    <n v="11352.96"/>
  </r>
  <r>
    <x v="3"/>
    <s v="CHEZ PHILEMON"/>
    <s v="Public"/>
    <x v="0"/>
    <s v="Musanze"/>
    <s v="Gacaca"/>
    <s v="NMUK_2"/>
    <s v="Giciye/Mukungwa Sub-Catchment"/>
    <n v="1419.12"/>
  </r>
  <r>
    <x v="3"/>
    <s v="NYABINYONI I"/>
    <s v="Public"/>
    <x v="0"/>
    <s v="Musanze"/>
    <s v="Gacaca"/>
    <s v="NMUK_2"/>
    <s v="Giciye/Mukungwa Sub-Catchment"/>
    <n v="5676.48"/>
  </r>
  <r>
    <x v="3"/>
    <s v="JOMBA"/>
    <s v="Public"/>
    <x v="0"/>
    <s v="Musanze"/>
    <s v="Gacaca"/>
    <s v="NMUK_2"/>
    <s v="Giciye/Mukungwa Sub-Catchment"/>
    <n v="10564.56"/>
  </r>
  <r>
    <x v="3"/>
    <s v="MURINDI I"/>
    <s v="Public"/>
    <x v="0"/>
    <s v="Musanze"/>
    <s v="Gacaca"/>
    <s v="NMUK_2"/>
    <s v="Giciye/Mukungwa Sub-Catchment"/>
    <n v="0"/>
  </r>
  <r>
    <x v="3"/>
    <s v="NYAGAHONDO"/>
    <s v="Public"/>
    <x v="0"/>
    <s v="Musanze"/>
    <s v="Gacaca"/>
    <s v="NMUK_2"/>
    <s v="Giciye/Mukungwa Sub-Catchment"/>
    <n v="0"/>
  </r>
  <r>
    <x v="3"/>
    <s v="MURINDI II"/>
    <s v="Public"/>
    <x v="0"/>
    <s v="Musanze"/>
    <s v="Gacaca"/>
    <s v="NMUK_2"/>
    <s v="Giciye/Mukungwa Sub-Catchment"/>
    <n v="946.08"/>
  </r>
  <r>
    <x v="3"/>
    <s v="RUBANGE II"/>
    <s v="Public"/>
    <x v="0"/>
    <s v="Musanze"/>
    <s v="Gacaca"/>
    <s v="NMUK_2"/>
    <s v="Giciye/Mukungwa Sub-Catchment"/>
    <n v="473.04"/>
  </r>
  <r>
    <x v="3"/>
    <s v="RUBANGE I"/>
    <s v="Public"/>
    <x v="0"/>
    <s v="Musanze"/>
    <s v="Gacaca"/>
    <s v="NMUK_2"/>
    <s v="Giciye/Mukungwa Sub-Catchment"/>
    <n v="252.28800000000001"/>
  </r>
  <r>
    <x v="3"/>
    <s v="KUGASHANGA"/>
    <s v="Public"/>
    <x v="0"/>
    <s v="Musanze"/>
    <s v="Gacaca"/>
    <s v="NMUK_2"/>
    <s v="Giciye/Mukungwa Sub-Catchment"/>
    <n v="16162.199999999997"/>
  </r>
  <r>
    <x v="3"/>
    <s v="GAHUMIRO"/>
    <s v="Public"/>
    <x v="0"/>
    <s v="Musanze"/>
    <s v="Gacaca"/>
    <s v="NMUK_2"/>
    <s v="Giciye/Mukungwa Sub-Catchment"/>
    <n v="788.40000000000009"/>
  </r>
  <r>
    <x v="3"/>
    <s v="ZIRABIRA"/>
    <s v="Public"/>
    <x v="0"/>
    <s v="Musanze"/>
    <s v="Gacaca"/>
    <s v="NMUK_2"/>
    <s v="Giciye/Mukungwa Sub-Catchment"/>
    <n v="1261.44"/>
  </r>
  <r>
    <x v="3"/>
    <s v="MPOMBORI"/>
    <s v="Public"/>
    <x v="0"/>
    <s v="Musanze"/>
    <s v="Gacaca"/>
    <s v="NMUK_2"/>
    <s v="Giciye/Mukungwa Sub-Catchment"/>
    <n v="9460.8000000000011"/>
  </r>
  <r>
    <x v="3"/>
    <s v="BUKANGANO"/>
    <s v="Public"/>
    <x v="0"/>
    <s v="Musanze"/>
    <s v="Gacaca"/>
    <s v="NMUK_2"/>
    <s v="Giciye/Mukungwa Sub-Catchment"/>
    <n v="0"/>
  </r>
  <r>
    <x v="3"/>
    <s v="GITONGATI"/>
    <s v="Public"/>
    <x v="0"/>
    <s v="Musanze"/>
    <s v="Gacaca"/>
    <s v="NMUK_2"/>
    <s v="Giciye/Mukungwa Sub-Catchment"/>
    <n v="2207.5200000000004"/>
  </r>
  <r>
    <x v="3"/>
    <s v="NYIRAGAKO"/>
    <s v="Public"/>
    <x v="0"/>
    <s v="Musanze"/>
    <s v="Gacaca"/>
    <s v="NMUK_2"/>
    <s v="Giciye/Mukungwa Sub-Catchment"/>
    <n v="11195.28"/>
  </r>
  <r>
    <x v="3"/>
    <s v="GAKOMBE"/>
    <s v="Public"/>
    <x v="0"/>
    <s v="Musanze"/>
    <s v="Gashaki"/>
    <s v="NMUK_2"/>
    <s v="Giciye/Mukungwa Sub-Catchment"/>
    <n v="5203.4400000000005"/>
  </r>
  <r>
    <x v="3"/>
    <s v="NGAGE"/>
    <s v="Public"/>
    <x v="0"/>
    <s v="Musanze"/>
    <s v="Gashaki"/>
    <s v="NMUK_2"/>
    <s v="Giciye/Mukungwa Sub-Catchment"/>
    <n v="1971.0000000000002"/>
  </r>
  <r>
    <x v="3"/>
    <s v="KABINDI"/>
    <s v="Public"/>
    <x v="0"/>
    <s v="Musanze"/>
    <s v="Gashaki"/>
    <s v="NMUK_2"/>
    <s v="Giciye/Mukungwa Sub-Catchment"/>
    <n v="2049.84"/>
  </r>
  <r>
    <x v="3"/>
    <s v="RWANZOKA II"/>
    <s v="Public"/>
    <x v="0"/>
    <s v="Musanze"/>
    <s v="Gashaki"/>
    <s v="NMUK_2"/>
    <s v="Giciye/Mukungwa Sub-Catchment"/>
    <n v="946.08"/>
  </r>
  <r>
    <x v="3"/>
    <s v="GAFAKA"/>
    <s v="Public"/>
    <x v="0"/>
    <s v="Musanze"/>
    <s v="Gashaki"/>
    <s v="NMUK_2"/>
    <s v="Giciye/Mukungwa Sub-Catchment"/>
    <n v="3153.6000000000004"/>
  </r>
  <r>
    <x v="3"/>
    <s v="RWANZOKA I"/>
    <s v="Public"/>
    <x v="0"/>
    <s v="Musanze"/>
    <s v="Gashaki"/>
    <s v="NMUK_2"/>
    <s v="Giciye/Mukungwa Sub-Catchment"/>
    <n v="3468.9600000000005"/>
  </r>
  <r>
    <x v="3"/>
    <s v="KABAGANDA"/>
    <s v="Public"/>
    <x v="0"/>
    <s v="Musanze"/>
    <s v="Gashaki"/>
    <s v="NMUK_2"/>
    <s v="Giciye/Mukungwa Sub-Catchment"/>
    <n v="4730.4000000000005"/>
  </r>
  <r>
    <x v="3"/>
    <s v="RWIRIBA"/>
    <s v="Public"/>
    <x v="0"/>
    <s v="Musanze"/>
    <s v="Gashaki"/>
    <s v="NMUK_2"/>
    <s v="Giciye/Mukungwa Sub-Catchment"/>
    <n v="315.36"/>
  </r>
  <r>
    <x v="3"/>
    <s v="BUMBA"/>
    <s v="Public"/>
    <x v="0"/>
    <s v="Musanze"/>
    <s v="Gashaki"/>
    <s v="NMUK_2"/>
    <s v="Giciye/Mukungwa Sub-Catchment"/>
    <n v="2365.2000000000003"/>
  </r>
  <r>
    <x v="3"/>
    <s v="KIBUMBIRO"/>
    <s v="Public"/>
    <x v="0"/>
    <s v="Musanze"/>
    <s v="Gashaki"/>
    <s v="NMUK_2"/>
    <s v="Giciye/Mukungwa Sub-Catchment"/>
    <n v="3942.0000000000005"/>
  </r>
  <r>
    <x v="3"/>
    <s v="NYABYONDO"/>
    <s v="Public"/>
    <x v="0"/>
    <s v="Musanze"/>
    <s v="Gashaki"/>
    <s v="NMUK_2"/>
    <s v="Giciye/Mukungwa Sub-Catchment"/>
    <n v="788.40000000000009"/>
  </r>
  <r>
    <x v="3"/>
    <s v="KANOGO I"/>
    <s v="Public"/>
    <x v="0"/>
    <s v="Musanze"/>
    <s v="Gashaki"/>
    <s v="NMUK_2"/>
    <s v="Giciye/Mukungwa Sub-Catchment"/>
    <n v="1261.44"/>
  </r>
  <r>
    <x v="3"/>
    <s v="KANOGO II"/>
    <s v="Public"/>
    <x v="0"/>
    <s v="Musanze"/>
    <s v="Gashaki"/>
    <s v="NMUK_2"/>
    <s v="Giciye/Mukungwa Sub-Catchment"/>
    <n v="1261.44"/>
  </r>
  <r>
    <x v="3"/>
    <s v="KANGARA I"/>
    <s v="Public"/>
    <x v="0"/>
    <s v="Musanze"/>
    <s v="Gashaki"/>
    <s v="NMUK_2"/>
    <s v="Giciye/Mukungwa Sub-Catchment"/>
    <n v="4572.72"/>
  </r>
  <r>
    <x v="3"/>
    <s v="RUNABA"/>
    <s v="Public"/>
    <x v="0"/>
    <s v="Musanze"/>
    <s v="Gashaki"/>
    <s v="NMUK_2"/>
    <s v="Giciye/Mukungwa Sub-Catchment"/>
    <n v="630.72"/>
  </r>
  <r>
    <x v="3"/>
    <s v="RWABITI I"/>
    <s v="Public"/>
    <x v="0"/>
    <s v="Musanze"/>
    <s v="Gashaki"/>
    <s v="NMUK_2"/>
    <s v="Giciye/Mukungwa Sub-Catchment"/>
    <n v="315.36"/>
  </r>
  <r>
    <x v="3"/>
    <s v="RUCYAMO"/>
    <s v="Public"/>
    <x v="0"/>
    <s v="Musanze"/>
    <s v="Gashaki"/>
    <s v="NMUK_2"/>
    <s v="Giciye/Mukungwa Sub-Catchment"/>
    <n v="788.40000000000009"/>
  </r>
  <r>
    <x v="3"/>
    <s v="NYARUTOVU"/>
    <s v="Public"/>
    <x v="0"/>
    <s v="Musanze"/>
    <s v="Gashaki"/>
    <s v="NMUK_2"/>
    <s v="Giciye/Mukungwa Sub-Catchment"/>
    <n v="4572.72"/>
  </r>
  <r>
    <x v="3"/>
    <s v="NYAGAHONDO"/>
    <s v="Public"/>
    <x v="0"/>
    <s v="Musanze"/>
    <s v="Gashaki"/>
    <s v="NMUK_2"/>
    <s v="Giciye/Mukungwa Sub-Catchment"/>
    <n v="630.72"/>
  </r>
  <r>
    <x v="3"/>
    <s v="NKWANGU"/>
    <s v="Public"/>
    <x v="0"/>
    <s v="Musanze"/>
    <s v="Gashaki"/>
    <s v="NMUK_2"/>
    <s v="Giciye/Mukungwa Sub-Catchment"/>
    <n v="299.59199999999993"/>
  </r>
  <r>
    <x v="3"/>
    <s v="MUSAMA"/>
    <s v="Public"/>
    <x v="0"/>
    <s v="Musanze"/>
    <s v="Gashaki"/>
    <s v="NMUK_2"/>
    <s v="Giciye/Mukungwa Sub-Catchment"/>
    <n v="2838.24"/>
  </r>
  <r>
    <x v="3"/>
    <s v="MAKORA"/>
    <s v="Public"/>
    <x v="0"/>
    <s v="Musanze"/>
    <s v="Gashaki"/>
    <s v="NMUK_2"/>
    <s v="Giciye/Mukungwa Sub-Catchment"/>
    <n v="3626.64"/>
  </r>
  <r>
    <x v="3"/>
    <s v="KWIRIBA"/>
    <s v="Public"/>
    <x v="0"/>
    <s v="Musanze"/>
    <s v="Gashaki"/>
    <s v="NMUK_2"/>
    <s v="Giciye/Mukungwa Sub-Catchment"/>
    <n v="20183.04"/>
  </r>
  <r>
    <x v="3"/>
    <s v="KANYUGUNYUGU"/>
    <s v="Public"/>
    <x v="0"/>
    <s v="Musanze"/>
    <s v="Gashaki"/>
    <s v="NMUK_2"/>
    <s v="Giciye/Mukungwa Sub-Catchment"/>
    <n v="0"/>
  </r>
  <r>
    <x v="3"/>
    <s v="KABUMBIRO"/>
    <s v="Public"/>
    <x v="0"/>
    <s v="Musanze"/>
    <s v="Gashaki"/>
    <s v="NMUK_2"/>
    <s v="Giciye/Mukungwa Sub-Catchment"/>
    <n v="2995.92"/>
  </r>
  <r>
    <x v="3"/>
    <s v="GATARE"/>
    <s v="Public"/>
    <x v="0"/>
    <s v="Musanze"/>
    <s v="Gashaki"/>
    <s v="NMUK_2"/>
    <s v="Giciye/Mukungwa Sub-Catchment"/>
    <n v="2838.24"/>
  </r>
  <r>
    <x v="3"/>
    <s v="GASUMA"/>
    <s v="Public"/>
    <x v="0"/>
    <s v="Musanze"/>
    <s v="Gashaki"/>
    <s v="NMUK_2"/>
    <s v="Giciye/Mukungwa Sub-Catchment"/>
    <n v="2207.5200000000004"/>
  </r>
  <r>
    <x v="3"/>
    <s v="GASEKE II"/>
    <s v="Public"/>
    <x v="0"/>
    <s v="Musanze"/>
    <s v="Gashaki"/>
    <s v="NMUK_2"/>
    <s v="Giciye/Mukungwa Sub-Catchment"/>
    <n v="473.04"/>
  </r>
  <r>
    <x v="3"/>
    <s v="GASEKE I"/>
    <s v="Public"/>
    <x v="0"/>
    <s v="Musanze"/>
    <s v="Gashaki"/>
    <s v="NMUK_2"/>
    <s v="Giciye/Mukungwa Sub-Catchment"/>
    <n v="5203.4400000000005"/>
  </r>
  <r>
    <x v="3"/>
    <s v="BUKANDA"/>
    <s v="Public"/>
    <x v="0"/>
    <s v="Musanze"/>
    <s v="Gashaki"/>
    <s v="NMUK_2"/>
    <s v="Giciye/Mukungwa Sub-Catchment"/>
    <n v="315.36"/>
  </r>
  <r>
    <x v="3"/>
    <s v="BUSOZI"/>
    <s v="Public"/>
    <x v="0"/>
    <s v="Nyabihu"/>
    <s v="Jomba"/>
    <s v="NMUK_2"/>
    <s v="Giciye/Mukungwa Sub-Catchment"/>
    <n v="473.04"/>
  </r>
  <r>
    <x v="3"/>
    <s v="RUHANDE"/>
    <s v="Public"/>
    <x v="0"/>
    <s v="Nyabihu"/>
    <s v="Jomba"/>
    <s v="NMUK_2"/>
    <s v="Giciye/Mukungwa Sub-Catchment"/>
    <n v="3153.6000000000004"/>
  </r>
  <r>
    <x v="3"/>
    <s v="GAHAMA III"/>
    <s v="Public"/>
    <x v="0"/>
    <s v="Nyabihu"/>
    <s v="Jomba"/>
    <s v="NMUK_2"/>
    <s v="Giciye/Mukungwa Sub-Catchment"/>
    <n v="315.36"/>
  </r>
  <r>
    <x v="3"/>
    <s v="GAHAMA IV"/>
    <s v="Public"/>
    <x v="0"/>
    <s v="Nyabihu"/>
    <s v="Jomba"/>
    <s v="NMUK_2"/>
    <s v="Giciye/Mukungwa Sub-Catchment"/>
    <n v="946.08"/>
  </r>
  <r>
    <x v="3"/>
    <s v="GAHAMA I"/>
    <s v="Public"/>
    <x v="0"/>
    <s v="Nyabihu"/>
    <s v="Jomba"/>
    <s v="NMUK_2"/>
    <s v="Giciye/Mukungwa Sub-Catchment"/>
    <n v="630.72"/>
  </r>
  <r>
    <x v="3"/>
    <s v="GAHAMA II"/>
    <s v="Public"/>
    <x v="0"/>
    <s v="Nyabihu"/>
    <s v="Jomba"/>
    <s v="NMUK_2"/>
    <s v="Giciye/Mukungwa Sub-Catchment"/>
    <n v="473.04"/>
  </r>
  <r>
    <x v="3"/>
    <s v="BUGEGA II"/>
    <s v="Public"/>
    <x v="0"/>
    <s v="Nyabihu"/>
    <s v="Jomba"/>
    <s v="NMUK_2"/>
    <s v="Giciye/Mukungwa Sub-Catchment"/>
    <n v="4730.4000000000005"/>
  </r>
  <r>
    <x v="3"/>
    <s v="BUGEGA I"/>
    <s v="Public"/>
    <x v="0"/>
    <s v="Nyabihu"/>
    <s v="Jomba"/>
    <s v="NMUK_2"/>
    <s v="Giciye/Mukungwa Sub-Catchment"/>
    <n v="3153.6000000000004"/>
  </r>
  <r>
    <x v="3"/>
    <s v="KANYENTAMA"/>
    <s v="Public"/>
    <x v="0"/>
    <s v="Nyabihu"/>
    <s v="Jomba"/>
    <s v="NMUK_2"/>
    <s v="Giciye/Mukungwa Sub-Catchment"/>
    <n v="3153.6000000000004"/>
  </r>
  <r>
    <x v="3"/>
    <s v="GATARE"/>
    <s v="Public"/>
    <x v="0"/>
    <s v="Nyabihu"/>
    <s v="Jomba"/>
    <s v="NMUK_2"/>
    <s v="Giciye/Mukungwa Sub-Catchment"/>
    <n v="2522.88"/>
  </r>
  <r>
    <x v="3"/>
    <s v="GATARE II"/>
    <s v="Public"/>
    <x v="0"/>
    <s v="Nyabihu"/>
    <s v="Jomba"/>
    <s v="NMUK_2"/>
    <s v="Giciye/Mukungwa Sub-Catchment"/>
    <n v="315.36"/>
  </r>
  <r>
    <x v="3"/>
    <s v="GATARE"/>
    <s v="Public"/>
    <x v="0"/>
    <s v="Nyabihu"/>
    <s v="Jomba"/>
    <s v="NMUK_2"/>
    <s v="Giciye/Mukungwa Sub-Catchment"/>
    <n v="946.08"/>
  </r>
  <r>
    <x v="3"/>
    <s v="MUKANYENTAMA"/>
    <s v="Public"/>
    <x v="0"/>
    <s v="Nyabihu"/>
    <s v="Jomba"/>
    <s v="NMUK_2"/>
    <s v="Giciye/Mukungwa Sub-Catchment"/>
    <n v="2522.88"/>
  </r>
  <r>
    <x v="3"/>
    <s v="MUNYEGE"/>
    <s v="Public"/>
    <x v="0"/>
    <s v="Nyabihu"/>
    <s v="Jomba"/>
    <s v="NMUK_2"/>
    <s v="Giciye/Mukungwa Sub-Catchment"/>
    <n v="2365.2000000000003"/>
  </r>
  <r>
    <x v="3"/>
    <s v="RUTOYI"/>
    <s v="Public"/>
    <x v="0"/>
    <s v="Nyabihu"/>
    <s v="Jomba"/>
    <s v="NMUK_2"/>
    <s v="Giciye/Mukungwa Sub-Catchment"/>
    <n v="2522.88"/>
  </r>
  <r>
    <x v="3"/>
    <s v="KANYEREZO"/>
    <s v="Public"/>
    <x v="0"/>
    <s v="Nyabihu"/>
    <s v="Jomba"/>
    <s v="NMUK_2"/>
    <s v="Giciye/Mukungwa Sub-Catchment"/>
    <n v="315.36"/>
  </r>
  <r>
    <x v="3"/>
    <s v="KANYEREZO"/>
    <s v="Public"/>
    <x v="0"/>
    <s v="Nyabihu"/>
    <s v="Jomba"/>
    <s v="NMUK_2"/>
    <s v="Giciye/Mukungwa Sub-Catchment"/>
    <n v="1261.44"/>
  </r>
  <r>
    <x v="3"/>
    <s v="KAGEYO"/>
    <s v="Public"/>
    <x v="0"/>
    <s v="Nyabihu"/>
    <s v="Jomba"/>
    <s v="NMUK_2"/>
    <s v="Giciye/Mukungwa Sub-Catchment"/>
    <n v="1734.4800000000002"/>
  </r>
  <r>
    <x v="3"/>
    <s v="GAHAMA V"/>
    <s v="Public"/>
    <x v="0"/>
    <s v="Nyabihu"/>
    <s v="Jomba"/>
    <s v="NMUK_2"/>
    <s v="Giciye/Mukungwa Sub-Catchment"/>
    <n v="157.68"/>
  </r>
  <r>
    <x v="3"/>
    <s v="RWINUMA"/>
    <s v="Public"/>
    <x v="0"/>
    <s v="Nyabihu"/>
    <s v="Jomba"/>
    <s v="NMUK_2"/>
    <s v="Giciye/Mukungwa Sub-Catchment"/>
    <n v="6307.2000000000007"/>
  </r>
  <r>
    <x v="3"/>
    <s v="RWAMABUYE III"/>
    <s v="Public"/>
    <x v="0"/>
    <s v="Nyabihu"/>
    <s v="Jomba"/>
    <s v="NMUK_2"/>
    <s v="Giciye/Mukungwa Sub-Catchment"/>
    <n v="315.36"/>
  </r>
  <r>
    <x v="3"/>
    <s v="RWAMABUYE II"/>
    <s v="Public"/>
    <x v="0"/>
    <s v="Nyabihu"/>
    <s v="Jomba"/>
    <s v="NMUK_2"/>
    <s v="Giciye/Mukungwa Sub-Catchment"/>
    <n v="788.40000000000009"/>
  </r>
  <r>
    <x v="3"/>
    <s v="RWAMABUYE I"/>
    <s v="Public"/>
    <x v="0"/>
    <s v="Nyabihu"/>
    <s v="Jomba"/>
    <s v="NMUK_2"/>
    <s v="Giciye/Mukungwa Sub-Catchment"/>
    <n v="157.68"/>
  </r>
  <r>
    <x v="3"/>
    <s v="BUGARAGARA"/>
    <s v="Public"/>
    <x v="0"/>
    <s v="Nyabihu"/>
    <s v="Jomba"/>
    <s v="NMUK_2"/>
    <s v="Giciye/Mukungwa Sub-Catchment"/>
    <n v="4257.3600000000006"/>
  </r>
  <r>
    <x v="3"/>
    <s v="KAMWIRIRI II"/>
    <s v="Public"/>
    <x v="0"/>
    <s v="Nyabihu"/>
    <s v="Jomba"/>
    <s v="NMUK_2"/>
    <s v="Giciye/Mukungwa Sub-Catchment"/>
    <n v="315.36"/>
  </r>
  <r>
    <x v="3"/>
    <s v="GAHANGA"/>
    <s v="Public"/>
    <x v="0"/>
    <s v="Nyabihu"/>
    <s v="Jomba"/>
    <s v="NMUK_2"/>
    <s v="Giciye/Mukungwa Sub-Catchment"/>
    <n v="1103.7600000000002"/>
  </r>
  <r>
    <x v="3"/>
    <s v="KANUNURI I"/>
    <s v="Public"/>
    <x v="0"/>
    <s v="Nyabihu"/>
    <s v="Jomba"/>
    <s v="NMUK_2"/>
    <s v="Giciye/Mukungwa Sub-Catchment"/>
    <n v="157.68"/>
  </r>
  <r>
    <x v="3"/>
    <s v="KANAMA"/>
    <s v="Public"/>
    <x v="0"/>
    <s v="Nyabihu"/>
    <s v="Jomba"/>
    <s v="NMUK_2"/>
    <s v="Giciye/Mukungwa Sub-Catchment"/>
    <n v="1103.7600000000002"/>
  </r>
  <r>
    <x v="3"/>
    <s v="RONGERO"/>
    <s v="Public"/>
    <x v="0"/>
    <s v="Nyabihu"/>
    <s v="Jomba"/>
    <s v="NMUK_2"/>
    <s v="Giciye/Mukungwa Sub-Catchment"/>
    <n v="1576.8000000000002"/>
  </r>
  <r>
    <x v="3"/>
    <s v="MUGOMBERO"/>
    <s v="Public"/>
    <x v="0"/>
    <s v="Nyabihu"/>
    <s v="Jomba"/>
    <s v="NMUK_2"/>
    <s v="Giciye/Mukungwa Sub-Catchment"/>
    <n v="315.36"/>
  </r>
  <r>
    <x v="3"/>
    <s v="MURUKUNGENGE"/>
    <s v="Public"/>
    <x v="0"/>
    <s v="Nyabihu"/>
    <s v="Jomba"/>
    <s v="NMUK_2"/>
    <s v="Giciye/Mukungwa Sub-Catchment"/>
    <n v="157.68"/>
  </r>
  <r>
    <x v="3"/>
    <s v="MUKAGEZI"/>
    <s v="Public"/>
    <x v="0"/>
    <s v="Nyabihu"/>
    <s v="Jomba"/>
    <s v="NMUK_2"/>
    <s v="Giciye/Mukungwa Sub-Catchment"/>
    <n v="473.04"/>
  </r>
  <r>
    <x v="3"/>
    <s v="GAFURO"/>
    <s v="Public"/>
    <x v="0"/>
    <s v="Nyabihu"/>
    <s v="Jomba"/>
    <s v="NMUK_2"/>
    <s v="Giciye/Mukungwa Sub-Catchment"/>
    <n v="315.36"/>
  </r>
  <r>
    <x v="3"/>
    <s v="KABARI"/>
    <s v="Public"/>
    <x v="0"/>
    <s v="Nyabihu"/>
    <s v="Jomba"/>
    <s v="NMUK_2"/>
    <s v="Giciye/Mukungwa Sub-Catchment"/>
    <n v="5203.4400000000005"/>
  </r>
  <r>
    <x v="3"/>
    <s v="RWANGAMBUTO"/>
    <s v="Public"/>
    <x v="0"/>
    <s v="Nyabihu"/>
    <s v="Jomba"/>
    <s v="NMUK_2"/>
    <s v="Giciye/Mukungwa Sub-Catchment"/>
    <n v="0"/>
  </r>
  <r>
    <x v="3"/>
    <s v="DAGAZA II"/>
    <s v="Public"/>
    <x v="0"/>
    <s v="Nyabihu"/>
    <s v="Jomba"/>
    <s v="NMUK_2"/>
    <s v="Giciye/Mukungwa Sub-Catchment"/>
    <n v="4415.0400000000009"/>
  </r>
  <r>
    <x v="3"/>
    <s v="MUNANIRA"/>
    <s v="Public"/>
    <x v="0"/>
    <s v="Nyabihu"/>
    <s v="Jomba"/>
    <s v="NMUK_2"/>
    <s v="Giciye/Mukungwa Sub-Catchment"/>
    <n v="0"/>
  </r>
  <r>
    <x v="3"/>
    <s v="DAGAZA I"/>
    <s v="Public"/>
    <x v="0"/>
    <s v="Nyabihu"/>
    <s v="Jomba"/>
    <s v="NMUK_2"/>
    <s v="Giciye/Mukungwa Sub-Catchment"/>
    <n v="2522.88"/>
  </r>
  <r>
    <x v="3"/>
    <s v="RUBAVU III"/>
    <s v="Public"/>
    <x v="0"/>
    <s v="Nyabihu"/>
    <s v="Jomba"/>
    <s v="NMUK_2"/>
    <s v="Giciye/Mukungwa Sub-Catchment"/>
    <n v="0"/>
  </r>
  <r>
    <x v="3"/>
    <s v="CYIMBANGA II"/>
    <s v="Public"/>
    <x v="0"/>
    <s v="Nyabihu"/>
    <s v="Jomba"/>
    <s v="NMUK_2"/>
    <s v="Giciye/Mukungwa Sub-Catchment"/>
    <n v="0"/>
  </r>
  <r>
    <x v="3"/>
    <s v="RUBAVU II"/>
    <s v="Public"/>
    <x v="0"/>
    <s v="Nyabihu"/>
    <s v="Jomba"/>
    <s v="NMUK_2"/>
    <s v="Giciye/Mukungwa Sub-Catchment"/>
    <n v="0"/>
  </r>
  <r>
    <x v="3"/>
    <s v="NYAMUGARI"/>
    <s v="Public"/>
    <x v="0"/>
    <s v="Nyabihu"/>
    <s v="Jomba"/>
    <s v="NMUK_2"/>
    <s v="Giciye/Mukungwa Sub-Catchment"/>
    <n v="0"/>
  </r>
  <r>
    <x v="3"/>
    <s v="MBARIRO"/>
    <s v="Public"/>
    <x v="0"/>
    <s v="Nyabihu"/>
    <s v="Jomba"/>
    <s v="NMUK_2"/>
    <s v="Giciye/Mukungwa Sub-Catchment"/>
    <n v="0"/>
  </r>
  <r>
    <x v="3"/>
    <s v="GURIRO"/>
    <s v="Public"/>
    <x v="0"/>
    <s v="Nyabihu"/>
    <s v="Jomba"/>
    <s v="NMUK_2"/>
    <s v="Giciye/Mukungwa Sub-Catchment"/>
    <n v="14191.2"/>
  </r>
  <r>
    <x v="3"/>
    <s v="RUBAVU I"/>
    <s v="Public"/>
    <x v="0"/>
    <s v="Nyabihu"/>
    <s v="Jomba"/>
    <s v="NMUK_2"/>
    <s v="Giciye/Mukungwa Sub-Catchment"/>
    <n v="630.72"/>
  </r>
  <r>
    <x v="3"/>
    <s v="MUBANGA I"/>
    <s v="Public"/>
    <x v="0"/>
    <s v="Nyabihu"/>
    <s v="Jomba"/>
    <s v="NMUK_2"/>
    <s v="Giciye/Mukungwa Sub-Catchment"/>
    <n v="788.40000000000009"/>
  </r>
  <r>
    <x v="3"/>
    <s v="NYARUSOGATI"/>
    <s v="Public"/>
    <x v="0"/>
    <s v="Nyabihu"/>
    <s v="Jomba"/>
    <s v="NMUK_2"/>
    <s v="Giciye/Mukungwa Sub-Catchment"/>
    <n v="1261.44"/>
  </r>
  <r>
    <x v="3"/>
    <s v="NTWARO"/>
    <s v="Public"/>
    <x v="0"/>
    <s v="Nyabihu"/>
    <s v="Jomba"/>
    <s v="NMUK_2"/>
    <s v="Giciye/Mukungwa Sub-Catchment"/>
    <n v="0"/>
  </r>
  <r>
    <x v="3"/>
    <s v="RUMARA"/>
    <s v="Public"/>
    <x v="0"/>
    <s v="Nyabihu"/>
    <s v="Jomba"/>
    <s v="NMUK_2"/>
    <s v="Giciye/Mukungwa Sub-Catchment"/>
    <n v="2365.2000000000003"/>
  </r>
  <r>
    <x v="3"/>
    <s v="RUMARA II"/>
    <s v="Public"/>
    <x v="0"/>
    <s v="Nyabihu"/>
    <s v="Jomba"/>
    <s v="NMUK_2"/>
    <s v="Giciye/Mukungwa Sub-Catchment"/>
    <n v="157.68"/>
  </r>
  <r>
    <x v="3"/>
    <s v="KIBANDE"/>
    <s v="Public"/>
    <x v="0"/>
    <s v="Nyabihu"/>
    <s v="Jomba"/>
    <s v="NMUK_2"/>
    <s v="Giciye/Mukungwa Sub-Catchment"/>
    <n v="1892.16"/>
  </r>
  <r>
    <x v="3"/>
    <s v="NTOSHO"/>
    <s v="Public"/>
    <x v="0"/>
    <s v="Nyabihu"/>
    <s v="Jomba"/>
    <s v="NMUK_2"/>
    <s v="Giciye/Mukungwa Sub-Catchment"/>
    <n v="5203.4400000000005"/>
  </r>
  <r>
    <x v="3"/>
    <s v="BIHINGA III"/>
    <s v="Public"/>
    <x v="0"/>
    <s v="Nyabihu"/>
    <s v="Jomba"/>
    <s v="NMUK_2"/>
    <s v="Giciye/Mukungwa Sub-Catchment"/>
    <n v="1419.12"/>
  </r>
  <r>
    <x v="3"/>
    <s v="RUHONGORE"/>
    <s v="Public"/>
    <x v="0"/>
    <s v="Nyabihu"/>
    <s v="Jomba"/>
    <s v="NMUK_2"/>
    <s v="Giciye/Mukungwa Sub-Catchment"/>
    <n v="788.40000000000009"/>
  </r>
  <r>
    <x v="3"/>
    <s v="KINYANGURUBE"/>
    <s v="Public"/>
    <x v="0"/>
    <s v="Nyabihu"/>
    <s v="Jomba"/>
    <s v="NMUK_2"/>
    <s v="Giciye/Mukungwa Sub-Catchment"/>
    <n v="788.40000000000009"/>
  </r>
  <r>
    <x v="3"/>
    <s v="BYABAHETO"/>
    <s v="Public"/>
    <x v="0"/>
    <s v="Nyabihu"/>
    <s v="Jomba"/>
    <s v="NMUK_2"/>
    <s v="Giciye/Mukungwa Sub-Catchment"/>
    <n v="0"/>
  </r>
  <r>
    <x v="3"/>
    <s v="RUBARA"/>
    <s v="Public"/>
    <x v="0"/>
    <s v="Nyabihu"/>
    <s v="Jomba"/>
    <s v="NMUK_2"/>
    <s v="Giciye/Mukungwa Sub-Catchment"/>
    <n v="788.40000000000009"/>
  </r>
  <r>
    <x v="3"/>
    <s v="BIHINGA II"/>
    <s v="Public"/>
    <x v="0"/>
    <s v="Nyabihu"/>
    <s v="Jomba"/>
    <s v="NMUK_2"/>
    <s v="Giciye/Mukungwa Sub-Catchment"/>
    <n v="1419.12"/>
  </r>
  <r>
    <x v="3"/>
    <s v="BYABAHETO II"/>
    <s v="Public"/>
    <x v="0"/>
    <s v="Nyabihu"/>
    <s v="Jomba"/>
    <s v="NMUK_2"/>
    <s v="Giciye/Mukungwa Sub-Catchment"/>
    <n v="0"/>
  </r>
  <r>
    <x v="3"/>
    <s v="ZIHARI"/>
    <s v="Public"/>
    <x v="0"/>
    <s v="Nyabihu"/>
    <s v="Jomba"/>
    <s v="NMUK_2"/>
    <s v="Giciye/Mukungwa Sub-Catchment"/>
    <n v="0"/>
  </r>
  <r>
    <x v="3"/>
    <s v="MISEGWIBIRI"/>
    <s v="Public"/>
    <x v="0"/>
    <s v="Nyabihu"/>
    <s v="Jomba"/>
    <s v="NMUK_2"/>
    <s v="Giciye/Mukungwa Sub-Catchment"/>
    <n v="946.08"/>
  </r>
  <r>
    <x v="3"/>
    <s v="GAKOMBE"/>
    <s v="Public"/>
    <x v="0"/>
    <s v="Nyabihu"/>
    <s v="Jomba"/>
    <s v="NMUK_2"/>
    <s v="Giciye/Mukungwa Sub-Catchment"/>
    <n v="315.36"/>
  </r>
  <r>
    <x v="3"/>
    <s v="ZIHARI"/>
    <s v="Public"/>
    <x v="0"/>
    <s v="Nyabihu"/>
    <s v="Jomba"/>
    <s v="NMUK_2"/>
    <s v="Giciye/Mukungwa Sub-Catchment"/>
    <n v="157.68"/>
  </r>
  <r>
    <x v="3"/>
    <s v="BIHINGA I"/>
    <s v="Public"/>
    <x v="0"/>
    <s v="Nyabihu"/>
    <s v="Jomba"/>
    <s v="NMUK_2"/>
    <s v="Giciye/Mukungwa Sub-Catchment"/>
    <n v="1261.44"/>
  </r>
  <r>
    <x v="3"/>
    <s v="NYIRACAMURA"/>
    <s v="Public"/>
    <x v="0"/>
    <s v="Nyabihu"/>
    <s v="Jomba"/>
    <s v="NMUK_2"/>
    <s v="Giciye/Mukungwa Sub-Catchment"/>
    <n v="1261.44"/>
  </r>
  <r>
    <x v="3"/>
    <s v="GIHONGA"/>
    <s v="Public"/>
    <x v="0"/>
    <s v="Nyabihu"/>
    <s v="Jomba"/>
    <s v="NMUK_2"/>
    <s v="Giciye/Mukungwa Sub-Catchment"/>
    <n v="630.72"/>
  </r>
  <r>
    <x v="3"/>
    <s v="RWINZOVU"/>
    <s v="Public"/>
    <x v="0"/>
    <s v="Nyabihu"/>
    <s v="Jomba"/>
    <s v="NMUK_2"/>
    <s v="Giciye/Mukungwa Sub-Catchment"/>
    <n v="2522.88"/>
  </r>
  <r>
    <x v="3"/>
    <s v="GITABA I"/>
    <s v="Public"/>
    <x v="0"/>
    <s v="Nyabihu"/>
    <s v="Jomba"/>
    <s v="NMUK_2"/>
    <s v="Giciye/Mukungwa Sub-Catchment"/>
    <n v="630.72"/>
  </r>
  <r>
    <x v="3"/>
    <s v="GITABA II"/>
    <s v="Public"/>
    <x v="0"/>
    <s v="Nyabihu"/>
    <s v="Jomba"/>
    <s v="NMUK_2"/>
    <s v="Giciye/Mukungwa Sub-Catchment"/>
    <n v="157.68"/>
  </r>
  <r>
    <x v="3"/>
    <s v="RUGERA"/>
    <s v="Public"/>
    <x v="0"/>
    <s v="Nyabihu"/>
    <s v="Jomba"/>
    <s v="NMUK_2"/>
    <s v="Giciye/Mukungwa Sub-Catchment"/>
    <n v="7095.6"/>
  </r>
  <r>
    <x v="3"/>
    <s v="RUHONGORE"/>
    <s v="Public"/>
    <x v="0"/>
    <s v="Nyabihu"/>
    <s v="Jomba"/>
    <s v="NMUK_2"/>
    <s v="Giciye/Mukungwa Sub-Catchment"/>
    <n v="157.68"/>
  </r>
  <r>
    <x v="3"/>
    <s v="RUHONGORE"/>
    <s v="Public"/>
    <x v="0"/>
    <s v="Nyabihu"/>
    <s v="Jomba"/>
    <s v="NMUK_2"/>
    <s v="Giciye/Mukungwa Sub-Catchment"/>
    <n v="473.04"/>
  </r>
  <r>
    <x v="3"/>
    <s v="RUHONGOREII"/>
    <s v="Public"/>
    <x v="0"/>
    <s v="Nyabihu"/>
    <s v="Jomba"/>
    <s v="NMUK_2"/>
    <s v="Giciye/Mukungwa Sub-Catchment"/>
    <n v="5203.4400000000005"/>
  </r>
  <r>
    <x v="3"/>
    <s v="RYABIRUMBA II"/>
    <s v="Public"/>
    <x v="0"/>
    <s v="Nyabihu"/>
    <s v="Jomba"/>
    <s v="NMUK_2"/>
    <s v="Giciye/Mukungwa Sub-Catchment"/>
    <n v="5834.1600000000008"/>
  </r>
  <r>
    <x v="3"/>
    <s v="RUHONGOREIII"/>
    <s v="Public"/>
    <x v="0"/>
    <s v="Nyabihu"/>
    <s v="Jomba"/>
    <s v="NMUK_2"/>
    <s v="Giciye/Mukungwa Sub-Catchment"/>
    <n v="157.68"/>
  </r>
  <r>
    <x v="3"/>
    <s v="MUHANGA"/>
    <s v="Public"/>
    <x v="0"/>
    <s v="Nyabihu"/>
    <s v="Jomba"/>
    <s v="NMUK_2"/>
    <s v="Giciye/Mukungwa Sub-Catchment"/>
    <n v="14664.240000000002"/>
  </r>
  <r>
    <x v="3"/>
    <s v="NYAMUGARI"/>
    <s v="Public"/>
    <x v="0"/>
    <s v="Nyabihu"/>
    <s v="Jomba"/>
    <s v="NMUK_2"/>
    <s v="Giciye/Mukungwa Sub-Catchment"/>
    <n v="5045.76"/>
  </r>
  <r>
    <x v="3"/>
    <s v="GAFURO"/>
    <s v="Public"/>
    <x v="0"/>
    <s v="Nyabihu"/>
    <s v="Jomba"/>
    <s v="NMUK_2"/>
    <s v="Giciye/Mukungwa Sub-Catchment"/>
    <n v="2838.24"/>
  </r>
  <r>
    <x v="3"/>
    <s v="GACACA"/>
    <s v="Public"/>
    <x v="0"/>
    <s v="Nyabihu"/>
    <s v="Jomba"/>
    <s v="NMUK_2"/>
    <s v="Giciye/Mukungwa Sub-Catchment"/>
    <n v="15452.64"/>
  </r>
  <r>
    <x v="3"/>
    <s v="RYABIRUMBA I"/>
    <s v="Public"/>
    <x v="0"/>
    <s v="Nyabihu"/>
    <s v="Jomba"/>
    <s v="NMUK_2"/>
    <s v="Giciye/Mukungwa Sub-Catchment"/>
    <n v="14821.919999999998"/>
  </r>
  <r>
    <x v="3"/>
    <s v="NYAMWISHWA"/>
    <s v="Public"/>
    <x v="0"/>
    <s v="Nyabihu"/>
    <s v="Jomba"/>
    <s v="NMUK_2"/>
    <s v="Giciye/Mukungwa Sub-Catchment"/>
    <n v="2522.88"/>
  </r>
  <r>
    <x v="3"/>
    <s v="NYASHUNDURA"/>
    <s v="Public"/>
    <x v="0"/>
    <s v="Nyabihu"/>
    <s v="Kintobo"/>
    <s v="NMUK_2"/>
    <s v="Giciye/Mukungwa Sub-Catchment"/>
    <n v="157.68"/>
  </r>
  <r>
    <x v="3"/>
    <s v="RWAMIGEZI"/>
    <s v="Public"/>
    <x v="0"/>
    <s v="Nyabihu"/>
    <s v="Kintobo"/>
    <s v="NMUK_2"/>
    <s v="Giciye/Mukungwa Sub-Catchment"/>
    <n v="7884.0000000000009"/>
  </r>
  <r>
    <x v="3"/>
    <s v="NYAGITABA"/>
    <s v="Public"/>
    <x v="0"/>
    <s v="Nyabihu"/>
    <s v="Kintobo"/>
    <s v="NMUK_2"/>
    <s v="Giciye/Mukungwa Sub-Catchment"/>
    <n v="6307.2000000000007"/>
  </r>
  <r>
    <x v="3"/>
    <s v="GITORWA"/>
    <s v="Public"/>
    <x v="0"/>
    <s v="Nyabihu"/>
    <s v="Kintobo"/>
    <s v="NMUK_2"/>
    <s v="Giciye/Mukungwa Sub-Catchment"/>
    <n v="1734.4800000000002"/>
  </r>
  <r>
    <x v="3"/>
    <s v="GIHEMBE"/>
    <s v="Public"/>
    <x v="0"/>
    <s v="Nyabihu"/>
    <s v="Kintobo"/>
    <s v="NMUK_2"/>
    <s v="Giciye/Mukungwa Sub-Catchment"/>
    <n v="4730.4000000000005"/>
  </r>
  <r>
    <x v="3"/>
    <s v="NGANDO"/>
    <s v="Public"/>
    <x v="0"/>
    <s v="Nyabihu"/>
    <s v="Kintobo"/>
    <s v="NMUK_2"/>
    <s v="Giciye/Mukungwa Sub-Catchment"/>
    <n v="11037.6"/>
  </r>
  <r>
    <x v="3"/>
    <s v="NYUNGU"/>
    <s v="Public"/>
    <x v="0"/>
    <s v="Nyabihu"/>
    <s v="Kintobo"/>
    <s v="NMUK_2"/>
    <s v="Giciye/Mukungwa Sub-Catchment"/>
    <n v="9460.8000000000011"/>
  </r>
  <r>
    <x v="3"/>
    <s v="NTERANYA"/>
    <s v="Public"/>
    <x v="0"/>
    <s v="Nyabihu"/>
    <s v="Kintobo"/>
    <s v="NMUK_2"/>
    <s v="Giciye/Mukungwa Sub-Catchment"/>
    <n v="2207.5200000000004"/>
  </r>
  <r>
    <x v="3"/>
    <s v="KADOBOGO"/>
    <s v="Public"/>
    <x v="0"/>
    <s v="Nyabihu"/>
    <s v="Kintobo"/>
    <s v="NMUK_2"/>
    <s v="Giciye/Mukungwa Sub-Catchment"/>
    <n v="630.72"/>
  </r>
  <r>
    <x v="3"/>
    <s v="KIBUMBIRO"/>
    <s v="Public"/>
    <x v="0"/>
    <s v="Nyabihu"/>
    <s v="Kintobo"/>
    <s v="NMUK_2"/>
    <s v="Giciye/Mukungwa Sub-Catchment"/>
    <n v="315.36"/>
  </r>
  <r>
    <x v="3"/>
    <s v="KANYOGO"/>
    <s v="Public"/>
    <x v="0"/>
    <s v="Nyabihu"/>
    <s v="Kintobo"/>
    <s v="NMUK_2"/>
    <s v="Giciye/Mukungwa Sub-Catchment"/>
    <n v="2522.88"/>
  </r>
  <r>
    <x v="3"/>
    <s v="GIKOMBE"/>
    <s v="Public"/>
    <x v="0"/>
    <s v="Nyabihu"/>
    <s v="Kintobo"/>
    <s v="NMUK_2"/>
    <s v="Giciye/Mukungwa Sub-Catchment"/>
    <n v="630.72"/>
  </r>
  <r>
    <x v="3"/>
    <s v="VOMO"/>
    <s v="Public"/>
    <x v="0"/>
    <s v="Nyabihu"/>
    <s v="Kintobo"/>
    <s v="NMUK_2"/>
    <s v="Giciye/Mukungwa Sub-Catchment"/>
    <n v="2680.56"/>
  </r>
  <r>
    <x v="3"/>
    <s v="NYARUSEKERA"/>
    <s v="Public"/>
    <x v="0"/>
    <s v="Nyabihu"/>
    <s v="Kintobo"/>
    <s v="NMUK_2"/>
    <s v="Giciye/Mukungwa Sub-Catchment"/>
    <n v="630.72"/>
  </r>
  <r>
    <x v="3"/>
    <s v="GASIZA"/>
    <s v="Public"/>
    <x v="0"/>
    <s v="Nyabihu"/>
    <s v="Kintobo"/>
    <s v="NMUK_2"/>
    <s v="Giciye/Mukungwa Sub-Catchment"/>
    <n v="473.04"/>
  </r>
  <r>
    <x v="3"/>
    <s v="MUREHE"/>
    <s v="Public"/>
    <x v="0"/>
    <s v="Nyabihu"/>
    <s v="Kintobo"/>
    <s v="NMUK_2"/>
    <s v="Giciye/Mukungwa Sub-Catchment"/>
    <n v="1734.4800000000002"/>
  </r>
  <r>
    <x v="3"/>
    <s v="GAHWEGE"/>
    <s v="Public"/>
    <x v="0"/>
    <s v="Nyabihu"/>
    <s v="Kintobo"/>
    <s v="NMUK_2"/>
    <s v="Giciye/Mukungwa Sub-Catchment"/>
    <n v="2207.5200000000004"/>
  </r>
  <r>
    <x v="3"/>
    <s v="BUKI"/>
    <s v="Public"/>
    <x v="0"/>
    <s v="Nyabihu"/>
    <s v="Kintobo"/>
    <s v="NMUK_2"/>
    <s v="Giciye/Mukungwa Sub-Catchment"/>
    <n v="1892.16"/>
  </r>
  <r>
    <x v="3"/>
    <s v="GITEBE"/>
    <s v="Public"/>
    <x v="0"/>
    <s v="Nyabihu"/>
    <s v="Kintobo"/>
    <s v="NMUK_2"/>
    <s v="Giciye/Mukungwa Sub-Catchment"/>
    <n v="1103.7600000000002"/>
  </r>
  <r>
    <x v="3"/>
    <s v="RUBANDE"/>
    <s v="Public"/>
    <x v="0"/>
    <s v="Nyabihu"/>
    <s v="Kintobo"/>
    <s v="NMUK_2"/>
    <s v="Giciye/Mukungwa Sub-Catchment"/>
    <n v="3942.0000000000005"/>
  </r>
  <r>
    <x v="3"/>
    <s v="TANURA"/>
    <s v="Public"/>
    <x v="0"/>
    <s v="Nyabihu"/>
    <s v="Kintobo"/>
    <s v="NMUK_2"/>
    <s v="Giciye/Mukungwa Sub-Catchment"/>
    <n v="5203.4400000000005"/>
  </r>
  <r>
    <x v="3"/>
    <s v="GATOKORO"/>
    <s v="Public"/>
    <x v="0"/>
    <s v="Nyabihu"/>
    <s v="Kintobo"/>
    <s v="NMUK_2"/>
    <s v="Giciye/Mukungwa Sub-Catchment"/>
    <n v="2207.5200000000004"/>
  </r>
  <r>
    <x v="3"/>
    <s v="GATOBO"/>
    <s v="Public"/>
    <x v="0"/>
    <s v="Nyabihu"/>
    <s v="Kintobo"/>
    <s v="NMUK_2"/>
    <s v="Giciye/Mukungwa Sub-Catchment"/>
    <n v="3153.6000000000004"/>
  </r>
  <r>
    <x v="3"/>
    <s v="RUHOMBO"/>
    <s v="Public"/>
    <x v="0"/>
    <s v="Nyabihu"/>
    <s v="Kintobo"/>
    <s v="NMUK_2"/>
    <s v="Giciye/Mukungwa Sub-Catchment"/>
    <n v="8672.4000000000015"/>
  </r>
  <r>
    <x v="3"/>
    <s v="ABAHERA"/>
    <s v="Public"/>
    <x v="0"/>
    <s v="Nyabihu"/>
    <s v="Kintobo"/>
    <s v="NMUK_2"/>
    <s v="Giciye/Mukungwa Sub-Catchment"/>
    <n v="630.72"/>
  </r>
  <r>
    <x v="3"/>
    <s v="GAKOREII"/>
    <s v="Public"/>
    <x v="0"/>
    <s v="Nyabihu"/>
    <s v="Kintobo"/>
    <s v="NMUK_2"/>
    <s v="Giciye/Mukungwa Sub-Catchment"/>
    <n v="7884.0000000000009"/>
  </r>
  <r>
    <x v="3"/>
    <s v="KIRUHURA I"/>
    <s v="Public"/>
    <x v="0"/>
    <s v="Nyabihu"/>
    <s v="Kintobo"/>
    <s v="NMUK_2"/>
    <s v="Giciye/Mukungwa Sub-Catchment"/>
    <n v="3153.6000000000004"/>
  </r>
  <r>
    <x v="3"/>
    <s v="MARE"/>
    <s v="Public"/>
    <x v="0"/>
    <s v="Nyabihu"/>
    <s v="Kintobo"/>
    <s v="NMUK_2"/>
    <s v="Giciye/Mukungwa Sub-Catchment"/>
    <n v="10406.880000000001"/>
  </r>
  <r>
    <x v="3"/>
    <s v="GASENYI"/>
    <s v="Public"/>
    <x v="0"/>
    <s v="Nyabihu"/>
    <s v="Kintobo"/>
    <s v="NMUK_2"/>
    <s v="Giciye/Mukungwa Sub-Catchment"/>
    <n v="1734.4800000000002"/>
  </r>
  <r>
    <x v="3"/>
    <s v="BITAGARA"/>
    <s v="Public"/>
    <x v="0"/>
    <s v="Nyabihu"/>
    <s v="Kintobo"/>
    <s v="NMUK_2"/>
    <s v="Giciye/Mukungwa Sub-Catchment"/>
    <n v="4415.0400000000009"/>
  </r>
  <r>
    <x v="3"/>
    <s v="HUMIRO"/>
    <s v="Public"/>
    <x v="0"/>
    <s v="Nyabihu"/>
    <s v="Kintobo"/>
    <s v="NMUK_2"/>
    <s v="Giciye/Mukungwa Sub-Catchment"/>
    <n v="946.08"/>
  </r>
  <r>
    <x v="3"/>
    <s v="KIYUMBA"/>
    <s v="Public"/>
    <x v="0"/>
    <s v="Nyabihu"/>
    <s v="Kintobo"/>
    <s v="NMUK_2"/>
    <s v="Giciye/Mukungwa Sub-Catchment"/>
    <n v="10091.52"/>
  </r>
  <r>
    <x v="3"/>
    <s v="GASURA"/>
    <s v="Public"/>
    <x v="0"/>
    <s v="Nyabihu"/>
    <s v="Kintobo"/>
    <s v="NMUK_2"/>
    <s v="Giciye/Mukungwa Sub-Catchment"/>
    <n v="315.36"/>
  </r>
  <r>
    <x v="3"/>
    <s v="MUSENYI"/>
    <s v="Public"/>
    <x v="0"/>
    <s v="Nyabihu"/>
    <s v="Kintobo"/>
    <s v="NMUK_2"/>
    <s v="Giciye/Mukungwa Sub-Catchment"/>
    <n v="1419.12"/>
  </r>
  <r>
    <x v="3"/>
    <s v="KARAMBO"/>
    <s v="Public"/>
    <x v="0"/>
    <s v="Nyabihu"/>
    <s v="Kintobo"/>
    <s v="NMUK_2"/>
    <s v="Giciye/Mukungwa Sub-Catchment"/>
    <n v="2680.56"/>
  </r>
  <r>
    <x v="3"/>
    <s v="NYAKABINGO I"/>
    <s v="Public"/>
    <x v="0"/>
    <s v="Ngororero"/>
    <s v="Muhanda"/>
    <s v="NMUK_2"/>
    <s v="Giciye/Mukungwa Sub-Catchment"/>
    <n v="1103.7600000000002"/>
  </r>
  <r>
    <x v="3"/>
    <s v="KANKERI"/>
    <s v="Public"/>
    <x v="0"/>
    <s v="Ngororero"/>
    <s v="Muhanda"/>
    <s v="NMUK_2"/>
    <s v="Giciye/Mukungwa Sub-Catchment"/>
    <n v="1261.44"/>
  </r>
  <r>
    <x v="3"/>
    <s v="RUZIBAZIBA  A"/>
    <s v="Public"/>
    <x v="0"/>
    <s v="Ngororero"/>
    <s v="Muhanda"/>
    <s v="NMUK_2"/>
    <s v="Giciye/Mukungwa Sub-Catchment"/>
    <n v="1576.8000000000002"/>
  </r>
  <r>
    <x v="3"/>
    <s v="NYAKIRIBA"/>
    <s v="Public"/>
    <x v="0"/>
    <s v="Ngororero"/>
    <s v="Muhanda"/>
    <s v="NMUK_2"/>
    <s v="Giciye/Mukungwa Sub-Catchment"/>
    <n v="4730.4000000000005"/>
  </r>
  <r>
    <x v="3"/>
    <s v="RUZIBAZIBA  C"/>
    <s v="Public"/>
    <x v="0"/>
    <s v="Ngororero"/>
    <s v="Muhanda"/>
    <s v="NMUK_2"/>
    <s v="Giciye/Mukungwa Sub-Catchment"/>
    <n v="1261.44"/>
  </r>
  <r>
    <x v="3"/>
    <s v="NGANDO"/>
    <s v="Public"/>
    <x v="0"/>
    <s v="Ngororero"/>
    <s v="Muhanda"/>
    <s v="NMUK_2"/>
    <s v="Giciye/Mukungwa Sub-Catchment"/>
    <n v="3153.6000000000004"/>
  </r>
  <r>
    <x v="3"/>
    <s v="RUZIBAZIBA  B"/>
    <s v="Public"/>
    <x v="0"/>
    <s v="Ngororero"/>
    <s v="Muhanda"/>
    <s v="NMUK_2"/>
    <s v="Giciye/Mukungwa Sub-Catchment"/>
    <n v="1892.16"/>
  </r>
  <r>
    <x v="3"/>
    <s v="GISIZA  B"/>
    <s v="Public"/>
    <x v="0"/>
    <s v="Ngororero"/>
    <s v="Muhanda"/>
    <s v="NMUK_2"/>
    <s v="Giciye/Mukungwa Sub-Catchment"/>
    <n v="788.40000000000009"/>
  </r>
  <r>
    <x v="3"/>
    <s v="MPUNYIRA  II"/>
    <s v="Public"/>
    <x v="0"/>
    <s v="Ngororero"/>
    <s v="Muhanda"/>
    <s v="NMUK_2"/>
    <s v="Giciye/Mukungwa Sub-Catchment"/>
    <n v="473.04"/>
  </r>
  <r>
    <x v="3"/>
    <s v="GISIZA  A"/>
    <s v="Public"/>
    <x v="0"/>
    <s v="Ngororero"/>
    <s v="Muhanda"/>
    <s v="NMUK_2"/>
    <s v="Giciye/Mukungwa Sub-Catchment"/>
    <n v="1261.44"/>
  </r>
  <r>
    <x v="3"/>
    <s v="MPUNYIRA  I"/>
    <s v="Public"/>
    <x v="0"/>
    <s v="Ngororero"/>
    <s v="Muhanda"/>
    <s v="NMUK_2"/>
    <s v="Giciye/Mukungwa Sub-Catchment"/>
    <n v="1103.7600000000002"/>
  </r>
  <r>
    <x v="3"/>
    <s v="KARAMBI  B"/>
    <s v="Public"/>
    <x v="0"/>
    <s v="Ngororero"/>
    <s v="Muhanda"/>
    <s v="NMUK_2"/>
    <s v="Giciye/Mukungwa Sub-Catchment"/>
    <n v="788.40000000000009"/>
  </r>
  <r>
    <x v="3"/>
    <s v="GISIZA"/>
    <s v="Public"/>
    <x v="0"/>
    <s v="Ngororero"/>
    <s v="Muhanda"/>
    <s v="NMUK_2"/>
    <s v="Giciye/Mukungwa Sub-Catchment"/>
    <n v="2049.84"/>
  </r>
  <r>
    <x v="3"/>
    <s v="NYABYUYA"/>
    <s v="Public"/>
    <x v="0"/>
    <s v="Ngororero"/>
    <s v="Muhanda"/>
    <s v="NMUK_2"/>
    <s v="Giciye/Mukungwa Sub-Catchment"/>
    <n v="1261.44"/>
  </r>
  <r>
    <x v="3"/>
    <s v="GITARA"/>
    <s v="Public"/>
    <x v="0"/>
    <s v="Ngororero"/>
    <s v="Muhanda"/>
    <s v="NMUK_2"/>
    <s v="Giciye/Mukungwa Sub-Catchment"/>
    <n v="3153.6000000000004"/>
  </r>
  <r>
    <x v="3"/>
    <s v="RUHONDATI"/>
    <s v="Public"/>
    <x v="0"/>
    <s v="Ngororero"/>
    <s v="Muhanda"/>
    <s v="NMUK_2"/>
    <s v="Giciye/Mukungwa Sub-Catchment"/>
    <n v="473.04"/>
  </r>
  <r>
    <x v="3"/>
    <s v="KABANDE"/>
    <s v="Public"/>
    <x v="0"/>
    <s v="Ngororero"/>
    <s v="Muhanda"/>
    <s v="NMUK_2"/>
    <s v="Giciye/Mukungwa Sub-Catchment"/>
    <n v="946.08"/>
  </r>
  <r>
    <x v="3"/>
    <s v="TWABUGEZI"/>
    <s v="Public"/>
    <x v="0"/>
    <s v="Ngororero"/>
    <s v="Muhanda"/>
    <s v="NMUK_2"/>
    <s v="Giciye/Mukungwa Sub-Catchment"/>
    <n v="2049.84"/>
  </r>
  <r>
    <x v="3"/>
    <s v="RUHANGA"/>
    <s v="Public"/>
    <x v="0"/>
    <s v="Ngororero"/>
    <s v="Muhanda"/>
    <s v="NMUK_2"/>
    <s v="Giciye/Mukungwa Sub-Catchment"/>
    <n v="3153.6000000000004"/>
  </r>
  <r>
    <x v="3"/>
    <s v="MISEMBURO"/>
    <s v="Public"/>
    <x v="0"/>
    <s v="Ngororero"/>
    <s v="Muhanda"/>
    <s v="NMUK_2"/>
    <s v="Giciye/Mukungwa Sub-Catchment"/>
    <n v="1103.7600000000002"/>
  </r>
  <r>
    <x v="3"/>
    <s v="KIDAKAMA"/>
    <s v="Public"/>
    <x v="0"/>
    <s v="Ngororero"/>
    <s v="Muhanda"/>
    <s v="NMUK_2"/>
    <s v="Giciye/Mukungwa Sub-Catchment"/>
    <n v="315.36"/>
  </r>
  <r>
    <x v="3"/>
    <s v="KARURUMA"/>
    <s v="Public"/>
    <x v="0"/>
    <s v="Ngororero"/>
    <s v="Muhanda"/>
    <s v="NMUK_2"/>
    <s v="Giciye/Mukungwa Sub-Catchment"/>
    <n v="1576.8000000000002"/>
  </r>
  <r>
    <x v="3"/>
    <s v="MUKOGO"/>
    <s v="Public"/>
    <x v="0"/>
    <s v="Ngororero"/>
    <s v="Muhanda"/>
    <s v="NMUK_2"/>
    <s v="Giciye/Mukungwa Sub-Catchment"/>
    <n v="946.08"/>
  </r>
  <r>
    <x v="3"/>
    <s v="CYABOROGA"/>
    <s v="Public"/>
    <x v="0"/>
    <s v="Ngororero"/>
    <s v="Muhanda"/>
    <s v="NMUK_2"/>
    <s v="Giciye/Mukungwa Sub-Catchment"/>
    <n v="788.40000000000009"/>
  </r>
  <r>
    <x v="3"/>
    <s v="RURANDAMA"/>
    <s v="Public"/>
    <x v="0"/>
    <s v="Ngororero"/>
    <s v="Muhanda"/>
    <s v="NMUK_2"/>
    <s v="Giciye/Mukungwa Sub-Catchment"/>
    <n v="473.04"/>
  </r>
  <r>
    <x v="3"/>
    <s v="MATENDE"/>
    <s v="Public"/>
    <x v="0"/>
    <s v="Ngororero"/>
    <s v="Muhanda"/>
    <s v="NMUK_2"/>
    <s v="Giciye/Mukungwa Sub-Catchment"/>
    <n v="1576.8000000000002"/>
  </r>
  <r>
    <x v="3"/>
    <s v="KABAYENGO"/>
    <s v="Public"/>
    <x v="0"/>
    <s v="Ngororero"/>
    <s v="Muhanda"/>
    <s v="NMUK_2"/>
    <s v="Giciye/Mukungwa Sub-Catchment"/>
    <n v="1103.7600000000002"/>
  </r>
  <r>
    <x v="3"/>
    <s v="BISIZI"/>
    <s v="Public"/>
    <x v="0"/>
    <s v="Ngororero"/>
    <s v="Muhanda"/>
    <s v="NMUK_2"/>
    <s v="Giciye/Mukungwa Sub-Catchment"/>
    <n v="2049.84"/>
  </r>
  <r>
    <x v="3"/>
    <s v="NYACYUHO"/>
    <s v="Public"/>
    <x v="0"/>
    <s v="Ngororero"/>
    <s v="Muhanda"/>
    <s v="NMUK_2"/>
    <s v="Giciye/Mukungwa Sub-Catchment"/>
    <n v="1576.8000000000002"/>
  </r>
  <r>
    <x v="3"/>
    <s v="KAYOVE"/>
    <s v="Public"/>
    <x v="0"/>
    <s v="Ngororero"/>
    <s v="Muhanda"/>
    <s v="NMUK_2"/>
    <s v="Giciye/Mukungwa Sub-Catchment"/>
    <n v="2207.5200000000004"/>
  </r>
  <r>
    <x v="3"/>
    <s v="NYAKABINGO III"/>
    <s v="Public"/>
    <x v="0"/>
    <s v="Ngororero"/>
    <s v="Muhanda"/>
    <s v="NMUK_2"/>
    <s v="Giciye/Mukungwa Sub-Catchment"/>
    <n v="1734.4800000000002"/>
  </r>
  <r>
    <x v="3"/>
    <s v="KIRWA"/>
    <s v="Public"/>
    <x v="0"/>
    <s v="Ngororero"/>
    <s v="Muhanda"/>
    <s v="NMUK_2"/>
    <s v="Giciye/Mukungwa Sub-Catchment"/>
    <n v="2207.5200000000004"/>
  </r>
  <r>
    <x v="3"/>
    <s v="KINOGONOGO"/>
    <s v="Public"/>
    <x v="0"/>
    <s v="Ngororero"/>
    <s v="Muhanda"/>
    <s v="NMUK_2"/>
    <s v="Giciye/Mukungwa Sub-Catchment"/>
    <n v="2049.84"/>
  </r>
  <r>
    <x v="3"/>
    <s v="GASIZA  II"/>
    <s v="Public"/>
    <x v="0"/>
    <s v="Ngororero"/>
    <s v="Muhanda"/>
    <s v="NMUK_2"/>
    <s v="Giciye/Mukungwa Sub-Catchment"/>
    <n v="946.08"/>
  </r>
  <r>
    <x v="3"/>
    <s v="NYAKABINGO II"/>
    <s v="Public"/>
    <x v="0"/>
    <s v="Ngororero"/>
    <s v="Muhanda"/>
    <s v="NMUK_2"/>
    <s v="Giciye/Mukungwa Sub-Catchment"/>
    <n v="1576.8000000000002"/>
  </r>
  <r>
    <x v="3"/>
    <s v="KAMUGANDA"/>
    <s v="Public"/>
    <x v="0"/>
    <s v="Ngororero"/>
    <s v="Muhanda"/>
    <s v="NMUK_2"/>
    <s v="Giciye/Mukungwa Sub-Catchment"/>
    <n v="4730.4000000000005"/>
  </r>
  <r>
    <x v="3"/>
    <s v="GAHUBUZO"/>
    <s v="Public"/>
    <x v="0"/>
    <s v="Ngororero"/>
    <s v="Muhanda"/>
    <s v="NMUK_2"/>
    <s v="Giciye/Mukungwa Sub-Catchment"/>
    <n v="2522.88"/>
  </r>
  <r>
    <x v="3"/>
    <s v="KANYABIGEGA"/>
    <s v="Public"/>
    <x v="0"/>
    <s v="Ngororero"/>
    <s v="Muhanda"/>
    <s v="NMUK_2"/>
    <s v="Giciye/Mukungwa Sub-Catchment"/>
    <n v="2207.5200000000004"/>
  </r>
  <r>
    <x v="3"/>
    <s v="BYUFE"/>
    <s v="Public"/>
    <x v="0"/>
    <s v="Ngororero"/>
    <s v="Muhanda"/>
    <s v="NMUK_2"/>
    <s v="Giciye/Mukungwa Sub-Catchment"/>
    <n v="2207.5200000000004"/>
  </r>
  <r>
    <x v="3"/>
    <s v="GASIZA  I"/>
    <s v="Public"/>
    <x v="0"/>
    <s v="Ngororero"/>
    <s v="Muhanda"/>
    <s v="NMUK_2"/>
    <s v="Giciye/Mukungwa Sub-Catchment"/>
    <n v="2207.5200000000004"/>
  </r>
  <r>
    <x v="3"/>
    <s v="KABERE A"/>
    <s v="Public"/>
    <x v="0"/>
    <s v="Ngororero"/>
    <s v="Muhanda"/>
    <s v="NMUK_2"/>
    <s v="Giciye/Mukungwa Sub-Catchment"/>
    <n v="1576.8000000000002"/>
  </r>
  <r>
    <x v="3"/>
    <s v="KUKANYIRARURI"/>
    <s v="Public"/>
    <x v="0"/>
    <s v="Ngororero"/>
    <s v="Muhanda"/>
    <s v="NMUK_2"/>
    <s v="Giciye/Mukungwa Sub-Catchment"/>
    <n v="473.04"/>
  </r>
  <r>
    <x v="3"/>
    <s v="KUKAMIGEGA"/>
    <s v="Public"/>
    <x v="0"/>
    <s v="Ngororero"/>
    <s v="Muhanda"/>
    <s v="NMUK_2"/>
    <s v="Giciye/Mukungwa Sub-Catchment"/>
    <n v="1103.7600000000002"/>
  </r>
  <r>
    <x v="3"/>
    <s v="GAKIZAM"/>
    <s v="Public"/>
    <x v="0"/>
    <s v="Ngororero"/>
    <s v="Muhanda"/>
    <s v="NMUK_2"/>
    <s v="Giciye/Mukungwa Sub-Catchment"/>
    <n v="788.40000000000009"/>
  </r>
  <r>
    <x v="3"/>
    <s v="GASENYI"/>
    <s v="Public"/>
    <x v="0"/>
    <s v="Ngororero"/>
    <s v="Muhanda"/>
    <s v="NMUK_2"/>
    <s v="Giciye/Mukungwa Sub-Catchment"/>
    <n v="2049.84"/>
  </r>
  <r>
    <x v="3"/>
    <s v="KARUHINDURA"/>
    <s v="Public"/>
    <x v="0"/>
    <s v="Ngororero"/>
    <s v="Muhanda"/>
    <s v="NMUK_2"/>
    <s v="Giciye/Mukungwa Sub-Catchment"/>
    <n v="1103.7600000000002"/>
  </r>
  <r>
    <x v="3"/>
    <s v="NGONGORA"/>
    <s v="Public"/>
    <x v="0"/>
    <s v="Ngororero"/>
    <s v="Muhanda"/>
    <s v="NMUK_2"/>
    <s v="Giciye/Mukungwa Sub-Catchment"/>
    <n v="1419.12"/>
  </r>
  <r>
    <x v="3"/>
    <s v="RUBYISI"/>
    <s v="Public"/>
    <x v="0"/>
    <s v="Ngororero"/>
    <s v="Muhanda"/>
    <s v="NMUK_2"/>
    <s v="Giciye/Mukungwa Sub-Catchment"/>
    <n v="946.08"/>
  </r>
  <r>
    <x v="3"/>
    <s v="GATOMVU"/>
    <s v="Public"/>
    <x v="0"/>
    <s v="Ngororero"/>
    <s v="Muhanda"/>
    <s v="NMUK_2"/>
    <s v="Giciye/Mukungwa Sub-Catchment"/>
    <n v="3942.0000000000005"/>
  </r>
  <r>
    <x v="3"/>
    <s v="IRYABANERA"/>
    <s v="Public"/>
    <x v="0"/>
    <s v="Ngororero"/>
    <s v="Muhanda"/>
    <s v="NMUK_2"/>
    <s v="Giciye/Mukungwa Sub-Catchment"/>
    <n v="3153.6000000000004"/>
  </r>
  <r>
    <x v="3"/>
    <s v="GAPFURA"/>
    <s v="Public"/>
    <x v="0"/>
    <s v="Ngororero"/>
    <s v="Muhanda"/>
    <s v="NMUK_2"/>
    <s v="Giciye/Mukungwa Sub-Catchment"/>
    <n v="1576.8000000000002"/>
  </r>
  <r>
    <x v="3"/>
    <s v="BUDAHE  I"/>
    <s v="Public"/>
    <x v="0"/>
    <s v="Ngororero"/>
    <s v="Muhanda"/>
    <s v="NMUK_2"/>
    <s v="Giciye/Mukungwa Sub-Catchment"/>
    <n v="2207.5200000000004"/>
  </r>
  <r>
    <x v="3"/>
    <s v="BUDAHE  II"/>
    <s v="Public"/>
    <x v="0"/>
    <s v="Ngororero"/>
    <s v="Muhanda"/>
    <s v="NMUK_2"/>
    <s v="Giciye/Mukungwa Sub-Catchment"/>
    <n v="1103.7600000000002"/>
  </r>
  <r>
    <x v="3"/>
    <s v="KARAMBI  A"/>
    <s v="Public"/>
    <x v="0"/>
    <s v="Ngororero"/>
    <s v="Muhanda"/>
    <s v="NMUK_2"/>
    <s v="Giciye/Mukungwa Sub-Catchment"/>
    <n v="1103.7600000000002"/>
  </r>
  <r>
    <x v="3"/>
    <s v="KABERE  B"/>
    <s v="Public"/>
    <x v="0"/>
    <s v="Ngororero"/>
    <s v="Muhanda"/>
    <s v="NMUK_2"/>
    <s v="Giciye/Mukungwa Sub-Catchment"/>
    <n v="1576.8000000000002"/>
  </r>
  <r>
    <x v="3"/>
    <s v="NYAGATARE"/>
    <s v="Public"/>
    <x v="0"/>
    <s v="Ngororero"/>
    <s v="Muhanda"/>
    <s v="NMUK_2"/>
    <s v="Giciye/Mukungwa Sub-Catchment"/>
    <n v="3153.6000000000004"/>
  </r>
  <r>
    <x v="3"/>
    <s v="NYONJO"/>
    <s v="Public"/>
    <x v="0"/>
    <s v="Ngororero"/>
    <s v="Muhanda"/>
    <s v="NMUK_2"/>
    <s v="Giciye/Mukungwa Sub-Catchment"/>
    <n v="3153.6000000000004"/>
  </r>
  <r>
    <x v="3"/>
    <s v="NYAMUTOBO  B"/>
    <s v="Public"/>
    <x v="0"/>
    <s v="Ngororero"/>
    <s v="Muhanda"/>
    <s v="NMUK_2"/>
    <s v="Giciye/Mukungwa Sub-Catchment"/>
    <n v="788.40000000000009"/>
  </r>
  <r>
    <x v="3"/>
    <s v="NTEKO"/>
    <s v="Public"/>
    <x v="0"/>
    <s v="Ngororero"/>
    <s v="Muhanda"/>
    <s v="NMUK_2"/>
    <s v="Giciye/Mukungwa Sub-Catchment"/>
    <n v="946.08"/>
  </r>
  <r>
    <x v="3"/>
    <s v="MATYAZO"/>
    <s v="Public"/>
    <x v="0"/>
    <s v="Ngororero"/>
    <s v="Muhanda"/>
    <s v="NMUK_2"/>
    <s v="Giciye/Mukungwa Sub-Catchment"/>
    <n v="709.56"/>
  </r>
  <r>
    <x v="3"/>
    <s v="NYAMUTOBO"/>
    <s v="Public"/>
    <x v="0"/>
    <s v="Ngororero"/>
    <s v="Muhanda"/>
    <s v="NMUK_2"/>
    <s v="Giciye/Mukungwa Sub-Catchment"/>
    <n v="2207.5200000000004"/>
  </r>
  <r>
    <x v="3"/>
    <s v="KITUMVA"/>
    <s v="Public"/>
    <x v="0"/>
    <s v="Ngororero"/>
    <s v="Muhanda"/>
    <s v="NMUK_2"/>
    <s v="Giciye/Mukungwa Sub-Catchment"/>
    <n v="3153.6000000000004"/>
  </r>
  <r>
    <x v="3"/>
    <s v="RUTAGARA"/>
    <s v="Public"/>
    <x v="0"/>
    <s v="Ngororero"/>
    <s v="Muhanda"/>
    <s v="NMUK_2"/>
    <s v="Giciye/Mukungwa Sub-Catchment"/>
    <n v="946.08"/>
  </r>
  <r>
    <x v="3"/>
    <s v="BAHIMBA"/>
    <s v="Public"/>
    <x v="0"/>
    <s v="Ngororero"/>
    <s v="Muhanda"/>
    <s v="NMUK_2"/>
    <s v="Giciye/Mukungwa Sub-Catchment"/>
    <n v="2049.84"/>
  </r>
  <r>
    <x v="3"/>
    <s v="MURINDI"/>
    <s v="Public"/>
    <x v="0"/>
    <s v="Ngororero"/>
    <s v="Muhanda"/>
    <s v="NMUK_2"/>
    <s v="Giciye/Mukungwa Sub-Catchment"/>
    <n v="1419.12"/>
  </r>
  <r>
    <x v="3"/>
    <s v="BUGARURA"/>
    <s v="Public"/>
    <x v="0"/>
    <s v="Ngororero"/>
    <s v="Muhanda"/>
    <s v="NMUK_2"/>
    <s v="Giciye/Mukungwa Sub-Catchment"/>
    <n v="1261.44"/>
  </r>
  <r>
    <x v="3"/>
    <s v="RURAMBO I"/>
    <s v="Public"/>
    <x v="0"/>
    <s v="Ngororero"/>
    <s v="Muhanda"/>
    <s v="NMUK_2"/>
    <s v="Giciye/Mukungwa Sub-Catchment"/>
    <n v="788.40000000000009"/>
  </r>
  <r>
    <x v="3"/>
    <s v="GISAYO"/>
    <s v="Public"/>
    <x v="0"/>
    <s v="Ngororero"/>
    <s v="Muhanda"/>
    <s v="NMUK_2"/>
    <s v="Giciye/Mukungwa Sub-Catchment"/>
    <n v="1261.44"/>
  </r>
  <r>
    <x v="3"/>
    <s v="RURAMBO II"/>
    <s v="Public"/>
    <x v="0"/>
    <s v="Ngororero"/>
    <s v="Muhanda"/>
    <s v="NMUK_2"/>
    <s v="Giciye/Mukungwa Sub-Catchment"/>
    <n v="3942.0000000000005"/>
  </r>
  <r>
    <x v="3"/>
    <s v="GATARE"/>
    <s v="Public"/>
    <x v="0"/>
    <s v="Musanze"/>
    <s v="Muhoza"/>
    <s v="NMUK_2"/>
    <s v="Giciye/Mukungwa Sub-Catchment"/>
    <n v="15768.000000000002"/>
  </r>
  <r>
    <x v="3"/>
    <s v="GASAVE"/>
    <s v="Public"/>
    <x v="0"/>
    <s v="Musanze"/>
    <s v="Muhoza"/>
    <s v="NMUK_2"/>
    <s v="Giciye/Mukungwa Sub-Catchment"/>
    <n v="3153.6000000000004"/>
  </r>
  <r>
    <x v="3"/>
    <s v="NYAGAHONDO"/>
    <s v="Public"/>
    <x v="0"/>
    <s v="Musanze"/>
    <s v="Muhoza"/>
    <s v="NMUK_2"/>
    <s v="Giciye/Mukungwa Sub-Catchment"/>
    <n v="0"/>
  </r>
  <r>
    <x v="3"/>
    <s v="BITEREKO"/>
    <s v="Public"/>
    <x v="0"/>
    <s v="Musanze"/>
    <s v="Muhoza"/>
    <s v="NMUK_2"/>
    <s v="Giciye/Mukungwa Sub-Catchment"/>
    <n v="252.28800000000001"/>
  </r>
  <r>
    <x v="3"/>
    <s v="GAHAMA"/>
    <s v="Public"/>
    <x v="0"/>
    <s v="Musanze"/>
    <s v="Muhoza"/>
    <s v="NMUK_2"/>
    <s v="Giciye/Mukungwa Sub-Catchment"/>
    <n v="788.40000000000009"/>
  </r>
  <r>
    <x v="3"/>
    <s v="NYAKABINGO"/>
    <s v="Public"/>
    <x v="0"/>
    <s v="Musanze"/>
    <s v="Muhoza"/>
    <s v="NMUK_2"/>
    <s v="Giciye/Mukungwa Sub-Catchment"/>
    <n v="1971.0000000000002"/>
  </r>
  <r>
    <x v="3"/>
    <s v="KIGOMBE"/>
    <s v="Public"/>
    <x v="0"/>
    <s v="Musanze"/>
    <s v="Muhoza"/>
    <s v="NMUK_2"/>
    <s v="Giciye/Mukungwa Sub-Catchment"/>
    <n v="0"/>
  </r>
  <r>
    <x v="3"/>
    <s v="KINIHIRA"/>
    <s v="Public"/>
    <x v="0"/>
    <s v="Nyabihu"/>
    <s v="Mukamira"/>
    <s v="NMUK_2"/>
    <s v="Giciye/Mukungwa Sub-Catchment"/>
    <n v="7884.0000000000009"/>
  </r>
  <r>
    <x v="3"/>
    <s v="NYAMASHEKE"/>
    <s v="Public"/>
    <x v="0"/>
    <s v="Nyabihu"/>
    <s v="Mukamira"/>
    <s v="NMUK_2"/>
    <s v="Giciye/Mukungwa Sub-Catchment"/>
    <n v="126.14400000000001"/>
  </r>
  <r>
    <x v="3"/>
    <s v="NYIRAHIRWA"/>
    <s v="Public"/>
    <x v="0"/>
    <s v="Nyabihu"/>
    <s v="Mukamira"/>
    <s v="NMUK_2"/>
    <s v="Giciye/Mukungwa Sub-Catchment"/>
    <n v="1892.16"/>
  </r>
  <r>
    <x v="3"/>
    <s v="KINYASENGE II"/>
    <s v="Public"/>
    <x v="0"/>
    <s v="Nyabihu"/>
    <s v="Mukamira"/>
    <s v="NMUK_2"/>
    <s v="Giciye/Mukungwa Sub-Catchment"/>
    <n v="394.20000000000005"/>
  </r>
  <r>
    <x v="3"/>
    <s v="NGANGE"/>
    <s v="Public"/>
    <x v="0"/>
    <s v="Nyabihu"/>
    <s v="Mukamira"/>
    <s v="NMUK_2"/>
    <s v="Giciye/Mukungwa Sub-Catchment"/>
    <n v="4730.4000000000005"/>
  </r>
  <r>
    <x v="3"/>
    <s v="KANYAMABURA"/>
    <s v="Public"/>
    <x v="0"/>
    <s v="Nyabihu"/>
    <s v="Mukamira"/>
    <s v="NMUK_2"/>
    <s v="Giciye/Mukungwa Sub-Catchment"/>
    <n v="3942.0000000000005"/>
  </r>
  <r>
    <x v="3"/>
    <s v="KABEREI"/>
    <s v="Public"/>
    <x v="0"/>
    <s v="Nyabihu"/>
    <s v="Mukamira"/>
    <s v="NMUK_2"/>
    <s v="Giciye/Mukungwa Sub-Catchment"/>
    <n v="9460.8000000000011"/>
  </r>
  <r>
    <x v="3"/>
    <s v="NYARWUNGAII"/>
    <s v="Public"/>
    <x v="0"/>
    <s v="Nyabihu"/>
    <s v="Mukamira"/>
    <s v="NMUK_2"/>
    <s v="Giciye/Mukungwa Sub-Catchment"/>
    <n v="3942.0000000000005"/>
  </r>
  <r>
    <x v="3"/>
    <s v="NYARWUNGAI"/>
    <s v="Public"/>
    <x v="0"/>
    <s v="Nyabihu"/>
    <s v="Mukamira"/>
    <s v="NMUK_2"/>
    <s v="Giciye/Mukungwa Sub-Catchment"/>
    <n v="1419.12"/>
  </r>
  <r>
    <x v="3"/>
    <s v="KABEREII"/>
    <s v="Public"/>
    <x v="0"/>
    <s v="Nyabihu"/>
    <s v="Mukamira"/>
    <s v="NMUK_2"/>
    <s v="Giciye/Mukungwa Sub-Catchment"/>
    <n v="2365.2000000000003"/>
  </r>
  <r>
    <x v="3"/>
    <s v="KANSORO"/>
    <s v="Public"/>
    <x v="0"/>
    <s v="Nyabihu"/>
    <s v="Mukamira"/>
    <s v="NMUK_2"/>
    <s v="Giciye/Mukungwa Sub-Catchment"/>
    <n v="1261.44"/>
  </r>
  <r>
    <x v="3"/>
    <s v="KINYASENGE"/>
    <s v="Public"/>
    <x v="0"/>
    <s v="Nyabihu"/>
    <s v="Mukamira"/>
    <s v="NMUK_2"/>
    <s v="Giciye/Mukungwa Sub-Catchment"/>
    <n v="7884.0000000000009"/>
  </r>
  <r>
    <x v="3"/>
    <s v="NYIRANTARENGWA"/>
    <s v="Public"/>
    <x v="0"/>
    <s v="Nyabihu"/>
    <s v="Mukamira"/>
    <s v="NMUK_2"/>
    <s v="Giciye/Mukungwa Sub-Catchment"/>
    <n v="2207.5200000000004"/>
  </r>
  <r>
    <x v="3"/>
    <s v="KABEREIII"/>
    <s v="Public"/>
    <x v="0"/>
    <s v="Nyabihu"/>
    <s v="Mukamira"/>
    <s v="NMUK_2"/>
    <s v="Giciye/Mukungwa Sub-Catchment"/>
    <n v="946.08"/>
  </r>
  <r>
    <x v="3"/>
    <s v="MURWANZOKA"/>
    <s v="Public"/>
    <x v="0"/>
    <s v="Nyabihu"/>
    <s v="Mukamira"/>
    <s v="NMUK_2"/>
    <s v="Giciye/Mukungwa Sub-Catchment"/>
    <n v="6622.5599999999995"/>
  </r>
  <r>
    <x v="3"/>
    <s v="KANYAMAFIGI"/>
    <s v="Public"/>
    <x v="0"/>
    <s v="Nyabihu"/>
    <s v="Mukamira"/>
    <s v="NMUK_2"/>
    <s v="Giciye/Mukungwa Sub-Catchment"/>
    <n v="788.40000000000009"/>
  </r>
  <r>
    <x v="3"/>
    <s v="MAISERIE"/>
    <s v="Public"/>
    <x v="0"/>
    <s v="Nyabihu"/>
    <s v="Mukamira"/>
    <s v="NMUK_2"/>
    <s v="Giciye/Mukungwa Sub-Catchment"/>
    <n v="0"/>
  </r>
  <r>
    <x v="3"/>
    <s v="CYUMUKENKE"/>
    <s v="Public"/>
    <x v="0"/>
    <s v="Nyabihu"/>
    <s v="Mukamira"/>
    <s v="NMUK_2"/>
    <s v="Giciye/Mukungwa Sub-Catchment"/>
    <n v="9460.8000000000011"/>
  </r>
  <r>
    <x v="3"/>
    <s v="HESHA I"/>
    <s v="Public"/>
    <x v="0"/>
    <s v="Nyabihu"/>
    <s v="Mukamira"/>
    <s v="NMUK_2"/>
    <s v="Giciye/Mukungwa Sub-Catchment"/>
    <n v="4730.4000000000005"/>
  </r>
  <r>
    <x v="3"/>
    <s v="NYAKAGEZI"/>
    <s v="Public"/>
    <x v="0"/>
    <s v="Nyabihu"/>
    <s v="Mukamira"/>
    <s v="NMUK_2"/>
    <s v="Giciye/Mukungwa Sub-Catchment"/>
    <n v="2838.24"/>
  </r>
  <r>
    <x v="3"/>
    <s v="HESHA II"/>
    <s v="Public"/>
    <x v="0"/>
    <s v="Nyabihu"/>
    <s v="Mukamira"/>
    <s v="NMUK_2"/>
    <s v="Giciye/Mukungwa Sub-Catchment"/>
    <n v="946.08"/>
  </r>
  <r>
    <x v="3"/>
    <s v="BWIZA"/>
    <s v="Public"/>
    <x v="0"/>
    <s v="Nyabihu"/>
    <s v="Mukamira"/>
    <s v="NMUK_2"/>
    <s v="Giciye/Mukungwa Sub-Catchment"/>
    <n v="1576.8000000000002"/>
  </r>
  <r>
    <x v="3"/>
    <s v="Nyabihanga"/>
    <s v="Public"/>
    <x v="0"/>
    <s v="Musanze"/>
    <s v="Muko"/>
    <s v="NMUK_2"/>
    <s v="Giciye/Mukungwa Sub-Catchment"/>
    <n v="2207.5200000000004"/>
  </r>
  <r>
    <x v="3"/>
    <s v="Nyampundu"/>
    <s v="Public"/>
    <x v="0"/>
    <s v="Musanze"/>
    <s v="Muko"/>
    <s v="NMUK_2"/>
    <s v="Giciye/Mukungwa Sub-Catchment"/>
    <n v="8672.4000000000015"/>
  </r>
  <r>
    <x v="3"/>
    <s v="Nyaruvumu"/>
    <s v="Public"/>
    <x v="0"/>
    <s v="Musanze"/>
    <s v="Muko"/>
    <s v="NMUK_2"/>
    <s v="Giciye/Mukungwa Sub-Catchment"/>
    <n v="1576.8000000000002"/>
  </r>
  <r>
    <x v="3"/>
    <s v="Kwa Rudakubana"/>
    <s v="Public"/>
    <x v="0"/>
    <s v="Musanze"/>
    <s v="Muko"/>
    <s v="NMUK_2"/>
    <s v="Giciye/Mukungwa Sub-Catchment"/>
    <n v="2049.84"/>
  </r>
  <r>
    <x v="3"/>
    <s v="Kadahokwa"/>
    <s v="Public"/>
    <x v="0"/>
    <s v="Musanze"/>
    <s v="Muko"/>
    <s v="NMUK_2"/>
    <s v="Giciye/Mukungwa Sub-Catchment"/>
    <n v="94608.000000000015"/>
  </r>
  <r>
    <x v="3"/>
    <s v="Rwabushungwe"/>
    <s v="Public"/>
    <x v="0"/>
    <s v="Musanze"/>
    <s v="Muko"/>
    <s v="NMUK_2"/>
    <s v="Giciye/Mukungwa Sub-Catchment"/>
    <n v="4415.0400000000009"/>
  </r>
  <r>
    <x v="3"/>
    <s v="Nyarubande"/>
    <s v="Public"/>
    <x v="0"/>
    <s v="Musanze"/>
    <s v="Muko"/>
    <s v="NMUK_2"/>
    <s v="Giciye/Mukungwa Sub-Catchment"/>
    <n v="1419.12"/>
  </r>
  <r>
    <x v="3"/>
    <s v="Nyabigugu"/>
    <s v="Public"/>
    <x v="0"/>
    <s v="Musanze"/>
    <s v="Muko"/>
    <s v="NMUK_2"/>
    <s v="Giciye/Mukungwa Sub-Catchment"/>
    <n v="3153.6000000000004"/>
  </r>
  <r>
    <x v="3"/>
    <s v="Rwingongo"/>
    <s v="Public"/>
    <x v="0"/>
    <s v="Musanze"/>
    <s v="Muko"/>
    <s v="NMUK_2"/>
    <s v="Giciye/Mukungwa Sub-Catchment"/>
    <n v="1261.44"/>
  </r>
  <r>
    <x v="3"/>
    <s v="Nyakagezi"/>
    <s v="Public"/>
    <x v="0"/>
    <s v="Musanze"/>
    <s v="Muko"/>
    <s v="NMUK_2"/>
    <s v="Giciye/Mukungwa Sub-Catchment"/>
    <n v="3153.6000000000004"/>
  </r>
  <r>
    <x v="3"/>
    <s v="Mu Kannyogo"/>
    <s v="Public"/>
    <x v="0"/>
    <s v="Musanze"/>
    <s v="Muko"/>
    <s v="NMUK_2"/>
    <s v="Giciye/Mukungwa Sub-Catchment"/>
    <n v="788.40000000000009"/>
  </r>
  <r>
    <x v="3"/>
    <s v="Nyagatoki"/>
    <s v="Public"/>
    <x v="0"/>
    <s v="Musanze"/>
    <s v="Muko"/>
    <s v="NMUK_2"/>
    <s v="Giciye/Mukungwa Sub-Catchment"/>
    <n v="1892.16"/>
  </r>
  <r>
    <x v="3"/>
    <s v="Kaguru I"/>
    <s v="Public"/>
    <x v="0"/>
    <s v="Musanze"/>
    <s v="Muko"/>
    <s v="NMUK_2"/>
    <s v="Giciye/Mukungwa Sub-Catchment"/>
    <n v="2207.5200000000004"/>
  </r>
  <r>
    <x v="3"/>
    <s v="Rudogo I"/>
    <s v="Public"/>
    <x v="0"/>
    <s v="Musanze"/>
    <s v="Muko"/>
    <s v="NMUK_2"/>
    <s v="Giciye/Mukungwa Sub-Catchment"/>
    <n v="3468.9600000000005"/>
  </r>
  <r>
    <x v="3"/>
    <s v="Kaguru II"/>
    <s v="Public"/>
    <x v="0"/>
    <s v="Musanze"/>
    <s v="Muko"/>
    <s v="NMUK_2"/>
    <s v="Giciye/Mukungwa Sub-Catchment"/>
    <n v="1734.4800000000002"/>
  </r>
  <r>
    <x v="3"/>
    <s v="Nyakagezi"/>
    <s v="Public"/>
    <x v="0"/>
    <s v="Musanze"/>
    <s v="Muko"/>
    <s v="NMUK_2"/>
    <s v="Giciye/Mukungwa Sub-Catchment"/>
    <n v="3626.64"/>
  </r>
  <r>
    <x v="3"/>
    <s v="Mu Ruseke"/>
    <s v="Public"/>
    <x v="0"/>
    <s v="Musanze"/>
    <s v="Muko"/>
    <s v="NMUK_2"/>
    <s v="Giciye/Mukungwa Sub-Catchment"/>
    <n v="2365.2000000000003"/>
  </r>
  <r>
    <x v="3"/>
    <s v="Karambi"/>
    <s v="Public"/>
    <x v="0"/>
    <s v="Musanze"/>
    <s v="Muko"/>
    <s v="NMUK_2"/>
    <s v="Giciye/Mukungwa Sub-Catchment"/>
    <n v="3311.2799999999997"/>
  </r>
  <r>
    <x v="3"/>
    <s v="Ryagashaka"/>
    <s v="Public"/>
    <x v="0"/>
    <s v="Musanze"/>
    <s v="Muko"/>
    <s v="NMUK_2"/>
    <s v="Giciye/Mukungwa Sub-Catchment"/>
    <n v="3153.6000000000004"/>
  </r>
  <r>
    <x v="3"/>
    <s v="Nyakagezi I"/>
    <s v="Public"/>
    <x v="0"/>
    <s v="Musanze"/>
    <s v="Muko"/>
    <s v="NMUK_2"/>
    <s v="Giciye/Mukungwa Sub-Catchment"/>
    <n v="473.04"/>
  </r>
  <r>
    <x v="3"/>
    <s v="Ku Gasoko"/>
    <s v="Public"/>
    <x v="0"/>
    <s v="Musanze"/>
    <s v="Muko"/>
    <s v="NMUK_2"/>
    <s v="Giciye/Mukungwa Sub-Catchment"/>
    <n v="5834.1600000000008"/>
  </r>
  <r>
    <x v="3"/>
    <s v="Cyamuhinda"/>
    <s v="Public"/>
    <x v="0"/>
    <s v="Musanze"/>
    <s v="Muko"/>
    <s v="NMUK_2"/>
    <s v="Giciye/Mukungwa Sub-Catchment"/>
    <n v="3153.6000000000004"/>
  </r>
  <r>
    <x v="3"/>
    <s v="Ku Gaseke"/>
    <s v="Public"/>
    <x v="0"/>
    <s v="Musanze"/>
    <s v="Muko"/>
    <s v="NMUK_2"/>
    <s v="Giciye/Mukungwa Sub-Catchment"/>
    <n v="14191.2"/>
  </r>
  <r>
    <x v="3"/>
    <s v="Gasharu"/>
    <s v="Public"/>
    <x v="0"/>
    <s v="Musanze"/>
    <s v="Muko"/>
    <s v="NMUK_2"/>
    <s v="Giciye/Mukungwa Sub-Catchment"/>
    <n v="14191.2"/>
  </r>
  <r>
    <x v="3"/>
    <s v="Rwabapfu"/>
    <s v="Public"/>
    <x v="0"/>
    <s v="Musanze"/>
    <s v="Muko"/>
    <s v="NMUK_2"/>
    <s v="Giciye/Mukungwa Sub-Catchment"/>
    <n v="5045.76"/>
  </r>
  <r>
    <x v="3"/>
    <s v="Kadogo"/>
    <s v="Public"/>
    <x v="0"/>
    <s v="Musanze"/>
    <s v="Muko"/>
    <s v="NMUK_2"/>
    <s v="Giciye/Mukungwa Sub-Catchment"/>
    <n v="8830.0800000000017"/>
  </r>
  <r>
    <x v="3"/>
    <s v="Kajevuba"/>
    <s v="Public"/>
    <x v="0"/>
    <s v="Musanze"/>
    <s v="Muko"/>
    <s v="NMUK_2"/>
    <s v="Giciye/Mukungwa Sub-Catchment"/>
    <n v="14191.2"/>
  </r>
  <r>
    <x v="3"/>
    <s v="Nyirakaziku II"/>
    <s v="Public"/>
    <x v="0"/>
    <s v="Musanze"/>
    <s v="Muko"/>
    <s v="NMUK_2"/>
    <s v="Giciye/Mukungwa Sub-Catchment"/>
    <n v="5991.84"/>
  </r>
  <r>
    <x v="3"/>
    <s v="Rugaragara"/>
    <s v="Public"/>
    <x v="0"/>
    <s v="Musanze"/>
    <s v="Muko"/>
    <s v="NMUK_2"/>
    <s v="Giciye/Mukungwa Sub-Catchment"/>
    <n v="473.04"/>
  </r>
  <r>
    <x v="3"/>
    <s v="Mugahama"/>
    <s v="Public"/>
    <x v="0"/>
    <s v="Musanze"/>
    <s v="Muko"/>
    <s v="NMUK_2"/>
    <s v="Giciye/Mukungwa Sub-Catchment"/>
    <n v="15768.000000000002"/>
  </r>
  <r>
    <x v="3"/>
    <s v="Nyirakaziku III"/>
    <s v="Public"/>
    <x v="0"/>
    <s v="Musanze"/>
    <s v="Muko"/>
    <s v="NMUK_2"/>
    <s v="Giciye/Mukungwa Sub-Catchment"/>
    <n v="15768.000000000002"/>
  </r>
  <r>
    <x v="3"/>
    <s v="Rucaca"/>
    <s v="Public"/>
    <x v="0"/>
    <s v="Musanze"/>
    <s v="Muko"/>
    <s v="NMUK_2"/>
    <s v="Giciye/Mukungwa Sub-Catchment"/>
    <n v="630.72"/>
  </r>
  <r>
    <x v="3"/>
    <s v="Nyakagezi"/>
    <s v="Public"/>
    <x v="0"/>
    <s v="Musanze"/>
    <s v="Muko"/>
    <s v="NMUK_2"/>
    <s v="Giciye/Mukungwa Sub-Catchment"/>
    <n v="11826.000000000002"/>
  </r>
  <r>
    <x v="3"/>
    <s v="Ku Isenga"/>
    <s v="Public"/>
    <x v="0"/>
    <s v="Musanze"/>
    <s v="Muko"/>
    <s v="NMUK_2"/>
    <s v="Giciye/Mukungwa Sub-Catchment"/>
    <n v="5045.76"/>
  </r>
  <r>
    <x v="3"/>
    <s v="Mu Ruseke"/>
    <s v="Public"/>
    <x v="0"/>
    <s v="Musanze"/>
    <s v="Muko"/>
    <s v="NMUK_2"/>
    <s v="Giciye/Mukungwa Sub-Catchment"/>
    <n v="10249.199999999999"/>
  </r>
  <r>
    <x v="3"/>
    <s v="Kwa Petero"/>
    <s v="Public"/>
    <x v="0"/>
    <s v="Musanze"/>
    <s v="Muko"/>
    <s v="NMUK_2"/>
    <s v="Giciye/Mukungwa Sub-Catchment"/>
    <n v="4257.3600000000006"/>
  </r>
  <r>
    <x v="3"/>
    <s v="Kwa Rukundo"/>
    <s v="Public"/>
    <x v="0"/>
    <s v="Musanze"/>
    <s v="Muko"/>
    <s v="NMUK_2"/>
    <s v="Giciye/Mukungwa Sub-Catchment"/>
    <n v="4730.4000000000005"/>
  </r>
  <r>
    <x v="3"/>
    <s v="Rugaragara"/>
    <s v="Public"/>
    <x v="0"/>
    <s v="Musanze"/>
    <s v="Muko"/>
    <s v="NMUK_2"/>
    <s v="Giciye/Mukungwa Sub-Catchment"/>
    <n v="1419.12"/>
  </r>
  <r>
    <x v="3"/>
    <s v="Nyagatovu"/>
    <s v="Public"/>
    <x v="0"/>
    <s v="Musanze"/>
    <s v="Muko"/>
    <s v="NMUK_2"/>
    <s v="Giciye/Mukungwa Sub-Catchment"/>
    <n v="4730.4000000000005"/>
  </r>
  <r>
    <x v="3"/>
    <s v="Rusumo"/>
    <s v="Public"/>
    <x v="0"/>
    <s v="Musanze"/>
    <s v="Muko"/>
    <s v="NMUK_2"/>
    <s v="Giciye/Mukungwa Sub-Catchment"/>
    <n v="2207.5200000000004"/>
  </r>
  <r>
    <x v="3"/>
    <s v="Nyakabingo"/>
    <s v="Public"/>
    <x v="0"/>
    <s v="Musanze"/>
    <s v="Muko"/>
    <s v="NMUK_2"/>
    <s v="Giciye/Mukungwa Sub-Catchment"/>
    <n v="8987.76"/>
  </r>
  <r>
    <x v="3"/>
    <s v="Nyagahuru"/>
    <s v="Public"/>
    <x v="0"/>
    <s v="Musanze"/>
    <s v="Muko"/>
    <s v="NMUK_2"/>
    <s v="Giciye/Mukungwa Sub-Catchment"/>
    <n v="3468.9600000000005"/>
  </r>
  <r>
    <x v="3"/>
    <s v="Karugina"/>
    <s v="Public"/>
    <x v="0"/>
    <s v="Musanze"/>
    <s v="Muko"/>
    <s v="NMUK_2"/>
    <s v="Giciye/Mukungwa Sub-Catchment"/>
    <n v="7884.0000000000009"/>
  </r>
  <r>
    <x v="3"/>
    <s v="NYAMWASAMA II"/>
    <s v="Public"/>
    <x v="0"/>
    <s v="Nyabihu"/>
    <s v="Muringa"/>
    <s v="NMUK_2"/>
    <s v="Giciye/Mukungwa Sub-Catchment"/>
    <n v="3942.0000000000005"/>
  </r>
  <r>
    <x v="3"/>
    <s v="GAHANGA"/>
    <s v="Public"/>
    <x v="0"/>
    <s v="Nyabihu"/>
    <s v="Muringa"/>
    <s v="NMUK_2"/>
    <s v="Giciye/Mukungwa Sub-Catchment"/>
    <n v="946.08"/>
  </r>
  <r>
    <x v="3"/>
    <s v="RWAHUGA"/>
    <s v="Public"/>
    <x v="0"/>
    <s v="Nyabihu"/>
    <s v="Muringa"/>
    <s v="NMUK_2"/>
    <s v="Giciye/Mukungwa Sub-Catchment"/>
    <n v="946.08"/>
  </r>
  <r>
    <x v="3"/>
    <s v="GIHIRA"/>
    <s v="Public"/>
    <x v="0"/>
    <s v="Nyabihu"/>
    <s v="Muringa"/>
    <s v="NMUK_2"/>
    <s v="Giciye/Mukungwa Sub-Catchment"/>
    <n v="3942.0000000000005"/>
  </r>
  <r>
    <x v="3"/>
    <s v="KIVURUGA I"/>
    <s v="Public"/>
    <x v="0"/>
    <s v="Nyabihu"/>
    <s v="Muringa"/>
    <s v="NMUK_2"/>
    <s v="Giciye/Mukungwa Sub-Catchment"/>
    <n v="12614.400000000001"/>
  </r>
  <r>
    <x v="3"/>
    <s v="GITEBE"/>
    <s v="Public"/>
    <x v="0"/>
    <s v="Nyabihu"/>
    <s v="Muringa"/>
    <s v="NMUK_2"/>
    <s v="Giciye/Mukungwa Sub-Catchment"/>
    <n v="157.68"/>
  </r>
  <r>
    <x v="3"/>
    <s v="RUHIRIKA"/>
    <s v="Public"/>
    <x v="0"/>
    <s v="Nyabihu"/>
    <s v="Muringa"/>
    <s v="NMUK_2"/>
    <s v="Giciye/Mukungwa Sub-Catchment"/>
    <n v="3468.9600000000005"/>
  </r>
  <r>
    <x v="3"/>
    <s v="MABARE III"/>
    <s v="Public"/>
    <x v="0"/>
    <s v="Nyabihu"/>
    <s v="Muringa"/>
    <s v="NMUK_2"/>
    <s v="Giciye/Mukungwa Sub-Catchment"/>
    <n v="3942.0000000000005"/>
  </r>
  <r>
    <x v="3"/>
    <s v="KAMAJANGA I"/>
    <s v="Public"/>
    <x v="0"/>
    <s v="Nyabihu"/>
    <s v="Muringa"/>
    <s v="NMUK_2"/>
    <s v="Giciye/Mukungwa Sub-Catchment"/>
    <n v="157.68"/>
  </r>
  <r>
    <x v="3"/>
    <s v="GIKOMBE"/>
    <s v="Public"/>
    <x v="0"/>
    <s v="Nyabihu"/>
    <s v="Muringa"/>
    <s v="NMUK_2"/>
    <s v="Giciye/Mukungwa Sub-Catchment"/>
    <n v="11037.6"/>
  </r>
  <r>
    <x v="3"/>
    <s v="RWAMABARE"/>
    <s v="Public"/>
    <x v="0"/>
    <s v="Nyabihu"/>
    <s v="Muringa"/>
    <s v="NMUK_2"/>
    <s v="Giciye/Mukungwa Sub-Catchment"/>
    <n v="1734.4800000000002"/>
  </r>
  <r>
    <x v="3"/>
    <s v="GISUMO"/>
    <s v="Public"/>
    <x v="0"/>
    <s v="Nyabihu"/>
    <s v="Muringa"/>
    <s v="NMUK_2"/>
    <s v="Giciye/Mukungwa Sub-Catchment"/>
    <n v="1734.4800000000002"/>
  </r>
  <r>
    <x v="3"/>
    <s v="KAMAJANGA II"/>
    <s v="Public"/>
    <x v="0"/>
    <s v="Nyabihu"/>
    <s v="Muringa"/>
    <s v="NMUK_2"/>
    <s v="Giciye/Mukungwa Sub-Catchment"/>
    <n v="1576.8000000000002"/>
  </r>
  <r>
    <x v="3"/>
    <s v="KIVURUGA II"/>
    <s v="Public"/>
    <x v="0"/>
    <s v="Nyabihu"/>
    <s v="Muringa"/>
    <s v="NMUK_2"/>
    <s v="Giciye/Mukungwa Sub-Catchment"/>
    <n v="12614.400000000001"/>
  </r>
  <r>
    <x v="3"/>
    <s v="KAMAJAMBA"/>
    <s v="Public"/>
    <x v="0"/>
    <s v="Nyabihu"/>
    <s v="Muringa"/>
    <s v="NMUK_2"/>
    <s v="Giciye/Mukungwa Sub-Catchment"/>
    <n v="1576.8000000000002"/>
  </r>
  <r>
    <x v="3"/>
    <s v="KIGUSA"/>
    <s v="Public"/>
    <x v="0"/>
    <s v="Nyabihu"/>
    <s v="Muringa"/>
    <s v="NMUK_2"/>
    <s v="Giciye/Mukungwa Sub-Catchment"/>
    <n v="3942.0000000000005"/>
  </r>
  <r>
    <x v="3"/>
    <s v="KAMUNYANA"/>
    <s v="Public"/>
    <x v="0"/>
    <s v="Nyabihu"/>
    <s v="Muringa"/>
    <s v="NMUK_2"/>
    <s v="Giciye/Mukungwa Sub-Catchment"/>
    <n v="2522.88"/>
  </r>
  <r>
    <x v="3"/>
    <s v="MUCACA"/>
    <s v="Public"/>
    <x v="0"/>
    <s v="Nyabihu"/>
    <s v="Muringa"/>
    <s v="NMUK_2"/>
    <s v="Giciye/Mukungwa Sub-Catchment"/>
    <n v="157.68"/>
  </r>
  <r>
    <x v="3"/>
    <s v="KAMAJANGA II"/>
    <s v="Public"/>
    <x v="0"/>
    <s v="Nyabihu"/>
    <s v="Muringa"/>
    <s v="NMUK_2"/>
    <s v="Giciye/Mukungwa Sub-Catchment"/>
    <n v="4730.4000000000005"/>
  </r>
  <r>
    <x v="3"/>
    <s v="MABARE II"/>
    <s v="Public"/>
    <x v="0"/>
    <s v="Nyabihu"/>
    <s v="Muringa"/>
    <s v="NMUK_2"/>
    <s v="Giciye/Mukungwa Sub-Catchment"/>
    <n v="3942.0000000000005"/>
  </r>
  <r>
    <x v="3"/>
    <s v="NYAKABANDE"/>
    <s v="Public"/>
    <x v="0"/>
    <s v="Nyabihu"/>
    <s v="Muringa"/>
    <s v="NMUK_2"/>
    <s v="Giciye/Mukungwa Sub-Catchment"/>
    <n v="2365.2000000000003"/>
  </r>
  <r>
    <x v="3"/>
    <s v="MUCUNDERO"/>
    <s v="Public"/>
    <x v="0"/>
    <s v="Nyabihu"/>
    <s v="Muringa"/>
    <s v="NMUK_2"/>
    <s v="Giciye/Mukungwa Sub-Catchment"/>
    <n v="473.04"/>
  </r>
  <r>
    <x v="3"/>
    <s v="MABARE"/>
    <s v="Public"/>
    <x v="0"/>
    <s v="Nyabihu"/>
    <s v="Muringa"/>
    <s v="NMUK_2"/>
    <s v="Giciye/Mukungwa Sub-Catchment"/>
    <n v="3153.6000000000004"/>
  </r>
  <r>
    <x v="3"/>
    <s v="MUKANYAMASWA"/>
    <s v="Public"/>
    <x v="0"/>
    <s v="Nyabihu"/>
    <s v="Muringa"/>
    <s v="NMUK_2"/>
    <s v="Giciye/Mukungwa Sub-Catchment"/>
    <n v="1576.8000000000002"/>
  </r>
  <r>
    <x v="3"/>
    <s v="GIMFUNA"/>
    <s v="Public"/>
    <x v="0"/>
    <s v="Nyabihu"/>
    <s v="Muringa"/>
    <s v="NMUK_2"/>
    <s v="Giciye/Mukungwa Sub-Catchment"/>
    <n v="11037.6"/>
  </r>
  <r>
    <x v="3"/>
    <s v="KAYANZA"/>
    <s v="Public"/>
    <x v="0"/>
    <s v="Nyabihu"/>
    <s v="Muringa"/>
    <s v="NMUK_2"/>
    <s v="Giciye/Mukungwa Sub-Catchment"/>
    <n v="157.68"/>
  </r>
  <r>
    <x v="3"/>
    <s v="GATABAGWE"/>
    <s v="Public"/>
    <x v="0"/>
    <s v="Nyabihu"/>
    <s v="Muringa"/>
    <s v="NMUK_2"/>
    <s v="Giciye/Mukungwa Sub-Catchment"/>
    <n v="3311.2799999999997"/>
  </r>
  <r>
    <x v="3"/>
    <s v="NYARUBIZA"/>
    <s v="Public"/>
    <x v="0"/>
    <s v="Nyabihu"/>
    <s v="Muringa"/>
    <s v="NMUK_2"/>
    <s v="Giciye/Mukungwa Sub-Catchment"/>
    <n v="3942.0000000000005"/>
  </r>
  <r>
    <x v="3"/>
    <s v="RWANTOZI"/>
    <s v="Public"/>
    <x v="0"/>
    <s v="Nyabihu"/>
    <s v="Muringa"/>
    <s v="NMUK_2"/>
    <s v="Giciye/Mukungwa Sub-Catchment"/>
    <n v="1261.44"/>
  </r>
  <r>
    <x v="3"/>
    <s v="KABABAZI"/>
    <s v="Public"/>
    <x v="0"/>
    <s v="Nyabihu"/>
    <s v="Muringa"/>
    <s v="NMUK_2"/>
    <s v="Giciye/Mukungwa Sub-Catchment"/>
    <n v="6307.2000000000007"/>
  </r>
  <r>
    <x v="3"/>
    <s v="RWAHUGA"/>
    <s v="Public"/>
    <x v="0"/>
    <s v="Nyabihu"/>
    <s v="Muringa"/>
    <s v="NMUK_2"/>
    <s v="Giciye/Mukungwa Sub-Catchment"/>
    <n v="4257.3600000000006"/>
  </r>
  <r>
    <x v="3"/>
    <s v="ZANINGERA"/>
    <s v="Public"/>
    <x v="0"/>
    <s v="Nyabihu"/>
    <s v="Muringa"/>
    <s v="NMUK_2"/>
    <s v="Giciye/Mukungwa Sub-Catchment"/>
    <n v="3153.6000000000004"/>
  </r>
  <r>
    <x v="3"/>
    <s v="KABARARI"/>
    <s v="Public"/>
    <x v="0"/>
    <s v="Nyabihu"/>
    <s v="Muringa"/>
    <s v="NMUK_2"/>
    <s v="Giciye/Mukungwa Sub-Catchment"/>
    <n v="3942.0000000000005"/>
  </r>
  <r>
    <x v="3"/>
    <s v="KANYIRI"/>
    <s v="Public"/>
    <x v="0"/>
    <s v="Nyabihu"/>
    <s v="Muringa"/>
    <s v="NMUK_2"/>
    <s v="Giciye/Mukungwa Sub-Catchment"/>
    <n v="1576.8000000000002"/>
  </r>
  <r>
    <x v="3"/>
    <s v="KAYANZA"/>
    <s v="Public"/>
    <x v="0"/>
    <s v="Nyabihu"/>
    <s v="Muringa"/>
    <s v="NMUK_2"/>
    <s v="Giciye/Mukungwa Sub-Catchment"/>
    <n v="157.68"/>
  </r>
  <r>
    <x v="3"/>
    <s v="MABARE I"/>
    <s v="Public"/>
    <x v="0"/>
    <s v="Nyabihu"/>
    <s v="Muringa"/>
    <s v="NMUK_2"/>
    <s v="Giciye/Mukungwa Sub-Catchment"/>
    <n v="6307.2000000000007"/>
  </r>
  <r>
    <x v="3"/>
    <s v="RUNAYU"/>
    <s v="Public"/>
    <x v="0"/>
    <s v="Nyabihu"/>
    <s v="Muringa"/>
    <s v="NMUK_2"/>
    <s v="Giciye/Mukungwa Sub-Catchment"/>
    <n v="1103.7600000000002"/>
  </r>
  <r>
    <x v="3"/>
    <s v="NKONGORI"/>
    <s v="Public"/>
    <x v="0"/>
    <s v="Nyabihu"/>
    <s v="Muringa"/>
    <s v="NMUK_2"/>
    <s v="Giciye/Mukungwa Sub-Catchment"/>
    <n v="0"/>
  </r>
  <r>
    <x v="3"/>
    <s v="GAHUNGERI I"/>
    <s v="Public"/>
    <x v="0"/>
    <s v="Nyabihu"/>
    <s v="Muringa"/>
    <s v="NMUK_2"/>
    <s v="Giciye/Mukungwa Sub-Catchment"/>
    <n v="5518.8"/>
  </r>
  <r>
    <x v="3"/>
    <s v="MIGONGO"/>
    <s v="Public"/>
    <x v="0"/>
    <s v="Nyabihu"/>
    <s v="Muringa"/>
    <s v="NMUK_2"/>
    <s v="Giciye/Mukungwa Sub-Catchment"/>
    <n v="9460.8000000000011"/>
  </r>
  <r>
    <x v="3"/>
    <s v="NYANKUKUMA III"/>
    <s v="Public"/>
    <x v="0"/>
    <s v="Nyabihu"/>
    <s v="Muringa"/>
    <s v="NMUK_2"/>
    <s v="Giciye/Mukungwa Sub-Catchment"/>
    <n v="3942.0000000000005"/>
  </r>
  <r>
    <x v="3"/>
    <s v="KINYANGURUBE"/>
    <s v="Public"/>
    <x v="0"/>
    <s v="Nyabihu"/>
    <s v="Muringa"/>
    <s v="NMUK_2"/>
    <s v="Giciye/Mukungwa Sub-Catchment"/>
    <n v="7726.32"/>
  </r>
  <r>
    <x v="3"/>
    <s v="KABUMBA"/>
    <s v="Public"/>
    <x v="0"/>
    <s v="Nyabihu"/>
    <s v="Muringa"/>
    <s v="NMUK_2"/>
    <s v="Giciye/Mukungwa Sub-Catchment"/>
    <n v="3942.0000000000005"/>
  </r>
  <r>
    <x v="3"/>
    <s v="GAHUNGERI II"/>
    <s v="Public"/>
    <x v="0"/>
    <s v="Nyabihu"/>
    <s v="Muringa"/>
    <s v="NMUK_2"/>
    <s v="Giciye/Mukungwa Sub-Catchment"/>
    <n v="1734.4800000000002"/>
  </r>
  <r>
    <x v="3"/>
    <s v="GASAKIZA"/>
    <s v="Public"/>
    <x v="0"/>
    <s v="Nyabihu"/>
    <s v="Muringa"/>
    <s v="NMUK_2"/>
    <s v="Giciye/Mukungwa Sub-Catchment"/>
    <n v="2207.5200000000004"/>
  </r>
  <r>
    <x v="3"/>
    <s v="ABAJYANAMA"/>
    <s v="Public"/>
    <x v="0"/>
    <s v="Nyabihu"/>
    <s v="Muringa"/>
    <s v="NMUK_2"/>
    <s v="Giciye/Mukungwa Sub-Catchment"/>
    <n v="2680.56"/>
  </r>
  <r>
    <x v="3"/>
    <s v="KURUSIZA"/>
    <s v="Public"/>
    <x v="0"/>
    <s v="Nyabihu"/>
    <s v="Muringa"/>
    <s v="NMUK_2"/>
    <s v="Giciye/Mukungwa Sub-Catchment"/>
    <n v="0"/>
  </r>
  <r>
    <x v="3"/>
    <s v="RYABIHIRA"/>
    <s v="Public"/>
    <x v="0"/>
    <s v="Nyabihu"/>
    <s v="Muringa"/>
    <s v="NMUK_2"/>
    <s v="Giciye/Mukungwa Sub-Catchment"/>
    <n v="6307.2000000000007"/>
  </r>
  <r>
    <x v="3"/>
    <s v="KABAGARAGU"/>
    <s v="Public"/>
    <x v="0"/>
    <s v="Nyabihu"/>
    <s v="Muringa"/>
    <s v="NMUK_2"/>
    <s v="Giciye/Mukungwa Sub-Catchment"/>
    <n v="1576.8000000000002"/>
  </r>
  <r>
    <x v="3"/>
    <s v="NYAMWONSI I"/>
    <s v="Public"/>
    <x v="0"/>
    <s v="Nyabihu"/>
    <s v="Muringa"/>
    <s v="NMUK_2"/>
    <s v="Giciye/Mukungwa Sub-Catchment"/>
    <n v="9460.8000000000011"/>
  </r>
  <r>
    <x v="3"/>
    <s v="KARAMBI"/>
    <s v="Public"/>
    <x v="0"/>
    <s v="Nyabihu"/>
    <s v="Muringa"/>
    <s v="NMUK_2"/>
    <s v="Giciye/Mukungwa Sub-Catchment"/>
    <n v="2680.56"/>
  </r>
  <r>
    <x v="3"/>
    <s v="RUNEBWE"/>
    <s v="Public"/>
    <x v="0"/>
    <s v="Nyabihu"/>
    <s v="Muringa"/>
    <s v="NMUK_2"/>
    <s v="Giciye/Mukungwa Sub-Catchment"/>
    <n v="1576.8000000000002"/>
  </r>
  <r>
    <x v="3"/>
    <s v="RUSIZA"/>
    <s v="Public"/>
    <x v="0"/>
    <s v="Nyabihu"/>
    <s v="Muringa"/>
    <s v="NMUK_2"/>
    <s v="Giciye/Mukungwa Sub-Catchment"/>
    <n v="0"/>
  </r>
  <r>
    <x v="3"/>
    <s v="MARIBA"/>
    <s v="Public"/>
    <x v="0"/>
    <s v="Nyabihu"/>
    <s v="Muringa"/>
    <s v="NMUK_2"/>
    <s v="Giciye/Mukungwa Sub-Catchment"/>
    <n v="1576.8000000000002"/>
  </r>
  <r>
    <x v="3"/>
    <s v="RUGARAGARA"/>
    <s v="Public"/>
    <x v="0"/>
    <s v="Nyabihu"/>
    <s v="Muringa"/>
    <s v="NMUK_2"/>
    <s v="Giciye/Mukungwa Sub-Catchment"/>
    <n v="0"/>
  </r>
  <r>
    <x v="3"/>
    <s v="RUHUMYA"/>
    <s v="Public"/>
    <x v="0"/>
    <s v="Nyabihu"/>
    <s v="Muringa"/>
    <s v="NMUK_2"/>
    <s v="Giciye/Mukungwa Sub-Catchment"/>
    <n v="3942.0000000000005"/>
  </r>
  <r>
    <x v="3"/>
    <s v="RUBOGA"/>
    <s v="Public"/>
    <x v="0"/>
    <s v="Nyabihu"/>
    <s v="Muringa"/>
    <s v="NMUK_2"/>
    <s v="Giciye/Mukungwa Sub-Catchment"/>
    <n v="7884.0000000000009"/>
  </r>
  <r>
    <x v="3"/>
    <s v="RUTARAGA"/>
    <s v="Public"/>
    <x v="0"/>
    <s v="Nyabihu"/>
    <s v="Muringa"/>
    <s v="NMUK_2"/>
    <s v="Giciye/Mukungwa Sub-Catchment"/>
    <n v="1576.8000000000002"/>
  </r>
  <r>
    <x v="3"/>
    <s v="NYAMWONSI II"/>
    <s v="Public"/>
    <x v="0"/>
    <s v="Nyabihu"/>
    <s v="Muringa"/>
    <s v="NMUK_2"/>
    <s v="Giciye/Mukungwa Sub-Catchment"/>
    <n v="2365.2000000000003"/>
  </r>
  <r>
    <x v="3"/>
    <s v="NYAMASHEKE"/>
    <s v="Public"/>
    <x v="0"/>
    <s v="Nyabihu"/>
    <s v="Muringa"/>
    <s v="NMUK_2"/>
    <s v="Giciye/Mukungwa Sub-Catchment"/>
    <n v="1261.44"/>
  </r>
  <r>
    <x v="3"/>
    <s v="NYANKUKUMA"/>
    <s v="Public"/>
    <x v="0"/>
    <s v="Nyabihu"/>
    <s v="Muringa"/>
    <s v="NMUK_2"/>
    <s v="Giciye/Mukungwa Sub-Catchment"/>
    <n v="3626.64"/>
  </r>
  <r>
    <x v="3"/>
    <s v="NYEMAMBO"/>
    <s v="Public"/>
    <x v="0"/>
    <s v="Nyabihu"/>
    <s v="Muringa"/>
    <s v="NMUK_2"/>
    <s v="Giciye/Mukungwa Sub-Catchment"/>
    <n v="3153.6000000000004"/>
  </r>
  <r>
    <x v="3"/>
    <s v="KINGEKA"/>
    <s v="Public"/>
    <x v="0"/>
    <s v="Nyabihu"/>
    <s v="Muringa"/>
    <s v="NMUK_2"/>
    <s v="Giciye/Mukungwa Sub-Catchment"/>
    <n v="7095.6"/>
  </r>
  <r>
    <x v="3"/>
    <s v="KIVUMU"/>
    <s v="Public"/>
    <x v="0"/>
    <s v="Nyabihu"/>
    <s v="Muringa"/>
    <s v="NMUK_2"/>
    <s v="Giciye/Mukungwa Sub-Catchment"/>
    <n v="4730.4000000000005"/>
  </r>
  <r>
    <x v="3"/>
    <s v="RYAMWANA"/>
    <s v="Public"/>
    <x v="0"/>
    <s v="Nyabihu"/>
    <s v="Muringa"/>
    <s v="NMUK_2"/>
    <s v="Giciye/Mukungwa Sub-Catchment"/>
    <n v="5045.76"/>
  </r>
  <r>
    <x v="3"/>
    <s v="RUBURAJI"/>
    <s v="Public"/>
    <x v="0"/>
    <s v="Nyabihu"/>
    <s v="Muringa"/>
    <s v="NMUK_2"/>
    <s v="Giciye/Mukungwa Sub-Catchment"/>
    <n v="1576.8000000000002"/>
  </r>
  <r>
    <x v="3"/>
    <s v="MUSENYI"/>
    <s v="Public"/>
    <x v="0"/>
    <s v="Nyabihu"/>
    <s v="Muringa"/>
    <s v="NMUK_2"/>
    <s v="Giciye/Mukungwa Sub-Catchment"/>
    <n v="157.68"/>
  </r>
  <r>
    <x v="3"/>
    <s v="RUGANDA"/>
    <s v="Public"/>
    <x v="0"/>
    <s v="Nyabihu"/>
    <s v="Muringa"/>
    <s v="NMUK_2"/>
    <s v="Giciye/Mukungwa Sub-Catchment"/>
    <n v="6780.24"/>
  </r>
  <r>
    <x v="3"/>
    <s v="NYAMASHEKE II"/>
    <s v="Public"/>
    <x v="0"/>
    <s v="Nyabihu"/>
    <s v="Muringa"/>
    <s v="NMUK_2"/>
    <s v="Giciye/Mukungwa Sub-Catchment"/>
    <n v="315.36"/>
  </r>
  <r>
    <x v="3"/>
    <s v="MURINGA"/>
    <s v="Public"/>
    <x v="0"/>
    <s v="Nyabihu"/>
    <s v="Muringa"/>
    <s v="NMUK_2"/>
    <s v="Giciye/Mukungwa Sub-Catchment"/>
    <n v="2365.2000000000003"/>
  </r>
  <r>
    <x v="3"/>
    <s v="NYAMATETE"/>
    <s v="Public"/>
    <x v="0"/>
    <s v="Nyabihu"/>
    <s v="Muringa"/>
    <s v="NMUK_2"/>
    <s v="Giciye/Mukungwa Sub-Catchment"/>
    <n v="6937.920000000001"/>
  </r>
  <r>
    <x v="3"/>
    <s v="MUMBAGO"/>
    <s v="Public"/>
    <x v="0"/>
    <s v="Nyabihu"/>
    <s v="Muringa"/>
    <s v="NMUK_2"/>
    <s v="Giciye/Mukungwa Sub-Catchment"/>
    <n v="6307.2000000000007"/>
  </r>
  <r>
    <x v="3"/>
    <s v="KINYASENGE"/>
    <s v="Public"/>
    <x v="0"/>
    <s v="Nyabihu"/>
    <s v="Muringa"/>
    <s v="NMUK_2"/>
    <s v="Giciye/Mukungwa Sub-Catchment"/>
    <n v="5361.12"/>
  </r>
  <r>
    <x v="3"/>
    <s v="NYAMASHEKE I"/>
    <s v="Public"/>
    <x v="0"/>
    <s v="Nyabihu"/>
    <s v="Muringa"/>
    <s v="NMUK_2"/>
    <s v="Giciye/Mukungwa Sub-Catchment"/>
    <n v="630.72"/>
  </r>
  <r>
    <x v="3"/>
    <s v="MUKABERE"/>
    <s v="Public"/>
    <x v="0"/>
    <s v="Nyabihu"/>
    <s v="Muringa"/>
    <s v="NMUK_2"/>
    <s v="Giciye/Mukungwa Sub-Catchment"/>
    <n v="11037.6"/>
  </r>
  <r>
    <x v="3"/>
    <s v="KINYASENGE II"/>
    <s v="Public"/>
    <x v="0"/>
    <s v="Nyabihu"/>
    <s v="Muringa"/>
    <s v="NMUK_2"/>
    <s v="Giciye/Mukungwa Sub-Catchment"/>
    <n v="1261.44"/>
  </r>
  <r>
    <x v="3"/>
    <s v="KINYASENGE I"/>
    <s v="Public"/>
    <x v="0"/>
    <s v="Nyabihu"/>
    <s v="Muringa"/>
    <s v="NMUK_2"/>
    <s v="Giciye/Mukungwa Sub-Catchment"/>
    <n v="7884.0000000000009"/>
  </r>
  <r>
    <x v="3"/>
    <s v="NYIRANTARENGWA"/>
    <s v="Public"/>
    <x v="0"/>
    <s v="Nyabihu"/>
    <s v="Muringa"/>
    <s v="NMUK_2"/>
    <s v="Giciye/Mukungwa Sub-Catchment"/>
    <n v="2207.5200000000004"/>
  </r>
  <r>
    <x v="3"/>
    <s v="NTANGO II"/>
    <s v="Public"/>
    <x v="0"/>
    <s v="Nyabihu"/>
    <s v="Muringa"/>
    <s v="NMUK_2"/>
    <s v="Giciye/Mukungwa Sub-Catchment"/>
    <n v="788.40000000000009"/>
  </r>
  <r>
    <x v="3"/>
    <s v="ABASHYI II"/>
    <s v="Public"/>
    <x v="0"/>
    <s v="Nyabihu"/>
    <s v="Muringa"/>
    <s v="NMUK_2"/>
    <s v="Giciye/Mukungwa Sub-Catchment"/>
    <n v="3153.6000000000004"/>
  </r>
  <r>
    <x v="3"/>
    <s v="RURAMBO"/>
    <s v="Public"/>
    <x v="0"/>
    <s v="Nyabihu"/>
    <s v="Muringa"/>
    <s v="NMUK_2"/>
    <s v="Giciye/Mukungwa Sub-Catchment"/>
    <n v="946.08"/>
  </r>
  <r>
    <x v="3"/>
    <s v="MWANDARUYE"/>
    <s v="Public"/>
    <x v="0"/>
    <s v="Nyabihu"/>
    <s v="Muringa"/>
    <s v="NMUK_2"/>
    <s v="Giciye/Mukungwa Sub-Catchment"/>
    <n v="3153.6000000000004"/>
  </r>
  <r>
    <x v="3"/>
    <s v="ABASHYI I"/>
    <s v="Public"/>
    <x v="0"/>
    <s v="Nyabihu"/>
    <s v="Muringa"/>
    <s v="NMUK_2"/>
    <s v="Giciye/Mukungwa Sub-Catchment"/>
    <n v="6937.920000000001"/>
  </r>
  <r>
    <x v="3"/>
    <s v="GIHIRIMA"/>
    <s v="Public"/>
    <x v="0"/>
    <s v="Nyabihu"/>
    <s v="Muringa"/>
    <s v="NMUK_2"/>
    <s v="Giciye/Mukungwa Sub-Catchment"/>
    <n v="157.68"/>
  </r>
  <r>
    <x v="3"/>
    <s v="MURWANZOKA"/>
    <s v="Public"/>
    <x v="0"/>
    <s v="Nyabihu"/>
    <s v="Muringa"/>
    <s v="NMUK_2"/>
    <s v="Giciye/Mukungwa Sub-Catchment"/>
    <n v="6622.5599999999995"/>
  </r>
  <r>
    <x v="3"/>
    <s v="KURWABATAMA"/>
    <s v="Public"/>
    <x v="0"/>
    <s v="Nyabihu"/>
    <s v="Muringa"/>
    <s v="NMUK_2"/>
    <s v="Giciye/Mukungwa Sub-Catchment"/>
    <n v="7253.28"/>
  </r>
  <r>
    <x v="3"/>
    <s v="KINIHIRA"/>
    <s v="Public"/>
    <x v="0"/>
    <s v="Nyabihu"/>
    <s v="Muringa"/>
    <s v="NMUK_2"/>
    <s v="Giciye/Mukungwa Sub-Catchment"/>
    <n v="157.68"/>
  </r>
  <r>
    <x v="3"/>
    <s v="MUDAHARINKA"/>
    <s v="Public"/>
    <x v="0"/>
    <s v="Nyabihu"/>
    <s v="Muringa"/>
    <s v="NMUK_2"/>
    <s v="Giciye/Mukungwa Sub-Catchment"/>
    <n v="1261.44"/>
  </r>
  <r>
    <x v="3"/>
    <s v="NTANGO I"/>
    <s v="Public"/>
    <x v="0"/>
    <s v="Nyabihu"/>
    <s v="Muringa"/>
    <s v="NMUK_2"/>
    <s v="Giciye/Mukungwa Sub-Catchment"/>
    <n v="473.04"/>
  </r>
  <r>
    <x v="3"/>
    <s v="KABERE"/>
    <s v="Public"/>
    <x v="0"/>
    <s v="Nyabihu"/>
    <s v="Muringa"/>
    <s v="NMUK_2"/>
    <s v="Giciye/Mukungwa Sub-Catchment"/>
    <n v="7884.0000000000009"/>
  </r>
  <r>
    <x v="3"/>
    <s v="GAHANGA III"/>
    <s v="Public"/>
    <x v="0"/>
    <s v="Nyabihu"/>
    <s v="Muringa"/>
    <s v="NMUK_2"/>
    <s v="Giciye/Mukungwa Sub-Catchment"/>
    <n v="3942.0000000000005"/>
  </r>
  <r>
    <x v="3"/>
    <s v="GAHANGA II"/>
    <s v="Public"/>
    <x v="0"/>
    <s v="Nyabihu"/>
    <s v="Muringa"/>
    <s v="NMUK_2"/>
    <s v="Giciye/Mukungwa Sub-Catchment"/>
    <n v="3153.6000000000004"/>
  </r>
  <r>
    <x v="3"/>
    <s v="NYAMWASAMA"/>
    <s v="Public"/>
    <x v="0"/>
    <s v="Nyabihu"/>
    <s v="Muringa"/>
    <s v="NMUK_2"/>
    <s v="Giciye/Mukungwa Sub-Catchment"/>
    <n v="3942.0000000000005"/>
  </r>
  <r>
    <x v="3"/>
    <s v="NYIRARUTAGARA"/>
    <s v="Public"/>
    <x v="0"/>
    <s v="Nyabihu"/>
    <s v="Muringa"/>
    <s v="NMUK_2"/>
    <s v="Giciye/Mukungwa Sub-Catchment"/>
    <n v="2838.24"/>
  </r>
  <r>
    <x v="3"/>
    <s v="NYIRAHIRWA"/>
    <s v="Public"/>
    <x v="0"/>
    <s v="Nyabihu"/>
    <s v="Muringa"/>
    <s v="NMUK_2"/>
    <s v="Giciye/Mukungwa Sub-Catchment"/>
    <n v="1892.16"/>
  </r>
  <r>
    <x v="3"/>
    <s v="MASHA"/>
    <s v="Public"/>
    <x v="0"/>
    <s v="Nyabihu"/>
    <s v="Muringa"/>
    <s v="NMUK_2"/>
    <s v="Giciye/Mukungwa Sub-Catchment"/>
    <n v="1103.7600000000002"/>
  </r>
  <r>
    <x v="3"/>
    <s v="GISIZI II"/>
    <s v="Public"/>
    <x v="0"/>
    <s v="Nyabihu"/>
    <s v="Muringa"/>
    <s v="NMUK_2"/>
    <s v="Giciye/Mukungwa Sub-Catchment"/>
    <n v="157.68"/>
  </r>
  <r>
    <x v="3"/>
    <s v="GAKAMBA"/>
    <s v="Public"/>
    <x v="0"/>
    <s v="Nyabihu"/>
    <s v="Muringa"/>
    <s v="NMUK_2"/>
    <s v="Giciye/Mukungwa Sub-Catchment"/>
    <n v="3153.6000000000004"/>
  </r>
  <r>
    <x v="3"/>
    <s v="GIHINGIRWA"/>
    <s v="Public"/>
    <x v="0"/>
    <s v="Nyabihu"/>
    <s v="Muringa"/>
    <s v="NMUK_2"/>
    <s v="Giciye/Mukungwa Sub-Catchment"/>
    <n v="3942.0000000000005"/>
  </r>
  <r>
    <x v="3"/>
    <s v="GISIZI I"/>
    <s v="Public"/>
    <x v="0"/>
    <s v="Nyabihu"/>
    <s v="Muringa"/>
    <s v="NMUK_2"/>
    <s v="Giciye/Mukungwa Sub-Catchment"/>
    <n v="3626.64"/>
  </r>
  <r>
    <x v="3"/>
    <s v="BWIZA"/>
    <s v="Public"/>
    <x v="0"/>
    <s v="Nyabihu"/>
    <s v="Muringa"/>
    <s v="NMUK_2"/>
    <s v="Giciye/Mukungwa Sub-Catchment"/>
    <n v="1576.8000000000002"/>
  </r>
  <r>
    <x v="3"/>
    <s v="RUTARAGA"/>
    <s v="Public"/>
    <x v="0"/>
    <s v="Nyabihu"/>
    <s v="Muringa"/>
    <s v="NMUK_2"/>
    <s v="Giciye/Mukungwa Sub-Catchment"/>
    <n v="157.68"/>
  </r>
  <r>
    <x v="3"/>
    <s v="RUBARE"/>
    <s v="Public"/>
    <x v="0"/>
    <s v="Nyabihu"/>
    <s v="Muringa"/>
    <s v="NMUK_2"/>
    <s v="Giciye/Mukungwa Sub-Catchment"/>
    <n v="2207.5200000000004"/>
  </r>
  <r>
    <x v="3"/>
    <s v="MAGARURE"/>
    <s v="Public"/>
    <x v="0"/>
    <s v="Musanze"/>
    <s v="Nkotsi"/>
    <s v="NMUK_2"/>
    <s v="Giciye/Mukungwa Sub-Catchment"/>
    <n v="0"/>
  </r>
  <r>
    <x v="3"/>
    <s v="MUVUNANGOMA II"/>
    <s v="Public"/>
    <x v="0"/>
    <s v="Musanze"/>
    <s v="Nkotsi"/>
    <s v="NMUK_2"/>
    <s v="Giciye/Mukungwa Sub-Catchment"/>
    <n v="788.40000000000009"/>
  </r>
  <r>
    <x v="3"/>
    <s v="MUVUNANGOMA I"/>
    <s v="Public"/>
    <x v="0"/>
    <s v="Musanze"/>
    <s v="Nkotsi"/>
    <s v="NMUK_2"/>
    <s v="Giciye/Mukungwa Sub-Catchment"/>
    <n v="630.72"/>
  </r>
  <r>
    <x v="3"/>
    <s v="NYAGAHONDO III"/>
    <s v="Public"/>
    <x v="0"/>
    <s v="Musanze"/>
    <s v="Nkotsi"/>
    <s v="NMUK_2"/>
    <s v="Giciye/Mukungwa Sub-Catchment"/>
    <n v="6307.2000000000007"/>
  </r>
  <r>
    <x v="3"/>
    <s v="NYAGAHONDO II"/>
    <s v="Public"/>
    <x v="0"/>
    <s v="Musanze"/>
    <s v="Nkotsi"/>
    <s v="NMUK_2"/>
    <s v="Giciye/Mukungwa Sub-Catchment"/>
    <n v="5676.48"/>
  </r>
  <r>
    <x v="3"/>
    <s v="NYAGAHONDO I"/>
    <s v="Public"/>
    <x v="0"/>
    <s v="Musanze"/>
    <s v="Nkotsi"/>
    <s v="NMUK_2"/>
    <s v="Giciye/Mukungwa Sub-Catchment"/>
    <n v="0"/>
  </r>
  <r>
    <x v="3"/>
    <s v="GAKORE"/>
    <s v="Public"/>
    <x v="0"/>
    <s v="Musanze"/>
    <s v="Nkotsi"/>
    <s v="NMUK_2"/>
    <s v="Giciye/Mukungwa Sub-Catchment"/>
    <n v="0"/>
  </r>
  <r>
    <x v="3"/>
    <s v="CHEZ NDORUBWABO"/>
    <s v="Public"/>
    <x v="0"/>
    <s v="Musanze"/>
    <s v="Nkotsi"/>
    <s v="NMUK_2"/>
    <s v="Giciye/Mukungwa Sub-Catchment"/>
    <n v="31536.000000000004"/>
  </r>
  <r>
    <x v="3"/>
    <s v="NYAMABUYE"/>
    <s v="Public"/>
    <x v="0"/>
    <s v="Musanze"/>
    <s v="Nkotsi"/>
    <s v="NMUK_2"/>
    <s v="Giciye/Mukungwa Sub-Catchment"/>
    <n v="2680.56"/>
  </r>
  <r>
    <x v="3"/>
    <s v="CHEZ BAKUNZI"/>
    <s v="Public"/>
    <x v="0"/>
    <s v="Musanze"/>
    <s v="Nkotsi"/>
    <s v="NMUK_2"/>
    <s v="Giciye/Mukungwa Sub-Catchment"/>
    <n v="2838.24"/>
  </r>
  <r>
    <x v="3"/>
    <s v="KARUGANO"/>
    <s v="Public"/>
    <x v="0"/>
    <s v="Musanze"/>
    <s v="Nkotsi"/>
    <s v="NMUK_2"/>
    <s v="Giciye/Mukungwa Sub-Catchment"/>
    <n v="1419.12"/>
  </r>
  <r>
    <x v="3"/>
    <s v="GATOYI"/>
    <s v="Public"/>
    <x v="0"/>
    <s v="Nyabihu"/>
    <s v="Rambura"/>
    <s v="NMUK_2"/>
    <s v="Giciye/Mukungwa Sub-Catchment"/>
    <n v="2049.84"/>
  </r>
  <r>
    <x v="3"/>
    <s v="KUWAWA"/>
    <s v="Public"/>
    <x v="0"/>
    <s v="Nyabihu"/>
    <s v="Rambura"/>
    <s v="NMUK_2"/>
    <s v="Giciye/Mukungwa Sub-Catchment"/>
    <n v="788.40000000000009"/>
  </r>
  <r>
    <x v="3"/>
    <s v="CYUGI"/>
    <s v="Public"/>
    <x v="0"/>
    <s v="Nyabihu"/>
    <s v="Rambura"/>
    <s v="NMUK_2"/>
    <s v="Giciye/Mukungwa Sub-Catchment"/>
    <n v="2838.24"/>
  </r>
  <r>
    <x v="3"/>
    <s v="KAMAKOMA"/>
    <s v="Public"/>
    <x v="0"/>
    <s v="Nyabihu"/>
    <s v="Rambura"/>
    <s v="NMUK_2"/>
    <s v="Giciye/Mukungwa Sub-Catchment"/>
    <n v="3468.9600000000005"/>
  </r>
  <r>
    <x v="3"/>
    <s v="BAHIMBA"/>
    <s v="Public"/>
    <x v="0"/>
    <s v="Nyabihu"/>
    <s v="Rambura"/>
    <s v="NMUK_2"/>
    <s v="Giciye/Mukungwa Sub-Catchment"/>
    <n v="5991.84"/>
  </r>
  <r>
    <x v="3"/>
    <s v="MURUBUBA"/>
    <s v="Public"/>
    <x v="0"/>
    <s v="Nyabihu"/>
    <s v="Rambura"/>
    <s v="NMUK_2"/>
    <s v="Giciye/Mukungwa Sub-Catchment"/>
    <n v="7410.9599999999991"/>
  </r>
  <r>
    <x v="3"/>
    <s v="BASHARA"/>
    <s v="Public"/>
    <x v="0"/>
    <s v="Nyabihu"/>
    <s v="Rambura"/>
    <s v="NMUK_2"/>
    <s v="Giciye/Mukungwa Sub-Catchment"/>
    <n v="6307.2000000000007"/>
  </r>
  <r>
    <x v="3"/>
    <s v="GASHARI"/>
    <s v="Public"/>
    <x v="0"/>
    <s v="Nyabihu"/>
    <s v="Rambura"/>
    <s v="NMUK_2"/>
    <s v="Giciye/Mukungwa Sub-Catchment"/>
    <n v="9460.8000000000011"/>
  </r>
  <r>
    <x v="3"/>
    <s v="RUGABANE"/>
    <s v="Public"/>
    <x v="0"/>
    <s v="Nyabihu"/>
    <s v="Rambura"/>
    <s v="NMUK_2"/>
    <s v="Giciye/Mukungwa Sub-Catchment"/>
    <n v="7884.0000000000009"/>
  </r>
  <r>
    <x v="3"/>
    <s v="RYARUGARURA"/>
    <s v="Public"/>
    <x v="0"/>
    <s v="Nyabihu"/>
    <s v="Rambura"/>
    <s v="NMUK_2"/>
    <s v="Giciye/Mukungwa Sub-Catchment"/>
    <n v="157.68"/>
  </r>
  <r>
    <x v="3"/>
    <s v="NYABWUNGA II"/>
    <s v="Public"/>
    <x v="0"/>
    <s v="Nyabihu"/>
    <s v="Rambura"/>
    <s v="NMUK_2"/>
    <s v="Giciye/Mukungwa Sub-Catchment"/>
    <n v="1892.16"/>
  </r>
  <r>
    <x v="3"/>
    <s v="SEBIZA"/>
    <s v="Public"/>
    <x v="0"/>
    <s v="Nyabihu"/>
    <s v="Rambura"/>
    <s v="NMUK_2"/>
    <s v="Giciye/Mukungwa Sub-Catchment"/>
    <n v="9460.8000000000011"/>
  </r>
  <r>
    <x v="3"/>
    <s v="KABASHUMBA"/>
    <s v="Public"/>
    <x v="0"/>
    <s v="Nyabihu"/>
    <s v="Rambura"/>
    <s v="NMUK_2"/>
    <s v="Giciye/Mukungwa Sub-Catchment"/>
    <n v="6307.2000000000007"/>
  </r>
  <r>
    <x v="3"/>
    <s v="KIMISEBEYA"/>
    <s v="Public"/>
    <x v="0"/>
    <s v="Nyabihu"/>
    <s v="Rambura"/>
    <s v="NMUK_2"/>
    <s v="Giciye/Mukungwa Sub-Catchment"/>
    <n v="7884.0000000000009"/>
  </r>
  <r>
    <x v="3"/>
    <s v="NTEKO I"/>
    <s v="Public"/>
    <x v="0"/>
    <s v="Nyabihu"/>
    <s v="Rambura"/>
    <s v="NMUK_2"/>
    <s v="Giciye/Mukungwa Sub-Catchment"/>
    <n v="12614.400000000001"/>
  </r>
  <r>
    <x v="3"/>
    <s v="KUMURWA"/>
    <s v="Public"/>
    <x v="0"/>
    <s v="Nyabihu"/>
    <s v="Rambura"/>
    <s v="NMUK_2"/>
    <s v="Giciye/Mukungwa Sub-Catchment"/>
    <n v="6307.2000000000007"/>
  </r>
  <r>
    <x v="3"/>
    <s v="NYAGATARE"/>
    <s v="Public"/>
    <x v="0"/>
    <s v="Nyabihu"/>
    <s v="Rambura"/>
    <s v="NMUK_2"/>
    <s v="Giciye/Mukungwa Sub-Catchment"/>
    <n v="2207.5200000000004"/>
  </r>
  <r>
    <x v="3"/>
    <s v="NTEKO II"/>
    <s v="Public"/>
    <x v="0"/>
    <s v="Nyabihu"/>
    <s v="Rambura"/>
    <s v="NMUK_2"/>
    <s v="Giciye/Mukungwa Sub-Catchment"/>
    <n v="2680.56"/>
  </r>
  <r>
    <x v="3"/>
    <s v="KINYOGA"/>
    <s v="Public"/>
    <x v="0"/>
    <s v="Nyabihu"/>
    <s v="Rambura"/>
    <s v="NMUK_2"/>
    <s v="Giciye/Mukungwa Sub-Catchment"/>
    <n v="1576.8000000000002"/>
  </r>
  <r>
    <x v="3"/>
    <s v="MARIBA"/>
    <s v="Public"/>
    <x v="0"/>
    <s v="Nyabihu"/>
    <s v="Rambura"/>
    <s v="NMUK_2"/>
    <s v="Giciye/Mukungwa Sub-Catchment"/>
    <n v="2049.84"/>
  </r>
  <r>
    <x v="3"/>
    <s v="RWANTARE II"/>
    <s v="Public"/>
    <x v="0"/>
    <s v="Nyabihu"/>
    <s v="Rambura"/>
    <s v="NMUK_2"/>
    <s v="Giciye/Mukungwa Sub-Catchment"/>
    <n v="12614.400000000001"/>
  </r>
  <r>
    <x v="3"/>
    <s v="RWANTARE I"/>
    <s v="Public"/>
    <x v="0"/>
    <s v="Nyabihu"/>
    <s v="Rambura"/>
    <s v="NMUK_2"/>
    <s v="Giciye/Mukungwa Sub-Catchment"/>
    <n v="1892.16"/>
  </r>
  <r>
    <x v="3"/>
    <s v="RUTOBO II"/>
    <s v="Public"/>
    <x v="0"/>
    <s v="Nyabihu"/>
    <s v="Rambura"/>
    <s v="NMUK_2"/>
    <s v="Giciye/Mukungwa Sub-Catchment"/>
    <n v="6307.2000000000007"/>
  </r>
  <r>
    <x v="3"/>
    <s v="BUMBA"/>
    <s v="Public"/>
    <x v="0"/>
    <s v="Nyabihu"/>
    <s v="Rambura"/>
    <s v="NMUK_2"/>
    <s v="Giciye/Mukungwa Sub-Catchment"/>
    <n v="1261.44"/>
  </r>
  <r>
    <x v="3"/>
    <s v="RUTOBO"/>
    <s v="Public"/>
    <x v="0"/>
    <s v="Nyabihu"/>
    <s v="Rambura"/>
    <s v="NMUK_2"/>
    <s v="Giciye/Mukungwa Sub-Catchment"/>
    <n v="2207.5200000000004"/>
  </r>
  <r>
    <x v="3"/>
    <s v="MURWANYA"/>
    <s v="Public"/>
    <x v="0"/>
    <s v="Nyabihu"/>
    <s v="Rambura"/>
    <s v="NMUK_2"/>
    <s v="Giciye/Mukungwa Sub-Catchment"/>
    <n v="1892.16"/>
  </r>
  <r>
    <x v="3"/>
    <s v="NTARAMA"/>
    <s v="Public"/>
    <x v="0"/>
    <s v="Nyabihu"/>
    <s v="Rambura"/>
    <s v="NMUK_2"/>
    <s v="Giciye/Mukungwa Sub-Catchment"/>
    <n v="1576.8000000000002"/>
  </r>
  <r>
    <x v="3"/>
    <s v="RUSOGO"/>
    <s v="Public"/>
    <x v="0"/>
    <s v="Nyabihu"/>
    <s v="Rambura"/>
    <s v="NMUK_2"/>
    <s v="Giciye/Mukungwa Sub-Catchment"/>
    <n v="12614.400000000001"/>
  </r>
  <r>
    <x v="3"/>
    <s v="MUCUZI"/>
    <s v="Public"/>
    <x v="0"/>
    <s v="Nyabihu"/>
    <s v="Rambura"/>
    <s v="NMUK_2"/>
    <s v="Giciye/Mukungwa Sub-Catchment"/>
    <n v="2522.88"/>
  </r>
  <r>
    <x v="3"/>
    <s v="BUKOMEYE"/>
    <s v="Public"/>
    <x v="0"/>
    <s v="Nyabihu"/>
    <s v="Rambura"/>
    <s v="NMUK_2"/>
    <s v="Giciye/Mukungwa Sub-Catchment"/>
    <n v="9460.8000000000011"/>
  </r>
  <r>
    <x v="3"/>
    <s v="CYANIKA"/>
    <s v="Public"/>
    <x v="0"/>
    <s v="Nyabihu"/>
    <s v="Rambura"/>
    <s v="NMUK_2"/>
    <s v="Giciye/Mukungwa Sub-Catchment"/>
    <n v="12614.400000000001"/>
  </r>
  <r>
    <x v="3"/>
    <s v="NYANGURAGURA"/>
    <s v="Public"/>
    <x v="0"/>
    <s v="Nyabihu"/>
    <s v="Rambura"/>
    <s v="NMUK_2"/>
    <s v="Giciye/Mukungwa Sub-Catchment"/>
    <n v="9460.8000000000011"/>
  </r>
  <r>
    <x v="3"/>
    <s v="RWENZO"/>
    <s v="Public"/>
    <x v="0"/>
    <s v="Nyabihu"/>
    <s v="Rambura"/>
    <s v="NMUK_2"/>
    <s v="Giciye/Mukungwa Sub-Catchment"/>
    <n v="7884.0000000000009"/>
  </r>
  <r>
    <x v="3"/>
    <s v="MAGUMIRO"/>
    <s v="Public"/>
    <x v="0"/>
    <s v="Musanze"/>
    <s v="Remera"/>
    <s v="NMUK_2"/>
    <s v="Giciye/Mukungwa Sub-Catchment"/>
    <n v="5361.12"/>
  </r>
  <r>
    <x v="3"/>
    <s v="CYIZANYE"/>
    <s v="Public"/>
    <x v="0"/>
    <s v="Musanze"/>
    <s v="Remera"/>
    <s v="NMUK_2"/>
    <s v="Giciye/Mukungwa Sub-Catchment"/>
    <n v="5203.4400000000005"/>
  </r>
  <r>
    <x v="3"/>
    <s v="NINDA"/>
    <s v="Public"/>
    <x v="0"/>
    <s v="Musanze"/>
    <s v="Remera"/>
    <s v="NMUK_2"/>
    <s v="Giciye/Mukungwa Sub-Catchment"/>
    <n v="9460.8000000000011"/>
  </r>
  <r>
    <x v="3"/>
    <s v="NGEZI 1"/>
    <s v="Public"/>
    <x v="0"/>
    <s v="Musanze"/>
    <s v="Remera"/>
    <s v="NMUK_2"/>
    <s v="Giciye/Mukungwa Sub-Catchment"/>
    <n v="28382.400000000001"/>
  </r>
  <r>
    <x v="3"/>
    <s v="NGEZI 2"/>
    <s v="Public"/>
    <x v="0"/>
    <s v="Musanze"/>
    <s v="Remera"/>
    <s v="NMUK_2"/>
    <s v="Giciye/Mukungwa Sub-Catchment"/>
    <n v="18921.600000000002"/>
  </r>
  <r>
    <x v="3"/>
    <s v="GACACA"/>
    <s v="Public"/>
    <x v="0"/>
    <s v="Musanze"/>
    <s v="Remera"/>
    <s v="NMUK_2"/>
    <s v="Giciye/Mukungwa Sub-Catchment"/>
    <n v="4730.4000000000005"/>
  </r>
  <r>
    <x v="3"/>
    <s v="GASEBEYA"/>
    <s v="Public"/>
    <x v="0"/>
    <s v="Musanze"/>
    <s v="Remera"/>
    <s v="NMUK_2"/>
    <s v="Giciye/Mukungwa Sub-Catchment"/>
    <n v="9460.8000000000011"/>
  </r>
  <r>
    <x v="3"/>
    <s v="MUKARUSANGA"/>
    <s v="Public"/>
    <x v="0"/>
    <s v="Musanze"/>
    <s v="Remera"/>
    <s v="NMUK_2"/>
    <s v="Giciye/Mukungwa Sub-Catchment"/>
    <n v="9460.8000000000011"/>
  </r>
  <r>
    <x v="3"/>
    <s v="GASAMUNYIGA"/>
    <s v="Public"/>
    <x v="0"/>
    <s v="Musanze"/>
    <s v="Remera"/>
    <s v="NMUK_2"/>
    <s v="Giciye/Mukungwa Sub-Catchment"/>
    <n v="12614.400000000001"/>
  </r>
  <r>
    <x v="3"/>
    <s v="RYARUTSINZE"/>
    <s v="Public"/>
    <x v="0"/>
    <s v="Musanze"/>
    <s v="Remera"/>
    <s v="NMUK_2"/>
    <s v="Giciye/Mukungwa Sub-Catchment"/>
    <n v="11037.6"/>
  </r>
  <r>
    <x v="3"/>
    <s v="RWIKUBO"/>
    <s v="Public"/>
    <x v="0"/>
    <s v="Musanze"/>
    <s v="Remera"/>
    <s v="NMUK_2"/>
    <s v="Giciye/Mukungwa Sub-Catchment"/>
    <n v="3153.6000000000004"/>
  </r>
  <r>
    <x v="3"/>
    <s v="RWAMUSARO"/>
    <s v="Public"/>
    <x v="0"/>
    <s v="Musanze"/>
    <s v="Remera"/>
    <s v="NMUK_2"/>
    <s v="Giciye/Mukungwa Sub-Catchment"/>
    <n v="18921.600000000002"/>
  </r>
  <r>
    <x v="3"/>
    <s v="KIGABIRO"/>
    <s v="Public"/>
    <x v="0"/>
    <s v="Musanze"/>
    <s v="Remera"/>
    <s v="NMUK_2"/>
    <s v="Giciye/Mukungwa Sub-Catchment"/>
    <n v="3153.6000000000004"/>
  </r>
  <r>
    <x v="3"/>
    <s v="KANYINYA"/>
    <s v="Public"/>
    <x v="0"/>
    <s v="Musanze"/>
    <s v="Remera"/>
    <s v="NMUK_2"/>
    <s v="Giciye/Mukungwa Sub-Catchment"/>
    <n v="1103.7600000000002"/>
  </r>
  <r>
    <x v="3"/>
    <s v="AKABUGA"/>
    <s v="Public"/>
    <x v="0"/>
    <s v="Musanze"/>
    <s v="Remera"/>
    <s v="NMUK_2"/>
    <s v="Giciye/Mukungwa Sub-Catchment"/>
    <n v="12614.400000000001"/>
  </r>
  <r>
    <x v="3"/>
    <s v="KANYINYA II"/>
    <s v="Public"/>
    <x v="0"/>
    <s v="Nyabihu"/>
    <s v="Rugera"/>
    <s v="NMUK_2"/>
    <s v="Giciye/Mukungwa Sub-Catchment"/>
    <n v="788.40000000000009"/>
  </r>
  <r>
    <x v="3"/>
    <s v="KANYINYA I"/>
    <s v="Public"/>
    <x v="0"/>
    <s v="Nyabihu"/>
    <s v="Rugera"/>
    <s v="NMUK_2"/>
    <s v="Giciye/Mukungwa Sub-Catchment"/>
    <n v="473.04"/>
  </r>
  <r>
    <x v="3"/>
    <s v="RWINYANA"/>
    <s v="Public"/>
    <x v="0"/>
    <s v="Nyabihu"/>
    <s v="Rugera"/>
    <s v="NMUK_2"/>
    <s v="Giciye/Mukungwa Sub-Catchment"/>
    <n v="630.72"/>
  </r>
  <r>
    <x v="3"/>
    <s v="NYAKIRIBA"/>
    <s v="Public"/>
    <x v="0"/>
    <s v="Nyabihu"/>
    <s v="Rugera"/>
    <s v="NMUK_2"/>
    <s v="Giciye/Mukungwa Sub-Catchment"/>
    <n v="1576.8000000000002"/>
  </r>
  <r>
    <x v="3"/>
    <s v="RUSASA"/>
    <s v="Public"/>
    <x v="0"/>
    <s v="Nyabihu"/>
    <s v="Rugera"/>
    <s v="NMUK_2"/>
    <s v="Giciye/Mukungwa Sub-Catchment"/>
    <n v="946.08"/>
  </r>
  <r>
    <x v="3"/>
    <s v="RUTARE"/>
    <s v="Public"/>
    <x v="0"/>
    <s v="Nyabihu"/>
    <s v="Rugera"/>
    <s v="NMUK_2"/>
    <s v="Giciye/Mukungwa Sub-Catchment"/>
    <n v="630.72"/>
  </r>
  <r>
    <x v="3"/>
    <s v="KIBANDE"/>
    <s v="Public"/>
    <x v="0"/>
    <s v="Nyabihu"/>
    <s v="Rugera"/>
    <s v="NMUK_2"/>
    <s v="Giciye/Mukungwa Sub-Catchment"/>
    <n v="1103.7600000000002"/>
  </r>
  <r>
    <x v="3"/>
    <s v="MUHONGO"/>
    <s v="Public"/>
    <x v="0"/>
    <s v="Nyabihu"/>
    <s v="Rugera"/>
    <s v="NMUK_2"/>
    <s v="Giciye/Mukungwa Sub-Catchment"/>
    <n v="3153.6000000000004"/>
  </r>
  <r>
    <x v="3"/>
    <s v="NYAMUNINI"/>
    <s v="Public"/>
    <x v="0"/>
    <s v="Nyabihu"/>
    <s v="Rugera"/>
    <s v="NMUK_2"/>
    <s v="Giciye/Mukungwa Sub-Catchment"/>
    <n v="1419.12"/>
  </r>
  <r>
    <x v="3"/>
    <s v="MURARA"/>
    <s v="Public"/>
    <x v="0"/>
    <s v="Nyabihu"/>
    <s v="Rugera"/>
    <s v="NMUK_2"/>
    <s v="Giciye/Mukungwa Sub-Catchment"/>
    <n v="7884.0000000000009"/>
  </r>
  <r>
    <x v="3"/>
    <s v="KUGATARE"/>
    <s v="Public"/>
    <x v="0"/>
    <s v="Nyabihu"/>
    <s v="Rugera"/>
    <s v="NMUK_2"/>
    <s v="Giciye/Mukungwa Sub-Catchment"/>
    <n v="1103.7600000000002"/>
  </r>
  <r>
    <x v="3"/>
    <s v="NYAGASOZI"/>
    <s v="Public"/>
    <x v="0"/>
    <s v="Nyabihu"/>
    <s v="Rugera"/>
    <s v="NMUK_2"/>
    <s v="Giciye/Mukungwa Sub-Catchment"/>
    <n v="78.84"/>
  </r>
  <r>
    <x v="3"/>
    <s v="NTEBE"/>
    <s v="Public"/>
    <x v="0"/>
    <s v="Nyabihu"/>
    <s v="Rugera"/>
    <s v="NMUK_2"/>
    <s v="Giciye/Mukungwa Sub-Catchment"/>
    <n v="157.68"/>
  </r>
  <r>
    <x v="3"/>
    <s v="KARAMBI"/>
    <s v="Public"/>
    <x v="0"/>
    <s v="Nyabihu"/>
    <s v="Rugera"/>
    <s v="NMUK_2"/>
    <s v="Giciye/Mukungwa Sub-Catchment"/>
    <n v="1419.12"/>
  </r>
  <r>
    <x v="3"/>
    <s v="NINDA I"/>
    <s v="Public"/>
    <x v="0"/>
    <s v="Nyabihu"/>
    <s v="Rugera"/>
    <s v="NMUK_2"/>
    <s v="Giciye/Mukungwa Sub-Catchment"/>
    <n v="788.40000000000009"/>
  </r>
  <r>
    <x v="3"/>
    <s v="KIBANDA I"/>
    <s v="Public"/>
    <x v="0"/>
    <s v="Nyabihu"/>
    <s v="Rugera"/>
    <s v="NMUK_2"/>
    <s v="Giciye/Mukungwa Sub-Catchment"/>
    <n v="1261.44"/>
  </r>
  <r>
    <x v="3"/>
    <s v="MUROMBERO"/>
    <s v="Public"/>
    <x v="0"/>
    <s v="Nyabihu"/>
    <s v="Rugera"/>
    <s v="NMUK_2"/>
    <s v="Giciye/Mukungwa Sub-Catchment"/>
    <n v="315.36"/>
  </r>
  <r>
    <x v="3"/>
    <s v="NYIRAMAJERI"/>
    <s v="Public"/>
    <x v="0"/>
    <s v="Nyabihu"/>
    <s v="Rugera"/>
    <s v="NMUK_2"/>
    <s v="Giciye/Mukungwa Sub-Catchment"/>
    <n v="1419.12"/>
  </r>
  <r>
    <x v="3"/>
    <s v="KIBANDA II"/>
    <s v="Public"/>
    <x v="0"/>
    <s v="Nyabihu"/>
    <s v="Rugera"/>
    <s v="NMUK_2"/>
    <s v="Giciye/Mukungwa Sub-Catchment"/>
    <n v="1419.12"/>
  </r>
  <r>
    <x v="3"/>
    <s v="KAZABAGARURA"/>
    <s v="Public"/>
    <x v="0"/>
    <s v="Nyabihu"/>
    <s v="Rugera"/>
    <s v="NMUK_2"/>
    <s v="Giciye/Mukungwa Sub-Catchment"/>
    <n v="1734.4800000000002"/>
  </r>
  <r>
    <x v="3"/>
    <s v="BUZAGE"/>
    <s v="Public"/>
    <x v="0"/>
    <s v="Nyabihu"/>
    <s v="Rugera"/>
    <s v="NMUK_2"/>
    <s v="Giciye/Mukungwa Sub-Catchment"/>
    <n v="3942.0000000000005"/>
  </r>
  <r>
    <x v="3"/>
    <s v="NINDA"/>
    <s v="Public"/>
    <x v="0"/>
    <s v="Nyabihu"/>
    <s v="Rugera"/>
    <s v="NMUK_2"/>
    <s v="Giciye/Mukungwa Sub-Catchment"/>
    <n v="1892.16"/>
  </r>
  <r>
    <x v="3"/>
    <s v="RUHUMBA"/>
    <s v="Public"/>
    <x v="0"/>
    <s v="Nyabihu"/>
    <s v="Rugera"/>
    <s v="NMUK_2"/>
    <s v="Giciye/Mukungwa Sub-Catchment"/>
    <n v="473.04"/>
  </r>
  <r>
    <x v="3"/>
    <s v="NYABUYAZI"/>
    <s v="Public"/>
    <x v="0"/>
    <s v="Nyabihu"/>
    <s v="Rugera"/>
    <s v="NMUK_2"/>
    <s v="Giciye/Mukungwa Sub-Catchment"/>
    <n v="5203.4400000000005"/>
  </r>
  <r>
    <x v="3"/>
    <s v="MUHIMBO I"/>
    <s v="Public"/>
    <x v="0"/>
    <s v="Nyabihu"/>
    <s v="Rugera"/>
    <s v="NMUK_2"/>
    <s v="Giciye/Mukungwa Sub-Catchment"/>
    <n v="315.36"/>
  </r>
  <r>
    <x v="3"/>
    <s v="MUHIMBO II"/>
    <s v="Public"/>
    <x v="0"/>
    <s v="Nyabihu"/>
    <s v="Rugera"/>
    <s v="NMUK_2"/>
    <s v="Giciye/Mukungwa Sub-Catchment"/>
    <n v="788.40000000000009"/>
  </r>
  <r>
    <x v="3"/>
    <s v="BWANGANZARA"/>
    <s v="Public"/>
    <x v="0"/>
    <s v="Nyabihu"/>
    <s v="Rugera"/>
    <s v="NMUK_2"/>
    <s v="Giciye/Mukungwa Sub-Catchment"/>
    <n v="5203.4400000000005"/>
  </r>
  <r>
    <x v="3"/>
    <s v="BUKEZI"/>
    <s v="Public"/>
    <x v="0"/>
    <s v="Nyabihu"/>
    <s v="Rugera"/>
    <s v="NMUK_2"/>
    <s v="Giciye/Mukungwa Sub-Catchment"/>
    <n v="315.36"/>
  </r>
  <r>
    <x v="3"/>
    <s v="GASAYO II"/>
    <s v="Public"/>
    <x v="0"/>
    <s v="Nyabihu"/>
    <s v="Rugera"/>
    <s v="NMUK_2"/>
    <s v="Giciye/Mukungwa Sub-Catchment"/>
    <n v="1734.4800000000002"/>
  </r>
  <r>
    <x v="3"/>
    <s v="TAMIRA I"/>
    <s v="Public"/>
    <x v="0"/>
    <s v="Nyabihu"/>
    <s v="Rugera"/>
    <s v="NMUK_2"/>
    <s v="Giciye/Mukungwa Sub-Catchment"/>
    <n v="2207.5200000000004"/>
  </r>
  <r>
    <x v="3"/>
    <s v="TAMIRA II"/>
    <s v="Public"/>
    <x v="0"/>
    <s v="Nyabihu"/>
    <s v="Rugera"/>
    <s v="NMUK_2"/>
    <s v="Giciye/Mukungwa Sub-Catchment"/>
    <n v="2522.88"/>
  </r>
  <r>
    <x v="3"/>
    <s v="BWIKURURE"/>
    <s v="Public"/>
    <x v="0"/>
    <s v="Nyabihu"/>
    <s v="Rugera"/>
    <s v="NMUK_2"/>
    <s v="Giciye/Mukungwa Sub-Catchment"/>
    <n v="5203.4400000000005"/>
  </r>
  <r>
    <x v="3"/>
    <s v="KANYEMPACYA"/>
    <s v="Public"/>
    <x v="0"/>
    <s v="Nyabihu"/>
    <s v="Rugera"/>
    <s v="NMUK_2"/>
    <s v="Giciye/Mukungwa Sub-Catchment"/>
    <n v="1103.7600000000002"/>
  </r>
  <r>
    <x v="3"/>
    <s v="TETERO"/>
    <s v="Public"/>
    <x v="0"/>
    <s v="Nyabihu"/>
    <s v="Rugera"/>
    <s v="NMUK_2"/>
    <s v="Giciye/Mukungwa Sub-Catchment"/>
    <n v="1419.12"/>
  </r>
  <r>
    <x v="3"/>
    <s v="GASAYO I"/>
    <s v="Public"/>
    <x v="0"/>
    <s v="Nyabihu"/>
    <s v="Rugera"/>
    <s v="NMUK_2"/>
    <s v="Giciye/Mukungwa Sub-Catchment"/>
    <n v="1971.0000000000002"/>
  </r>
  <r>
    <x v="3"/>
    <s v="RUKUMBAGARA"/>
    <s v="Public"/>
    <x v="0"/>
    <s v="Nyabihu"/>
    <s v="Rugera"/>
    <s v="NMUK_2"/>
    <s v="Giciye/Mukungwa Sub-Catchment"/>
    <n v="1261.44"/>
  </r>
  <r>
    <x v="3"/>
    <s v="NYIRASINE"/>
    <s v="Public"/>
    <x v="0"/>
    <s v="Nyabihu"/>
    <s v="Rugera"/>
    <s v="NMUK_2"/>
    <s v="Giciye/Mukungwa Sub-Catchment"/>
    <n v="3942.0000000000005"/>
  </r>
  <r>
    <x v="3"/>
    <s v="MUHABA"/>
    <s v="Public"/>
    <x v="0"/>
    <s v="Nyabihu"/>
    <s v="Rugera"/>
    <s v="NMUK_2"/>
    <s v="Giciye/Mukungwa Sub-Catchment"/>
    <n v="5203.4400000000005"/>
  </r>
  <r>
    <x v="3"/>
    <s v="NDONDO"/>
    <s v="Public"/>
    <x v="0"/>
    <s v="Nyabihu"/>
    <s v="Rugera"/>
    <s v="NMUK_2"/>
    <s v="Giciye/Mukungwa Sub-Catchment"/>
    <n v="1734.4800000000002"/>
  </r>
  <r>
    <x v="3"/>
    <s v="GIFUNZO"/>
    <s v="Public"/>
    <x v="0"/>
    <s v="Nyabihu"/>
    <s v="Rurembo"/>
    <s v="NMUK_2"/>
    <s v="Giciye/Mukungwa Sub-Catchment"/>
    <n v="15.768000000000001"/>
  </r>
  <r>
    <x v="3"/>
    <s v="TUBUYE"/>
    <s v="Public"/>
    <x v="0"/>
    <s v="Nyabihu"/>
    <s v="Rurembo"/>
    <s v="NMUK_2"/>
    <s v="Giciye/Mukungwa Sub-Catchment"/>
    <n v="6307.2000000000007"/>
  </r>
  <r>
    <x v="3"/>
    <s v="CYANIKA"/>
    <s v="Public"/>
    <x v="0"/>
    <s v="Nyabihu"/>
    <s v="Rurembo"/>
    <s v="NMUK_2"/>
    <s v="Giciye/Mukungwa Sub-Catchment"/>
    <n v="12614.400000000001"/>
  </r>
  <r>
    <x v="3"/>
    <s v="SHUNGA"/>
    <s v="Public"/>
    <x v="0"/>
    <s v="Nyabihu"/>
    <s v="Rurembo"/>
    <s v="NMUK_2"/>
    <s v="Giciye/Mukungwa Sub-Catchment"/>
    <n v="9460.8000000000011"/>
  </r>
  <r>
    <x v="3"/>
    <s v="GATONGU II"/>
    <s v="Public"/>
    <x v="0"/>
    <s v="Nyabihu"/>
    <s v="Rurembo"/>
    <s v="NMUK_2"/>
    <s v="Giciye/Mukungwa Sub-Catchment"/>
    <n v="1892.16"/>
  </r>
  <r>
    <x v="3"/>
    <s v="NYAGATEMBE"/>
    <s v="Public"/>
    <x v="0"/>
    <s v="Nyabihu"/>
    <s v="Rurembo"/>
    <s v="NMUK_2"/>
    <s v="Giciye/Mukungwa Sub-Catchment"/>
    <n v="2838.24"/>
  </r>
  <r>
    <x v="3"/>
    <s v="GATONGU I"/>
    <s v="Public"/>
    <x v="0"/>
    <s v="Nyabihu"/>
    <s v="Rurembo"/>
    <s v="NMUK_2"/>
    <s v="Giciye/Mukungwa Sub-Catchment"/>
    <n v="14191.2"/>
  </r>
  <r>
    <x v="3"/>
    <s v="NYARUTOYI II"/>
    <s v="Public"/>
    <x v="0"/>
    <s v="Nyabihu"/>
    <s v="Rurembo"/>
    <s v="NMUK_2"/>
    <s v="Giciye/Mukungwa Sub-Catchment"/>
    <n v="12614.400000000001"/>
  </r>
  <r>
    <x v="3"/>
    <s v="NYARUTOYI I"/>
    <s v="Public"/>
    <x v="0"/>
    <s v="Nyabihu"/>
    <s v="Rurembo"/>
    <s v="NMUK_2"/>
    <s v="Giciye/Mukungwa Sub-Catchment"/>
    <n v="7884.0000000000009"/>
  </r>
  <r>
    <x v="3"/>
    <s v="NYAGAHONDO"/>
    <s v="Public"/>
    <x v="0"/>
    <s v="Nyabihu"/>
    <s v="Rurembo"/>
    <s v="NMUK_2"/>
    <s v="Giciye/Mukungwa Sub-Catchment"/>
    <n v="2838.24"/>
  </r>
  <r>
    <x v="3"/>
    <s v="BUSENGE"/>
    <s v="Public"/>
    <x v="0"/>
    <s v="Nyabihu"/>
    <s v="Rurembo"/>
    <s v="NMUK_2"/>
    <s v="Giciye/Mukungwa Sub-Catchment"/>
    <n v="12614.400000000001"/>
  </r>
  <r>
    <x v="3"/>
    <s v="KIDANDARI"/>
    <s v="Public"/>
    <x v="0"/>
    <s v="Nyabihu"/>
    <s v="Rurembo"/>
    <s v="NMUK_2"/>
    <s v="Giciye/Mukungwa Sub-Catchment"/>
    <n v="4415.0400000000009"/>
  </r>
  <r>
    <x v="3"/>
    <s v="NAKURIYO"/>
    <s v="Public"/>
    <x v="0"/>
    <s v="Nyabihu"/>
    <s v="Rurembo"/>
    <s v="NMUK_2"/>
    <s v="Giciye/Mukungwa Sub-Catchment"/>
    <n v="14191.2"/>
  </r>
  <r>
    <x v="3"/>
    <s v="KABUTURA"/>
    <s v="Public"/>
    <x v="0"/>
    <s v="Nyabihu"/>
    <s v="Rurembo"/>
    <s v="NMUK_2"/>
    <s v="Giciye/Mukungwa Sub-Catchment"/>
    <n v="0"/>
  </r>
  <r>
    <x v="3"/>
    <s v="RUBAYI"/>
    <s v="Public"/>
    <x v="0"/>
    <s v="Nyabihu"/>
    <s v="Rurembo"/>
    <s v="NMUK_2"/>
    <s v="Giciye/Mukungwa Sub-Catchment"/>
    <n v="7884.0000000000009"/>
  </r>
  <r>
    <x v="3"/>
    <s v="KARAMBO"/>
    <s v="Public"/>
    <x v="0"/>
    <s v="Nyabihu"/>
    <s v="Rurembo"/>
    <s v="NMUK_2"/>
    <s v="Giciye/Mukungwa Sub-Catchment"/>
    <n v="2995.92"/>
  </r>
  <r>
    <x v="3"/>
    <s v="NYAGASOZI"/>
    <s v="Public"/>
    <x v="0"/>
    <s v="Nyabihu"/>
    <s v="Rurembo"/>
    <s v="NMUK_2"/>
    <s v="Giciye/Mukungwa Sub-Catchment"/>
    <n v="2207.5200000000004"/>
  </r>
  <r>
    <x v="3"/>
    <s v="KAZIBAZIBA II"/>
    <s v="Public"/>
    <x v="0"/>
    <s v="Nyabihu"/>
    <s v="Rurembo"/>
    <s v="NMUK_2"/>
    <s v="Giciye/Mukungwa Sub-Catchment"/>
    <n v="1576.8000000000002"/>
  </r>
  <r>
    <x v="3"/>
    <s v="KAZIBAZIBA"/>
    <s v="Public"/>
    <x v="0"/>
    <s v="Nyabihu"/>
    <s v="Rurembo"/>
    <s v="NMUK_2"/>
    <s v="Giciye/Mukungwa Sub-Catchment"/>
    <n v="2365.2000000000003"/>
  </r>
  <r>
    <x v="3"/>
    <s v="KAZIBAZIBA I"/>
    <s v="Public"/>
    <x v="0"/>
    <s v="Nyabihu"/>
    <s v="Rurembo"/>
    <s v="NMUK_2"/>
    <s v="Giciye/Mukungwa Sub-Catchment"/>
    <n v="11037.6"/>
  </r>
  <r>
    <x v="3"/>
    <s v="MUDUNDURI"/>
    <s v="Public"/>
    <x v="0"/>
    <s v="Nyabihu"/>
    <s v="Rurembo"/>
    <s v="NMUK_2"/>
    <s v="Giciye/Mukungwa Sub-Catchment"/>
    <n v="2522.88"/>
  </r>
  <r>
    <x v="3"/>
    <s v="KIRINGA II"/>
    <s v="Public"/>
    <x v="0"/>
    <s v="Nyabihu"/>
    <s v="Rurembo"/>
    <s v="NMUK_2"/>
    <s v="Giciye/Mukungwa Sub-Catchment"/>
    <n v="6622.5599999999995"/>
  </r>
  <r>
    <x v="3"/>
    <s v="MUBINDI"/>
    <s v="Public"/>
    <x v="0"/>
    <s v="Nyabihu"/>
    <s v="Rurembo"/>
    <s v="NMUK_2"/>
    <s v="Giciye/Mukungwa Sub-Catchment"/>
    <n v="5203.4400000000005"/>
  </r>
  <r>
    <x v="3"/>
    <s v="NKWANGU"/>
    <s v="Public"/>
    <x v="0"/>
    <s v="Nyabihu"/>
    <s v="Rurembo"/>
    <s v="NMUK_2"/>
    <s v="Giciye/Mukungwa Sub-Catchment"/>
    <n v="9145.44"/>
  </r>
  <r>
    <x v="3"/>
    <s v="NYARUBANDE"/>
    <s v="Public"/>
    <x v="0"/>
    <s v="Nyabihu"/>
    <s v="Rurembo"/>
    <s v="NMUK_2"/>
    <s v="Giciye/Mukungwa Sub-Catchment"/>
    <n v="6307.2000000000007"/>
  </r>
  <r>
    <x v="3"/>
    <s v="KAGONO"/>
    <s v="Public"/>
    <x v="0"/>
    <s v="Nyabihu"/>
    <s v="Rurembo"/>
    <s v="NMUK_2"/>
    <s v="Giciye/Mukungwa Sub-Catchment"/>
    <n v="2207.5200000000004"/>
  </r>
  <r>
    <x v="3"/>
    <s v="KIRINGA I"/>
    <s v="Public"/>
    <x v="0"/>
    <s v="Nyabihu"/>
    <s v="Rurembo"/>
    <s v="NMUK_2"/>
    <s v="Giciye/Mukungwa Sub-Catchment"/>
    <n v="2522.88"/>
  </r>
  <r>
    <x v="3"/>
    <s v="MUNTURO"/>
    <s v="Public"/>
    <x v="0"/>
    <s v="Nyabihu"/>
    <s v="Rurembo"/>
    <s v="NMUK_2"/>
    <s v="Giciye/Mukungwa Sub-Catchment"/>
    <n v="2049.84"/>
  </r>
  <r>
    <x v="3"/>
    <s v="BIHIRA"/>
    <s v="Public"/>
    <x v="0"/>
    <s v="Nyabihu"/>
    <s v="Rurembo"/>
    <s v="NMUK_2"/>
    <s v="Giciye/Mukungwa Sub-Catchment"/>
    <n v="4730.4000000000005"/>
  </r>
  <r>
    <x v="3"/>
    <s v="NYARUKANGARA"/>
    <s v="Public"/>
    <x v="0"/>
    <s v="Nyabihu"/>
    <s v="Rurembo"/>
    <s v="NMUK_2"/>
    <s v="Giciye/Mukungwa Sub-Catchment"/>
    <n v="2522.88"/>
  </r>
  <r>
    <x v="3"/>
    <s v="MUGATARE"/>
    <s v="Public"/>
    <x v="0"/>
    <s v="Nyabihu"/>
    <s v="Rurembo"/>
    <s v="NMUK_2"/>
    <s v="Giciye/Mukungwa Sub-Catchment"/>
    <n v="6307.2000000000007"/>
  </r>
  <r>
    <x v="3"/>
    <s v="BUMBIRIRI II"/>
    <s v="Public"/>
    <x v="0"/>
    <s v="Nyabihu"/>
    <s v="Rurembo"/>
    <s v="NMUK_2"/>
    <s v="Giciye/Mukungwa Sub-Catchment"/>
    <n v="2207.5200000000004"/>
  </r>
  <r>
    <x v="3"/>
    <s v="BUMBIRIRI I"/>
    <s v="Public"/>
    <x v="0"/>
    <s v="Nyabihu"/>
    <s v="Rurembo"/>
    <s v="NMUK_2"/>
    <s v="Giciye/Mukungwa Sub-Catchment"/>
    <n v="473.04"/>
  </r>
  <r>
    <x v="3"/>
    <s v="KABINGO"/>
    <s v="Public"/>
    <x v="0"/>
    <s v="Nyabihu"/>
    <s v="Rurembo"/>
    <s v="NMUK_2"/>
    <s v="Giciye/Mukungwa Sub-Catchment"/>
    <n v="630.72"/>
  </r>
  <r>
    <x v="3"/>
    <s v="RWAZA"/>
    <s v="Public"/>
    <x v="0"/>
    <s v="Nyabihu"/>
    <s v="Rurembo"/>
    <s v="NMUK_2"/>
    <s v="Giciye/Mukungwa Sub-Catchment"/>
    <n v="4415.0400000000009"/>
  </r>
  <r>
    <x v="3"/>
    <s v="RWANIKA II"/>
    <s v="Public"/>
    <x v="0"/>
    <s v="Nyabihu"/>
    <s v="Rurembo"/>
    <s v="NMUK_2"/>
    <s v="Giciye/Mukungwa Sub-Catchment"/>
    <n v="2838.24"/>
  </r>
  <r>
    <x v="3"/>
    <s v="BIHONGORE"/>
    <s v="Public"/>
    <x v="0"/>
    <s v="Nyabihu"/>
    <s v="Rurembo"/>
    <s v="NMUK_2"/>
    <s v="Giciye/Mukungwa Sub-Catchment"/>
    <n v="7568.64"/>
  </r>
  <r>
    <x v="3"/>
    <s v="BISUSA I"/>
    <s v="Public"/>
    <x v="0"/>
    <s v="Nyabihu"/>
    <s v="Rurembo"/>
    <s v="NMUK_2"/>
    <s v="Giciye/Mukungwa Sub-Catchment"/>
    <n v="11037.6"/>
  </r>
  <r>
    <x v="3"/>
    <s v="RWANIKA IV"/>
    <s v="Public"/>
    <x v="0"/>
    <s v="Nyabihu"/>
    <s v="Rurembo"/>
    <s v="NMUK_2"/>
    <s v="Giciye/Mukungwa Sub-Catchment"/>
    <n v="1892.16"/>
  </r>
  <r>
    <x v="3"/>
    <s v="RWANIKA III"/>
    <s v="Public"/>
    <x v="0"/>
    <s v="Nyabihu"/>
    <s v="Rurembo"/>
    <s v="NMUK_2"/>
    <s v="Giciye/Mukungwa Sub-Catchment"/>
    <n v="4415.0400000000009"/>
  </r>
  <r>
    <x v="3"/>
    <s v="RWANIKA I"/>
    <s v="Public"/>
    <x v="0"/>
    <s v="Nyabihu"/>
    <s v="Rurembo"/>
    <s v="NMUK_2"/>
    <s v="Giciye/Mukungwa Sub-Catchment"/>
    <n v="1892.16"/>
  </r>
  <r>
    <x v="3"/>
    <s v="BISUSA II"/>
    <s v="Public"/>
    <x v="0"/>
    <s v="Nyabihu"/>
    <s v="Rurembo"/>
    <s v="NMUK_2"/>
    <s v="Giciye/Mukungwa Sub-Catchment"/>
    <n v="9460.8000000000011"/>
  </r>
  <r>
    <x v="3"/>
    <s v="MANONGA"/>
    <s v="Public"/>
    <x v="0"/>
    <s v="Nyabihu"/>
    <s v="Rurembo"/>
    <s v="NMUK_2"/>
    <s v="Giciye/Mukungwa Sub-Catchment"/>
    <n v="9460.8000000000011"/>
  </r>
  <r>
    <x v="3"/>
    <s v="GAHONDO"/>
    <s v="Public"/>
    <x v="0"/>
    <s v="Nyabihu"/>
    <s v="Rurembo"/>
    <s v="NMUK_2"/>
    <s v="Giciye/Mukungwa Sub-Catchment"/>
    <n v="1892.16"/>
  </r>
  <r>
    <x v="3"/>
    <s v="GAFURO IV"/>
    <s v="Public"/>
    <x v="0"/>
    <s v="Nyabihu"/>
    <s v="Rurembo"/>
    <s v="NMUK_2"/>
    <s v="Giciye/Mukungwa Sub-Catchment"/>
    <n v="2522.88"/>
  </r>
  <r>
    <x v="3"/>
    <s v="SHAHIRO"/>
    <s v="Public"/>
    <x v="0"/>
    <s v="Nyabihu"/>
    <s v="Rurembo"/>
    <s v="NMUK_2"/>
    <s v="Giciye/Mukungwa Sub-Catchment"/>
    <n v="4415.0400000000009"/>
  </r>
  <r>
    <x v="3"/>
    <s v="BISUSA III"/>
    <s v="Public"/>
    <x v="0"/>
    <s v="Nyabihu"/>
    <s v="Rurembo"/>
    <s v="NMUK_2"/>
    <s v="Giciye/Mukungwa Sub-Catchment"/>
    <n v="4572.72"/>
  </r>
  <r>
    <x v="3"/>
    <s v="GAFURO I"/>
    <s v="Public"/>
    <x v="0"/>
    <s v="Nyabihu"/>
    <s v="Rurembo"/>
    <s v="NMUK_2"/>
    <s v="Giciye/Mukungwa Sub-Catchment"/>
    <n v="9145.44"/>
  </r>
  <r>
    <x v="3"/>
    <s v="GAFURO III"/>
    <s v="Public"/>
    <x v="0"/>
    <s v="Nyabihu"/>
    <s v="Rurembo"/>
    <s v="NMUK_2"/>
    <s v="Giciye/Mukungwa Sub-Catchment"/>
    <n v="4572.72"/>
  </r>
  <r>
    <x v="3"/>
    <s v="KIRIMINDI"/>
    <s v="Public"/>
    <x v="0"/>
    <s v="Nyabihu"/>
    <s v="Rurembo"/>
    <s v="NMUK_2"/>
    <s v="Giciye/Mukungwa Sub-Catchment"/>
    <n v="2838.24"/>
  </r>
  <r>
    <x v="3"/>
    <s v="KIBUMBIRO"/>
    <s v="Public"/>
    <x v="0"/>
    <s v="Nyabihu"/>
    <s v="Rurembo"/>
    <s v="NMUK_2"/>
    <s v="Giciye/Mukungwa Sub-Catchment"/>
    <n v="788.40000000000009"/>
  </r>
  <r>
    <x v="3"/>
    <s v="GATOBO"/>
    <s v="Public"/>
    <x v="0"/>
    <s v="Nyabihu"/>
    <s v="Rurembo"/>
    <s v="NMUK_2"/>
    <s v="Giciye/Mukungwa Sub-Catchment"/>
    <n v="4415.0400000000009"/>
  </r>
  <r>
    <x v="3"/>
    <s v="GAFURO II"/>
    <s v="Public"/>
    <x v="0"/>
    <s v="Nyabihu"/>
    <s v="Rurembo"/>
    <s v="NMUK_2"/>
    <s v="Giciye/Mukungwa Sub-Catchment"/>
    <n v="2207.5200000000004"/>
  </r>
  <r>
    <x v="3"/>
    <s v="GITABA"/>
    <s v="Public"/>
    <x v="0"/>
    <s v="Nyabihu"/>
    <s v="Rurembo"/>
    <s v="NMUK_2"/>
    <s v="Giciye/Mukungwa Sub-Catchment"/>
    <n v="2838.24"/>
  </r>
  <r>
    <x v="3"/>
    <s v="KABUTOZI"/>
    <s v="Public"/>
    <x v="0"/>
    <s v="Nyabihu"/>
    <s v="Rurembo"/>
    <s v="NMUK_2"/>
    <s v="Giciye/Mukungwa Sub-Catchment"/>
    <n v="12614.400000000001"/>
  </r>
  <r>
    <x v="3"/>
    <s v="RWANIKA"/>
    <s v="Public"/>
    <x v="0"/>
    <s v="Nyabihu"/>
    <s v="Rurembo"/>
    <s v="NMUK_2"/>
    <s v="Giciye/Mukungwa Sub-Catchment"/>
    <n v="2365.2000000000003"/>
  </r>
  <r>
    <x v="3"/>
    <s v="GIFUNZO II"/>
    <s v="Public"/>
    <x v="0"/>
    <s v="Nyabihu"/>
    <s v="Rurembo"/>
    <s v="NMUK_2"/>
    <s v="Giciye/Mukungwa Sub-Catchment"/>
    <n v="5045.76"/>
  </r>
  <r>
    <x v="3"/>
    <s v="GIFUNZO I"/>
    <s v="Public"/>
    <x v="0"/>
    <s v="Nyabihu"/>
    <s v="Rurembo"/>
    <s v="NMUK_2"/>
    <s v="Giciye/Mukungwa Sub-Catchment"/>
    <n v="4415.0400000000009"/>
  </r>
  <r>
    <x v="3"/>
    <s v="KINABA"/>
    <s v="Public"/>
    <x v="0"/>
    <s v="Nyabihu"/>
    <s v="Rurembo"/>
    <s v="NMUK_2"/>
    <s v="Giciye/Mukungwa Sub-Catchment"/>
    <n v="1892.16"/>
  </r>
  <r>
    <x v="3"/>
    <s v="GATEGA"/>
    <s v="Public"/>
    <x v="0"/>
    <s v="Nyabihu"/>
    <s v="Rurembo"/>
    <s v="NMUK_2"/>
    <s v="Giciye/Mukungwa Sub-Catchment"/>
    <n v="2522.88"/>
  </r>
  <r>
    <x v="3"/>
    <s v="KIRAZA II"/>
    <s v="Public"/>
    <x v="0"/>
    <s v="Nyabihu"/>
    <s v="Rurembo"/>
    <s v="NMUK_2"/>
    <s v="Giciye/Mukungwa Sub-Catchment"/>
    <n v="1892.16"/>
  </r>
  <r>
    <x v="3"/>
    <s v="KIRAZA I"/>
    <s v="Public"/>
    <x v="0"/>
    <s v="Nyabihu"/>
    <s v="Rurembo"/>
    <s v="NMUK_2"/>
    <s v="Giciye/Mukungwa Sub-Catchment"/>
    <n v="12614.400000000001"/>
  </r>
  <r>
    <x v="3"/>
    <s v="MUMUTUZO"/>
    <s v="Public"/>
    <x v="0"/>
    <s v="Nyabihu"/>
    <s v="Rurembo"/>
    <s v="NMUK_2"/>
    <s v="Giciye/Mukungwa Sub-Catchment"/>
    <n v="12614.400000000001"/>
  </r>
  <r>
    <x v="3"/>
    <s v="KAHUNGWE"/>
    <s v="Public"/>
    <x v="0"/>
    <s v="Nyabihu"/>
    <s v="Rurembo"/>
    <s v="NMUK_2"/>
    <s v="Giciye/Mukungwa Sub-Catchment"/>
    <n v="12614.400000000001"/>
  </r>
  <r>
    <x v="3"/>
    <s v="MUBITARE"/>
    <s v="Public"/>
    <x v="0"/>
    <s v="Nyabihu"/>
    <s v="Rurembo"/>
    <s v="NMUK_2"/>
    <s v="Giciye/Mukungwa Sub-Catchment"/>
    <n v="4730.4000000000005"/>
  </r>
  <r>
    <x v="3"/>
    <s v="KAJINGE"/>
    <s v="Public"/>
    <x v="0"/>
    <s v="Nyabihu"/>
    <s v="Rurembo"/>
    <s v="NMUK_2"/>
    <s v="Giciye/Mukungwa Sub-Catchment"/>
    <n v="12614.400000000001"/>
  </r>
  <r>
    <x v="3"/>
    <s v="MURARA"/>
    <s v="Public"/>
    <x v="0"/>
    <s v="Nyabihu"/>
    <s v="Rurembo"/>
    <s v="NMUK_2"/>
    <s v="Giciye/Mukungwa Sub-Catchment"/>
    <n v="9460.8000000000011"/>
  </r>
  <r>
    <x v="3"/>
    <s v="KAMATENDE"/>
    <s v="Public"/>
    <x v="0"/>
    <s v="Nyabihu"/>
    <s v="Rurembo"/>
    <s v="NMUK_2"/>
    <s v="Giciye/Mukungwa Sub-Catchment"/>
    <n v="7568.64"/>
  </r>
  <r>
    <x v="3"/>
    <s v="MURAMA"/>
    <s v="Public"/>
    <x v="0"/>
    <s v="Nyabihu"/>
    <s v="Rurembo"/>
    <s v="NMUK_2"/>
    <s v="Giciye/Mukungwa Sub-Catchment"/>
    <n v="4415.0400000000009"/>
  </r>
  <r>
    <x v="3"/>
    <s v="NYIRANTARENGWA"/>
    <s v="Public"/>
    <x v="0"/>
    <s v="Musanze"/>
    <s v="Rwaza"/>
    <s v="NMUK_2"/>
    <s v="Giciye/Mukungwa Sub-Catchment"/>
    <n v="7884.0000000000009"/>
  </r>
  <r>
    <x v="3"/>
    <s v="MBIZI"/>
    <s v="Public"/>
    <x v="0"/>
    <s v="Musanze"/>
    <s v="Rwaza"/>
    <s v="NMUK_2"/>
    <s v="Giciye/Mukungwa Sub-Catchment"/>
    <n v="2207.5200000000004"/>
  </r>
  <r>
    <x v="3"/>
    <s v="GATARE"/>
    <s v="Public"/>
    <x v="0"/>
    <s v="Musanze"/>
    <s v="Rwaza"/>
    <s v="NMUK_2"/>
    <s v="Giciye/Mukungwa Sub-Catchment"/>
    <n v="6307.2000000000007"/>
  </r>
  <r>
    <x v="3"/>
    <s v="NYIRABIRIHANZE"/>
    <s v="Public"/>
    <x v="0"/>
    <s v="Musanze"/>
    <s v="Rwaza"/>
    <s v="NMUK_2"/>
    <s v="Giciye/Mukungwa Sub-Catchment"/>
    <n v="3153.6000000000004"/>
  </r>
  <r>
    <x v="3"/>
    <s v="KIGEZI"/>
    <s v="Public"/>
    <x v="0"/>
    <s v="Musanze"/>
    <s v="Rwaza"/>
    <s v="NMUK_2"/>
    <s v="Giciye/Mukungwa Sub-Catchment"/>
    <n v="1734.4800000000002"/>
  </r>
  <r>
    <x v="3"/>
    <s v="BUZURU"/>
    <s v="Public"/>
    <x v="0"/>
    <s v="Musanze"/>
    <s v="Rwaza"/>
    <s v="NMUK_2"/>
    <s v="Giciye/Mukungwa Sub-Catchment"/>
    <n v="3153.6000000000004"/>
  </r>
  <r>
    <x v="3"/>
    <s v="SIMBUKA"/>
    <s v="Public"/>
    <x v="0"/>
    <s v="Musanze"/>
    <s v="Rwaza"/>
    <s v="NMUK_2"/>
    <s v="Giciye/Mukungwa Sub-Catchment"/>
    <n v="7884.0000000000009"/>
  </r>
  <r>
    <x v="3"/>
    <s v="BUHAMA I"/>
    <s v="Public"/>
    <x v="0"/>
    <s v="Musanze"/>
    <s v="Rwaza"/>
    <s v="NMUK_2"/>
    <s v="Giciye/Mukungwa Sub-Catchment"/>
    <n v="788.40000000000009"/>
  </r>
  <r>
    <x v="3"/>
    <s v="MURAMBI II"/>
    <s v="Public"/>
    <x v="0"/>
    <s v="Musanze"/>
    <s v="Rwaza"/>
    <s v="NMUK_2"/>
    <s v="Giciye/Mukungwa Sub-Catchment"/>
    <n v="1103.7600000000002"/>
  </r>
  <r>
    <x v="3"/>
    <s v="MURAMBI I"/>
    <s v="Public"/>
    <x v="0"/>
    <s v="Musanze"/>
    <s v="Rwaza"/>
    <s v="NMUK_2"/>
    <s v="Giciye/Mukungwa Sub-Catchment"/>
    <n v="0"/>
  </r>
  <r>
    <x v="3"/>
    <s v="GATARE"/>
    <s v="Public"/>
    <x v="0"/>
    <s v="Musanze"/>
    <s v="Rwaza"/>
    <s v="NMUK_2"/>
    <s v="Giciye/Mukungwa Sub-Catchment"/>
    <n v="1971.0000000000002"/>
  </r>
  <r>
    <x v="3"/>
    <s v="MUNTANGO"/>
    <s v="Public"/>
    <x v="0"/>
    <s v="Musanze"/>
    <s v="Rwaza"/>
    <s v="NMUK_2"/>
    <s v="Giciye/Mukungwa Sub-Catchment"/>
    <n v="1734.4800000000002"/>
  </r>
  <r>
    <x v="3"/>
    <s v="GAKUNGU"/>
    <s v="Public"/>
    <x v="0"/>
    <s v="Musanze"/>
    <s v="Rwaza"/>
    <s v="NMUK_2"/>
    <s v="Giciye/Mukungwa Sub-Catchment"/>
    <n v="3468.9600000000005"/>
  </r>
  <r>
    <x v="3"/>
    <s v="NYAGAFUNZO"/>
    <s v="Public"/>
    <x v="0"/>
    <s v="Musanze"/>
    <s v="Rwaza"/>
    <s v="NMUK_2"/>
    <s v="Giciye/Mukungwa Sub-Catchment"/>
    <n v="5203.4400000000005"/>
  </r>
  <r>
    <x v="3"/>
    <s v="MARITEREZA"/>
    <s v="Public"/>
    <x v="0"/>
    <s v="Musanze"/>
    <s v="Rwaza"/>
    <s v="NMUK_2"/>
    <s v="Giciye/Mukungwa Sub-Catchment"/>
    <n v="0"/>
  </r>
  <r>
    <x v="3"/>
    <s v="NYAKAGEZI"/>
    <s v="Public"/>
    <x v="0"/>
    <s v="Musanze"/>
    <s v="Rwaza"/>
    <s v="NMUK_2"/>
    <s v="Giciye/Mukungwa Sub-Catchment"/>
    <n v="3468.9600000000005"/>
  </r>
  <r>
    <x v="3"/>
    <s v="NYAKAGEZI"/>
    <s v="Public"/>
    <x v="0"/>
    <s v="Musanze"/>
    <s v="Rwaza"/>
    <s v="NMUK_2"/>
    <s v="Giciye/Mukungwa Sub-Catchment"/>
    <n v="1056.4560000000001"/>
  </r>
  <r>
    <x v="3"/>
    <s v="BUSUVIYE"/>
    <s v="Public"/>
    <x v="0"/>
    <s v="Musanze"/>
    <s v="Rwaza"/>
    <s v="NMUK_2"/>
    <s v="Giciye/Mukungwa Sub-Catchment"/>
    <n v="0"/>
  </r>
  <r>
    <x v="3"/>
    <s v="BUNYENKOKO"/>
    <s v="Public"/>
    <x v="0"/>
    <s v="Musanze"/>
    <s v="Rwaza"/>
    <s v="NMUK_2"/>
    <s v="Giciye/Mukungwa Sub-Catchment"/>
    <n v="3942.0000000000005"/>
  </r>
  <r>
    <x v="3"/>
    <s v="GAPFURA"/>
    <s v="Public"/>
    <x v="0"/>
    <s v="Musanze"/>
    <s v="Rwaza"/>
    <s v="NMUK_2"/>
    <s v="Giciye/Mukungwa Sub-Catchment"/>
    <n v="1734.4800000000002"/>
  </r>
  <r>
    <x v="3"/>
    <s v="MWAMVU"/>
    <s v="Public"/>
    <x v="0"/>
    <s v="Musanze"/>
    <s v="Rwaza"/>
    <s v="NMUK_2"/>
    <s v="Giciye/Mukungwa Sub-Catchment"/>
    <n v="6307.2000000000007"/>
  </r>
  <r>
    <x v="3"/>
    <s v="RUKINGU"/>
    <s v="Public"/>
    <x v="0"/>
    <s v="Musanze"/>
    <s v="Rwaza"/>
    <s v="NMUK_2"/>
    <s v="Giciye/Mukungwa Sub-Catchment"/>
    <n v="788.40000000000009"/>
  </r>
  <r>
    <x v="3"/>
    <s v="NYARUTEMBE"/>
    <s v="Public"/>
    <x v="0"/>
    <s v="Musanze"/>
    <s v="Rwaza"/>
    <s v="NMUK_2"/>
    <s v="Giciye/Mukungwa Sub-Catchment"/>
    <n v="4572.72"/>
  </r>
  <r>
    <x v="3"/>
    <s v="GAKO"/>
    <s v="Public"/>
    <x v="0"/>
    <s v="Musanze"/>
    <s v="Rwaza"/>
    <s v="NMUK_2"/>
    <s v="Giciye/Mukungwa Sub-Catchment"/>
    <n v="788.40000000000009"/>
  </r>
  <r>
    <x v="3"/>
    <s v="NYAKABINGO"/>
    <s v="Public"/>
    <x v="0"/>
    <s v="Musanze"/>
    <s v="Rwaza"/>
    <s v="NMUK_2"/>
    <s v="Giciye/Mukungwa Sub-Catchment"/>
    <n v="788.40000000000009"/>
  </r>
  <r>
    <x v="3"/>
    <s v="GATARE"/>
    <s v="Public"/>
    <x v="0"/>
    <s v="Musanze"/>
    <s v="Rwaza"/>
    <s v="NMUK_2"/>
    <s v="Giciye/Mukungwa Sub-Catchment"/>
    <n v="4730.4000000000005"/>
  </r>
  <r>
    <x v="3"/>
    <s v="RUBURANKORO"/>
    <s v="Public"/>
    <x v="0"/>
    <s v="Musanze"/>
    <s v="Rwaza"/>
    <s v="NMUK_2"/>
    <s v="Giciye/Mukungwa Sub-Catchment"/>
    <n v="5203.4400000000005"/>
  </r>
  <r>
    <x v="3"/>
    <s v="NYARUCYAMO"/>
    <s v="Public"/>
    <x v="0"/>
    <s v="Musanze"/>
    <s v="Rwaza"/>
    <s v="NMUK_2"/>
    <s v="Giciye/Mukungwa Sub-Catchment"/>
    <n v="2049.84"/>
  </r>
  <r>
    <x v="3"/>
    <s v="MATABA"/>
    <s v="Public"/>
    <x v="0"/>
    <s v="Musanze"/>
    <s v="Rwaza"/>
    <s v="NMUK_2"/>
    <s v="Giciye/Mukungwa Sub-Catchment"/>
    <n v="1103.7600000000002"/>
  </r>
  <r>
    <x v="3"/>
    <s v="GAKOMBE"/>
    <s v="Public"/>
    <x v="0"/>
    <s v="Musanze"/>
    <s v="Rwaza"/>
    <s v="NMUK_2"/>
    <s v="Giciye/Mukungwa Sub-Catchment"/>
    <n v="1419.12"/>
  </r>
  <r>
    <x v="3"/>
    <s v="MURUSEKE"/>
    <s v="Public"/>
    <x v="0"/>
    <s v="Musanze"/>
    <s v="Rwaza"/>
    <s v="NMUK_2"/>
    <s v="Giciye/Mukungwa Sub-Catchment"/>
    <n v="5203.4400000000005"/>
  </r>
  <r>
    <x v="3"/>
    <s v="KARUBIRA"/>
    <s v="Public"/>
    <x v="0"/>
    <s v="Musanze"/>
    <s v="Rwaza"/>
    <s v="NMUK_2"/>
    <s v="Giciye/Mukungwa Sub-Catchment"/>
    <n v="1734.4800000000002"/>
  </r>
  <r>
    <x v="3"/>
    <s v="MARITEREZA"/>
    <s v="Public"/>
    <x v="0"/>
    <s v="Musanze"/>
    <s v="Rwaza"/>
    <s v="NMUK_2"/>
    <s v="Giciye/Mukungwa Sub-Catchment"/>
    <n v="7884.0000000000009"/>
  </r>
  <r>
    <x v="3"/>
    <s v="KANYIRANSHAKA"/>
    <s v="Public"/>
    <x v="0"/>
    <s v="Musanze"/>
    <s v="Rwaza"/>
    <s v="NMUK_2"/>
    <s v="Giciye/Mukungwa Sub-Catchment"/>
    <n v="1971.0000000000002"/>
  </r>
  <r>
    <x v="3"/>
    <s v="RUTABURA II"/>
    <s v="Public"/>
    <x v="0"/>
    <s v="Musanze"/>
    <s v="Rwaza"/>
    <s v="NMUK_2"/>
    <s v="Giciye/Mukungwa Sub-Catchment"/>
    <n v="0"/>
  </r>
  <r>
    <x v="3"/>
    <s v="RUTABURA I"/>
    <s v="Public"/>
    <x v="0"/>
    <s v="Musanze"/>
    <s v="Rwaza"/>
    <s v="NMUK_2"/>
    <s v="Giciye/Mukungwa Sub-Catchment"/>
    <n v="2207.5200000000004"/>
  </r>
  <r>
    <x v="3"/>
    <s v="NYAKAGUNDA"/>
    <s v="Public"/>
    <x v="0"/>
    <s v="Musanze"/>
    <s v="Rwaza"/>
    <s v="NMUK_2"/>
    <s v="Giciye/Mukungwa Sub-Catchment"/>
    <n v="1419.12"/>
  </r>
  <r>
    <x v="3"/>
    <s v="BUKORO"/>
    <s v="Public"/>
    <x v="0"/>
    <s v="Musanze"/>
    <s v="Rwaza"/>
    <s v="NMUK_2"/>
    <s v="Giciye/Mukungwa Sub-Catchment"/>
    <n v="1734.4800000000002"/>
  </r>
  <r>
    <x v="3"/>
    <s v="GAHAMO"/>
    <s v="Public"/>
    <x v="0"/>
    <s v="Musanze"/>
    <s v="Rwaza"/>
    <s v="NMUK_2"/>
    <s v="Giciye/Mukungwa Sub-Catchment"/>
    <n v="4572.72"/>
  </r>
  <r>
    <x v="3"/>
    <s v="NYAGASHANGA"/>
    <s v="Public"/>
    <x v="0"/>
    <s v="Musanze"/>
    <s v="Rwaza"/>
    <s v="NMUK_2"/>
    <s v="Giciye/Mukungwa Sub-Catchment"/>
    <n v="7884.0000000000009"/>
  </r>
  <r>
    <x v="3"/>
    <s v="KIBUTURA"/>
    <s v="Public"/>
    <x v="0"/>
    <s v="Musanze"/>
    <s v="Rwaza"/>
    <s v="NMUK_2"/>
    <s v="Giciye/Mukungwa Sub-Catchment"/>
    <n v="1261.44"/>
  </r>
  <r>
    <x v="3"/>
    <s v="KABUNDI"/>
    <s v="Public"/>
    <x v="0"/>
    <s v="Musanze"/>
    <s v="Rwaza"/>
    <s v="NMUK_2"/>
    <s v="Giciye/Mukungwa Sub-Catchment"/>
    <n v="1261.44"/>
  </r>
  <r>
    <x v="3"/>
    <s v="KWARUKUNGU"/>
    <s v="Public"/>
    <x v="0"/>
    <s v="Musanze"/>
    <s v="Rwaza"/>
    <s v="NMUK_2"/>
    <s v="Giciye/Mukungwa Sub-Catchment"/>
    <n v="3942.0000000000005"/>
  </r>
  <r>
    <x v="3"/>
    <s v="KARUBUNDA"/>
    <s v="Public"/>
    <x v="0"/>
    <s v="Musanze"/>
    <s v="Rwaza"/>
    <s v="NMUK_2"/>
    <s v="Giciye/Mukungwa Sub-Catchment"/>
    <n v="1103.7600000000002"/>
  </r>
  <r>
    <x v="3"/>
    <s v="KAJISHO"/>
    <s v="Public"/>
    <x v="0"/>
    <s v="Musanze"/>
    <s v="Rwaza"/>
    <s v="NMUK_2"/>
    <s v="Giciye/Mukungwa Sub-Catchment"/>
    <n v="2838.24"/>
  </r>
  <r>
    <x v="3"/>
    <s v="NTIBAGAYIFU"/>
    <s v="Public"/>
    <x v="0"/>
    <s v="Musanze"/>
    <s v="Rwaza"/>
    <s v="NMUK_2"/>
    <s v="Giciye/Mukungwa Sub-Catchment"/>
    <n v="2207.5200000000004"/>
  </r>
  <r>
    <x v="3"/>
    <s v="GATARE"/>
    <s v="Public"/>
    <x v="0"/>
    <s v="Musanze"/>
    <s v="Rwaza"/>
    <s v="NMUK_2"/>
    <s v="Giciye/Mukungwa Sub-Catchment"/>
    <n v="788.40000000000009"/>
  </r>
  <r>
    <x v="3"/>
    <s v="BUZORA"/>
    <s v="Public"/>
    <x v="0"/>
    <s v="Musanze"/>
    <s v="Rwaza"/>
    <s v="NMUK_2"/>
    <s v="Giciye/Mukungwa Sub-Catchment"/>
    <n v="0"/>
  </r>
  <r>
    <x v="3"/>
    <s v="KARETA II"/>
    <s v="Public"/>
    <x v="0"/>
    <s v="Musanze"/>
    <s v="Rwaza"/>
    <s v="NMUK_2"/>
    <s v="Giciye/Mukungwa Sub-Catchment"/>
    <n v="2049.84"/>
  </r>
  <r>
    <x v="3"/>
    <s v="KABAGARE"/>
    <s v="Public"/>
    <x v="0"/>
    <s v="Musanze"/>
    <s v="Rwaza"/>
    <s v="NMUK_2"/>
    <s v="Giciye/Mukungwa Sub-Catchment"/>
    <n v="3153.6000000000004"/>
  </r>
  <r>
    <x v="3"/>
    <s v="KIVUMO"/>
    <s v="Public"/>
    <x v="0"/>
    <s v="Musanze"/>
    <s v="Rwaza"/>
    <s v="NMUK_2"/>
    <s v="Giciye/Mukungwa Sub-Catchment"/>
    <n v="4572.72"/>
  </r>
  <r>
    <x v="3"/>
    <s v="GAHAMA"/>
    <s v="Public"/>
    <x v="0"/>
    <s v="Musanze"/>
    <s v="Rwaza"/>
    <s v="NMUK_2"/>
    <s v="Giciye/Mukungwa Sub-Catchment"/>
    <n v="3942.0000000000005"/>
  </r>
  <r>
    <x v="3"/>
    <s v="SEBIHOGO"/>
    <s v="Public"/>
    <x v="0"/>
    <s v="Musanze"/>
    <s v="Rwaza"/>
    <s v="NMUK_2"/>
    <s v="Giciye/Mukungwa Sub-Catchment"/>
    <n v="6307.2000000000007"/>
  </r>
  <r>
    <x v="3"/>
    <s v="GAHAMA"/>
    <s v="Public"/>
    <x v="0"/>
    <s v="Musanze"/>
    <s v="Rwaza"/>
    <s v="NMUK_2"/>
    <s v="Giciye/Mukungwa Sub-Catchment"/>
    <n v="2680.56"/>
  </r>
  <r>
    <x v="3"/>
    <s v="NYARUTEMBE"/>
    <s v="Public"/>
    <x v="0"/>
    <s v="Musanze"/>
    <s v="Rwaza"/>
    <s v="NMUK_2"/>
    <s v="Giciye/Mukungwa Sub-Catchment"/>
    <n v="946.08"/>
  </r>
  <r>
    <x v="3"/>
    <s v="NYARUBANDE I"/>
    <s v="Public"/>
    <x v="0"/>
    <s v="Musanze"/>
    <s v="Rwaza"/>
    <s v="NMUK_2"/>
    <s v="Giciye/Mukungwa Sub-Catchment"/>
    <n v="1261.44"/>
  </r>
  <r>
    <x v="3"/>
    <s v="NYAGATEGEKA"/>
    <s v="Public"/>
    <x v="0"/>
    <s v="Musanze"/>
    <s v="Rwaza"/>
    <s v="NMUK_2"/>
    <s v="Giciye/Mukungwa Sub-Catchment"/>
    <n v="0"/>
  </r>
  <r>
    <x v="3"/>
    <s v="NYARUBANDE II"/>
    <s v="Public"/>
    <x v="0"/>
    <s v="Musanze"/>
    <s v="Rwaza"/>
    <s v="NMUK_2"/>
    <s v="Giciye/Mukungwa Sub-Catchment"/>
    <n v="0"/>
  </r>
  <r>
    <x v="3"/>
    <s v="KARETA I"/>
    <s v="Public"/>
    <x v="0"/>
    <s v="Musanze"/>
    <s v="Rwaza"/>
    <s v="NMUK_2"/>
    <s v="Giciye/Mukungwa Sub-Catchment"/>
    <n v="0"/>
  </r>
  <r>
    <x v="3"/>
    <s v="RUCYAMO"/>
    <s v="Public"/>
    <x v="0"/>
    <s v="Musanze"/>
    <s v="Rwaza"/>
    <s v="NMUK_2"/>
    <s v="Giciye/Mukungwa Sub-Catchment"/>
    <n v="2207.5200000000004"/>
  </r>
  <r>
    <x v="3"/>
    <s v="NYAKAGEZI II"/>
    <s v="Public"/>
    <x v="0"/>
    <s v="Musanze"/>
    <s v="Rwaza"/>
    <s v="NMUK_2"/>
    <s v="Giciye/Mukungwa Sub-Catchment"/>
    <n v="3468.9600000000005"/>
  </r>
  <r>
    <x v="3"/>
    <s v="NYIRANZOGEYE"/>
    <s v="Public"/>
    <x v="0"/>
    <s v="Musanze"/>
    <s v="Rwaza"/>
    <s v="NMUK_2"/>
    <s v="Giciye/Mukungwa Sub-Catchment"/>
    <n v="788.40000000000009"/>
  </r>
  <r>
    <x v="3"/>
    <s v="NYAKAGEZI"/>
    <s v="Public"/>
    <x v="0"/>
    <s v="Musanze"/>
    <s v="Rwaza"/>
    <s v="NMUK_2"/>
    <s v="Giciye/Mukungwa Sub-Catchment"/>
    <n v="2207.5200000000004"/>
  </r>
  <r>
    <x v="3"/>
    <s v="NYARUHEHE"/>
    <s v="Public"/>
    <x v="0"/>
    <s v="Musanze"/>
    <s v="Rwaza"/>
    <s v="NMUK_2"/>
    <s v="Giciye/Mukungwa Sub-Catchment"/>
    <n v="1734.4800000000002"/>
  </r>
  <r>
    <x v="3"/>
    <s v="MWIYANIKE"/>
    <s v="Public"/>
    <x v="0"/>
    <s v="Musanze"/>
    <s v="Rwaza"/>
    <s v="NMUK_2"/>
    <s v="Giciye/Mukungwa Sub-Catchment"/>
    <n v="0"/>
  </r>
  <r>
    <x v="3"/>
    <s v="KIROMBA"/>
    <s v="Public"/>
    <x v="0"/>
    <s v="Musanze"/>
    <s v="Rwaza"/>
    <s v="NMUK_2"/>
    <s v="Giciye/Mukungwa Sub-Catchment"/>
    <n v="0"/>
  </r>
  <r>
    <x v="3"/>
    <s v="MAHINDURA"/>
    <s v="Public"/>
    <x v="0"/>
    <s v="Musanze"/>
    <s v="Rwaza"/>
    <s v="NMUK_2"/>
    <s v="Giciye/Mukungwa Sub-Catchment"/>
    <n v="0"/>
  </r>
  <r>
    <x v="3"/>
    <s v="RUCONSHO"/>
    <s v="Public"/>
    <x v="0"/>
    <s v="Musanze"/>
    <s v="Rwaza"/>
    <s v="NMUK_2"/>
    <s v="Giciye/Mukungwa Sub-Catchment"/>
    <n v="946.08"/>
  </r>
  <r>
    <x v="3"/>
    <s v="GIKUNZI"/>
    <s v="Public"/>
    <x v="0"/>
    <s v="Musanze"/>
    <s v="Rwaza"/>
    <s v="NMUK_2"/>
    <s v="Giciye/Mukungwa Sub-Catchment"/>
    <n v="0"/>
  </r>
  <r>
    <x v="3"/>
    <s v="CYONDE II"/>
    <s v="Public"/>
    <x v="0"/>
    <s v="Musanze"/>
    <s v="Rwaza"/>
    <s v="NMUK_2"/>
    <s v="Giciye/Mukungwa Sub-Catchment"/>
    <n v="788.40000000000009"/>
  </r>
  <r>
    <x v="3"/>
    <s v="BUSHINGE"/>
    <s v="Public"/>
    <x v="0"/>
    <s v="Musanze"/>
    <s v="Rwaza"/>
    <s v="NMUK_2"/>
    <s v="Giciye/Mukungwa Sub-Catchment"/>
    <n v="3784.32"/>
  </r>
  <r>
    <x v="3"/>
    <s v="CYONDE III"/>
    <s v="Public"/>
    <x v="0"/>
    <s v="Musanze"/>
    <s v="Rwaza"/>
    <s v="NMUK_2"/>
    <s v="Giciye/Mukungwa Sub-Catchment"/>
    <n v="0"/>
  </r>
  <r>
    <x v="3"/>
    <s v="CYONDE"/>
    <s v="Public"/>
    <x v="0"/>
    <s v="Musanze"/>
    <s v="Rwaza"/>
    <s v="NMUK_2"/>
    <s v="Giciye/Mukungwa Sub-Catchment"/>
    <n v="2838.24"/>
  </r>
  <r>
    <x v="3"/>
    <s v="KANYESARO"/>
    <s v="Public"/>
    <x v="0"/>
    <s v="Musanze"/>
    <s v="Rwaza"/>
    <s v="NMUK_2"/>
    <s v="Giciye/Mukungwa Sub-Catchment"/>
    <n v="3153.6000000000004"/>
  </r>
  <r>
    <x v="3"/>
    <s v="GASAYO"/>
    <s v="Public"/>
    <x v="0"/>
    <s v="Musanze"/>
    <s v="Rwaza"/>
    <s v="NMUK_2"/>
    <s v="Giciye/Mukungwa Sub-Catchment"/>
    <n v="2365.2000000000003"/>
  </r>
  <r>
    <x v="3"/>
    <s v="RWASEBEYA"/>
    <s v="Public"/>
    <x v="0"/>
    <s v="Nyabihu"/>
    <s v="Shyira"/>
    <s v="NMUK_2"/>
    <s v="Giciye/Mukungwa Sub-Catchment"/>
    <n v="3153.6000000000004"/>
  </r>
  <r>
    <x v="3"/>
    <s v="MASUPU"/>
    <s v="Public"/>
    <x v="0"/>
    <s v="Nyabihu"/>
    <s v="Shyira"/>
    <s v="NMUK_2"/>
    <s v="Giciye/Mukungwa Sub-Catchment"/>
    <n v="630.72"/>
  </r>
  <r>
    <x v="3"/>
    <s v="RUBUMBA"/>
    <s v="Public"/>
    <x v="0"/>
    <s v="Nyabihu"/>
    <s v="Shyira"/>
    <s v="NMUK_2"/>
    <s v="Giciye/Mukungwa Sub-Catchment"/>
    <n v="1103.7600000000002"/>
  </r>
  <r>
    <x v="3"/>
    <s v="MPINGA"/>
    <s v="Public"/>
    <x v="0"/>
    <s v="Nyabihu"/>
    <s v="Shyira"/>
    <s v="NMUK_2"/>
    <s v="Giciye/Mukungwa Sub-Catchment"/>
    <n v="2838.24"/>
  </r>
  <r>
    <x v="3"/>
    <s v="MUGWATA"/>
    <s v="Public"/>
    <x v="0"/>
    <s v="Nyabihu"/>
    <s v="Shyira"/>
    <s v="NMUK_2"/>
    <s v="Giciye/Mukungwa Sub-Catchment"/>
    <n v="1103.7600000000002"/>
  </r>
  <r>
    <x v="3"/>
    <s v="GASURURU I"/>
    <s v="Public"/>
    <x v="0"/>
    <s v="Nyabihu"/>
    <s v="Shyira"/>
    <s v="NMUK_2"/>
    <s v="Giciye/Mukungwa Sub-Catchment"/>
    <n v="7884.0000000000009"/>
  </r>
  <r>
    <x v="3"/>
    <s v="GASURURU II"/>
    <s v="Public"/>
    <x v="0"/>
    <s v="Nyabihu"/>
    <s v="Shyira"/>
    <s v="NMUK_2"/>
    <s v="Giciye/Mukungwa Sub-Catchment"/>
    <n v="1576.8000000000002"/>
  </r>
  <r>
    <x v="3"/>
    <s v="GISUMA"/>
    <s v="Public"/>
    <x v="0"/>
    <s v="Nyabihu"/>
    <s v="Shyira"/>
    <s v="NMUK_2"/>
    <s v="Giciye/Mukungwa Sub-Catchment"/>
    <n v="1576.8000000000002"/>
  </r>
  <r>
    <x v="3"/>
    <s v="KAMUHANUKA"/>
    <s v="Public"/>
    <x v="0"/>
    <s v="Nyabihu"/>
    <s v="Shyira"/>
    <s v="NMUK_2"/>
    <s v="Giciye/Mukungwa Sub-Catchment"/>
    <n v="788.40000000000009"/>
  </r>
  <r>
    <x v="3"/>
    <s v="MUTANDA"/>
    <s v="Public"/>
    <x v="0"/>
    <s v="Nyabihu"/>
    <s v="Shyira"/>
    <s v="NMUK_2"/>
    <s v="Giciye/Mukungwa Sub-Catchment"/>
    <n v="1734.4800000000002"/>
  </r>
  <r>
    <x v="3"/>
    <s v="GASEKE"/>
    <s v="Public"/>
    <x v="0"/>
    <s v="Nyabihu"/>
    <s v="Shyira"/>
    <s v="NMUK_2"/>
    <s v="Giciye/Mukungwa Sub-Catchment"/>
    <n v="630.72"/>
  </r>
  <r>
    <x v="3"/>
    <s v="GITAMBUKO"/>
    <s v="Public"/>
    <x v="0"/>
    <s v="Nyabihu"/>
    <s v="Shyira"/>
    <s v="NMUK_2"/>
    <s v="Giciye/Mukungwa Sub-Catchment"/>
    <n v="630.72"/>
  </r>
  <r>
    <x v="3"/>
    <s v="SINAIDENI"/>
    <s v="Public"/>
    <x v="0"/>
    <s v="Nyanza"/>
    <s v="Busoro"/>
    <s v="NAKN_2"/>
    <s v="Gishara/Mukunguri Sub-Catchment"/>
    <n v="840.90743999999984"/>
  </r>
  <r>
    <x v="3"/>
    <s v="KABINGO"/>
    <s v="Public"/>
    <x v="0"/>
    <s v="Nyanza"/>
    <s v="Busoro"/>
    <s v="NAKN_2"/>
    <s v="Gishara/Mukunguri Sub-Catchment"/>
    <n v="2251.6704000000004"/>
  </r>
  <r>
    <x v="3"/>
    <s v="GICYACA"/>
    <s v="Public"/>
    <x v="0"/>
    <s v="Nyanza"/>
    <s v="Busoro"/>
    <s v="NAKN_2"/>
    <s v="Gishara/Mukunguri Sub-Catchment"/>
    <n v="2775.1679999999997"/>
  </r>
  <r>
    <x v="3"/>
    <s v="KABIRIZI"/>
    <s v="Public"/>
    <x v="0"/>
    <s v="Nyanza"/>
    <s v="Busoro"/>
    <s v="NAKN_2"/>
    <s v="Gishara/Mukunguri Sub-Catchment"/>
    <n v="655.94880000000001"/>
  </r>
  <r>
    <x v="3"/>
    <s v="KABUTURA 2"/>
    <s v="Public"/>
    <x v="0"/>
    <s v="Nyanza"/>
    <s v="Busoro"/>
    <s v="NAKN_2"/>
    <s v="Gishara/Mukunguri Sub-Catchment"/>
    <n v="15783.767999999998"/>
  </r>
  <r>
    <x v="3"/>
    <s v="KABUTURA"/>
    <s v="Public"/>
    <x v="0"/>
    <s v="Nyanza"/>
    <s v="Busoro"/>
    <s v="NAKN_2"/>
    <s v="Gishara/Mukunguri Sub-Catchment"/>
    <n v="4378.7736000000004"/>
  </r>
  <r>
    <x v="3"/>
    <s v="NYAMIYONGA"/>
    <s v="Public"/>
    <x v="0"/>
    <s v="Nyanza"/>
    <s v="Busoro"/>
    <s v="NAKN_2"/>
    <s v="Gishara/Mukunguri Sub-Catchment"/>
    <n v="2317.8959999999997"/>
  </r>
  <r>
    <x v="3"/>
    <s v="RWAFIDELE"/>
    <s v="Public"/>
    <x v="0"/>
    <s v="Nyanza"/>
    <s v="Busoro"/>
    <s v="NAKN_2"/>
    <s v="Gishara/Mukunguri Sub-Catchment"/>
    <n v="2626.9488000000001"/>
  </r>
  <r>
    <x v="3"/>
    <s v="KADOBORI"/>
    <s v="Public"/>
    <x v="0"/>
    <s v="Nyanza"/>
    <s v="Busoro"/>
    <s v="NAKN_2"/>
    <s v="Gishara/Mukunguri Sub-Catchment"/>
    <n v="15965.1"/>
  </r>
  <r>
    <x v="3"/>
    <s v="GISIBANDE"/>
    <s v="Public"/>
    <x v="0"/>
    <s v="Nyanza"/>
    <s v="Busoro"/>
    <s v="NAKN_2"/>
    <s v="Gishara/Mukunguri Sub-Catchment"/>
    <n v="1923.6959999999999"/>
  </r>
  <r>
    <x v="3"/>
    <s v="BAHIMBA"/>
    <s v="Public"/>
    <x v="0"/>
    <s v="Nyanza"/>
    <s v="Busoro"/>
    <s v="NAKN_2"/>
    <s v="Gishara/Mukunguri Sub-Catchment"/>
    <n v="646.48800000000006"/>
  </r>
  <r>
    <x v="3"/>
    <s v="KANYONYOMBA"/>
    <s v="Public"/>
    <x v="0"/>
    <s v="Nyanza"/>
    <s v="Busoro"/>
    <s v="NAKN_2"/>
    <s v="Gishara/Mukunguri Sub-Catchment"/>
    <n v="2917.0800000000004"/>
  </r>
  <r>
    <x v="3"/>
    <s v="KADOBORI"/>
    <s v="Public"/>
    <x v="0"/>
    <s v="Nyanza"/>
    <s v="Busoro"/>
    <s v="NAKN_2"/>
    <s v="Gishara/Mukunguri Sub-Catchment"/>
    <n v="2626.9488000000001"/>
  </r>
  <r>
    <x v="3"/>
    <s v="KAVUMU"/>
    <s v="Public"/>
    <x v="0"/>
    <s v="Nyanza"/>
    <s v="Busoro"/>
    <s v="NAKN_2"/>
    <s v="Gishara/Mukunguri Sub-Catchment"/>
    <n v="1892.16"/>
  </r>
  <r>
    <x v="3"/>
    <s v="KUGASIMA"/>
    <s v="Public"/>
    <x v="0"/>
    <s v="Nyanza"/>
    <s v="Busoro"/>
    <s v="NAKN_2"/>
    <s v="Gishara/Mukunguri Sub-Catchment"/>
    <n v="130.87440000000001"/>
  </r>
  <r>
    <x v="3"/>
    <s v="KAGINA"/>
    <s v="Public"/>
    <x v="0"/>
    <s v="Nyanza"/>
    <s v="Busoro"/>
    <s v="NAKN_2"/>
    <s v="Gishara/Mukunguri Sub-Catchment"/>
    <n v="788.55768"/>
  </r>
  <r>
    <x v="3"/>
    <s v="SEKIMONYI"/>
    <s v="Public"/>
    <x v="0"/>
    <s v="Nyanza"/>
    <s v="Busoro"/>
    <s v="NAKN_2"/>
    <s v="Gishara/Mukunguri Sub-Catchment"/>
    <n v="463.57920000000001"/>
  </r>
  <r>
    <x v="3"/>
    <s v="GATOVU"/>
    <s v="Public"/>
    <x v="0"/>
    <s v="Nyanza"/>
    <s v="Busoro"/>
    <s v="NAKN_2"/>
    <s v="Gishara/Mukunguri Sub-Catchment"/>
    <n v="3027.4559999999997"/>
  </r>
  <r>
    <x v="3"/>
    <s v="RUSENGO"/>
    <s v="Public"/>
    <x v="0"/>
    <s v="Nyanza"/>
    <s v="Busoro"/>
    <s v="NAKN_2"/>
    <s v="Gishara/Mukunguri Sub-Catchment"/>
    <n v="492.75000000000006"/>
  </r>
  <r>
    <x v="3"/>
    <s v="RWABATUTSI"/>
    <s v="Public"/>
    <x v="0"/>
    <s v="Nyanza"/>
    <s v="Busoro"/>
    <s v="NAKN_2"/>
    <s v="Gishara/Mukunguri Sub-Catchment"/>
    <n v="5203.4400000000005"/>
  </r>
  <r>
    <x v="3"/>
    <s v="NYAMYIJIMA"/>
    <s v="Public"/>
    <x v="0"/>
    <s v="Nyanza"/>
    <s v="Busoro"/>
    <s v="NAKN_2"/>
    <s v="Gishara/Mukunguri Sub-Catchment"/>
    <n v="465.15600000000001"/>
  </r>
  <r>
    <x v="3"/>
    <s v="RWAMAJERI"/>
    <s v="Public"/>
    <x v="0"/>
    <s v="Nyanza"/>
    <s v="Busoro"/>
    <s v="NAKN_2"/>
    <s v="Gishara/Mukunguri Sub-Catchment"/>
    <n v="3155.1768000000002"/>
  </r>
  <r>
    <x v="3"/>
    <s v="KANNYWOGO"/>
    <s v="Public"/>
    <x v="0"/>
    <s v="Gisagara"/>
    <s v="Gikonko"/>
    <s v="NAKN_2"/>
    <s v="Gishara/Mukunguri Sub-Catchment"/>
    <n v="1576.8000000000002"/>
  </r>
  <r>
    <x v="3"/>
    <s v="KIREKA N03"/>
    <s v="Public"/>
    <x v="0"/>
    <s v="Gisagara"/>
    <s v="Gikonko"/>
    <s v="NAKN_2"/>
    <s v="Gishara/Mukunguri Sub-Catchment"/>
    <n v="2049.84"/>
  </r>
  <r>
    <x v="3"/>
    <s v="KIREKA N02"/>
    <s v="Public"/>
    <x v="0"/>
    <s v="Gisagara"/>
    <s v="Gikonko"/>
    <s v="NAKN_2"/>
    <s v="Gishara/Mukunguri Sub-Catchment"/>
    <n v="1419.12"/>
  </r>
  <r>
    <x v="3"/>
    <s v="KIREKA N01"/>
    <s v="Public"/>
    <x v="0"/>
    <s v="Gisagara"/>
    <s v="Gikonko"/>
    <s v="NAKN_2"/>
    <s v="Gishara/Mukunguri Sub-Catchment"/>
    <n v="946.08"/>
  </r>
  <r>
    <x v="3"/>
    <s v="RWINTARE"/>
    <s v="Public"/>
    <x v="0"/>
    <s v="Gisagara"/>
    <s v="Gikonko"/>
    <s v="NAKN_2"/>
    <s v="Gishara/Mukunguri Sub-Catchment"/>
    <n v="2207.5200000000004"/>
  </r>
  <r>
    <x v="3"/>
    <s v="KAGINA"/>
    <s v="Public"/>
    <x v="0"/>
    <s v="Gisagara"/>
    <s v="Gikonko"/>
    <s v="NAKN_2"/>
    <s v="Gishara/Mukunguri Sub-Catchment"/>
    <n v="3626.64"/>
  </r>
  <r>
    <x v="3"/>
    <s v="BASINZIRE"/>
    <s v="Public"/>
    <x v="0"/>
    <s v="Gisagara"/>
    <s v="Gikonko"/>
    <s v="NAKN_2"/>
    <s v="Gishara/Mukunguri Sub-Catchment"/>
    <n v="1419.12"/>
  </r>
  <r>
    <x v="3"/>
    <s v="GASEKE"/>
    <s v="Public"/>
    <x v="0"/>
    <s v="Gisagara"/>
    <s v="Gikonko"/>
    <s v="NAKN_2"/>
    <s v="Gishara/Mukunguri Sub-Catchment"/>
    <n v="3153.6000000000004"/>
  </r>
  <r>
    <x v="3"/>
    <s v="AKABASORE"/>
    <s v="Public"/>
    <x v="0"/>
    <s v="Gisagara"/>
    <s v="Gikonko"/>
    <s v="NAKN_2"/>
    <s v="Gishara/Mukunguri Sub-Catchment"/>
    <n v="630.72"/>
  </r>
  <r>
    <x v="3"/>
    <s v="NYAKABUYE"/>
    <s v="Public"/>
    <x v="0"/>
    <s v="Gisagara"/>
    <s v="Gikonko"/>
    <s v="NAKN_2"/>
    <s v="Gishara/Mukunguri Sub-Catchment"/>
    <n v="3784.32"/>
  </r>
  <r>
    <x v="3"/>
    <s v="GAKO"/>
    <s v="Public"/>
    <x v="0"/>
    <s v="Gisagara"/>
    <s v="Gikonko"/>
    <s v="NAKN_2"/>
    <s v="Gishara/Mukunguri Sub-Catchment"/>
    <n v="2522.88"/>
  </r>
  <r>
    <x v="3"/>
    <s v="MWURA"/>
    <s v="Public"/>
    <x v="0"/>
    <s v="Gisagara"/>
    <s v="Gikonko"/>
    <s v="NAKN_2"/>
    <s v="Gishara/Mukunguri Sub-Catchment"/>
    <n v="4888.0800000000008"/>
  </r>
  <r>
    <x v="3"/>
    <s v="NYAMIGOGO"/>
    <s v="Public"/>
    <x v="0"/>
    <s v="Gisagara"/>
    <s v="Gikonko"/>
    <s v="NAKN_2"/>
    <s v="Gishara/Mukunguri Sub-Catchment"/>
    <n v="3784.32"/>
  </r>
  <r>
    <x v="3"/>
    <s v="MUSAGARA"/>
    <s v="Public"/>
    <x v="0"/>
    <s v="Gisagara"/>
    <s v="Gikonko"/>
    <s v="NAKN_2"/>
    <s v="Gishara/Mukunguri Sub-Catchment"/>
    <n v="3942.0000000000005"/>
  </r>
  <r>
    <x v="3"/>
    <s v="CYAHAFI"/>
    <s v="Public"/>
    <x v="0"/>
    <s v="Gisagara"/>
    <s v="Gikonko"/>
    <s v="NAKN_2"/>
    <s v="Gishara/Mukunguri Sub-Catchment"/>
    <n v="2049.84"/>
  </r>
  <r>
    <x v="3"/>
    <s v="NYAMWIJIMA"/>
    <s v="Public"/>
    <x v="0"/>
    <s v="Gisagara"/>
    <s v="Gikonko"/>
    <s v="NAKN_2"/>
    <s v="Gishara/Mukunguri Sub-Catchment"/>
    <n v="7095.6"/>
  </r>
  <r>
    <x v="3"/>
    <s v="NYAKAGEZI"/>
    <s v="Public"/>
    <x v="0"/>
    <s v="Gisagara"/>
    <s v="Gikonko"/>
    <s v="NAKN_2"/>
    <s v="Gishara/Mukunguri Sub-Catchment"/>
    <n v="7410.9599999999991"/>
  </r>
  <r>
    <x v="3"/>
    <s v="AGASENYI"/>
    <s v="Public"/>
    <x v="0"/>
    <s v="Gisagara"/>
    <s v="Gikonko"/>
    <s v="NAKN_2"/>
    <s v="Gishara/Mukunguri Sub-Catchment"/>
    <n v="2995.92"/>
  </r>
  <r>
    <x v="3"/>
    <s v="NYABITARE"/>
    <s v="Public"/>
    <x v="0"/>
    <s v="Gisagara"/>
    <s v="Gikonko"/>
    <s v="NAKN_2"/>
    <s v="Gishara/Mukunguri Sub-Catchment"/>
    <n v="2522.88"/>
  </r>
  <r>
    <x v="3"/>
    <s v="MBONWA"/>
    <s v="Public"/>
    <x v="0"/>
    <s v="Gisagara"/>
    <s v="Gikonko"/>
    <s v="NAKN_2"/>
    <s v="Gishara/Mukunguri Sub-Catchment"/>
    <n v="2365.2000000000003"/>
  </r>
  <r>
    <x v="3"/>
    <s v="MUYARUKARA"/>
    <s v="Public"/>
    <x v="0"/>
    <s v="Gisagara"/>
    <s v="Gishubi"/>
    <s v="NAKN_2"/>
    <s v="Gishara/Mukunguri Sub-Catchment"/>
    <n v="1261.44"/>
  </r>
  <r>
    <x v="3"/>
    <s v="KUKARUGI"/>
    <s v="Public"/>
    <x v="0"/>
    <s v="Gisagara"/>
    <s v="Gishubi"/>
    <s v="NAKN_2"/>
    <s v="Gishara/Mukunguri Sub-Catchment"/>
    <n v="12456.72"/>
  </r>
  <r>
    <x v="3"/>
    <s v="NYAMUKO"/>
    <s v="Public"/>
    <x v="0"/>
    <s v="Gisagara"/>
    <s v="Gishubi"/>
    <s v="NAKN_2"/>
    <s v="Gishara/Mukunguri Sub-Catchment"/>
    <n v="5361.12"/>
  </r>
  <r>
    <x v="3"/>
    <s v="MUKAGURE"/>
    <s v="Public"/>
    <x v="0"/>
    <s v="Gisagara"/>
    <s v="Gishubi"/>
    <s v="NAKN_2"/>
    <s v="Gishara/Mukunguri Sub-Catchment"/>
    <n v="630.72"/>
  </r>
  <r>
    <x v="3"/>
    <s v="KIVUMVU"/>
    <s v="Public"/>
    <x v="0"/>
    <s v="Gisagara"/>
    <s v="Gishubi"/>
    <s v="NAKN_2"/>
    <s v="Gishara/Mukunguri Sub-Catchment"/>
    <n v="3468.9600000000005"/>
  </r>
  <r>
    <x v="3"/>
    <s v="RUNYAGAHIRA"/>
    <s v="Public"/>
    <x v="0"/>
    <s v="Gisagara"/>
    <s v="Gishubi"/>
    <s v="NAKN_2"/>
    <s v="Gishara/Mukunguri Sub-Catchment"/>
    <n v="315.36"/>
  </r>
  <r>
    <x v="3"/>
    <s v="NYABYUNYU"/>
    <s v="Public"/>
    <x v="0"/>
    <s v="Gisagara"/>
    <s v="Gishubi"/>
    <s v="NAKN_2"/>
    <s v="Gishara/Mukunguri Sub-Catchment"/>
    <n v="11195.28"/>
  </r>
  <r>
    <x v="3"/>
    <s v="RUHOKO"/>
    <s v="Public"/>
    <x v="0"/>
    <s v="Gisagara"/>
    <s v="Gishubi"/>
    <s v="NAKN_2"/>
    <s v="Gishara/Mukunguri Sub-Catchment"/>
    <n v="315.36"/>
  </r>
  <r>
    <x v="3"/>
    <s v="KWABUGI"/>
    <s v="Public"/>
    <x v="0"/>
    <s v="Gisagara"/>
    <s v="Gishubi"/>
    <s v="NAKN_2"/>
    <s v="Gishara/Mukunguri Sub-Catchment"/>
    <n v="5203.4400000000005"/>
  </r>
  <r>
    <x v="3"/>
    <s v="KWAMUNYAKAZI"/>
    <s v="Public"/>
    <x v="0"/>
    <s v="Gisagara"/>
    <s v="Gishubi"/>
    <s v="NAKN_2"/>
    <s v="Gishara/Mukunguri Sub-Catchment"/>
    <n v="1419.12"/>
  </r>
  <r>
    <x v="3"/>
    <s v="KWAMAGORWA"/>
    <s v="Public"/>
    <x v="0"/>
    <s v="Gisagara"/>
    <s v="Gishubi"/>
    <s v="NAKN_2"/>
    <s v="Gishara/Mukunguri Sub-Catchment"/>
    <n v="1103.7600000000002"/>
  </r>
  <r>
    <x v="3"/>
    <s v="KAVUGANGOMA"/>
    <s v="Public"/>
    <x v="0"/>
    <s v="Gisagara"/>
    <s v="Gishubi"/>
    <s v="NAKN_2"/>
    <s v="Gishara/Mukunguri Sub-Catchment"/>
    <n v="6307.2000000000007"/>
  </r>
  <r>
    <x v="3"/>
    <s v="GIHURU"/>
    <s v="Public"/>
    <x v="0"/>
    <s v="Gisagara"/>
    <s v="Gishubi"/>
    <s v="NAKN_2"/>
    <s v="Gishara/Mukunguri Sub-Catchment"/>
    <n v="6464.88"/>
  </r>
  <r>
    <x v="3"/>
    <s v="KAWAMBIRINDE"/>
    <s v="Public"/>
    <x v="0"/>
    <s v="Gisagara"/>
    <s v="Gishubi"/>
    <s v="NAKN_2"/>
    <s v="Gishara/Mukunguri Sub-Catchment"/>
    <n v="4415.0400000000009"/>
  </r>
  <r>
    <x v="3"/>
    <s v="CYAMANYERI II"/>
    <s v="Public"/>
    <x v="0"/>
    <s v="Gisagara"/>
    <s v="Gishubi"/>
    <s v="NAKN_2"/>
    <s v="Gishara/Mukunguri Sub-Catchment"/>
    <n v="2207.5200000000004"/>
  </r>
  <r>
    <x v="3"/>
    <s v="CYAMANYERI I"/>
    <s v="Public"/>
    <x v="0"/>
    <s v="Gisagara"/>
    <s v="Gishubi"/>
    <s v="NAKN_2"/>
    <s v="Gishara/Mukunguri Sub-Catchment"/>
    <n v="2680.56"/>
  </r>
  <r>
    <x v="3"/>
    <s v="KWANYANDWI"/>
    <s v="Public"/>
    <x v="0"/>
    <s v="Gisagara"/>
    <s v="Gishubi"/>
    <s v="NAKN_2"/>
    <s v="Gishara/Mukunguri Sub-Catchment"/>
    <n v="315.36"/>
  </r>
  <r>
    <x v="3"/>
    <s v="MURUHERI"/>
    <s v="Public"/>
    <x v="0"/>
    <s v="Gisagara"/>
    <s v="Gishubi"/>
    <s v="NAKN_2"/>
    <s v="Gishara/Mukunguri Sub-Catchment"/>
    <n v="315.36"/>
  </r>
  <r>
    <x v="3"/>
    <s v="KIBINDYI"/>
    <s v="Public"/>
    <x v="0"/>
    <s v="Gisagara"/>
    <s v="Gishubi"/>
    <s v="NAKN_2"/>
    <s v="Gishara/Mukunguri Sub-Catchment"/>
    <n v="2365.2000000000003"/>
  </r>
  <r>
    <x v="3"/>
    <s v="BUSAVE"/>
    <s v="Public"/>
    <x v="0"/>
    <s v="Gisagara"/>
    <s v="Gishubi"/>
    <s v="NAKN_2"/>
    <s v="Gishara/Mukunguri Sub-Catchment"/>
    <n v="2680.56"/>
  </r>
  <r>
    <x v="3"/>
    <s v="KWASIPIRIYANI"/>
    <s v="Public"/>
    <x v="0"/>
    <s v="Gisagara"/>
    <s v="Gishubi"/>
    <s v="NAKN_2"/>
    <s v="Gishara/Mukunguri Sub-Catchment"/>
    <n v="2680.56"/>
  </r>
  <r>
    <x v="3"/>
    <s v="BUSAVE"/>
    <s v="Public"/>
    <x v="0"/>
    <s v="Gisagara"/>
    <s v="Gishubi"/>
    <s v="NAKN_2"/>
    <s v="Gishara/Mukunguri Sub-Catchment"/>
    <n v="3626.64"/>
  </r>
  <r>
    <x v="3"/>
    <s v="KWATOMASI"/>
    <s v="Public"/>
    <x v="0"/>
    <s v="Gisagara"/>
    <s v="Gishubi"/>
    <s v="NAKN_2"/>
    <s v="Gishara/Mukunguri Sub-Catchment"/>
    <n v="6464.88"/>
  </r>
  <r>
    <x v="3"/>
    <s v="MUWINTARE"/>
    <s v="Public"/>
    <x v="0"/>
    <s v="Gisagara"/>
    <s v="Gishubi"/>
    <s v="NAKN_2"/>
    <s v="Gishara/Mukunguri Sub-Catchment"/>
    <n v="946.08"/>
  </r>
  <r>
    <x v="3"/>
    <s v="NYANKONO"/>
    <s v="Public"/>
    <x v="0"/>
    <s v="Gisagara"/>
    <s v="Gishubi"/>
    <s v="NAKN_2"/>
    <s v="Gishara/Mukunguri Sub-Catchment"/>
    <n v="7095.6"/>
  </r>
  <r>
    <x v="3"/>
    <s v="KIGOZI I"/>
    <s v="Public"/>
    <x v="0"/>
    <s v="Gisagara"/>
    <s v="Gishubi"/>
    <s v="NAKN_2"/>
    <s v="Gishara/Mukunguri Sub-Catchment"/>
    <n v="1103.7600000000002"/>
  </r>
  <r>
    <x v="3"/>
    <s v="GITOVU"/>
    <s v="Public"/>
    <x v="0"/>
    <s v="Gisagara"/>
    <s v="Gishubi"/>
    <s v="NAKN_2"/>
    <s v="Gishara/Mukunguri Sub-Catchment"/>
    <n v="3942.0000000000005"/>
  </r>
  <r>
    <x v="3"/>
    <s v="BUTEKA"/>
    <s v="Public"/>
    <x v="0"/>
    <s v="Gisagara"/>
    <s v="Gishubi"/>
    <s v="NAKN_2"/>
    <s v="Gishara/Mukunguri Sub-Catchment"/>
    <n v="3468.9600000000005"/>
  </r>
  <r>
    <x v="3"/>
    <s v="KAGOMA"/>
    <s v="Public"/>
    <x v="0"/>
    <s v="Gisagara"/>
    <s v="Gishubi"/>
    <s v="NAKN_2"/>
    <s v="Gishara/Mukunguri Sub-Catchment"/>
    <n v="946.08"/>
  </r>
  <r>
    <x v="3"/>
    <s v="MUGATOKI"/>
    <s v="Public"/>
    <x v="0"/>
    <s v="Gisagara"/>
    <s v="Gishubi"/>
    <s v="NAKN_2"/>
    <s v="Gishara/Mukunguri Sub-Catchment"/>
    <n v="315.36"/>
  </r>
  <r>
    <x v="3"/>
    <s v="KIGOZI II"/>
    <s v="Public"/>
    <x v="0"/>
    <s v="Gisagara"/>
    <s v="Gishubi"/>
    <s v="NAKN_2"/>
    <s v="Gishara/Mukunguri Sub-Catchment"/>
    <n v="189216.00000000003"/>
  </r>
  <r>
    <x v="3"/>
    <s v="RUMARI"/>
    <s v="Public"/>
    <x v="0"/>
    <s v="Gisagara"/>
    <s v="Gishubi"/>
    <s v="NAKN_2"/>
    <s v="Gishara/Mukunguri Sub-Catchment"/>
    <n v="3942.0000000000005"/>
  </r>
  <r>
    <x v="3"/>
    <s v="KABINGO"/>
    <s v="Public"/>
    <x v="0"/>
    <s v="Gisagara"/>
    <s v="Gishubi"/>
    <s v="NAKN_2"/>
    <s v="Gishara/Mukunguri Sub-Catchment"/>
    <n v="630.72"/>
  </r>
  <r>
    <x v="3"/>
    <s v="MURIMERAMIKEBO"/>
    <s v="Public"/>
    <x v="0"/>
    <s v="Gisagara"/>
    <s v="Gishubi"/>
    <s v="NAKN_2"/>
    <s v="Gishara/Mukunguri Sub-Catchment"/>
    <n v="630.72"/>
  </r>
  <r>
    <x v="3"/>
    <s v="NYAMUKOGI"/>
    <s v="Public"/>
    <x v="0"/>
    <s v="Gisagara"/>
    <s v="Gishubi"/>
    <s v="NAKN_2"/>
    <s v="Gishara/Mukunguri Sub-Catchment"/>
    <n v="946.08"/>
  </r>
  <r>
    <x v="3"/>
    <s v="KWABICUNSHU"/>
    <s v="Public"/>
    <x v="0"/>
    <s v="Gisagara"/>
    <s v="Gishubi"/>
    <s v="NAKN_2"/>
    <s v="Gishara/Mukunguri Sub-Catchment"/>
    <n v="788.40000000000009"/>
  </r>
  <r>
    <x v="3"/>
    <s v="KIMWAMAGANA"/>
    <s v="Public"/>
    <x v="0"/>
    <s v="Gisagara"/>
    <s v="Gishubi"/>
    <s v="NAKN_2"/>
    <s v="Gishara/Mukunguri Sub-Catchment"/>
    <n v="19867.68"/>
  </r>
  <r>
    <x v="3"/>
    <s v="RUVOMINGARE"/>
    <s v="Public"/>
    <x v="0"/>
    <s v="Gisagara"/>
    <s v="Gishubi"/>
    <s v="NAKN_2"/>
    <s v="Gishara/Mukunguri Sub-Catchment"/>
    <n v="1103.7600000000002"/>
  </r>
  <r>
    <x v="3"/>
    <s v="KURIRUTARE"/>
    <s v="Public"/>
    <x v="0"/>
    <s v="Gisagara"/>
    <s v="Gishubi"/>
    <s v="NAKN_2"/>
    <s v="Gishara/Mukunguri Sub-Catchment"/>
    <n v="2522.88"/>
  </r>
  <r>
    <x v="3"/>
    <s v="MURWINTARE"/>
    <s v="Public"/>
    <x v="0"/>
    <s v="Gisagara"/>
    <s v="Gishubi"/>
    <s v="NAKN_2"/>
    <s v="Gishara/Mukunguri Sub-Catchment"/>
    <n v="1103.7600000000002"/>
  </r>
  <r>
    <x v="3"/>
    <s v="NYAMUKO"/>
    <s v="Public"/>
    <x v="0"/>
    <s v="Gisagara"/>
    <s v="Gishubi"/>
    <s v="NAKN_2"/>
    <s v="Gishara/Mukunguri Sub-Catchment"/>
    <n v="1419.12"/>
  </r>
  <r>
    <x v="3"/>
    <s v="GASHONONO"/>
    <s v="Public"/>
    <x v="0"/>
    <s v="Gisagara"/>
    <s v="Gishubi"/>
    <s v="NAKN_2"/>
    <s v="Gishara/Mukunguri Sub-Catchment"/>
    <n v="6149.5200000000013"/>
  </r>
  <r>
    <x v="3"/>
    <s v="KAJARE"/>
    <s v="Public"/>
    <x v="0"/>
    <s v="Gisagara"/>
    <s v="Gishubi"/>
    <s v="NAKN_2"/>
    <s v="Gishara/Mukunguri Sub-Catchment"/>
    <n v="630.72"/>
  </r>
  <r>
    <x v="3"/>
    <s v="KAJEVUBA"/>
    <s v="Public"/>
    <x v="0"/>
    <s v="Gisagara"/>
    <s v="Gishubi"/>
    <s v="NAKN_2"/>
    <s v="Gishara/Mukunguri Sub-Catchment"/>
    <n v="7884.0000000000009"/>
  </r>
  <r>
    <x v="3"/>
    <s v="NYAGISENYI"/>
    <s v="Public"/>
    <x v="0"/>
    <s v="Gisagara"/>
    <s v="Gishubi"/>
    <s v="NAKN_2"/>
    <s v="Gishara/Mukunguri Sub-Catchment"/>
    <n v="788.40000000000009"/>
  </r>
  <r>
    <x v="3"/>
    <s v="KIRUHURA"/>
    <s v="Public"/>
    <x v="0"/>
    <s v="Gisagara"/>
    <s v="Gishubi"/>
    <s v="NAKN_2"/>
    <s v="Gishara/Mukunguri Sub-Catchment"/>
    <n v="1103.7600000000002"/>
  </r>
  <r>
    <x v="3"/>
    <s v="RUGINA"/>
    <s v="Public"/>
    <x v="0"/>
    <s v="Gisagara"/>
    <s v="Kansi"/>
    <s v="NAKN_2"/>
    <s v="Gishara/Mukunguri Sub-Catchment"/>
    <n v="1734.4800000000002"/>
  </r>
  <r>
    <x v="3"/>
    <s v="KABUYENGE"/>
    <s v="Public"/>
    <x v="0"/>
    <s v="Gisagara"/>
    <s v="Kansi"/>
    <s v="NAKN_2"/>
    <s v="Gishara/Mukunguri Sub-Catchment"/>
    <n v="630.72"/>
  </r>
  <r>
    <x v="3"/>
    <s v="NYAKAGEZI"/>
    <s v="Public"/>
    <x v="0"/>
    <s v="Gisagara"/>
    <s v="Kansi"/>
    <s v="NAKN_2"/>
    <s v="Gishara/Mukunguri Sub-Catchment"/>
    <n v="189216.00000000003"/>
  </r>
  <r>
    <x v="3"/>
    <s v="NYARUKURAZA"/>
    <s v="Public"/>
    <x v="0"/>
    <s v="Gisagara"/>
    <s v="Kansi"/>
    <s v="NAKN_2"/>
    <s v="Gishara/Mukunguri Sub-Catchment"/>
    <n v="1419.12"/>
  </r>
  <r>
    <x v="3"/>
    <s v="KABURANJWIRI"/>
    <s v="Public"/>
    <x v="0"/>
    <s v="Gisagara"/>
    <s v="Kansi"/>
    <s v="NAKN_2"/>
    <s v="Gishara/Mukunguri Sub-Catchment"/>
    <n v="788.40000000000009"/>
  </r>
  <r>
    <x v="3"/>
    <s v="GASOKO"/>
    <s v="Public"/>
    <x v="0"/>
    <s v="Gisagara"/>
    <s v="Kansi"/>
    <s v="NAKN_2"/>
    <s v="Gishara/Mukunguri Sub-Catchment"/>
    <n v="630.72"/>
  </r>
  <r>
    <x v="3"/>
    <s v="NYAMUKO"/>
    <s v="Public"/>
    <x v="0"/>
    <s v="Gisagara"/>
    <s v="Kansi"/>
    <s v="NAKN_2"/>
    <s v="Gishara/Mukunguri Sub-Catchment"/>
    <n v="315.36"/>
  </r>
  <r>
    <x v="3"/>
    <s v="GASENGA"/>
    <s v="Public"/>
    <x v="0"/>
    <s v="Gisagara"/>
    <s v="Kansi"/>
    <s v="NAKN_2"/>
    <s v="Gishara/Mukunguri Sub-Catchment"/>
    <n v="157.68"/>
  </r>
  <r>
    <x v="3"/>
    <s v="GATOVU"/>
    <s v="Public"/>
    <x v="0"/>
    <s v="Gisagara"/>
    <s v="Kansi"/>
    <s v="NAKN_2"/>
    <s v="Gishara/Mukunguri Sub-Catchment"/>
    <n v="1734.4800000000002"/>
  </r>
  <r>
    <x v="3"/>
    <s v="KIDUBI"/>
    <s v="Public"/>
    <x v="0"/>
    <s v="Gisagara"/>
    <s v="Kansi"/>
    <s v="NAKN_2"/>
    <s v="Gishara/Mukunguri Sub-Catchment"/>
    <n v="630.72"/>
  </r>
  <r>
    <x v="3"/>
    <s v="NYARUNAZI"/>
    <s v="Public"/>
    <x v="0"/>
    <s v="Gisagara"/>
    <s v="Kansi"/>
    <s v="NAKN_2"/>
    <s v="Gishara/Mukunguri Sub-Catchment"/>
    <n v="1419.12"/>
  </r>
  <r>
    <x v="3"/>
    <s v="GIKOMBE"/>
    <s v="Public"/>
    <x v="0"/>
    <s v="Gisagara"/>
    <s v="Kansi"/>
    <s v="NAKN_2"/>
    <s v="Gishara/Mukunguri Sub-Catchment"/>
    <n v="630.72"/>
  </r>
  <r>
    <x v="3"/>
    <s v="MURINYABIHANGA"/>
    <s v="Public"/>
    <x v="0"/>
    <s v="Gisagara"/>
    <s v="Kansi"/>
    <s v="NAKN_2"/>
    <s v="Gishara/Mukunguri Sub-Catchment"/>
    <n v="2207.5200000000004"/>
  </r>
  <r>
    <x v="3"/>
    <s v="MUSESO"/>
    <s v="Public"/>
    <x v="0"/>
    <s v="Gisagara"/>
    <s v="Kansi"/>
    <s v="NAKN_2"/>
    <s v="Gishara/Mukunguri Sub-Catchment"/>
    <n v="157.68"/>
  </r>
  <r>
    <x v="3"/>
    <s v="KAZABAGARURA"/>
    <s v="Public"/>
    <x v="0"/>
    <s v="Gisagara"/>
    <s v="Kansi"/>
    <s v="NAKN_2"/>
    <s v="Gishara/Mukunguri Sub-Catchment"/>
    <n v="5991.84"/>
  </r>
  <r>
    <x v="3"/>
    <s v="RUNANIRWA"/>
    <s v="Public"/>
    <x v="0"/>
    <s v="Gisagara"/>
    <s v="Kansi"/>
    <s v="NAKN_2"/>
    <s v="Gishara/Mukunguri Sub-Catchment"/>
    <n v="3626.64"/>
  </r>
  <r>
    <x v="3"/>
    <s v="NYAKIBUNGO"/>
    <s v="Public"/>
    <x v="0"/>
    <s v="Gisagara"/>
    <s v="Kansi"/>
    <s v="NAKN_2"/>
    <s v="Gishara/Mukunguri Sub-Catchment"/>
    <n v="4888.0800000000008"/>
  </r>
  <r>
    <x v="3"/>
    <s v="NYABUHORO"/>
    <s v="Public"/>
    <x v="0"/>
    <s v="Gisagara"/>
    <s v="Kansi"/>
    <s v="NAKN_2"/>
    <s v="Gishara/Mukunguri Sub-Catchment"/>
    <n v="3942.0000000000005"/>
  </r>
  <r>
    <x v="3"/>
    <s v="KABAKENE"/>
    <s v="Public"/>
    <x v="0"/>
    <s v="Gisagara"/>
    <s v="Kansi"/>
    <s v="NAKN_2"/>
    <s v="Gishara/Mukunguri Sub-Catchment"/>
    <n v="5834.1600000000008"/>
  </r>
  <r>
    <x v="3"/>
    <s v="MPUNDU"/>
    <s v="Public"/>
    <x v="0"/>
    <s v="Gisagara"/>
    <s v="Kansi"/>
    <s v="NAKN_2"/>
    <s v="Gishara/Mukunguri Sub-Catchment"/>
    <n v="10722.24"/>
  </r>
  <r>
    <x v="3"/>
    <s v="KANYINYA"/>
    <s v="Public"/>
    <x v="0"/>
    <s v="Gisagara"/>
    <s v="Kansi"/>
    <s v="NAKN_2"/>
    <s v="Gishara/Mukunguri Sub-Catchment"/>
    <n v="2522.88"/>
  </r>
  <r>
    <x v="3"/>
    <s v="KAGABO"/>
    <s v="Public"/>
    <x v="0"/>
    <s v="Gisagara"/>
    <s v="Kansi"/>
    <s v="NAKN_2"/>
    <s v="Gishara/Mukunguri Sub-Catchment"/>
    <n v="2522.88"/>
  </r>
  <r>
    <x v="3"/>
    <s v="KAGABO"/>
    <s v="Public"/>
    <x v="0"/>
    <s v="Gisagara"/>
    <s v="Kansi"/>
    <s v="NAKN_2"/>
    <s v="Gishara/Mukunguri Sub-Catchment"/>
    <n v="2522.88"/>
  </r>
  <r>
    <x v="3"/>
    <s v="RURWANIRWA"/>
    <s v="Public"/>
    <x v="0"/>
    <s v="Gisagara"/>
    <s v="Kansi"/>
    <s v="NAKN_2"/>
    <s v="Gishara/Mukunguri Sub-Catchment"/>
    <n v="3626.64"/>
  </r>
  <r>
    <x v="3"/>
    <s v="RUFUKU"/>
    <s v="Public"/>
    <x v="0"/>
    <s v="Gisagara"/>
    <s v="Kansi"/>
    <s v="NAKN_2"/>
    <s v="Gishara/Mukunguri Sub-Catchment"/>
    <n v="315.36"/>
  </r>
  <r>
    <x v="3"/>
    <s v="KAJORORO 2"/>
    <s v="Public"/>
    <x v="0"/>
    <s v="Gisagara"/>
    <s v="Kansi"/>
    <s v="NAKN_2"/>
    <s v="Gishara/Mukunguri Sub-Catchment"/>
    <n v="630.72"/>
  </r>
  <r>
    <x v="3"/>
    <s v="KAJORORO 1"/>
    <s v="Public"/>
    <x v="0"/>
    <s v="Gisagara"/>
    <s v="Kansi"/>
    <s v="NAKN_2"/>
    <s v="Gishara/Mukunguri Sub-Catchment"/>
    <n v="1576.8000000000002"/>
  </r>
  <r>
    <x v="3"/>
    <s v="GATOVU"/>
    <s v="Public"/>
    <x v="0"/>
    <s v="Gisagara"/>
    <s v="Kansi"/>
    <s v="NAKN_2"/>
    <s v="Gishara/Mukunguri Sub-Catchment"/>
    <n v="7568.64"/>
  </r>
  <r>
    <x v="3"/>
    <s v="GATUNGABORO"/>
    <s v="Public"/>
    <x v="0"/>
    <s v="Gisagara"/>
    <s v="Kansi"/>
    <s v="NAKN_2"/>
    <s v="Gishara/Mukunguri Sub-Catchment"/>
    <n v="1419.12"/>
  </r>
  <r>
    <x v="3"/>
    <s v="KURI REJI"/>
    <s v="Public"/>
    <x v="0"/>
    <s v="Gisagara"/>
    <s v="Kansi"/>
    <s v="NAKN_2"/>
    <s v="Gishara/Mukunguri Sub-Catchment"/>
    <n v="15452.64"/>
  </r>
  <r>
    <x v="3"/>
    <s v="GAKO"/>
    <s v="Public"/>
    <x v="0"/>
    <s v="Nyanza"/>
    <s v="Kibilizi"/>
    <s v="NAKN_2"/>
    <s v="Gishara/Mukunguri Sub-Catchment"/>
    <n v="985.50000000000011"/>
  </r>
  <r>
    <x v="3"/>
    <s v="GACYACA"/>
    <s v="Public"/>
    <x v="0"/>
    <s v="Nyanza"/>
    <s v="Kibilizi"/>
    <s v="NAKN_2"/>
    <s v="Gishara/Mukunguri Sub-Catchment"/>
    <n v="6748.7039999999997"/>
  </r>
  <r>
    <x v="3"/>
    <s v="RUNYANA"/>
    <s v="Public"/>
    <x v="0"/>
    <s v="Nyanza"/>
    <s v="Kibilizi"/>
    <s v="NAKN_2"/>
    <s v="Gishara/Mukunguri Sub-Catchment"/>
    <n v="189216.00000000003"/>
  </r>
  <r>
    <x v="3"/>
    <s v="BURUHUKIRO"/>
    <s v="Public"/>
    <x v="0"/>
    <s v="Nyanza"/>
    <s v="Kibilizi"/>
    <s v="NAKN_2"/>
    <s v="Gishara/Mukunguri Sub-Catchment"/>
    <n v="1182.6000000000001"/>
  </r>
  <r>
    <x v="3"/>
    <s v="RWAKARENZO"/>
    <s v="Public"/>
    <x v="0"/>
    <s v="Nyanza"/>
    <s v="Kibilizi"/>
    <s v="NAKN_2"/>
    <s v="Gishara/Mukunguri Sub-Catchment"/>
    <n v="6606.7919999999995"/>
  </r>
  <r>
    <x v="3"/>
    <s v="KAGINA"/>
    <s v="Public"/>
    <x v="0"/>
    <s v="Nyanza"/>
    <s v="Kibilizi"/>
    <s v="NAKN_2"/>
    <s v="Gishara/Mukunguri Sub-Catchment"/>
    <n v="7663.2480000000005"/>
  </r>
  <r>
    <x v="3"/>
    <s v="NGARA"/>
    <s v="Public"/>
    <x v="0"/>
    <s v="Nyanza"/>
    <s v="Kibilizi"/>
    <s v="NAKN_2"/>
    <s v="Gishara/Mukunguri Sub-Catchment"/>
    <n v="1119.5279999999998"/>
  </r>
  <r>
    <x v="3"/>
    <s v="GATARE"/>
    <s v="Public"/>
    <x v="0"/>
    <s v="Nyanza"/>
    <s v="Kibilizi"/>
    <s v="NAKN_2"/>
    <s v="Gishara/Mukunguri Sub-Catchment"/>
    <n v="1576.8000000000002"/>
  </r>
  <r>
    <x v="3"/>
    <s v="KADAHOKWA"/>
    <s v="Public"/>
    <x v="0"/>
    <s v="Nyanza"/>
    <s v="Kibilizi"/>
    <s v="NAKN_2"/>
    <s v="Gishara/Mukunguri Sub-Catchment"/>
    <n v="788.40000000000009"/>
  </r>
  <r>
    <x v="3"/>
    <s v="CYICAMIRIMO"/>
    <s v="Public"/>
    <x v="0"/>
    <s v="Nyanza"/>
    <s v="Kibilizi"/>
    <s v="NAKN_2"/>
    <s v="Gishara/Mukunguri Sub-Catchment"/>
    <n v="5771.0879999999997"/>
  </r>
  <r>
    <x v="3"/>
    <s v="KIMIHIGO"/>
    <s v="Public"/>
    <x v="0"/>
    <s v="Nyanza"/>
    <s v="Kibilizi"/>
    <s v="NAKN_2"/>
    <s v="Gishara/Mukunguri Sub-Catchment"/>
    <n v="1182.6000000000001"/>
  </r>
  <r>
    <x v="3"/>
    <s v="NYAGISENYI"/>
    <s v="Public"/>
    <x v="0"/>
    <s v="Nyanza"/>
    <s v="Kibilizi"/>
    <s v="NAKN_2"/>
    <s v="Gishara/Mukunguri Sub-Catchment"/>
    <n v="1182.6000000000001"/>
  </r>
  <r>
    <x v="3"/>
    <s v="NYABYUNYU"/>
    <s v="Public"/>
    <x v="0"/>
    <s v="Nyanza"/>
    <s v="Kibilizi"/>
    <s v="NAKN_2"/>
    <s v="Gishara/Mukunguri Sub-Catchment"/>
    <n v="1121.1047999999998"/>
  </r>
  <r>
    <x v="3"/>
    <s v="RWAKAGABO"/>
    <s v="Public"/>
    <x v="0"/>
    <s v="Nyanza"/>
    <s v="Kibilizi"/>
    <s v="NAKN_2"/>
    <s v="Gishara/Mukunguri Sub-Catchment"/>
    <n v="3579.3359999999998"/>
  </r>
  <r>
    <x v="3"/>
    <s v="KAYIBANDA"/>
    <s v="Public"/>
    <x v="0"/>
    <s v="Nyanza"/>
    <s v="Kibilizi"/>
    <s v="NAKN_2"/>
    <s v="Gishara/Mukunguri Sub-Catchment"/>
    <n v="1545.2640000000001"/>
  </r>
  <r>
    <x v="3"/>
    <s v="BIGIRINKA"/>
    <s v="Public"/>
    <x v="0"/>
    <s v="Nyanza"/>
    <s v="Kibilizi"/>
    <s v="NAKN_2"/>
    <s v="Gishara/Mukunguri Sub-Catchment"/>
    <n v="1403.3519999999999"/>
  </r>
  <r>
    <x v="3"/>
    <s v="SHYIRIRUNGU"/>
    <s v="Public"/>
    <x v="0"/>
    <s v="Nyanza"/>
    <s v="Kibilizi"/>
    <s v="NAKN_2"/>
    <s v="Gishara/Mukunguri Sub-Catchment"/>
    <n v="1750.248"/>
  </r>
  <r>
    <x v="3"/>
    <s v="RUSEKE"/>
    <s v="Public"/>
    <x v="0"/>
    <s v="Nyanza"/>
    <s v="Kibilizi"/>
    <s v="NAKN_2"/>
    <s v="Gishara/Mukunguri Sub-Catchment"/>
    <n v="804.16799999999989"/>
  </r>
  <r>
    <x v="3"/>
    <s v="NTOBOGO"/>
    <s v="Public"/>
    <x v="0"/>
    <s v="Nyanza"/>
    <s v="Kibilizi"/>
    <s v="NAKN_2"/>
    <s v="Gishara/Mukunguri Sub-Catchment"/>
    <n v="6559.4880000000003"/>
  </r>
  <r>
    <x v="3"/>
    <s v="KABINGO"/>
    <s v="Public"/>
    <x v="0"/>
    <s v="Nyanza"/>
    <s v="Kibilizi"/>
    <s v="NAKN_2"/>
    <s v="Gishara/Mukunguri Sub-Catchment"/>
    <n v="804.16799999999989"/>
  </r>
  <r>
    <x v="3"/>
    <s v="NGOMA"/>
    <s v="Public"/>
    <x v="0"/>
    <s v="Nyanza"/>
    <s v="Kibilizi"/>
    <s v="NAKN_2"/>
    <s v="Gishara/Mukunguri Sub-Catchment"/>
    <n v="1750.248"/>
  </r>
  <r>
    <x v="3"/>
    <s v="GAHAMA"/>
    <s v="Public"/>
    <x v="0"/>
    <s v="Nyanza"/>
    <s v="Kibilizi"/>
    <s v="NAKN_2"/>
    <s v="Gishara/Mukunguri Sub-Catchment"/>
    <n v="252.28800000000001"/>
  </r>
  <r>
    <x v="3"/>
    <s v="RWAMINANI"/>
    <s v="Public"/>
    <x v="0"/>
    <s v="Nyanza"/>
    <s v="Kibilizi"/>
    <s v="NAKN_2"/>
    <s v="Gishara/Mukunguri Sub-Catchment"/>
    <n v="804.16799999999989"/>
  </r>
  <r>
    <x v="3"/>
    <s v="KABINGO 2"/>
    <s v="Public"/>
    <x v="0"/>
    <s v="Nyanza"/>
    <s v="Kibilizi"/>
    <s v="NAKN_2"/>
    <s v="Gishara/Mukunguri Sub-Catchment"/>
    <n v="1576.8000000000002"/>
  </r>
  <r>
    <x v="3"/>
    <s v="KAGANGU"/>
    <s v="Public"/>
    <x v="0"/>
    <s v="Nyanza"/>
    <s v="Kibilizi"/>
    <s v="NAKN_2"/>
    <s v="Gishara/Mukunguri Sub-Catchment"/>
    <n v="804.16799999999989"/>
  </r>
  <r>
    <x v="3"/>
    <s v="KAGENDE"/>
    <s v="Public"/>
    <x v="0"/>
    <s v="Nyanza"/>
    <s v="Kibilizi"/>
    <s v="NAKN_2"/>
    <s v="Gishara/Mukunguri Sub-Catchment"/>
    <n v="1576.8000000000002"/>
  </r>
  <r>
    <x v="3"/>
    <s v="NYAMISEKE"/>
    <s v="Public"/>
    <x v="0"/>
    <s v="Nyanza"/>
    <s v="Kibilizi"/>
    <s v="NAKN_2"/>
    <s v="Gishara/Mukunguri Sub-Catchment"/>
    <n v="8041.68"/>
  </r>
  <r>
    <x v="3"/>
    <s v="KADUHA"/>
    <s v="Public"/>
    <x v="0"/>
    <s v="Nyanza"/>
    <s v="Kibilizi"/>
    <s v="NAKN_2"/>
    <s v="Gishara/Mukunguri Sub-Catchment"/>
    <n v="1751.8248000000001"/>
  </r>
  <r>
    <x v="3"/>
    <s v="NYAMUKO"/>
    <s v="Public"/>
    <x v="0"/>
    <s v="Nyanza"/>
    <s v="Kibilizi"/>
    <s v="NAKN_2"/>
    <s v="Gishara/Mukunguri Sub-Catchment"/>
    <n v="1576.8000000000002"/>
  </r>
  <r>
    <x v="3"/>
    <s v="GATOKI"/>
    <s v="Public"/>
    <x v="0"/>
    <s v="Nyanza"/>
    <s v="Kibilizi"/>
    <s v="NAKN_2"/>
    <s v="Gishara/Mukunguri Sub-Catchment"/>
    <n v="1040.6880000000001"/>
  </r>
  <r>
    <x v="3"/>
    <s v="NDIMBU"/>
    <s v="Public"/>
    <x v="0"/>
    <s v="Gisagara"/>
    <s v="Kigembe"/>
    <s v="NAKN_2"/>
    <s v="Gishara/Mukunguri Sub-Catchment"/>
    <n v="1261.44"/>
  </r>
  <r>
    <x v="3"/>
    <s v="GIKUYU"/>
    <s v="Public"/>
    <x v="0"/>
    <s v="Gisagara"/>
    <s v="Kigembe"/>
    <s v="NAKN_2"/>
    <s v="Gishara/Mukunguri Sub-Catchment"/>
    <n v="315.36"/>
  </r>
  <r>
    <x v="3"/>
    <s v="BYIMANA"/>
    <s v="Public"/>
    <x v="0"/>
    <s v="Gisagara"/>
    <s v="Kigembe"/>
    <s v="NAKN_2"/>
    <s v="Gishara/Mukunguri Sub-Catchment"/>
    <n v="2522.88"/>
  </r>
  <r>
    <x v="3"/>
    <s v="GASEBEYA"/>
    <s v="Public"/>
    <x v="0"/>
    <s v="Gisagara"/>
    <s v="Kigembe"/>
    <s v="NAKN_2"/>
    <s v="Gishara/Mukunguri Sub-Catchment"/>
    <n v="1261.44"/>
  </r>
  <r>
    <x v="3"/>
    <s v="KAMWESHI"/>
    <s v="Public"/>
    <x v="0"/>
    <s v="Gisagara"/>
    <s v="Kigembe"/>
    <s v="NAKN_2"/>
    <s v="Gishara/Mukunguri Sub-Catchment"/>
    <n v="1734.4800000000002"/>
  </r>
  <r>
    <x v="3"/>
    <s v="GIKUYO"/>
    <s v="Public"/>
    <x v="0"/>
    <s v="Gisagara"/>
    <s v="Kigembe"/>
    <s v="NAKN_2"/>
    <s v="Gishara/Mukunguri Sub-Catchment"/>
    <n v="2838.24"/>
  </r>
  <r>
    <x v="3"/>
    <s v="GIKOMERO"/>
    <s v="Public"/>
    <x v="0"/>
    <s v="Gisagara"/>
    <s v="Kigembe"/>
    <s v="NAKN_2"/>
    <s v="Gishara/Mukunguri Sub-Catchment"/>
    <n v="2049.84"/>
  </r>
  <r>
    <x v="3"/>
    <s v="SASA"/>
    <s v="Public"/>
    <x v="0"/>
    <s v="Gisagara"/>
    <s v="Kigembe"/>
    <s v="NAKN_2"/>
    <s v="Gishara/Mukunguri Sub-Catchment"/>
    <n v="630.72"/>
  </r>
  <r>
    <x v="3"/>
    <s v="NYAKINYERI"/>
    <s v="Public"/>
    <x v="0"/>
    <s v="Gisagara"/>
    <s v="Kigembe"/>
    <s v="NAKN_2"/>
    <s v="Gishara/Mukunguri Sub-Catchment"/>
    <n v="2207.5200000000004"/>
  </r>
  <r>
    <x v="3"/>
    <s v="KABINGO"/>
    <s v="Public"/>
    <x v="0"/>
    <s v="Gisagara"/>
    <s v="Kigembe"/>
    <s v="NAKN_2"/>
    <s v="Gishara/Mukunguri Sub-Catchment"/>
    <n v="1261.44"/>
  </r>
  <r>
    <x v="3"/>
    <s v="NZOMARA"/>
    <s v="Public"/>
    <x v="0"/>
    <s v="Gisagara"/>
    <s v="Kigembe"/>
    <s v="NAKN_2"/>
    <s v="Gishara/Mukunguri Sub-Catchment"/>
    <n v="630.72"/>
  </r>
  <r>
    <x v="3"/>
    <s v="KAZABAGARURA"/>
    <s v="Public"/>
    <x v="0"/>
    <s v="Gisagara"/>
    <s v="Kigembe"/>
    <s v="NAKN_2"/>
    <s v="Gishara/Mukunguri Sub-Catchment"/>
    <n v="788.40000000000009"/>
  </r>
  <r>
    <x v="3"/>
    <s v="KANYARUGEMA"/>
    <s v="Public"/>
    <x v="0"/>
    <s v="Gisagara"/>
    <s v="Kigembe"/>
    <s v="NAKN_2"/>
    <s v="Gishara/Mukunguri Sub-Catchment"/>
    <n v="788.40000000000009"/>
  </r>
  <r>
    <x v="3"/>
    <s v="RWARUVUGIRO"/>
    <s v="Public"/>
    <x v="0"/>
    <s v="Gisagara"/>
    <s v="Kigembe"/>
    <s v="NAKN_2"/>
    <s v="Gishara/Mukunguri Sub-Catchment"/>
    <n v="2365.2000000000003"/>
  </r>
  <r>
    <x v="3"/>
    <s v="CYAHAFI"/>
    <s v="Public"/>
    <x v="0"/>
    <s v="Gisagara"/>
    <s v="Kigembe"/>
    <s v="NAKN_2"/>
    <s v="Gishara/Mukunguri Sub-Catchment"/>
    <n v="5045.76"/>
  </r>
  <r>
    <x v="3"/>
    <s v="KIDURU"/>
    <s v="Public"/>
    <x v="0"/>
    <s v="Gisagara"/>
    <s v="Kigembe"/>
    <s v="NAKN_2"/>
    <s v="Gishara/Mukunguri Sub-Catchment"/>
    <n v="7253.28"/>
  </r>
  <r>
    <x v="3"/>
    <s v="NYAKAGEZI"/>
    <s v="Public"/>
    <x v="0"/>
    <s v="Gisagara"/>
    <s v="Kigembe"/>
    <s v="NAKN_2"/>
    <s v="Gishara/Mukunguri Sub-Catchment"/>
    <n v="6937.920000000001"/>
  </r>
  <r>
    <x v="3"/>
    <s v="KWARUHATEJURU"/>
    <s v="Public"/>
    <x v="0"/>
    <s v="Gisagara"/>
    <s v="Kigembe"/>
    <s v="NAKN_2"/>
    <s v="Gishara/Mukunguri Sub-Catchment"/>
    <n v="3784.32"/>
  </r>
  <r>
    <x v="3"/>
    <s v="KAWAHAKAYO"/>
    <s v="Public"/>
    <x v="0"/>
    <s v="Gisagara"/>
    <s v="Kigembe"/>
    <s v="NAKN_2"/>
    <s v="Gishara/Mukunguri Sub-Catchment"/>
    <n v="2838.24"/>
  </r>
  <r>
    <x v="3"/>
    <s v="NYARIARABUKIMA"/>
    <s v="Public"/>
    <x v="0"/>
    <s v="Gisagara"/>
    <s v="Kigembe"/>
    <s v="NAKN_2"/>
    <s v="Gishara/Mukunguri Sub-Catchment"/>
    <n v="473.04"/>
  </r>
  <r>
    <x v="3"/>
    <s v="RWAGASAVE"/>
    <s v="Public"/>
    <x v="0"/>
    <s v="Gisagara"/>
    <s v="Kigembe"/>
    <s v="NAKN_2"/>
    <s v="Gishara/Mukunguri Sub-Catchment"/>
    <n v="1576.8000000000002"/>
  </r>
  <r>
    <x v="3"/>
    <s v="NYAMWIJIMA"/>
    <s v="Public"/>
    <x v="0"/>
    <s v="Gisagara"/>
    <s v="Kigembe"/>
    <s v="NAKN_2"/>
    <s v="Gishara/Mukunguri Sub-Catchment"/>
    <n v="1734.4800000000002"/>
  </r>
  <r>
    <x v="3"/>
    <s v="NYABITARE"/>
    <s v="Public"/>
    <x v="0"/>
    <s v="Gisagara"/>
    <s v="Kigembe"/>
    <s v="NAKN_2"/>
    <s v="Gishara/Mukunguri Sub-Catchment"/>
    <n v="1576.8000000000002"/>
  </r>
  <r>
    <x v="3"/>
    <s v="RUHENGELI"/>
    <s v="Public"/>
    <x v="0"/>
    <s v="Gisagara"/>
    <s v="Kigembe"/>
    <s v="NAKN_2"/>
    <s v="Gishara/Mukunguri Sub-Catchment"/>
    <n v="946.08"/>
  </r>
  <r>
    <x v="3"/>
    <s v="MUHANGA"/>
    <s v="Public"/>
    <x v="0"/>
    <s v="Gisagara"/>
    <s v="Kigembe"/>
    <s v="NAKN_2"/>
    <s v="Gishara/Mukunguri Sub-Catchment"/>
    <n v="1576.8000000000002"/>
  </r>
  <r>
    <x v="3"/>
    <s v="KABANGA"/>
    <s v="Public"/>
    <x v="0"/>
    <s v="Gisagara"/>
    <s v="Kigembe"/>
    <s v="NAKN_2"/>
    <s v="Gishara/Mukunguri Sub-Catchment"/>
    <n v="6307.2000000000007"/>
  </r>
  <r>
    <x v="3"/>
    <s v="KABERE"/>
    <s v="Public"/>
    <x v="0"/>
    <s v="Gisagara"/>
    <s v="Kigembe"/>
    <s v="NAKN_2"/>
    <s v="Gishara/Mukunguri Sub-Catchment"/>
    <n v="630.72"/>
  </r>
  <r>
    <x v="3"/>
    <s v="URUVUMU"/>
    <s v="Public"/>
    <x v="0"/>
    <s v="Gisagara"/>
    <s v="Kigembe"/>
    <s v="NAKN_2"/>
    <s v="Gishara/Mukunguri Sub-Catchment"/>
    <n v="6307.2000000000007"/>
  </r>
  <r>
    <x v="3"/>
    <s v="RWABIGIRIJINJA"/>
    <s v="Public"/>
    <x v="0"/>
    <s v="Gisagara"/>
    <s v="Kigembe"/>
    <s v="NAKN_2"/>
    <s v="Gishara/Mukunguri Sub-Catchment"/>
    <n v="2049.84"/>
  </r>
  <r>
    <x v="3"/>
    <s v="RUBOBI"/>
    <s v="Public"/>
    <x v="0"/>
    <s v="Gisagara"/>
    <s v="Kigembe"/>
    <s v="NAKN_2"/>
    <s v="Gishara/Mukunguri Sub-Catchment"/>
    <n v="1734.4800000000002"/>
  </r>
  <r>
    <x v="3"/>
    <s v="GASEKE"/>
    <s v="Public"/>
    <x v="0"/>
    <s v="Gisagara"/>
    <s v="Kigembe"/>
    <s v="NAKN_2"/>
    <s v="Gishara/Mukunguri Sub-Catchment"/>
    <n v="157.68"/>
  </r>
  <r>
    <x v="3"/>
    <s v="NYIRARUKUNDO"/>
    <s v="Public"/>
    <x v="0"/>
    <s v="Gisagara"/>
    <s v="Kigembe"/>
    <s v="NAKN_2"/>
    <s v="Gishara/Mukunguri Sub-Catchment"/>
    <n v="2522.88"/>
  </r>
  <r>
    <x v="3"/>
    <s v="NYARUKURAZO"/>
    <s v="Public"/>
    <x v="0"/>
    <s v="Gisagara"/>
    <s v="Kigembe"/>
    <s v="NAKN_2"/>
    <s v="Gishara/Mukunguri Sub-Catchment"/>
    <n v="1892.16"/>
  </r>
  <r>
    <x v="3"/>
    <s v="GAHAMA"/>
    <s v="Public"/>
    <x v="0"/>
    <s v="Gisagara"/>
    <s v="Kigembe"/>
    <s v="NAKN_2"/>
    <s v="Gishara/Mukunguri Sub-Catchment"/>
    <n v="3311.2799999999997"/>
  </r>
  <r>
    <x v="3"/>
    <s v="AGAHAMA"/>
    <s v="Public"/>
    <x v="0"/>
    <s v="Gisagara"/>
    <s v="Kigembe"/>
    <s v="NAKN_2"/>
    <s v="Gishara/Mukunguri Sub-Catchment"/>
    <n v="1576.8000000000002"/>
  </r>
  <r>
    <x v="3"/>
    <s v="AGATARE"/>
    <s v="Public"/>
    <x v="0"/>
    <s v="Gisagara"/>
    <s v="Kigembe"/>
    <s v="NAKN_2"/>
    <s v="Gishara/Mukunguri Sub-Catchment"/>
    <n v="946.08"/>
  </r>
  <r>
    <x v="3"/>
    <s v="GATONGO"/>
    <s v="Public"/>
    <x v="0"/>
    <s v="Gisagara"/>
    <s v="Kigembe"/>
    <s v="NAKN_2"/>
    <s v="Gishara/Mukunguri Sub-Catchment"/>
    <n v="1734.4800000000002"/>
  </r>
  <r>
    <x v="3"/>
    <s v="RWAKIGURUBE"/>
    <s v="Public"/>
    <x v="0"/>
    <s v="Gisagara"/>
    <s v="Kigembe"/>
    <s v="NAKN_2"/>
    <s v="Gishara/Mukunguri Sub-Catchment"/>
    <n v="4730.4000000000005"/>
  </r>
  <r>
    <x v="3"/>
    <s v="RUSEKE"/>
    <s v="Public"/>
    <x v="0"/>
    <s v="Gisagara"/>
    <s v="Kigembe"/>
    <s v="NAKN_2"/>
    <s v="Gishara/Mukunguri Sub-Catchment"/>
    <n v="7726.32"/>
  </r>
  <r>
    <x v="3"/>
    <s v="MISIGE"/>
    <s v="Public"/>
    <x v="0"/>
    <s v="Gisagara"/>
    <s v="Kigembe"/>
    <s v="NAKN_2"/>
    <s v="Gishara/Mukunguri Sub-Catchment"/>
    <n v="8987.76"/>
  </r>
  <r>
    <x v="3"/>
    <s v="GATOKI"/>
    <s v="Public"/>
    <x v="0"/>
    <s v="Gisagara"/>
    <s v="Kigembe"/>
    <s v="NAKN_2"/>
    <s v="Gishara/Mukunguri Sub-Catchment"/>
    <n v="2207.5200000000004"/>
  </r>
  <r>
    <x v="3"/>
    <s v="NYABIKENKE"/>
    <s v="Public"/>
    <x v="0"/>
    <s v="Gisagara"/>
    <s v="Kigembe"/>
    <s v="NAKN_2"/>
    <s v="Gishara/Mukunguri Sub-Catchment"/>
    <n v="1576.8000000000002"/>
  </r>
  <r>
    <x v="3"/>
    <s v="GASHUZI"/>
    <s v="Public"/>
    <x v="0"/>
    <s v="Gisagara"/>
    <s v="Kigembe"/>
    <s v="NAKN_2"/>
    <s v="Gishara/Mukunguri Sub-Catchment"/>
    <n v="788.40000000000009"/>
  </r>
  <r>
    <x v="3"/>
    <s v="BIHAZA"/>
    <s v="Public"/>
    <x v="0"/>
    <s v="Gisagara"/>
    <s v="Kigembe"/>
    <s v="NAKN_2"/>
    <s v="Gishara/Mukunguri Sub-Catchment"/>
    <n v="2522.88"/>
  </r>
  <r>
    <x v="3"/>
    <s v="NYABIGUGU"/>
    <s v="Public"/>
    <x v="0"/>
    <s v="Gisagara"/>
    <s v="Kigembe"/>
    <s v="NAKN_2"/>
    <s v="Gishara/Mukunguri Sub-Catchment"/>
    <n v="788.40000000000009"/>
  </r>
  <r>
    <x v="3"/>
    <s v="KINZOBE"/>
    <s v="Public"/>
    <x v="0"/>
    <s v="Gisagara"/>
    <s v="Kigembe"/>
    <s v="NAKN_2"/>
    <s v="Gishara/Mukunguri Sub-Catchment"/>
    <n v="473.04"/>
  </r>
  <r>
    <x v="3"/>
    <s v="RWABIJANA"/>
    <s v="Public"/>
    <x v="0"/>
    <s v="Gisagara"/>
    <s v="Kigembe"/>
    <s v="NAKN_2"/>
    <s v="Gishara/Mukunguri Sub-Catchment"/>
    <n v="1734.4800000000002"/>
  </r>
  <r>
    <x v="3"/>
    <s v="AKAGANGA"/>
    <s v="Public"/>
    <x v="0"/>
    <s v="Gisagara"/>
    <s v="Kigembe"/>
    <s v="NAKN_2"/>
    <s v="Gishara/Mukunguri Sub-Catchment"/>
    <n v="788.40000000000009"/>
  </r>
  <r>
    <x v="3"/>
    <s v="CYAHAFI"/>
    <s v="Public"/>
    <x v="0"/>
    <s v="Gisagara"/>
    <s v="Kigembe"/>
    <s v="NAKN_2"/>
    <s v="Gishara/Mukunguri Sub-Catchment"/>
    <n v="788.40000000000009"/>
  </r>
  <r>
    <x v="3"/>
    <s v="KANYINYA"/>
    <s v="Public"/>
    <x v="0"/>
    <s v="Gisagara"/>
    <s v="Kigembe"/>
    <s v="NAKN_2"/>
    <s v="Gishara/Mukunguri Sub-Catchment"/>
    <n v="1734.4800000000002"/>
  </r>
  <r>
    <x v="3"/>
    <s v="RWABUTOYI"/>
    <s v="Public"/>
    <x v="0"/>
    <s v="Gisagara"/>
    <s v="Kigembe"/>
    <s v="NAKN_2"/>
    <s v="Gishara/Mukunguri Sub-Catchment"/>
    <n v="1419.12"/>
  </r>
  <r>
    <x v="3"/>
    <s v="CYAHAFI"/>
    <s v="Public"/>
    <x v="0"/>
    <s v="Huye"/>
    <s v="Kinazi"/>
    <s v="NAKN_2"/>
    <s v="Gishara/Mukunguri Sub-Catchment"/>
    <n v="1734.4800000000002"/>
  </r>
  <r>
    <x v="3"/>
    <s v="KANINDA"/>
    <s v="Public"/>
    <x v="0"/>
    <s v="Huye"/>
    <s v="Kinazi"/>
    <s v="NAKN_2"/>
    <s v="Gishara/Mukunguri Sub-Catchment"/>
    <n v="1103.7600000000002"/>
  </r>
  <r>
    <x v="3"/>
    <s v="NYAKABINDI"/>
    <s v="Public"/>
    <x v="0"/>
    <s v="Huye"/>
    <s v="Kinazi"/>
    <s v="NAKN_2"/>
    <s v="Gishara/Mukunguri Sub-Catchment"/>
    <n v="5518.8"/>
  </r>
  <r>
    <x v="3"/>
    <s v="MARYOHA"/>
    <s v="Public"/>
    <x v="0"/>
    <s v="Huye"/>
    <s v="Kinazi"/>
    <s v="NAKN_2"/>
    <s v="Gishara/Mukunguri Sub-Catchment"/>
    <n v="5203.4400000000005"/>
  </r>
  <r>
    <x v="3"/>
    <s v="NYABITARE"/>
    <s v="Public"/>
    <x v="0"/>
    <s v="Huye"/>
    <s v="Kinazi"/>
    <s v="NAKN_2"/>
    <s v="Gishara/Mukunguri Sub-Catchment"/>
    <n v="946.08"/>
  </r>
  <r>
    <x v="3"/>
    <s v="RWABUGOMWA"/>
    <s v="Public"/>
    <x v="0"/>
    <s v="Huye"/>
    <s v="Kinazi"/>
    <s v="NAKN_2"/>
    <s v="Gishara/Mukunguri Sub-Catchment"/>
    <n v="315.36"/>
  </r>
  <r>
    <x v="3"/>
    <s v="RWAMUHOZI"/>
    <s v="Public"/>
    <x v="0"/>
    <s v="Huye"/>
    <s v="Kinazi"/>
    <s v="NAKN_2"/>
    <s v="Gishara/Mukunguri Sub-Catchment"/>
    <n v="315.36"/>
  </r>
  <r>
    <x v="3"/>
    <s v="GATARE"/>
    <s v="Public"/>
    <x v="0"/>
    <s v="Huye"/>
    <s v="Kinazi"/>
    <s v="NAKN_2"/>
    <s v="Gishara/Mukunguri Sub-Catchment"/>
    <n v="315.36"/>
  </r>
  <r>
    <x v="3"/>
    <s v="GATARE"/>
    <s v="Public"/>
    <x v="0"/>
    <s v="Huye"/>
    <s v="Kinazi"/>
    <s v="NAKN_2"/>
    <s v="Gishara/Mukunguri Sub-Catchment"/>
    <n v="5834.1600000000008"/>
  </r>
  <r>
    <x v="3"/>
    <s v="BIGIRINKA"/>
    <s v="Public"/>
    <x v="0"/>
    <s v="Huye"/>
    <s v="Kinazi"/>
    <s v="NAKN_2"/>
    <s v="Gishara/Mukunguri Sub-Catchment"/>
    <n v="2522.88"/>
  </r>
  <r>
    <x v="3"/>
    <s v="NYAKARIBA"/>
    <s v="Public"/>
    <x v="0"/>
    <s v="Huye"/>
    <s v="Kinazi"/>
    <s v="NAKN_2"/>
    <s v="Gishara/Mukunguri Sub-Catchment"/>
    <n v="788.40000000000009"/>
  </r>
  <r>
    <x v="3"/>
    <s v="RWAGIFANDI"/>
    <s v="Public"/>
    <x v="0"/>
    <s v="Huye"/>
    <s v="Kinazi"/>
    <s v="NAKN_2"/>
    <s v="Gishara/Mukunguri Sub-Catchment"/>
    <n v="1576.8000000000002"/>
  </r>
  <r>
    <x v="3"/>
    <s v="RUKWONORA"/>
    <s v="Public"/>
    <x v="0"/>
    <s v="Huye"/>
    <s v="Kinazi"/>
    <s v="NAKN_2"/>
    <s v="Gishara/Mukunguri Sub-Catchment"/>
    <n v="473.04"/>
  </r>
  <r>
    <x v="3"/>
    <s v="KABERA"/>
    <s v="Public"/>
    <x v="0"/>
    <s v="Huye"/>
    <s v="Kinazi"/>
    <s v="NAKN_2"/>
    <s v="Gishara/Mukunguri Sub-Catchment"/>
    <n v="2365.2000000000003"/>
  </r>
  <r>
    <x v="3"/>
    <s v="KAMAJORO"/>
    <s v="Public"/>
    <x v="0"/>
    <s v="Huye"/>
    <s v="Kinazi"/>
    <s v="NAKN_2"/>
    <s v="Gishara/Mukunguri Sub-Catchment"/>
    <n v="2207.5200000000004"/>
  </r>
  <r>
    <x v="3"/>
    <s v="NYARWONGA B"/>
    <s v="Public"/>
    <x v="0"/>
    <s v="Huye"/>
    <s v="Kinazi"/>
    <s v="NAKN_2"/>
    <s v="Gishara/Mukunguri Sub-Catchment"/>
    <n v="473.04"/>
  </r>
  <r>
    <x v="3"/>
    <s v="NYARWONGA A"/>
    <s v="Public"/>
    <x v="0"/>
    <s v="Huye"/>
    <s v="Kinazi"/>
    <s v="NAKN_2"/>
    <s v="Gishara/Mukunguri Sub-Catchment"/>
    <n v="630.72"/>
  </r>
  <r>
    <x v="3"/>
    <s v="KADASOMWA"/>
    <s v="Public"/>
    <x v="0"/>
    <s v="Huye"/>
    <s v="Kinazi"/>
    <s v="NAKN_2"/>
    <s v="Gishara/Mukunguri Sub-Catchment"/>
    <n v="1576.8000000000002"/>
  </r>
  <r>
    <x v="3"/>
    <s v="GASHYUSHYA"/>
    <s v="Public"/>
    <x v="0"/>
    <s v="Huye"/>
    <s v="Kinazi"/>
    <s v="NAKN_2"/>
    <s v="Gishara/Mukunguri Sub-Catchment"/>
    <n v="946.08"/>
  </r>
  <r>
    <x v="3"/>
    <s v="NYAMUKO"/>
    <s v="Public"/>
    <x v="0"/>
    <s v="Huye"/>
    <s v="Kinazi"/>
    <s v="NAKN_2"/>
    <s v="Gishara/Mukunguri Sub-Catchment"/>
    <n v="1734.4800000000002"/>
  </r>
  <r>
    <x v="3"/>
    <s v="MURI GIKOMBE"/>
    <s v="Public"/>
    <x v="0"/>
    <s v="Huye"/>
    <s v="Kinazi"/>
    <s v="NAKN_2"/>
    <s v="Gishara/Mukunguri Sub-Catchment"/>
    <n v="2995.92"/>
  </r>
  <r>
    <x v="3"/>
    <s v="KABYOGO"/>
    <s v="Public"/>
    <x v="0"/>
    <s v="Huye"/>
    <s v="Kinazi"/>
    <s v="NAKN_2"/>
    <s v="Gishara/Mukunguri Sub-Catchment"/>
    <n v="473.04"/>
  </r>
  <r>
    <x v="3"/>
    <s v="KAZABAGARURA"/>
    <s v="Public"/>
    <x v="0"/>
    <s v="Huye"/>
    <s v="Kinazi"/>
    <s v="NAKN_2"/>
    <s v="Gishara/Mukunguri Sub-Catchment"/>
    <n v="946.08"/>
  </r>
  <r>
    <x v="3"/>
    <s v="MUKO"/>
    <s v="Public"/>
    <x v="0"/>
    <s v="Huye"/>
    <s v="Kinazi"/>
    <s v="NAKN_2"/>
    <s v="Gishara/Mukunguri Sub-Catchment"/>
    <n v="2365.2000000000003"/>
  </r>
  <r>
    <x v="3"/>
    <s v="GASENYI"/>
    <s v="Public"/>
    <x v="0"/>
    <s v="Huye"/>
    <s v="Kinazi"/>
    <s v="NAKN_2"/>
    <s v="Gishara/Mukunguri Sub-Catchment"/>
    <n v="1261.44"/>
  </r>
  <r>
    <x v="3"/>
    <s v="KAMUHIRWA"/>
    <s v="Public"/>
    <x v="0"/>
    <s v="Huye"/>
    <s v="Kinazi"/>
    <s v="NAKN_2"/>
    <s v="Gishara/Mukunguri Sub-Catchment"/>
    <n v="1419.12"/>
  </r>
  <r>
    <x v="3"/>
    <s v="MWERERA"/>
    <s v="Public"/>
    <x v="0"/>
    <s v="Huye"/>
    <s v="Kinazi"/>
    <s v="NAKN_2"/>
    <s v="Gishara/Mukunguri Sub-Catchment"/>
    <n v="2680.56"/>
  </r>
  <r>
    <x v="3"/>
    <s v="BUSESERO"/>
    <s v="Public"/>
    <x v="0"/>
    <s v="Huye"/>
    <s v="Kinazi"/>
    <s v="NAKN_2"/>
    <s v="Gishara/Mukunguri Sub-Catchment"/>
    <n v="473.04"/>
  </r>
  <r>
    <x v="3"/>
    <s v="CYABIGABIRO"/>
    <s v="Public"/>
    <x v="0"/>
    <s v="Huye"/>
    <s v="Kinazi"/>
    <s v="NAKN_2"/>
    <s v="Gishara/Mukunguri Sub-Catchment"/>
    <n v="946.08"/>
  </r>
  <r>
    <x v="3"/>
    <s v="KARUTANUKA"/>
    <s v="Public"/>
    <x v="0"/>
    <s v="Huye"/>
    <s v="Kinazi"/>
    <s v="NAKN_2"/>
    <s v="Gishara/Mukunguri Sub-Catchment"/>
    <n v="473.04"/>
  </r>
  <r>
    <x v="3"/>
    <s v="GAKENKE"/>
    <s v="Public"/>
    <x v="0"/>
    <s v="Huye"/>
    <s v="Kinazi"/>
    <s v="NAKN_2"/>
    <s v="Gishara/Mukunguri Sub-Catchment"/>
    <n v="473.04"/>
  </r>
  <r>
    <x v="3"/>
    <s v="GASEKE"/>
    <s v="Public"/>
    <x v="0"/>
    <s v="Huye"/>
    <s v="Kinazi"/>
    <s v="NAKN_2"/>
    <s v="Gishara/Mukunguri Sub-Catchment"/>
    <n v="630.72"/>
  </r>
  <r>
    <x v="3"/>
    <s v="KANYINYA"/>
    <s v="Public"/>
    <x v="0"/>
    <s v="Huye"/>
    <s v="Kinazi"/>
    <s v="NAKN_2"/>
    <s v="Gishara/Mukunguri Sub-Catchment"/>
    <n v="2680.56"/>
  </r>
  <r>
    <x v="3"/>
    <s v="NYAGISENYI"/>
    <s v="Public"/>
    <x v="0"/>
    <s v="Huye"/>
    <s v="Kinazi"/>
    <s v="NAKN_2"/>
    <s v="Gishara/Mukunguri Sub-Catchment"/>
    <n v="2207.5200000000004"/>
  </r>
  <r>
    <x v="3"/>
    <s v="GAKERI"/>
    <s v="Public"/>
    <x v="0"/>
    <s v="Huye"/>
    <s v="Kinazi"/>
    <s v="NAKN_2"/>
    <s v="Gishara/Mukunguri Sub-Catchment"/>
    <n v="315.36"/>
  </r>
  <r>
    <x v="3"/>
    <s v="RWASENGABO"/>
    <s v="Public"/>
    <x v="0"/>
    <s v="Huye"/>
    <s v="Kinazi"/>
    <s v="NAKN_2"/>
    <s v="Gishara/Mukunguri Sub-Catchment"/>
    <n v="1734.4800000000002"/>
  </r>
  <r>
    <x v="3"/>
    <s v="NYAKABINGO"/>
    <s v="Public"/>
    <x v="0"/>
    <s v="Huye"/>
    <s v="Kinazi"/>
    <s v="NAKN_2"/>
    <s v="Gishara/Mukunguri Sub-Catchment"/>
    <n v="1261.44"/>
  </r>
  <r>
    <x v="3"/>
    <s v="UWAMUTARAI"/>
    <s v="Public"/>
    <x v="0"/>
    <s v="Huye"/>
    <s v="Kinazi"/>
    <s v="NAKN_2"/>
    <s v="Gishara/Mukunguri Sub-Catchment"/>
    <n v="4257.3600000000006"/>
  </r>
  <r>
    <x v="3"/>
    <s v="MUKABANTU"/>
    <s v="Public"/>
    <x v="0"/>
    <s v="Huye"/>
    <s v="Kinazi"/>
    <s v="NAKN_2"/>
    <s v="Gishara/Mukunguri Sub-Catchment"/>
    <n v="2838.24"/>
  </r>
  <r>
    <x v="3"/>
    <s v="NYABITARE"/>
    <s v="Public"/>
    <x v="0"/>
    <s v="Huye"/>
    <s v="Kinazi"/>
    <s v="NAKN_2"/>
    <s v="Gishara/Mukunguri Sub-Catchment"/>
    <n v="630.72"/>
  </r>
  <r>
    <x v="3"/>
    <s v="UWAMUTARA II"/>
    <s v="Public"/>
    <x v="0"/>
    <s v="Huye"/>
    <s v="Kinazi"/>
    <s v="NAKN_2"/>
    <s v="Gishara/Mukunguri Sub-Catchment"/>
    <n v="2522.88"/>
  </r>
  <r>
    <x v="3"/>
    <s v="NYABIHANGA"/>
    <s v="Public"/>
    <x v="0"/>
    <s v="Huye"/>
    <s v="Kinazi"/>
    <s v="NAKN_2"/>
    <s v="Gishara/Mukunguri Sub-Catchment"/>
    <n v="630.72"/>
  </r>
  <r>
    <x v="3"/>
    <s v="MUGAKINDO"/>
    <s v="Public"/>
    <x v="0"/>
    <s v="Gisagara"/>
    <s v="Mamba"/>
    <s v="NAKN_2"/>
    <s v="Gishara/Mukunguri Sub-Catchment"/>
    <n v="2207.5200000000004"/>
  </r>
  <r>
    <x v="3"/>
    <s v="KWARUSAGANWA"/>
    <s v="Public"/>
    <x v="0"/>
    <s v="Gisagara"/>
    <s v="Mamba"/>
    <s v="NAKN_2"/>
    <s v="Gishara/Mukunguri Sub-Catchment"/>
    <n v="3942.0000000000005"/>
  </r>
  <r>
    <x v="3"/>
    <s v="KWAKURIMPUZU"/>
    <s v="Public"/>
    <x v="0"/>
    <s v="Gisagara"/>
    <s v="Mamba"/>
    <s v="NAKN_2"/>
    <s v="Gishara/Mukunguri Sub-Catchment"/>
    <n v="2207.5200000000004"/>
  </r>
  <r>
    <x v="3"/>
    <s v="NYAKARIBA"/>
    <s v="Public"/>
    <x v="0"/>
    <s v="Gisagara"/>
    <s v="Mamba"/>
    <s v="NAKN_2"/>
    <s v="Gishara/Mukunguri Sub-Catchment"/>
    <n v="2680.56"/>
  </r>
  <r>
    <x v="3"/>
    <s v="KWAGAPARAYI"/>
    <s v="Public"/>
    <x v="0"/>
    <s v="Gisagara"/>
    <s v="Mamba"/>
    <s v="NAKN_2"/>
    <s v="Gishara/Mukunguri Sub-Catchment"/>
    <n v="3942.0000000000005"/>
  </r>
  <r>
    <x v="3"/>
    <s v="KWASITEFANO"/>
    <s v="Public"/>
    <x v="0"/>
    <s v="Gisagara"/>
    <s v="Mamba"/>
    <s v="NAKN_2"/>
    <s v="Gishara/Mukunguri Sub-Catchment"/>
    <n v="7884.0000000000009"/>
  </r>
  <r>
    <x v="3"/>
    <s v="KWASEBICOBOGO"/>
    <s v="Public"/>
    <x v="0"/>
    <s v="Gisagara"/>
    <s v="Mamba"/>
    <s v="NAKN_2"/>
    <s v="Gishara/Mukunguri Sub-Catchment"/>
    <n v="2680.56"/>
  </r>
  <r>
    <x v="3"/>
    <s v="KWISOKO"/>
    <s v="Public"/>
    <x v="0"/>
    <s v="Gisagara"/>
    <s v="Mamba"/>
    <s v="NAKN_2"/>
    <s v="Gishara/Mukunguri Sub-Catchment"/>
    <n v="2838.24"/>
  </r>
  <r>
    <x v="3"/>
    <s v="RWAGITARE"/>
    <s v="Public"/>
    <x v="0"/>
    <s v="Gisagara"/>
    <s v="Mamba"/>
    <s v="NAKN_2"/>
    <s v="Gishara/Mukunguri Sub-Catchment"/>
    <n v="3468.9600000000005"/>
  </r>
  <r>
    <x v="3"/>
    <s v="KAWASEBUTAMA"/>
    <s v="Public"/>
    <x v="0"/>
    <s v="Gisagara"/>
    <s v="Mamba"/>
    <s v="NAKN_2"/>
    <s v="Gishara/Mukunguri Sub-Catchment"/>
    <n v="2049.84"/>
  </r>
  <r>
    <x v="3"/>
    <s v="KADOGORI"/>
    <s v="Public"/>
    <x v="0"/>
    <s v="Gisagara"/>
    <s v="Mamba"/>
    <s v="NAKN_2"/>
    <s v="Gishara/Mukunguri Sub-Catchment"/>
    <n v="3942.0000000000005"/>
  </r>
  <r>
    <x v="3"/>
    <s v="KINAMBA"/>
    <s v="Public"/>
    <x v="0"/>
    <s v="Gisagara"/>
    <s v="Mamba"/>
    <s v="NAKN_2"/>
    <s v="Gishara/Mukunguri Sub-Catchment"/>
    <n v="2522.88"/>
  </r>
  <r>
    <x v="3"/>
    <s v="KIRUHURA"/>
    <s v="Public"/>
    <x v="0"/>
    <s v="Gisagara"/>
    <s v="Mamba"/>
    <s v="NAKN_2"/>
    <s v="Gishara/Mukunguri Sub-Catchment"/>
    <n v="1892.16"/>
  </r>
  <r>
    <x v="3"/>
    <s v="NYAMIKO"/>
    <s v="Public"/>
    <x v="0"/>
    <s v="Gisagara"/>
    <s v="Mamba"/>
    <s v="NAKN_2"/>
    <s v="Gishara/Mukunguri Sub-Catchment"/>
    <n v="3468.9600000000005"/>
  </r>
  <r>
    <x v="3"/>
    <s v="KWAKABERA"/>
    <s v="Public"/>
    <x v="0"/>
    <s v="Gisagara"/>
    <s v="Mamba"/>
    <s v="NAKN_2"/>
    <s v="Gishara/Mukunguri Sub-Catchment"/>
    <n v="4415.0400000000009"/>
  </r>
  <r>
    <x v="3"/>
    <s v="KWANTONI"/>
    <s v="Public"/>
    <x v="0"/>
    <s v="Gisagara"/>
    <s v="Mamba"/>
    <s v="NAKN_2"/>
    <s v="Gishara/Mukunguri Sub-Catchment"/>
    <n v="6780.24"/>
  </r>
  <r>
    <x v="3"/>
    <s v="MUGATANGA"/>
    <s v="Public"/>
    <x v="0"/>
    <s v="Gisagara"/>
    <s v="Mamba"/>
    <s v="NAKN_2"/>
    <s v="Gishara/Mukunguri Sub-Catchment"/>
    <n v="2995.92"/>
  </r>
  <r>
    <x v="3"/>
    <s v="KUMUSARABA"/>
    <s v="Public"/>
    <x v="0"/>
    <s v="Gisagara"/>
    <s v="Mamba"/>
    <s v="NAKN_2"/>
    <s v="Gishara/Mukunguri Sub-Catchment"/>
    <n v="1892.16"/>
  </r>
  <r>
    <x v="3"/>
    <s v="RUHAGAZE"/>
    <s v="Public"/>
    <x v="0"/>
    <s v="Gisagara"/>
    <s v="Mamba"/>
    <s v="NAKN_2"/>
    <s v="Gishara/Mukunguri Sub-Catchment"/>
    <n v="15768.000000000002"/>
  </r>
  <r>
    <x v="3"/>
    <s v="KAGINA"/>
    <s v="Public"/>
    <x v="0"/>
    <s v="Gisagara"/>
    <s v="Mamba"/>
    <s v="NAKN_2"/>
    <s v="Gishara/Mukunguri Sub-Catchment"/>
    <n v="3942.0000000000005"/>
  </r>
  <r>
    <x v="3"/>
    <s v="KABIRIZI"/>
    <s v="Public"/>
    <x v="0"/>
    <s v="Gisagara"/>
    <s v="Mamba"/>
    <s v="NAKN_2"/>
    <s v="Gishara/Mukunguri Sub-Catchment"/>
    <n v="3942.0000000000005"/>
  </r>
  <r>
    <x v="3"/>
    <s v="MUKAMANGA"/>
    <s v="Public"/>
    <x v="0"/>
    <s v="Gisagara"/>
    <s v="Mamba"/>
    <s v="NAKN_2"/>
    <s v="Gishara/Mukunguri Sub-Catchment"/>
    <n v="2049.84"/>
  </r>
  <r>
    <x v="3"/>
    <s v="KWANGIRUMPATSE"/>
    <s v="Public"/>
    <x v="0"/>
    <s v="Gisagara"/>
    <s v="Mamba"/>
    <s v="NAKN_2"/>
    <s v="Gishara/Mukunguri Sub-Catchment"/>
    <n v="2207.5200000000004"/>
  </r>
  <r>
    <x v="3"/>
    <s v="MURUGUNGA"/>
    <s v="Public"/>
    <x v="0"/>
    <s v="Gisagara"/>
    <s v="Mamba"/>
    <s v="NAKN_2"/>
    <s v="Gishara/Mukunguri Sub-Catchment"/>
    <n v="2207.5200000000004"/>
  </r>
  <r>
    <x v="3"/>
    <s v="KADOGERI"/>
    <s v="Public"/>
    <x v="0"/>
    <s v="Gisagara"/>
    <s v="Mamba"/>
    <s v="NAKN_2"/>
    <s v="Gishara/Mukunguri Sub-Catchment"/>
    <n v="3626.64"/>
  </r>
  <r>
    <x v="3"/>
    <s v="KIMANAMA"/>
    <s v="Public"/>
    <x v="0"/>
    <s v="Gisagara"/>
    <s v="Mamba"/>
    <s v="NAKN_2"/>
    <s v="Gishara/Mukunguri Sub-Catchment"/>
    <n v="7884.0000000000009"/>
  </r>
  <r>
    <x v="3"/>
    <s v="NYABIKERI"/>
    <s v="Public"/>
    <x v="0"/>
    <s v="Gisagara"/>
    <s v="Mamba"/>
    <s v="NAKN_2"/>
    <s v="Gishara/Mukunguri Sub-Catchment"/>
    <n v="15768.000000000002"/>
  </r>
  <r>
    <x v="3"/>
    <s v="KWAVISENTI"/>
    <s v="Public"/>
    <x v="0"/>
    <s v="Gisagara"/>
    <s v="Mamba"/>
    <s v="NAKN_2"/>
    <s v="Gishara/Mukunguri Sub-Catchment"/>
    <n v="17029.440000000002"/>
  </r>
  <r>
    <x v="3"/>
    <s v="KWANKORANYABAHIZI"/>
    <s v="Public"/>
    <x v="0"/>
    <s v="Gisagara"/>
    <s v="Mamba"/>
    <s v="NAKN_2"/>
    <s v="Gishara/Mukunguri Sub-Catchment"/>
    <n v="2838.24"/>
  </r>
  <r>
    <x v="3"/>
    <s v="GATORIKA"/>
    <s v="Public"/>
    <x v="0"/>
    <s v="Gisagara"/>
    <s v="Mamba"/>
    <s v="NAKN_2"/>
    <s v="Gishara/Mukunguri Sub-Catchment"/>
    <n v="3468.9600000000005"/>
  </r>
  <r>
    <x v="3"/>
    <s v="BUDAGARI"/>
    <s v="Public"/>
    <x v="0"/>
    <s v="Gisagara"/>
    <s v="Mamba"/>
    <s v="NAKN_2"/>
    <s v="Gishara/Mukunguri Sub-Catchment"/>
    <n v="7095.6"/>
  </r>
  <r>
    <x v="3"/>
    <s v="KWASEBINEGO"/>
    <s v="Public"/>
    <x v="0"/>
    <s v="Gisagara"/>
    <s v="Mamba"/>
    <s v="NAKN_2"/>
    <s v="Gishara/Mukunguri Sub-Catchment"/>
    <n v="2838.24"/>
  </r>
  <r>
    <x v="3"/>
    <s v="MUKAJAGARI"/>
    <s v="Public"/>
    <x v="0"/>
    <s v="Gisagara"/>
    <s v="Mamba"/>
    <s v="NAKN_2"/>
    <s v="Gishara/Mukunguri Sub-Catchment"/>
    <n v="2365.2000000000003"/>
  </r>
  <r>
    <x v="3"/>
    <s v="RUSUGI"/>
    <s v="Public"/>
    <x v="0"/>
    <s v="Gisagara"/>
    <s v="Mamba"/>
    <s v="NAKN_2"/>
    <s v="Gishara/Mukunguri Sub-Catchment"/>
    <n v="2838.24"/>
  </r>
  <r>
    <x v="3"/>
    <s v="RWIKWIMA"/>
    <s v="Public"/>
    <x v="0"/>
    <s v="Gisagara"/>
    <s v="Mamba"/>
    <s v="NAKN_2"/>
    <s v="Gishara/Mukunguri Sub-Catchment"/>
    <n v="16556.400000000001"/>
  </r>
  <r>
    <x v="3"/>
    <s v="MUNGARUYE"/>
    <s v="Public"/>
    <x v="0"/>
    <s v="Gisagara"/>
    <s v="Mamba"/>
    <s v="NAKN_2"/>
    <s v="Gishara/Mukunguri Sub-Catchment"/>
    <n v="3942.0000000000005"/>
  </r>
  <r>
    <x v="3"/>
    <s v="RWAGIKERI"/>
    <s v="Public"/>
    <x v="0"/>
    <s v="Ruhango"/>
    <s v="Mbuye"/>
    <s v="NAKN_2"/>
    <s v="Gishara/Mukunguri Sub-Catchment"/>
    <n v="1750.248"/>
  </r>
  <r>
    <x v="3"/>
    <s v="NYAMIKONI"/>
    <s v="Public"/>
    <x v="0"/>
    <s v="Ruhango"/>
    <s v="Mbuye"/>
    <s v="NAKN_2"/>
    <s v="Gishara/Mukunguri Sub-Catchment"/>
    <n v="1592.5680000000002"/>
  </r>
  <r>
    <x v="3"/>
    <s v="KIRWA"/>
    <s v="Public"/>
    <x v="0"/>
    <s v="Ruhango"/>
    <s v="Mbuye"/>
    <s v="NAKN_2"/>
    <s v="Gishara/Mukunguri Sub-Catchment"/>
    <n v="1971.0000000000002"/>
  </r>
  <r>
    <x v="3"/>
    <s v="NANGA"/>
    <s v="Public"/>
    <x v="0"/>
    <s v="Ruhango"/>
    <s v="Mbuye"/>
    <s v="NAKN_2"/>
    <s v="Gishara/Mukunguri Sub-Catchment"/>
    <n v="1359.2016000000001"/>
  </r>
  <r>
    <x v="3"/>
    <s v="KABINGO"/>
    <s v="Public"/>
    <x v="0"/>
    <s v="Ruhango"/>
    <s v="Mbuye"/>
    <s v="NAKN_2"/>
    <s v="Gishara/Mukunguri Sub-Catchment"/>
    <n v="2251.6704000000004"/>
  </r>
  <r>
    <x v="3"/>
    <s v="RWANZABONA"/>
    <s v="Public"/>
    <x v="0"/>
    <s v="Ruhango"/>
    <s v="Mbuye"/>
    <s v="NAKN_2"/>
    <s v="Gishara/Mukunguri Sub-Catchment"/>
    <n v="1578.3767999999998"/>
  </r>
  <r>
    <x v="3"/>
    <s v="GAKERI"/>
    <s v="Public"/>
    <x v="0"/>
    <s v="Ruhango"/>
    <s v="Mbuye"/>
    <s v="NAKN_2"/>
    <s v="Gishara/Mukunguri Sub-Catchment"/>
    <n v="1515.3048000000001"/>
  </r>
  <r>
    <x v="3"/>
    <s v="NYAKARIBA"/>
    <s v="Public"/>
    <x v="0"/>
    <s v="Ruhango"/>
    <s v="Mbuye"/>
    <s v="NAKN_2"/>
    <s v="Gishara/Mukunguri Sub-Catchment"/>
    <n v="4731.9768000000004"/>
  </r>
  <r>
    <x v="3"/>
    <s v="KABUHORO"/>
    <s v="Public"/>
    <x v="0"/>
    <s v="Ruhango"/>
    <s v="Mbuye"/>
    <s v="NAKN_2"/>
    <s v="Gishara/Mukunguri Sub-Catchment"/>
    <n v="3155.1768000000002"/>
  </r>
  <r>
    <x v="3"/>
    <s v="RWABYAMBU"/>
    <s v="Public"/>
    <x v="0"/>
    <s v="Ruhango"/>
    <s v="Mbuye"/>
    <s v="NAKN_2"/>
    <s v="Gishara/Mukunguri Sub-Catchment"/>
    <n v="5250.7439999999997"/>
  </r>
  <r>
    <x v="3"/>
    <s v="KINYAMBO"/>
    <s v="Public"/>
    <x v="0"/>
    <s v="Ruhango"/>
    <s v="Mbuye"/>
    <s v="NAKN_2"/>
    <s v="Gishara/Mukunguri Sub-Catchment"/>
    <n v="3169.3679999999999"/>
  </r>
  <r>
    <x v="3"/>
    <s v="GAHANGA"/>
    <s v="Public"/>
    <x v="0"/>
    <s v="Ruhango"/>
    <s v="Mbuye"/>
    <s v="NAKN_2"/>
    <s v="Gishara/Mukunguri Sub-Catchment"/>
    <n v="9462.3768"/>
  </r>
  <r>
    <x v="3"/>
    <s v="MUGAHAMA"/>
    <s v="Public"/>
    <x v="0"/>
    <s v="Ruhango"/>
    <s v="Mbuye"/>
    <s v="NAKN_2"/>
    <s v="Gishara/Mukunguri Sub-Catchment"/>
    <n v="1050.1488000000002"/>
  </r>
  <r>
    <x v="3"/>
    <s v="MATA"/>
    <s v="Public"/>
    <x v="0"/>
    <s v="Ruhango"/>
    <s v="Mbuye"/>
    <s v="NAKN_2"/>
    <s v="Gishara/Mukunguri Sub-Catchment"/>
    <n v="7885.5768000000007"/>
  </r>
  <r>
    <x v="3"/>
    <s v="KIRUHURA"/>
    <s v="Public"/>
    <x v="0"/>
    <s v="Ruhango"/>
    <s v="Mbuye"/>
    <s v="NAKN_2"/>
    <s v="Gishara/Mukunguri Sub-Catchment"/>
    <n v="1592.5680000000002"/>
  </r>
  <r>
    <x v="3"/>
    <s v="KAREHE2"/>
    <s v="Public"/>
    <x v="0"/>
    <s v="Ruhango"/>
    <s v="Mbuye"/>
    <s v="NAKN_2"/>
    <s v="Gishara/Mukunguri Sub-Catchment"/>
    <n v="1592.5680000000002"/>
  </r>
  <r>
    <x v="3"/>
    <s v="RWADUNDA"/>
    <s v="Public"/>
    <x v="0"/>
    <s v="Ruhango"/>
    <s v="Mbuye"/>
    <s v="NAKN_2"/>
    <s v="Gishara/Mukunguri Sub-Catchment"/>
    <n v="3942.0000000000005"/>
  </r>
  <r>
    <x v="3"/>
    <s v="KAREHE"/>
    <s v="Public"/>
    <x v="0"/>
    <s v="Ruhango"/>
    <s v="Mbuye"/>
    <s v="NAKN_2"/>
    <s v="Gishara/Mukunguri Sub-Catchment"/>
    <n v="7885.5768000000007"/>
  </r>
  <r>
    <x v="3"/>
    <s v="KANYAMUNYU"/>
    <s v="Public"/>
    <x v="0"/>
    <s v="Ruhango"/>
    <s v="Mbuye"/>
    <s v="NAKN_2"/>
    <s v="Gishara/Mukunguri Sub-Catchment"/>
    <n v="4148.5607999999993"/>
  </r>
  <r>
    <x v="3"/>
    <s v="GISEKE"/>
    <s v="Public"/>
    <x v="0"/>
    <s v="Ruhango"/>
    <s v="Mbuye"/>
    <s v="NAKN_2"/>
    <s v="Gishara/Mukunguri Sub-Catchment"/>
    <n v="262.69488000000007"/>
  </r>
  <r>
    <x v="3"/>
    <s v="KUMWARI"/>
    <s v="Public"/>
    <x v="0"/>
    <s v="Ruhango"/>
    <s v="Mbuye"/>
    <s v="NAKN_2"/>
    <s v="Gishara/Mukunguri Sub-Catchment"/>
    <n v="15783.767999999998"/>
  </r>
  <r>
    <x v="3"/>
    <s v="KIRUHURA"/>
    <s v="Public"/>
    <x v="0"/>
    <s v="Ruhango"/>
    <s v="Mbuye"/>
    <s v="NAKN_2"/>
    <s v="Gishara/Mukunguri Sub-Catchment"/>
    <n v="477.77039999999994"/>
  </r>
  <r>
    <x v="3"/>
    <s v="KABINGO2"/>
    <s v="Public"/>
    <x v="0"/>
    <s v="Ruhango"/>
    <s v="Mbuye"/>
    <s v="NAKN_2"/>
    <s v="Gishara/Mukunguri Sub-Catchment"/>
    <n v="9462.3768"/>
  </r>
  <r>
    <x v="3"/>
    <s v="MUKABANGA"/>
    <s v="Public"/>
    <x v="0"/>
    <s v="Ruhango"/>
    <s v="Mbuye"/>
    <s v="NAKN_2"/>
    <s v="Gishara/Mukunguri Sub-Catchment"/>
    <n v="2626.9488000000001"/>
  </r>
  <r>
    <x v="3"/>
    <s v="UWINGOMA"/>
    <s v="Public"/>
    <x v="0"/>
    <s v="Ruhango"/>
    <s v="Mbuye"/>
    <s v="NAKN_2"/>
    <s v="Gishara/Mukunguri Sub-Catchment"/>
    <n v="2814.5880000000002"/>
  </r>
  <r>
    <x v="3"/>
    <s v="KWA MUGABO"/>
    <s v="Public"/>
    <x v="0"/>
    <s v="Ruhango"/>
    <s v="Mbuye"/>
    <s v="NAKN_2"/>
    <s v="Gishara/Mukunguri Sub-Catchment"/>
    <n v="7885.5768000000007"/>
  </r>
  <r>
    <x v="3"/>
    <s v="KABINGO"/>
    <s v="Public"/>
    <x v="0"/>
    <s v="Ruhango"/>
    <s v="Mbuye"/>
    <s v="NAKN_2"/>
    <s v="Gishara/Mukunguri Sub-Catchment"/>
    <n v="1050.1488000000002"/>
  </r>
  <r>
    <x v="3"/>
    <s v="KANYONYOMBA"/>
    <s v="Public"/>
    <x v="0"/>
    <s v="Ruhango"/>
    <s v="Mbuye"/>
    <s v="NAKN_2"/>
    <s v="Gishara/Mukunguri Sub-Catchment"/>
    <n v="1578.3767999999998"/>
  </r>
  <r>
    <x v="3"/>
    <s v="KIBAHIMA"/>
    <s v="Public"/>
    <x v="0"/>
    <s v="Ruhango"/>
    <s v="Mbuye"/>
    <s v="NAKN_2"/>
    <s v="Gishara/Mukunguri Sub-Catchment"/>
    <n v="8751.2400000000016"/>
  </r>
  <r>
    <x v="3"/>
    <s v="KWAZABURON"/>
    <s v="Public"/>
    <x v="0"/>
    <s v="Ruhango"/>
    <s v="Mbuye"/>
    <s v="NAKN_2"/>
    <s v="Gishara/Mukunguri Sub-Catchment"/>
    <n v="1050.1488000000002"/>
  </r>
  <r>
    <x v="3"/>
    <s v="MUNYAKAZIBA"/>
    <s v="Public"/>
    <x v="0"/>
    <s v="Ruhango"/>
    <s v="Mbuye"/>
    <s v="NAKN_2"/>
    <s v="Gishara/Mukunguri Sub-Catchment"/>
    <n v="3942.0000000000005"/>
  </r>
  <r>
    <x v="3"/>
    <s v="NYABITEKERI"/>
    <s v="Public"/>
    <x v="0"/>
    <s v="Ruhango"/>
    <s v="Mbuye"/>
    <s v="NAKN_2"/>
    <s v="Gishara/Mukunguri Sub-Catchment"/>
    <n v="7885.5768000000007"/>
  </r>
  <r>
    <x v="3"/>
    <s v="GAKERI"/>
    <s v="Public"/>
    <x v="0"/>
    <s v="Ruhango"/>
    <s v="Mbuye"/>
    <s v="NAKN_2"/>
    <s v="Gishara/Mukunguri Sub-Catchment"/>
    <n v="11258.352000000001"/>
  </r>
  <r>
    <x v="3"/>
    <s v="CYAHAFI"/>
    <s v="Public"/>
    <x v="0"/>
    <s v="Ruhango"/>
    <s v="Mbuye"/>
    <s v="NAKN_2"/>
    <s v="Gishara/Mukunguri Sub-Catchment"/>
    <n v="3942.0000000000005"/>
  </r>
  <r>
    <x v="3"/>
    <s v="RWAKAJUJU"/>
    <s v="Public"/>
    <x v="0"/>
    <s v="Ruhango"/>
    <s v="Mbuye"/>
    <s v="NAKN_2"/>
    <s v="Gishara/Mukunguri Sub-Catchment"/>
    <n v="47319.768000000004"/>
  </r>
  <r>
    <x v="3"/>
    <s v="MUGIKUYU"/>
    <s v="Public"/>
    <x v="0"/>
    <s v="Ruhango"/>
    <s v="Mbuye"/>
    <s v="NAKN_2"/>
    <s v="Gishara/Mukunguri Sub-Catchment"/>
    <n v="3942.0000000000005"/>
  </r>
  <r>
    <x v="3"/>
    <s v="GATARE"/>
    <s v="Public"/>
    <x v="0"/>
    <s v="Ruhango"/>
    <s v="Mbuye"/>
    <s v="NAKN_2"/>
    <s v="Gishara/Mukunguri Sub-Catchment"/>
    <n v="11258.352000000001"/>
  </r>
  <r>
    <x v="3"/>
    <s v="RWARUSIMBI"/>
    <s v="Public"/>
    <x v="0"/>
    <s v="Ruhango"/>
    <s v="Mbuye"/>
    <s v="NAKN_2"/>
    <s v="Gishara/Mukunguri Sub-Catchment"/>
    <n v="261.74880000000002"/>
  </r>
  <r>
    <x v="3"/>
    <s v="NGURINZIRA"/>
    <s v="Public"/>
    <x v="0"/>
    <s v="Ruhango"/>
    <s v="Mbuye"/>
    <s v="NAKN_2"/>
    <s v="Gishara/Mukunguri Sub-Catchment"/>
    <n v="7885.5768000000007"/>
  </r>
  <r>
    <x v="3"/>
    <s v="GISEBURA"/>
    <s v="Public"/>
    <x v="0"/>
    <s v="Ruhango"/>
    <s v="Mbuye"/>
    <s v="NAKN_2"/>
    <s v="Gishara/Mukunguri Sub-Catchment"/>
    <n v="3942.0000000000005"/>
  </r>
  <r>
    <x v="3"/>
    <s v="KABUTURA"/>
    <s v="Public"/>
    <x v="0"/>
    <s v="Ruhango"/>
    <s v="Mbuye"/>
    <s v="NAKN_2"/>
    <s v="Gishara/Mukunguri Sub-Catchment"/>
    <n v="2239.0559999999996"/>
  </r>
  <r>
    <x v="3"/>
    <s v="RWAKINYONI"/>
    <s v="Public"/>
    <x v="0"/>
    <s v="Ruhango"/>
    <s v="Mbuye"/>
    <s v="NAKN_2"/>
    <s v="Gishara/Mukunguri Sub-Catchment"/>
    <n v="1313.4744000000001"/>
  </r>
  <r>
    <x v="3"/>
    <s v="NYIRAGIKOKWE"/>
    <s v="Public"/>
    <x v="0"/>
    <s v="Ruhango"/>
    <s v="Mbuye"/>
    <s v="NAKN_2"/>
    <s v="Gishara/Mukunguri Sub-Catchment"/>
    <n v="5771.0879999999997"/>
  </r>
  <r>
    <x v="3"/>
    <s v="NTUGUGU"/>
    <s v="Public"/>
    <x v="0"/>
    <s v="Ruhango"/>
    <s v="Mbuye"/>
    <s v="NAKN_2"/>
    <s v="Gishara/Mukunguri Sub-Catchment"/>
    <n v="1051.0948800000001"/>
  </r>
  <r>
    <x v="3"/>
    <s v="GISHOKA"/>
    <s v="Public"/>
    <x v="0"/>
    <s v="Ruhango"/>
    <s v="Mbuye"/>
    <s v="NAKN_2"/>
    <s v="Gishara/Mukunguri Sub-Catchment"/>
    <n v="1971.0000000000002"/>
  </r>
  <r>
    <x v="3"/>
    <s v="HIRWA"/>
    <s v="Public"/>
    <x v="0"/>
    <s v="Ruhango"/>
    <s v="Mbuye"/>
    <s v="NAKN_2"/>
    <s v="Gishara/Mukunguri Sub-Catchment"/>
    <n v="3926.232"/>
  </r>
  <r>
    <x v="3"/>
    <s v="RWICANYONI"/>
    <s v="Public"/>
    <x v="0"/>
    <s v="Ruhango"/>
    <s v="Mbuye"/>
    <s v="NAKN_2"/>
    <s v="Gishara/Mukunguri Sub-Catchment"/>
    <n v="7885.5768000000007"/>
  </r>
  <r>
    <x v="3"/>
    <s v="GASAVE"/>
    <s v="Public"/>
    <x v="0"/>
    <s v="Ruhango"/>
    <s v="Mbuye"/>
    <s v="NAKN_2"/>
    <s v="Gishara/Mukunguri Sub-Catchment"/>
    <n v="525.07440000000008"/>
  </r>
  <r>
    <x v="3"/>
    <s v="GAHAMA"/>
    <s v="Public"/>
    <x v="0"/>
    <s v="Ruhango"/>
    <s v="Mbuye"/>
    <s v="NAKN_2"/>
    <s v="Gishara/Mukunguri Sub-Catchment"/>
    <n v="1340.28"/>
  </r>
  <r>
    <x v="3"/>
    <s v="GASEKE"/>
    <s v="Public"/>
    <x v="0"/>
    <s v="Ruhango"/>
    <s v="Mbuye"/>
    <s v="NAKN_2"/>
    <s v="Gishara/Mukunguri Sub-Catchment"/>
    <n v="3942.0000000000005"/>
  </r>
  <r>
    <x v="3"/>
    <s v="GATARE"/>
    <s v="Public"/>
    <x v="0"/>
    <s v="Ruhango"/>
    <s v="Mbuye"/>
    <s v="NAKN_2"/>
    <s v="Gishara/Mukunguri Sub-Catchment"/>
    <n v="1125.8352000000002"/>
  </r>
  <r>
    <x v="3"/>
    <s v="NYAKABINGO"/>
    <s v="Public"/>
    <x v="0"/>
    <s v="Ruhango"/>
    <s v="Mbuye"/>
    <s v="NAKN_2"/>
    <s v="Gishara/Mukunguri Sub-Catchment"/>
    <n v="10501.487999999999"/>
  </r>
  <r>
    <x v="3"/>
    <s v="KABUTOSHYO"/>
    <s v="Public"/>
    <x v="0"/>
    <s v="Ruhango"/>
    <s v="Mbuye"/>
    <s v="NAKN_2"/>
    <s v="Gishara/Mukunguri Sub-Catchment"/>
    <n v="2781.4751999999994"/>
  </r>
  <r>
    <x v="3"/>
    <s v="NYABITARE"/>
    <s v="Public"/>
    <x v="0"/>
    <s v="Ruhango"/>
    <s v="Mbuye"/>
    <s v="NAKN_2"/>
    <s v="Gishara/Mukunguri Sub-Catchment"/>
    <n v="985.50000000000011"/>
  </r>
  <r>
    <x v="3"/>
    <s v="rwasagatwa"/>
    <s v="Public"/>
    <x v="0"/>
    <s v="Kamonyi"/>
    <s v="Mugina"/>
    <s v="NAKN_2"/>
    <s v="Gishara/Mukunguri Sub-Catchment"/>
    <n v="11826.000000000002"/>
  </r>
  <r>
    <x v="3"/>
    <s v="gasovu i"/>
    <s v="Public"/>
    <x v="0"/>
    <s v="Kamonyi"/>
    <s v="Mugina"/>
    <s v="NAKN_2"/>
    <s v="Gishara/Mukunguri Sub-Catchment"/>
    <n v="4572.72"/>
  </r>
  <r>
    <x v="3"/>
    <s v="gasovu ii"/>
    <s v="Public"/>
    <x v="0"/>
    <s v="Kamonyi"/>
    <s v="Mugina"/>
    <s v="NAKN_2"/>
    <s v="Gishara/Mukunguri Sub-Catchment"/>
    <n v="3942.0000000000005"/>
  </r>
  <r>
    <x v="3"/>
    <s v="GASHUBANGERI"/>
    <s v="Public"/>
    <x v="0"/>
    <s v="Kamonyi"/>
    <s v="Mugina"/>
    <s v="NAKN_2"/>
    <s v="Gishara/Mukunguri Sub-Catchment"/>
    <n v="7884.0000000000009"/>
  </r>
  <r>
    <x v="3"/>
    <s v="bunyereri"/>
    <s v="Public"/>
    <x v="0"/>
    <s v="Kamonyi"/>
    <s v="Mugina"/>
    <s v="NAKN_2"/>
    <s v="Gishara/Mukunguri Sub-Catchment"/>
    <n v="11826.000000000002"/>
  </r>
  <r>
    <x v="3"/>
    <s v="kimbogo"/>
    <s v="Public"/>
    <x v="0"/>
    <s v="Kamonyi"/>
    <s v="Mugina"/>
    <s v="NAKN_2"/>
    <s v="Gishara/Mukunguri Sub-Catchment"/>
    <n v="3311.2799999999997"/>
  </r>
  <r>
    <x v="3"/>
    <s v="nyakajuli"/>
    <s v="Public"/>
    <x v="0"/>
    <s v="Kamonyi"/>
    <s v="Mugina"/>
    <s v="NAKN_2"/>
    <s v="Gishara/Mukunguri Sub-Catchment"/>
    <n v="473.04"/>
  </r>
  <r>
    <x v="3"/>
    <s v="kabera"/>
    <s v="Public"/>
    <x v="0"/>
    <s v="Kamonyi"/>
    <s v="Mugina"/>
    <s v="NAKN_2"/>
    <s v="Gishara/Mukunguri Sub-Catchment"/>
    <n v="31.536000000000001"/>
  </r>
  <r>
    <x v="3"/>
    <s v="bahimba"/>
    <s v="Public"/>
    <x v="0"/>
    <s v="Kamonyi"/>
    <s v="Mugina"/>
    <s v="NAKN_2"/>
    <s v="Gishara/Mukunguri Sub-Catchment"/>
    <n v="2365.2000000000003"/>
  </r>
  <r>
    <x v="3"/>
    <s v="gahama"/>
    <s v="Public"/>
    <x v="0"/>
    <s v="Kamonyi"/>
    <s v="Mugina"/>
    <s v="NAKN_2"/>
    <s v="Gishara/Mukunguri Sub-Catchment"/>
    <n v="4572.72"/>
  </r>
  <r>
    <x v="3"/>
    <s v="muvumu"/>
    <s v="Public"/>
    <x v="0"/>
    <s v="Kamonyi"/>
    <s v="Mugina"/>
    <s v="NAKN_2"/>
    <s v="Gishara/Mukunguri Sub-Catchment"/>
    <n v="10249.199999999999"/>
  </r>
  <r>
    <x v="3"/>
    <s v="nyiriminega"/>
    <s v="Public"/>
    <x v="0"/>
    <s v="Kamonyi"/>
    <s v="Mugina"/>
    <s v="NAKN_2"/>
    <s v="Gishara/Mukunguri Sub-Catchment"/>
    <n v="11826.000000000002"/>
  </r>
  <r>
    <x v="3"/>
    <s v="nyakaliba"/>
    <s v="Public"/>
    <x v="0"/>
    <s v="Kamonyi"/>
    <s v="Mugina"/>
    <s v="NAKN_2"/>
    <s v="Gishara/Mukunguri Sub-Catchment"/>
    <n v="1892.16"/>
  </r>
  <r>
    <x v="3"/>
    <s v="kabilizi"/>
    <s v="Public"/>
    <x v="0"/>
    <s v="Kamonyi"/>
    <s v="Mugina"/>
    <s v="NAKN_2"/>
    <s v="Gishara/Mukunguri Sub-Catchment"/>
    <n v="0"/>
  </r>
  <r>
    <x v="3"/>
    <s v="kiruhura"/>
    <s v="Public"/>
    <x v="0"/>
    <s v="Kamonyi"/>
    <s v="Mugina"/>
    <s v="NAKN_2"/>
    <s v="Gishara/Mukunguri Sub-Catchment"/>
    <n v="457.27200000000005"/>
  </r>
  <r>
    <x v="3"/>
    <s v="kabuye"/>
    <s v="Public"/>
    <x v="0"/>
    <s v="Kamonyi"/>
    <s v="Mugina"/>
    <s v="NAKN_2"/>
    <s v="Gishara/Mukunguri Sub-Catchment"/>
    <n v="7884.0000000000009"/>
  </r>
  <r>
    <x v="3"/>
    <s v="kaguli"/>
    <s v="Public"/>
    <x v="0"/>
    <s v="Kamonyi"/>
    <s v="Mugina"/>
    <s v="NAKN_2"/>
    <s v="Gishara/Mukunguri Sub-Catchment"/>
    <n v="488.80799999999999"/>
  </r>
  <r>
    <x v="3"/>
    <s v="kamunanira"/>
    <s v="Public"/>
    <x v="0"/>
    <s v="Kamonyi"/>
    <s v="Mugina"/>
    <s v="NAKN_2"/>
    <s v="Gishara/Mukunguri Sub-Catchment"/>
    <n v="220.75200000000001"/>
  </r>
  <r>
    <x v="3"/>
    <s v="nyagahanga"/>
    <s v="Public"/>
    <x v="0"/>
    <s v="Kamonyi"/>
    <s v="Mugina"/>
    <s v="NAKN_2"/>
    <s v="Gishara/Mukunguri Sub-Catchment"/>
    <n v="10249.199999999999"/>
  </r>
  <r>
    <x v="3"/>
    <s v="nyamuko"/>
    <s v="Public"/>
    <x v="0"/>
    <s v="Kamonyi"/>
    <s v="Mugina"/>
    <s v="NAKN_2"/>
    <s v="Gishara/Mukunguri Sub-Catchment"/>
    <n v="63.072000000000003"/>
  </r>
  <r>
    <x v="3"/>
    <s v="kabingo"/>
    <s v="Public"/>
    <x v="0"/>
    <s v="Kamonyi"/>
    <s v="Mugina"/>
    <s v="NAKN_2"/>
    <s v="Gishara/Mukunguri Sub-Catchment"/>
    <n v="2522.88"/>
  </r>
  <r>
    <x v="3"/>
    <s v="KANYAMA"/>
    <s v="Public"/>
    <x v="0"/>
    <s v="Gisagara"/>
    <s v="Mugombwa"/>
    <s v="NAKN_2"/>
    <s v="Gishara/Mukunguri Sub-Catchment"/>
    <n v="1419.12"/>
  </r>
  <r>
    <x v="3"/>
    <s v="MURIRUTARE"/>
    <s v="Public"/>
    <x v="0"/>
    <s v="Gisagara"/>
    <s v="Mugombwa"/>
    <s v="NAKN_2"/>
    <s v="Gishara/Mukunguri Sub-Catchment"/>
    <n v="315.36"/>
  </r>
  <r>
    <x v="3"/>
    <s v="KAZABAGARURA 2"/>
    <s v="Public"/>
    <x v="0"/>
    <s v="Gisagara"/>
    <s v="Mugombwa"/>
    <s v="NAKN_2"/>
    <s v="Gishara/Mukunguri Sub-Catchment"/>
    <n v="14821.919999999998"/>
  </r>
  <r>
    <x v="3"/>
    <s v="GAHENGERI"/>
    <s v="Public"/>
    <x v="0"/>
    <s v="Gisagara"/>
    <s v="Mugombwa"/>
    <s v="NAKN_2"/>
    <s v="Gishara/Mukunguri Sub-Catchment"/>
    <n v="946.08"/>
  </r>
  <r>
    <x v="3"/>
    <s v="KIMANAMA"/>
    <s v="Public"/>
    <x v="0"/>
    <s v="Gisagara"/>
    <s v="Mugombwa"/>
    <s v="NAKN_2"/>
    <s v="Gishara/Mukunguri Sub-Catchment"/>
    <n v="630.72"/>
  </r>
  <r>
    <x v="3"/>
    <s v="GASEKE"/>
    <s v="Public"/>
    <x v="0"/>
    <s v="Gisagara"/>
    <s v="Mugombwa"/>
    <s v="NAKN_2"/>
    <s v="Gishara/Mukunguri Sub-Catchment"/>
    <n v="3626.64"/>
  </r>
  <r>
    <x v="3"/>
    <s v="NYAKARIBA"/>
    <s v="Public"/>
    <x v="0"/>
    <s v="Gisagara"/>
    <s v="Mugombwa"/>
    <s v="NAKN_2"/>
    <s v="Gishara/Mukunguri Sub-Catchment"/>
    <n v="8357.0400000000009"/>
  </r>
  <r>
    <x v="3"/>
    <s v="MUKIVOMO"/>
    <s v="Public"/>
    <x v="0"/>
    <s v="Gisagara"/>
    <s v="Mugombwa"/>
    <s v="NAKN_2"/>
    <s v="Gishara/Mukunguri Sub-Catchment"/>
    <n v="2838.24"/>
  </r>
  <r>
    <x v="3"/>
    <s v="RWABAGABO"/>
    <s v="Public"/>
    <x v="0"/>
    <s v="Gisagara"/>
    <s v="Mugombwa"/>
    <s v="NAKN_2"/>
    <s v="Gishara/Mukunguri Sub-Catchment"/>
    <n v="4730.4000000000005"/>
  </r>
  <r>
    <x v="3"/>
    <s v="NYAGITOVU"/>
    <s v="Public"/>
    <x v="0"/>
    <s v="Gisagara"/>
    <s v="Mugombwa"/>
    <s v="NAKN_2"/>
    <s v="Gishara/Mukunguri Sub-Catchment"/>
    <n v="2522.88"/>
  </r>
  <r>
    <x v="3"/>
    <s v="KARUTEGA"/>
    <s v="Public"/>
    <x v="0"/>
    <s v="Gisagara"/>
    <s v="Mugombwa"/>
    <s v="NAKN_2"/>
    <s v="Gishara/Mukunguri Sub-Catchment"/>
    <n v="1576.8000000000002"/>
  </r>
  <r>
    <x v="3"/>
    <s v="RUCURAMA"/>
    <s v="Public"/>
    <x v="0"/>
    <s v="Gisagara"/>
    <s v="Mugombwa"/>
    <s v="NAKN_2"/>
    <s v="Gishara/Mukunguri Sub-Catchment"/>
    <n v="9776.1600000000017"/>
  </r>
  <r>
    <x v="3"/>
    <s v="MURIMUNANGA"/>
    <s v="Public"/>
    <x v="0"/>
    <s v="Gisagara"/>
    <s v="Mugombwa"/>
    <s v="NAKN_2"/>
    <s v="Gishara/Mukunguri Sub-Catchment"/>
    <n v="3784.32"/>
  </r>
  <r>
    <x v="3"/>
    <s v="RWAMIRINDI"/>
    <s v="Public"/>
    <x v="0"/>
    <s v="Gisagara"/>
    <s v="Mugombwa"/>
    <s v="NAKN_2"/>
    <s v="Gishara/Mukunguri Sub-Catchment"/>
    <n v="1892.16"/>
  </r>
  <r>
    <x v="3"/>
    <s v="RWAGISUMA"/>
    <s v="Public"/>
    <x v="0"/>
    <s v="Gisagara"/>
    <s v="Mugombwa"/>
    <s v="NAKN_2"/>
    <s v="Gishara/Mukunguri Sub-Catchment"/>
    <n v="946.08"/>
  </r>
  <r>
    <x v="3"/>
    <s v="MUSABIKE"/>
    <s v="Public"/>
    <x v="0"/>
    <s v="Gisagara"/>
    <s v="Mugombwa"/>
    <s v="NAKN_2"/>
    <s v="Gishara/Mukunguri Sub-Catchment"/>
    <n v="1734.4800000000002"/>
  </r>
  <r>
    <x v="3"/>
    <s v="RWERINKA"/>
    <s v="Public"/>
    <x v="0"/>
    <s v="Gisagara"/>
    <s v="Mugombwa"/>
    <s v="NAKN_2"/>
    <s v="Gishara/Mukunguri Sub-Catchment"/>
    <n v="946.08"/>
  </r>
  <r>
    <x v="3"/>
    <s v="KAZABAGARURA"/>
    <s v="Public"/>
    <x v="0"/>
    <s v="Gisagara"/>
    <s v="Mugombwa"/>
    <s v="NAKN_2"/>
    <s v="Gishara/Mukunguri Sub-Catchment"/>
    <n v="2049.84"/>
  </r>
  <r>
    <x v="3"/>
    <s v="RWAKADENGE"/>
    <s v="Public"/>
    <x v="0"/>
    <s v="Gisagara"/>
    <s v="Mugombwa"/>
    <s v="NAKN_2"/>
    <s v="Gishara/Mukunguri Sub-Catchment"/>
    <n v="5203.4400000000005"/>
  </r>
  <r>
    <x v="3"/>
    <s v="KARUVUNA"/>
    <s v="Public"/>
    <x v="0"/>
    <s v="Gisagara"/>
    <s v="Mugombwa"/>
    <s v="NAKN_2"/>
    <s v="Gishara/Mukunguri Sub-Catchment"/>
    <n v="2838.24"/>
  </r>
  <r>
    <x v="3"/>
    <s v="AKAGENDE"/>
    <s v="Public"/>
    <x v="0"/>
    <s v="Gisagara"/>
    <s v="Mugombwa"/>
    <s v="NAKN_2"/>
    <s v="Gishara/Mukunguri Sub-Catchment"/>
    <n v="470414.47031999996"/>
  </r>
  <r>
    <x v="3"/>
    <s v="KAZABAGARURA"/>
    <s v="Public"/>
    <x v="0"/>
    <s v="Gisagara"/>
    <s v="Mugombwa"/>
    <s v="NAKN_2"/>
    <s v="Gishara/Mukunguri Sub-Catchment"/>
    <n v="473.04"/>
  </r>
  <r>
    <x v="3"/>
    <s v="MURIKORE"/>
    <s v="Public"/>
    <x v="0"/>
    <s v="Gisagara"/>
    <s v="Mugombwa"/>
    <s v="NAKN_2"/>
    <s v="Gishara/Mukunguri Sub-Catchment"/>
    <n v="1576.8000000000002"/>
  </r>
  <r>
    <x v="3"/>
    <s v="NYAKABINGO"/>
    <s v="Public"/>
    <x v="0"/>
    <s v="Gisagara"/>
    <s v="Mugombwa"/>
    <s v="NAKN_2"/>
    <s v="Gishara/Mukunguri Sub-Catchment"/>
    <n v="630.72"/>
  </r>
  <r>
    <x v="3"/>
    <s v="KARUKABA"/>
    <s v="Public"/>
    <x v="0"/>
    <s v="Gisagara"/>
    <s v="Mugombwa"/>
    <s v="NAKN_2"/>
    <s v="Gishara/Mukunguri Sub-Catchment"/>
    <n v="1419.12"/>
  </r>
  <r>
    <x v="3"/>
    <s v="MUKIZENGA"/>
    <s v="Public"/>
    <x v="0"/>
    <s v="Gisagara"/>
    <s v="Mugombwa"/>
    <s v="NAKN_2"/>
    <s v="Gishara/Mukunguri Sub-Catchment"/>
    <n v="473.04"/>
  </r>
  <r>
    <x v="3"/>
    <s v="RYARUTARE"/>
    <s v="Public"/>
    <x v="0"/>
    <s v="Gisagara"/>
    <s v="Mugombwa"/>
    <s v="NAKN_2"/>
    <s v="Gishara/Mukunguri Sub-Catchment"/>
    <n v="315.36"/>
  </r>
  <r>
    <x v="3"/>
    <s v="KWARUMWUMBA"/>
    <s v="Public"/>
    <x v="0"/>
    <s v="Gisagara"/>
    <s v="Mugombwa"/>
    <s v="NAKN_2"/>
    <s v="Gishara/Mukunguri Sub-Catchment"/>
    <n v="2365.2000000000003"/>
  </r>
  <r>
    <x v="3"/>
    <s v="BUTEMBO"/>
    <s v="Public"/>
    <x v="0"/>
    <s v="Gisagara"/>
    <s v="Mugombwa"/>
    <s v="NAKN_2"/>
    <s v="Gishara/Mukunguri Sub-Catchment"/>
    <n v="788.40000000000009"/>
  </r>
  <r>
    <x v="3"/>
    <s v="CYABAKARE"/>
    <s v="Public"/>
    <x v="0"/>
    <s v="Gisagara"/>
    <s v="Mukindo"/>
    <s v="NAKN_2"/>
    <s v="Gishara/Mukunguri Sub-Catchment"/>
    <n v="1576.8000000000002"/>
  </r>
  <r>
    <x v="3"/>
    <s v="MWIBUYE"/>
    <s v="Public"/>
    <x v="0"/>
    <s v="Gisagara"/>
    <s v="Mukindo"/>
    <s v="NAKN_2"/>
    <s v="Gishara/Mukunguri Sub-Catchment"/>
    <n v="1261.44"/>
  </r>
  <r>
    <x v="3"/>
    <s v="ZIRIMABAGABO"/>
    <s v="Public"/>
    <x v="0"/>
    <s v="Gisagara"/>
    <s v="Mukindo"/>
    <s v="NAKN_2"/>
    <s v="Gishara/Mukunguri Sub-Catchment"/>
    <n v="7884.0000000000009"/>
  </r>
  <r>
    <x v="3"/>
    <s v="URUVUGANGOMA"/>
    <s v="Public"/>
    <x v="0"/>
    <s v="Gisagara"/>
    <s v="Mukindo"/>
    <s v="NAKN_2"/>
    <s v="Gishara/Mukunguri Sub-Catchment"/>
    <n v="3153.6000000000004"/>
  </r>
  <r>
    <x v="3"/>
    <s v="RUBINGO"/>
    <s v="Public"/>
    <x v="0"/>
    <s v="Gisagara"/>
    <s v="Mukindo"/>
    <s v="NAKN_2"/>
    <s v="Gishara/Mukunguri Sub-Catchment"/>
    <n v="1419.12"/>
  </r>
  <r>
    <x v="3"/>
    <s v="NYAKAGANO"/>
    <s v="Public"/>
    <x v="0"/>
    <s v="Gisagara"/>
    <s v="Mukindo"/>
    <s v="NAKN_2"/>
    <s v="Gishara/Mukunguri Sub-Catchment"/>
    <n v="6149.5200000000013"/>
  </r>
  <r>
    <x v="3"/>
    <s v="GATEMERI"/>
    <s v="Public"/>
    <x v="0"/>
    <s v="Gisagara"/>
    <s v="Mukindo"/>
    <s v="NAKN_2"/>
    <s v="Gishara/Mukunguri Sub-Catchment"/>
    <n v="2680.56"/>
  </r>
  <r>
    <x v="3"/>
    <s v="BUHANGWA"/>
    <s v="Public"/>
    <x v="0"/>
    <s v="Gisagara"/>
    <s v="Mukindo"/>
    <s v="NAKN_2"/>
    <s v="Gishara/Mukunguri Sub-Catchment"/>
    <n v="5203.4400000000005"/>
  </r>
  <r>
    <x v="3"/>
    <s v="MUGIKUYO"/>
    <s v="Public"/>
    <x v="0"/>
    <s v="Gisagara"/>
    <s v="Mukindo"/>
    <s v="NAKN_2"/>
    <s v="Gishara/Mukunguri Sub-Catchment"/>
    <n v="630.72"/>
  </r>
  <r>
    <x v="3"/>
    <s v="KWASUZANA"/>
    <s v="Public"/>
    <x v="0"/>
    <s v="Gisagara"/>
    <s v="Mukindo"/>
    <s v="NAKN_2"/>
    <s v="Gishara/Mukunguri Sub-Catchment"/>
    <n v="1261.44"/>
  </r>
  <r>
    <x v="3"/>
    <s v="NYIRABAKANA"/>
    <s v="Public"/>
    <x v="0"/>
    <s v="Gisagara"/>
    <s v="Mukindo"/>
    <s v="NAKN_2"/>
    <s v="Gishara/Mukunguri Sub-Catchment"/>
    <n v="6937.920000000001"/>
  </r>
  <r>
    <x v="3"/>
    <s v="AKOBAHARAYE"/>
    <s v="Public"/>
    <x v="0"/>
    <s v="Gisagara"/>
    <s v="Mukindo"/>
    <s v="NAKN_2"/>
    <s v="Gishara/Mukunguri Sub-Catchment"/>
    <n v="2365.2000000000003"/>
  </r>
  <r>
    <x v="3"/>
    <s v="BIKOROKA"/>
    <s v="Public"/>
    <x v="0"/>
    <s v="Gisagara"/>
    <s v="Mukindo"/>
    <s v="NAKN_2"/>
    <s v="Gishara/Mukunguri Sub-Catchment"/>
    <n v="630.72"/>
  </r>
  <r>
    <x v="3"/>
    <s v="NYAKARIBA"/>
    <s v="Public"/>
    <x v="0"/>
    <s v="Gisagara"/>
    <s v="Mukindo"/>
    <s v="NAKN_2"/>
    <s v="Gishara/Mukunguri Sub-Catchment"/>
    <n v="2680.56"/>
  </r>
  <r>
    <x v="3"/>
    <s v="RWARYONGO"/>
    <s v="Public"/>
    <x v="0"/>
    <s v="Gisagara"/>
    <s v="Mukindo"/>
    <s v="NAKN_2"/>
    <s v="Gishara/Mukunguri Sub-Catchment"/>
    <n v="1576.8000000000002"/>
  </r>
  <r>
    <x v="3"/>
    <s v="NYAMUKO2"/>
    <s v="Public"/>
    <x v="0"/>
    <s v="Gisagara"/>
    <s v="Mukindo"/>
    <s v="NAKN_2"/>
    <s v="Gishara/Mukunguri Sub-Catchment"/>
    <n v="1419.12"/>
  </r>
  <r>
    <x v="3"/>
    <s v="RWASEBIKENYERI"/>
    <s v="Public"/>
    <x v="0"/>
    <s v="Gisagara"/>
    <s v="Mukindo"/>
    <s v="NAKN_2"/>
    <s v="Gishara/Mukunguri Sub-Catchment"/>
    <n v="2522.88"/>
  </r>
  <r>
    <x v="3"/>
    <s v="AKABAHARAYE"/>
    <s v="Public"/>
    <x v="0"/>
    <s v="Gisagara"/>
    <s v="Mukindo"/>
    <s v="NAKN_2"/>
    <s v="Gishara/Mukunguri Sub-Catchment"/>
    <n v="1734.4800000000002"/>
  </r>
  <r>
    <x v="3"/>
    <s v="MUTUMBA"/>
    <s v="Public"/>
    <x v="0"/>
    <s v="Gisagara"/>
    <s v="Mukindo"/>
    <s v="NAKN_2"/>
    <s v="Gishara/Mukunguri Sub-Catchment"/>
    <n v="473.04"/>
  </r>
  <r>
    <x v="3"/>
    <s v="NYAKARIBA"/>
    <s v="Public"/>
    <x v="0"/>
    <s v="Gisagara"/>
    <s v="Mukindo"/>
    <s v="NAKN_2"/>
    <s v="Gishara/Mukunguri Sub-Catchment"/>
    <n v="630.72"/>
  </r>
  <r>
    <x v="3"/>
    <s v="NYARUREBE"/>
    <s v="Public"/>
    <x v="0"/>
    <s v="Gisagara"/>
    <s v="Mukindo"/>
    <s v="NAKN_2"/>
    <s v="Gishara/Mukunguri Sub-Catchment"/>
    <n v="1261.44"/>
  </r>
  <r>
    <x v="3"/>
    <s v="RWINKUBA"/>
    <s v="Public"/>
    <x v="0"/>
    <s v="Gisagara"/>
    <s v="Mukindo"/>
    <s v="NAKN_2"/>
    <s v="Gishara/Mukunguri Sub-Catchment"/>
    <n v="5203.4400000000005"/>
  </r>
  <r>
    <x v="3"/>
    <s v="BUHORO"/>
    <s v="Public"/>
    <x v="0"/>
    <s v="Gisagara"/>
    <s v="Mukindo"/>
    <s v="NAKN_2"/>
    <s v="Gishara/Mukunguri Sub-Catchment"/>
    <n v="3311.2799999999997"/>
  </r>
  <r>
    <x v="3"/>
    <s v="NYAKARIBA"/>
    <s v="Public"/>
    <x v="0"/>
    <s v="Gisagara"/>
    <s v="Mukindo"/>
    <s v="NAKN_2"/>
    <s v="Gishara/Mukunguri Sub-Catchment"/>
    <n v="5203.4400000000005"/>
  </r>
  <r>
    <x v="3"/>
    <s v="NYIRABAGIRISHYA"/>
    <s v="Public"/>
    <x v="0"/>
    <s v="Gisagara"/>
    <s v="Mukindo"/>
    <s v="NAKN_2"/>
    <s v="Gishara/Mukunguri Sub-Catchment"/>
    <n v="1734.4800000000002"/>
  </r>
  <r>
    <x v="3"/>
    <s v="KANNYOGO"/>
    <s v="Public"/>
    <x v="0"/>
    <s v="Gisagara"/>
    <s v="Mukindo"/>
    <s v="NAKN_2"/>
    <s v="Gishara/Mukunguri Sub-Catchment"/>
    <n v="2207.5200000000004"/>
  </r>
  <r>
    <x v="3"/>
    <s v="MPAZA"/>
    <s v="Public"/>
    <x v="0"/>
    <s v="Gisagara"/>
    <s v="Mukindo"/>
    <s v="NAKN_2"/>
    <s v="Gishara/Mukunguri Sub-Catchment"/>
    <n v="946.08"/>
  </r>
  <r>
    <x v="3"/>
    <s v="NYEMBUGA"/>
    <s v="Public"/>
    <x v="0"/>
    <s v="Gisagara"/>
    <s v="Mukindo"/>
    <s v="NAKN_2"/>
    <s v="Gishara/Mukunguri Sub-Catchment"/>
    <n v="2207.5200000000004"/>
  </r>
  <r>
    <x v="3"/>
    <s v="Nyakariba"/>
    <s v="Public"/>
    <x v="0"/>
    <s v="Gisagara"/>
    <s v="Mukindo"/>
    <s v="NAKN_2"/>
    <s v="Gishara/Mukunguri Sub-Catchment"/>
    <n v="630.72"/>
  </r>
  <r>
    <x v="3"/>
    <s v="NDAMBE"/>
    <s v="Public"/>
    <x v="0"/>
    <s v="Gisagara"/>
    <s v="Mukindo"/>
    <s v="NAKN_2"/>
    <s v="Gishara/Mukunguri Sub-Catchment"/>
    <n v="788.40000000000009"/>
  </r>
  <r>
    <x v="3"/>
    <s v="RWABIKOMATI"/>
    <s v="Public"/>
    <x v="0"/>
    <s v="Gisagara"/>
    <s v="Mukindo"/>
    <s v="NAKN_2"/>
    <s v="Gishara/Mukunguri Sub-Catchment"/>
    <n v="1103.7600000000002"/>
  </r>
  <r>
    <x v="3"/>
    <s v="NKAMWA"/>
    <s v="Public"/>
    <x v="0"/>
    <s v="Gisagara"/>
    <s v="Mukindo"/>
    <s v="NAKN_2"/>
    <s v="Gishara/Mukunguri Sub-Catchment"/>
    <n v="2049.84"/>
  </r>
  <r>
    <x v="3"/>
    <s v="AGAHAMA"/>
    <s v="Public"/>
    <x v="0"/>
    <s v="Gisagara"/>
    <s v="Mukindo"/>
    <s v="NAKN_2"/>
    <s v="Gishara/Mukunguri Sub-Catchment"/>
    <n v="1734.4800000000002"/>
  </r>
  <r>
    <x v="3"/>
    <s v="KWASEYERI"/>
    <s v="Public"/>
    <x v="0"/>
    <s v="Gisagara"/>
    <s v="Mukindo"/>
    <s v="NAKN_2"/>
    <s v="Gishara/Mukunguri Sub-Catchment"/>
    <n v="2207.5200000000004"/>
  </r>
  <r>
    <x v="3"/>
    <s v="RWAJISHO"/>
    <s v="Public"/>
    <x v="0"/>
    <s v="Gisagara"/>
    <s v="Mukindo"/>
    <s v="NAKN_2"/>
    <s v="Gishara/Mukunguri Sub-Catchment"/>
    <n v="3784.32"/>
  </r>
  <r>
    <x v="3"/>
    <s v="MUCYANYA"/>
    <s v="Public"/>
    <x v="0"/>
    <s v="Gisagara"/>
    <s v="Mukindo"/>
    <s v="NAKN_2"/>
    <s v="Gishara/Mukunguri Sub-Catchment"/>
    <n v="630.72"/>
  </r>
  <r>
    <x v="3"/>
    <s v="MUGANO"/>
    <s v="Public"/>
    <x v="0"/>
    <s v="Gisagara"/>
    <s v="Mukindo"/>
    <s v="NAKN_2"/>
    <s v="Gishara/Mukunguri Sub-Catchment"/>
    <n v="157.68"/>
  </r>
  <r>
    <x v="3"/>
    <s v="IYOGANYONI"/>
    <s v="Public"/>
    <x v="0"/>
    <s v="Gisagara"/>
    <s v="Mukindo"/>
    <s v="NAKN_2"/>
    <s v="Gishara/Mukunguri Sub-Catchment"/>
    <n v="788.40000000000009"/>
  </r>
  <r>
    <x v="3"/>
    <s v="AKARERA"/>
    <s v="Public"/>
    <x v="0"/>
    <s v="Gisagara"/>
    <s v="Mukindo"/>
    <s v="NAKN_2"/>
    <s v="Gishara/Mukunguri Sub-Catchment"/>
    <n v="157.68"/>
  </r>
  <r>
    <x v="3"/>
    <s v="KARERE"/>
    <s v="Public"/>
    <x v="0"/>
    <s v="Gisagara"/>
    <s v="Mukindo"/>
    <s v="NAKN_2"/>
    <s v="Gishara/Mukunguri Sub-Catchment"/>
    <n v="473.04"/>
  </r>
  <r>
    <x v="3"/>
    <s v="MUHANGA"/>
    <s v="Public"/>
    <x v="0"/>
    <s v="Gisagara"/>
    <s v="Mukindo"/>
    <s v="NAKN_2"/>
    <s v="Gishara/Mukunguri Sub-Catchment"/>
    <n v="4415.0400000000009"/>
  </r>
  <r>
    <x v="3"/>
    <s v="GASASA"/>
    <s v="Public"/>
    <x v="0"/>
    <s v="Gisagara"/>
    <s v="Mukindo"/>
    <s v="NAKN_2"/>
    <s v="Gishara/Mukunguri Sub-Catchment"/>
    <n v="5045.76"/>
  </r>
  <r>
    <x v="3"/>
    <s v="NYAMUKO"/>
    <s v="Public"/>
    <x v="0"/>
    <s v="Gisagara"/>
    <s v="Mukindo"/>
    <s v="NAKN_2"/>
    <s v="Gishara/Mukunguri Sub-Catchment"/>
    <n v="1103.7600000000002"/>
  </r>
  <r>
    <x v="3"/>
    <s v="GATARE"/>
    <s v="Public"/>
    <x v="0"/>
    <s v="Gisagara"/>
    <s v="Mukindo"/>
    <s v="NAKN_2"/>
    <s v="Gishara/Mukunguri Sub-Catchment"/>
    <n v="3311.2799999999997"/>
  </r>
  <r>
    <x v="3"/>
    <s v="BINYONI"/>
    <s v="Public"/>
    <x v="0"/>
    <s v="Gisagara"/>
    <s v="Mukindo"/>
    <s v="NAKN_2"/>
    <s v="Gishara/Mukunguri Sub-Catchment"/>
    <n v="3153.6000000000004"/>
  </r>
  <r>
    <x v="3"/>
    <s v="IRYIMANA"/>
    <s v="Public"/>
    <x v="0"/>
    <s v="Gisagara"/>
    <s v="Mukindo"/>
    <s v="NAKN_2"/>
    <s v="Gishara/Mukunguri Sub-Catchment"/>
    <n v="473.04"/>
  </r>
  <r>
    <x v="3"/>
    <s v="NANGAMAHANE"/>
    <s v="Public"/>
    <x v="0"/>
    <s v="Gisagara"/>
    <s v="Mukindo"/>
    <s v="NAKN_2"/>
    <s v="Gishara/Mukunguri Sub-Catchment"/>
    <n v="630.72"/>
  </r>
  <r>
    <x v="3"/>
    <s v="KAGONGO"/>
    <s v="Public"/>
    <x v="0"/>
    <s v="Gisagara"/>
    <s v="Mukindo"/>
    <s v="NAKN_2"/>
    <s v="Gishara/Mukunguri Sub-Catchment"/>
    <n v="1734.4800000000002"/>
  </r>
  <r>
    <x v="3"/>
    <s v="KABINGO"/>
    <s v="Public"/>
    <x v="0"/>
    <s v="Gisagara"/>
    <s v="Mukindo"/>
    <s v="NAKN_2"/>
    <s v="Gishara/Mukunguri Sub-Catchment"/>
    <n v="8830.0800000000017"/>
  </r>
  <r>
    <x v="3"/>
    <s v="BUJERI"/>
    <s v="Public"/>
    <x v="0"/>
    <s v="Gisagara"/>
    <s v="Mukindo"/>
    <s v="NAKN_2"/>
    <s v="Gishara/Mukunguri Sub-Catchment"/>
    <n v="8830.0800000000017"/>
  </r>
  <r>
    <x v="3"/>
    <s v="MUGONERO"/>
    <s v="Public"/>
    <x v="0"/>
    <s v="Bugesera"/>
    <s v="Musenyi"/>
    <s v="NAKN_2"/>
    <s v="Gishara/Mukunguri Sub-Catchment"/>
    <n v="315.36"/>
  </r>
  <r>
    <x v="3"/>
    <s v="KANYINYA"/>
    <s v="Public"/>
    <x v="0"/>
    <s v="Bugesera"/>
    <s v="Musenyi"/>
    <s v="NAKN_2"/>
    <s v="Gishara/Mukunguri Sub-Catchment"/>
    <n v="4730.4000000000005"/>
  </r>
  <r>
    <x v="3"/>
    <s v="NYAKAGEZI"/>
    <s v="Public"/>
    <x v="0"/>
    <s v="Gisagara"/>
    <s v="Musha"/>
    <s v="NAKN_2"/>
    <s v="Gishara/Mukunguri Sub-Catchment"/>
    <n v="25228.800000000003"/>
  </r>
  <r>
    <x v="3"/>
    <s v="BYIMANA"/>
    <s v="Public"/>
    <x v="0"/>
    <s v="Gisagara"/>
    <s v="Musha"/>
    <s v="NAKN_2"/>
    <s v="Gishara/Mukunguri Sub-Catchment"/>
    <n v="1576.8000000000002"/>
  </r>
  <r>
    <x v="3"/>
    <s v="GASHIKIRI"/>
    <s v="Public"/>
    <x v="0"/>
    <s v="Gisagara"/>
    <s v="Musha"/>
    <s v="NAKN_2"/>
    <s v="Gishara/Mukunguri Sub-Catchment"/>
    <n v="4257.3600000000006"/>
  </r>
  <r>
    <x v="3"/>
    <s v="GATOKI"/>
    <s v="Public"/>
    <x v="0"/>
    <s v="Gisagara"/>
    <s v="Musha"/>
    <s v="NAKN_2"/>
    <s v="Gishara/Mukunguri Sub-Catchment"/>
    <n v="1576.8000000000002"/>
  </r>
  <r>
    <x v="3"/>
    <s v="NYAKALIBA"/>
    <s v="Public"/>
    <x v="0"/>
    <s v="Gisagara"/>
    <s v="Musha"/>
    <s v="NAKN_2"/>
    <s v="Gishara/Mukunguri Sub-Catchment"/>
    <n v="3153.6000000000004"/>
  </r>
  <r>
    <x v="3"/>
    <s v="GAHAMA"/>
    <s v="Public"/>
    <x v="0"/>
    <s v="Gisagara"/>
    <s v="Musha"/>
    <s v="NAKN_2"/>
    <s v="Gishara/Mukunguri Sub-Catchment"/>
    <n v="10722.24"/>
  </r>
  <r>
    <x v="3"/>
    <s v="NYUNDO"/>
    <s v="Public"/>
    <x v="0"/>
    <s v="Nyanza"/>
    <s v="Muyira"/>
    <s v="NAKN_2"/>
    <s v="Gishara/Mukunguri Sub-Catchment"/>
    <n v="551.88000000000011"/>
  </r>
  <r>
    <x v="3"/>
    <s v="NYAGATOVU"/>
    <s v="Public"/>
    <x v="0"/>
    <s v="Nyanza"/>
    <s v="Muyira"/>
    <s v="NAKN_2"/>
    <s v="Gishara/Mukunguri Sub-Catchment"/>
    <n v="662.2560000000002"/>
  </r>
  <r>
    <x v="3"/>
    <s v="GAKOMEYE"/>
    <s v="Public"/>
    <x v="0"/>
    <s v="Nyanza"/>
    <s v="Muyira"/>
    <s v="NAKN_2"/>
    <s v="Gishara/Mukunguri Sub-Catchment"/>
    <n v="1040.6880000000001"/>
  </r>
  <r>
    <x v="3"/>
    <s v="NYABUGUGU"/>
    <s v="Public"/>
    <x v="0"/>
    <s v="Nyanza"/>
    <s v="Muyira"/>
    <s v="NAKN_2"/>
    <s v="Gishara/Mukunguri Sub-Catchment"/>
    <n v="2617.4880000000003"/>
  </r>
  <r>
    <x v="3"/>
    <s v="MUKABWIRWA"/>
    <s v="Public"/>
    <x v="0"/>
    <s v="Nyanza"/>
    <s v="Muyira"/>
    <s v="NAKN_2"/>
    <s v="Gishara/Mukunguri Sub-Catchment"/>
    <n v="977.61599999999999"/>
  </r>
  <r>
    <x v="3"/>
    <s v="KANYINYA"/>
    <s v="Public"/>
    <x v="0"/>
    <s v="Nyanza"/>
    <s v="Muyira"/>
    <s v="NAKN_2"/>
    <s v="Gishara/Mukunguri Sub-Catchment"/>
    <n v="567.64800000000002"/>
  </r>
  <r>
    <x v="3"/>
    <s v="GASENYI"/>
    <s v="Public"/>
    <x v="0"/>
    <s v="Nyanza"/>
    <s v="Muyira"/>
    <s v="NAKN_2"/>
    <s v="Gishara/Mukunguri Sub-Catchment"/>
    <n v="1971.0000000000002"/>
  </r>
  <r>
    <x v="3"/>
    <s v="KADUHA"/>
    <s v="Public"/>
    <x v="0"/>
    <s v="Nyanza"/>
    <s v="Muyira"/>
    <s v="NAKN_2"/>
    <s v="Gishara/Mukunguri Sub-Catchment"/>
    <n v="646.48800000000006"/>
  </r>
  <r>
    <x v="3"/>
    <s v="DELENKO"/>
    <s v="Public"/>
    <x v="0"/>
    <s v="Nyanza"/>
    <s v="Muyira"/>
    <s v="NAKN_2"/>
    <s v="Gishara/Mukunguri Sub-Catchment"/>
    <n v="1434.8879999999999"/>
  </r>
  <r>
    <x v="3"/>
    <s v="RWABIGATI"/>
    <s v="Public"/>
    <x v="0"/>
    <s v="Nyanza"/>
    <s v="Muyira"/>
    <s v="NAKN_2"/>
    <s v="Gishara/Mukunguri Sub-Catchment"/>
    <n v="1576.8000000000002"/>
  </r>
  <r>
    <x v="3"/>
    <s v="BIDENGE"/>
    <s v="Public"/>
    <x v="0"/>
    <s v="Nyanza"/>
    <s v="Muyira"/>
    <s v="NAKN_2"/>
    <s v="Gishara/Mukunguri Sub-Catchment"/>
    <n v="1182.6000000000001"/>
  </r>
  <r>
    <x v="3"/>
    <s v="GATEKE"/>
    <s v="Public"/>
    <x v="0"/>
    <s v="Nyanza"/>
    <s v="Muyira"/>
    <s v="NAKN_2"/>
    <s v="Gishara/Mukunguri Sub-Catchment"/>
    <n v="1734.4800000000002"/>
  </r>
  <r>
    <x v="3"/>
    <s v="MVURIYE"/>
    <s v="Public"/>
    <x v="0"/>
    <s v="Nyanza"/>
    <s v="Muyira"/>
    <s v="NAKN_2"/>
    <s v="Gishara/Mukunguri Sub-Catchment"/>
    <n v="1119.5279999999998"/>
  </r>
  <r>
    <x v="3"/>
    <s v="KINYANA"/>
    <s v="Public"/>
    <x v="0"/>
    <s v="Nyanza"/>
    <s v="Muyira"/>
    <s v="NAKN_2"/>
    <s v="Gishara/Mukunguri Sub-Catchment"/>
    <n v="1876.3920000000003"/>
  </r>
  <r>
    <x v="3"/>
    <s v="KINYONI"/>
    <s v="Public"/>
    <x v="0"/>
    <s v="Nyanza"/>
    <s v="Muyira"/>
    <s v="NAKN_2"/>
    <s v="Gishara/Mukunguri Sub-Catchment"/>
    <n v="126.14400000000001"/>
  </r>
  <r>
    <x v="3"/>
    <s v="CYAHAFI"/>
    <s v="Public"/>
    <x v="0"/>
    <s v="Nyanza"/>
    <s v="Muyira"/>
    <s v="NAKN_2"/>
    <s v="Gishara/Mukunguri Sub-Catchment"/>
    <n v="2617.4880000000003"/>
  </r>
  <r>
    <x v="3"/>
    <s v="MUNOVE"/>
    <s v="Public"/>
    <x v="0"/>
    <s v="Nyanza"/>
    <s v="Muyira"/>
    <s v="NAKN_2"/>
    <s v="Gishara/Mukunguri Sub-Catchment"/>
    <n v="3579.3359999999998"/>
  </r>
  <r>
    <x v="3"/>
    <s v="SENUNGURI"/>
    <s v="Public"/>
    <x v="0"/>
    <s v="Nyanza"/>
    <s v="Muyira"/>
    <s v="NAKN_2"/>
    <s v="Gishara/Mukunguri Sub-Catchment"/>
    <n v="1734.4800000000002"/>
  </r>
  <r>
    <x v="3"/>
    <s v="KABANIYE"/>
    <s v="Public"/>
    <x v="0"/>
    <s v="Nyanza"/>
    <s v="Muyira"/>
    <s v="NAKN_2"/>
    <s v="Gishara/Mukunguri Sub-Catchment"/>
    <n v="331.1280000000001"/>
  </r>
  <r>
    <x v="3"/>
    <s v="NYOMBYI"/>
    <s v="Public"/>
    <x v="0"/>
    <s v="Nyanza"/>
    <s v="Muyira"/>
    <s v="NAKN_2"/>
    <s v="Gishara/Mukunguri Sub-Catchment"/>
    <n v="488.80799999999999"/>
  </r>
  <r>
    <x v="3"/>
    <s v="KIGAGA"/>
    <s v="Public"/>
    <x v="0"/>
    <s v="Nyanza"/>
    <s v="Muyira"/>
    <s v="NAKN_2"/>
    <s v="Gishara/Mukunguri Sub-Catchment"/>
    <n v="662.2560000000002"/>
  </r>
  <r>
    <x v="3"/>
    <s v="NYABUBARE"/>
    <s v="Public"/>
    <x v="0"/>
    <s v="Nyanza"/>
    <s v="Muyira"/>
    <s v="NAKN_2"/>
    <s v="Gishara/Mukunguri Sub-Catchment"/>
    <n v="1182.6000000000001"/>
  </r>
  <r>
    <x v="3"/>
    <s v="KABINGO"/>
    <s v="Public"/>
    <x v="0"/>
    <s v="Nyanza"/>
    <s v="Muyira"/>
    <s v="NAKN_2"/>
    <s v="Gishara/Mukunguri Sub-Catchment"/>
    <n v="346.89599999999996"/>
  </r>
  <r>
    <x v="3"/>
    <s v="GATEKE"/>
    <s v="Public"/>
    <x v="0"/>
    <s v="Nyanza"/>
    <s v="Muyira"/>
    <s v="NAKN_2"/>
    <s v="Gishara/Mukunguri Sub-Catchment"/>
    <n v="756.86399999999992"/>
  </r>
  <r>
    <x v="3"/>
    <s v="NYAKARIBA"/>
    <s v="Public"/>
    <x v="0"/>
    <s v="Nyanza"/>
    <s v="Muyira"/>
    <s v="NAKN_2"/>
    <s v="Gishara/Mukunguri Sub-Catchment"/>
    <n v="646.48800000000006"/>
  </r>
  <r>
    <x v="3"/>
    <s v="GATARE"/>
    <s v="Public"/>
    <x v="0"/>
    <s v="Nyanza"/>
    <s v="Muyira"/>
    <s v="NAKN_2"/>
    <s v="Gishara/Mukunguri Sub-Catchment"/>
    <n v="204.98400000000001"/>
  </r>
  <r>
    <x v="3"/>
    <s v="KWAFUNDI"/>
    <s v="Public"/>
    <x v="0"/>
    <s v="Nyanza"/>
    <s v="Muyira"/>
    <s v="NAKN_2"/>
    <s v="Gishara/Mukunguri Sub-Catchment"/>
    <n v="4115.4480000000003"/>
  </r>
  <r>
    <x v="3"/>
    <s v="KIGARAMA"/>
    <s v="Public"/>
    <x v="0"/>
    <s v="Gisagara"/>
    <s v="Ndora"/>
    <s v="NAKN_2"/>
    <s v="Gishara/Mukunguri Sub-Catchment"/>
    <n v="315.36"/>
  </r>
  <r>
    <x v="3"/>
    <s v="GATOVU"/>
    <s v="Public"/>
    <x v="0"/>
    <s v="Gisagara"/>
    <s v="Ndora"/>
    <s v="NAKN_2"/>
    <s v="Gishara/Mukunguri Sub-Catchment"/>
    <n v="1103.7600000000002"/>
  </r>
  <r>
    <x v="3"/>
    <s v="URUBILIZI"/>
    <s v="Public"/>
    <x v="0"/>
    <s v="Gisagara"/>
    <s v="Ndora"/>
    <s v="NAKN_2"/>
    <s v="Gishara/Mukunguri Sub-Catchment"/>
    <n v="5203.4400000000005"/>
  </r>
  <r>
    <x v="3"/>
    <s v="SUBUKINIRO"/>
    <s v="Public"/>
    <x v="0"/>
    <s v="Gisagara"/>
    <s v="Ndora"/>
    <s v="NAKN_2"/>
    <s v="Gishara/Mukunguri Sub-Catchment"/>
    <n v="1576.8000000000002"/>
  </r>
  <r>
    <x v="3"/>
    <s v="KAZABAGARURA"/>
    <s v="Public"/>
    <x v="0"/>
    <s v="Gisagara"/>
    <s v="Ndora"/>
    <s v="NAKN_2"/>
    <s v="Gishara/Mukunguri Sub-Catchment"/>
    <n v="946.08"/>
  </r>
  <r>
    <x v="3"/>
    <s v="BYIMANA"/>
    <s v="Public"/>
    <x v="0"/>
    <s v="Gisagara"/>
    <s v="Ndora"/>
    <s v="NAKN_2"/>
    <s v="Gishara/Mukunguri Sub-Catchment"/>
    <n v="2522.88"/>
  </r>
  <r>
    <x v="3"/>
    <s v="NYAKARIBA"/>
    <s v="Public"/>
    <x v="0"/>
    <s v="Gisagara"/>
    <s v="Ndora"/>
    <s v="NAKN_2"/>
    <s v="Gishara/Mukunguri Sub-Catchment"/>
    <n v="3153.6000000000004"/>
  </r>
  <r>
    <x v="3"/>
    <s v="LYABUKORA"/>
    <s v="Public"/>
    <x v="0"/>
    <s v="Gisagara"/>
    <s v="Ndora"/>
    <s v="NAKN_2"/>
    <s v="Gishara/Mukunguri Sub-Catchment"/>
    <n v="1576.8000000000002"/>
  </r>
  <r>
    <x v="3"/>
    <s v="NTERESI"/>
    <s v="Public"/>
    <x v="0"/>
    <s v="Gisagara"/>
    <s v="Ndora"/>
    <s v="NAKN_2"/>
    <s v="Gishara/Mukunguri Sub-Catchment"/>
    <n v="5203.4400000000005"/>
  </r>
  <r>
    <x v="3"/>
    <s v="RUBINGO"/>
    <s v="Public"/>
    <x v="0"/>
    <s v="Gisagara"/>
    <s v="Ndora"/>
    <s v="NAKN_2"/>
    <s v="Gishara/Mukunguri Sub-Catchment"/>
    <n v="1576.8000000000002"/>
  </r>
  <r>
    <x v="3"/>
    <s v="KABINGO"/>
    <s v="Public"/>
    <x v="0"/>
    <s v="Gisagara"/>
    <s v="Ndora"/>
    <s v="NAKN_2"/>
    <s v="Gishara/Mukunguri Sub-Catchment"/>
    <n v="5203.4400000000005"/>
  </r>
  <r>
    <x v="3"/>
    <s v="BYIMANA"/>
    <s v="Public"/>
    <x v="0"/>
    <s v="Gisagara"/>
    <s v="Ndora"/>
    <s v="NAKN_2"/>
    <s v="Gishara/Mukunguri Sub-Catchment"/>
    <n v="3942.0000000000005"/>
  </r>
  <r>
    <x v="3"/>
    <s v="AKABILRA"/>
    <s v="Public"/>
    <x v="0"/>
    <s v="Gisagara"/>
    <s v="Ndora"/>
    <s v="NAKN_2"/>
    <s v="Gishara/Mukunguri Sub-Catchment"/>
    <n v="15768.000000000002"/>
  </r>
  <r>
    <x v="3"/>
    <s v="KASENTELI"/>
    <s v="Public"/>
    <x v="0"/>
    <s v="Gisagara"/>
    <s v="Ndora"/>
    <s v="NAKN_2"/>
    <s v="Gishara/Mukunguri Sub-Catchment"/>
    <n v="3942.0000000000005"/>
  </r>
  <r>
    <x v="3"/>
    <s v="RWASONGA"/>
    <s v="Public"/>
    <x v="0"/>
    <s v="Gisagara"/>
    <s v="Ndora"/>
    <s v="NAKN_2"/>
    <s v="Gishara/Mukunguri Sub-Catchment"/>
    <n v="1576.8000000000002"/>
  </r>
  <r>
    <x v="3"/>
    <s v="KABINGO"/>
    <s v="Public"/>
    <x v="0"/>
    <s v="Gisagara"/>
    <s v="Ndora"/>
    <s v="NAKN_2"/>
    <s v="Gishara/Mukunguri Sub-Catchment"/>
    <n v="3153.6000000000004"/>
  </r>
  <r>
    <x v="3"/>
    <s v="KAGINA"/>
    <s v="Public"/>
    <x v="0"/>
    <s v="Gisagara"/>
    <s v="Ndora"/>
    <s v="NAKN_2"/>
    <s v="Gishara/Mukunguri Sub-Catchment"/>
    <n v="2522.88"/>
  </r>
  <r>
    <x v="3"/>
    <s v="AGAPYORO"/>
    <s v="Public"/>
    <x v="0"/>
    <s v="Gisagara"/>
    <s v="Ndora"/>
    <s v="NAKN_2"/>
    <s v="Gishara/Mukunguri Sub-Catchment"/>
    <n v="5203.4400000000005"/>
  </r>
  <r>
    <x v="3"/>
    <s v="RWABIKOKI"/>
    <s v="Public"/>
    <x v="0"/>
    <s v="Gisagara"/>
    <s v="Ndora"/>
    <s v="NAKN_2"/>
    <s v="Gishara/Mukunguri Sub-Catchment"/>
    <n v="1734.4800000000002"/>
  </r>
  <r>
    <x v="3"/>
    <s v="NYAMIGONGO"/>
    <s v="Public"/>
    <x v="0"/>
    <s v="Gisagara"/>
    <s v="Ndora"/>
    <s v="NAKN_2"/>
    <s v="Gishara/Mukunguri Sub-Catchment"/>
    <n v="7884.0000000000009"/>
  </r>
  <r>
    <x v="3"/>
    <s v="AGATARE"/>
    <s v="Public"/>
    <x v="0"/>
    <s v="Gisagara"/>
    <s v="Ndora"/>
    <s v="NAKN_2"/>
    <s v="Gishara/Mukunguri Sub-Catchment"/>
    <n v="1576.8000000000002"/>
  </r>
  <r>
    <x v="3"/>
    <s v="RWABANANGA"/>
    <s v="Public"/>
    <x v="0"/>
    <s v="Gisagara"/>
    <s v="Ndora"/>
    <s v="NAKN_2"/>
    <s v="Gishara/Mukunguri Sub-Catchment"/>
    <n v="1576.8000000000002"/>
  </r>
  <r>
    <x v="3"/>
    <s v="GAKELI"/>
    <s v="Public"/>
    <x v="0"/>
    <s v="Gisagara"/>
    <s v="Ndora"/>
    <s v="NAKN_2"/>
    <s v="Gishara/Mukunguri Sub-Catchment"/>
    <n v="1103.7600000000002"/>
  </r>
  <r>
    <x v="3"/>
    <s v="GASEKE"/>
    <s v="Public"/>
    <x v="0"/>
    <s v="Gisagara"/>
    <s v="Ndora"/>
    <s v="NAKN_2"/>
    <s v="Gishara/Mukunguri Sub-Catchment"/>
    <n v="2522.88"/>
  </r>
  <r>
    <x v="3"/>
    <s v="RWABIGIMBO"/>
    <s v="Public"/>
    <x v="0"/>
    <s v="Gisagara"/>
    <s v="Ndora"/>
    <s v="NAKN_2"/>
    <s v="Gishara/Mukunguri Sub-Catchment"/>
    <n v="2207.5200000000004"/>
  </r>
  <r>
    <x v="3"/>
    <s v="NYAKIBYEYI"/>
    <s v="Public"/>
    <x v="0"/>
    <s v="Gisagara"/>
    <s v="Ndora"/>
    <s v="NAKN_2"/>
    <s v="Gishara/Mukunguri Sub-Catchment"/>
    <n v="3153.6000000000004"/>
  </r>
  <r>
    <x v="3"/>
    <s v="RYERU"/>
    <s v="Public"/>
    <x v="0"/>
    <s v="Gisagara"/>
    <s v="Ndora"/>
    <s v="NAKN_2"/>
    <s v="Gishara/Mukunguri Sub-Catchment"/>
    <n v="4730.4000000000005"/>
  </r>
  <r>
    <x v="3"/>
    <s v="KANEKE"/>
    <s v="Public"/>
    <x v="0"/>
    <s v="Gisagara"/>
    <s v="Ndora"/>
    <s v="NAKN_2"/>
    <s v="Gishara/Mukunguri Sub-Catchment"/>
    <n v="5203.4400000000005"/>
  </r>
  <r>
    <x v="3"/>
    <s v="NYAMIGONGO"/>
    <s v="Public"/>
    <x v="0"/>
    <s v="Gisagara"/>
    <s v="Ndora"/>
    <s v="NAKN_2"/>
    <s v="Gishara/Mukunguri Sub-Catchment"/>
    <n v="1576.8000000000002"/>
  </r>
  <r>
    <x v="3"/>
    <s v="GATARE"/>
    <s v="Public"/>
    <x v="0"/>
    <s v="Gisagara"/>
    <s v="Ndora"/>
    <s v="NAKN_2"/>
    <s v="Gishara/Mukunguri Sub-Catchment"/>
    <n v="3153.6000000000004"/>
  </r>
  <r>
    <x v="3"/>
    <s v="KIBAHIMA"/>
    <s v="Public"/>
    <x v="0"/>
    <s v="Gisagara"/>
    <s v="Ndora"/>
    <s v="NAKN_2"/>
    <s v="Gishara/Mukunguri Sub-Catchment"/>
    <n v="157.68"/>
  </r>
  <r>
    <x v="3"/>
    <s v="KARAVUBUYE"/>
    <s v="Public"/>
    <x v="0"/>
    <s v="Gisagara"/>
    <s v="Ndora"/>
    <s v="NAKN_2"/>
    <s v="Gishara/Mukunguri Sub-Catchment"/>
    <n v="3942.0000000000005"/>
  </r>
  <r>
    <x v="3"/>
    <s v="NYABITARE"/>
    <s v="Public"/>
    <x v="0"/>
    <s v="Gisagara"/>
    <s v="Ndora"/>
    <s v="NAKN_2"/>
    <s v="Gishara/Mukunguri Sub-Catchment"/>
    <n v="7884.0000000000009"/>
  </r>
  <r>
    <x v="3"/>
    <s v="LYABIRASA"/>
    <s v="Public"/>
    <x v="0"/>
    <s v="Gisagara"/>
    <s v="Ndora"/>
    <s v="NAKN_2"/>
    <s v="Gishara/Mukunguri Sub-Catchment"/>
    <n v="157.68"/>
  </r>
  <r>
    <x v="3"/>
    <s v="RUGARA"/>
    <s v="Public"/>
    <x v="0"/>
    <s v="Gisagara"/>
    <s v="Ndora"/>
    <s v="NAKN_2"/>
    <s v="Gishara/Mukunguri Sub-Catchment"/>
    <n v="1419.12"/>
  </r>
  <r>
    <x v="3"/>
    <s v="TEGA"/>
    <s v="Public"/>
    <x v="0"/>
    <s v="Gisagara"/>
    <s v="Ndora"/>
    <s v="NAKN_2"/>
    <s v="Gishara/Mukunguri Sub-Catchment"/>
    <n v="15768.000000000002"/>
  </r>
  <r>
    <x v="3"/>
    <s v="NYABURIRI"/>
    <s v="Public"/>
    <x v="0"/>
    <s v="Gisagara"/>
    <s v="Ndora"/>
    <s v="NAKN_2"/>
    <s v="Gishara/Mukunguri Sub-Catchment"/>
    <n v="7884.0000000000009"/>
  </r>
  <r>
    <x v="3"/>
    <s v="NYABITARE"/>
    <s v="Public"/>
    <x v="0"/>
    <s v="Gisagara"/>
    <s v="Ndora"/>
    <s v="NAKN_2"/>
    <s v="Gishara/Mukunguri Sub-Catchment"/>
    <n v="1576.8000000000002"/>
  </r>
  <r>
    <x v="3"/>
    <s v="RWAGAHABANYI"/>
    <s v="Public"/>
    <x v="0"/>
    <s v="Gisagara"/>
    <s v="Ndora"/>
    <s v="NAKN_2"/>
    <s v="Gishara/Mukunguri Sub-Catchment"/>
    <n v="1734.4800000000002"/>
  </r>
  <r>
    <x v="3"/>
    <s v="RUMANURA"/>
    <s v="Public"/>
    <x v="0"/>
    <s v="Gisagara"/>
    <s v="Ndora"/>
    <s v="NAKN_2"/>
    <s v="Gishara/Mukunguri Sub-Catchment"/>
    <n v="315.36"/>
  </r>
  <r>
    <x v="3"/>
    <s v="SUBUKINIRO"/>
    <s v="Public"/>
    <x v="0"/>
    <s v="Gisagara"/>
    <s v="Ndora"/>
    <s v="NAKN_2"/>
    <s v="Gishara/Mukunguri Sub-Catchment"/>
    <n v="1576.8000000000002"/>
  </r>
  <r>
    <x v="3"/>
    <s v="NYAKAGENZI"/>
    <s v="Public"/>
    <x v="0"/>
    <s v="Gisagara"/>
    <s v="Ndora"/>
    <s v="NAKN_2"/>
    <s v="Gishara/Mukunguri Sub-Catchment"/>
    <n v="1576.8000000000002"/>
  </r>
  <r>
    <x v="3"/>
    <s v="SUBUKINIRO"/>
    <s v="Public"/>
    <x v="0"/>
    <s v="Gisagara"/>
    <s v="Ndora"/>
    <s v="NAKN_2"/>
    <s v="Gishara/Mukunguri Sub-Catchment"/>
    <n v="788.40000000000009"/>
  </r>
  <r>
    <x v="3"/>
    <s v="KAYENZI"/>
    <s v="Public"/>
    <x v="0"/>
    <s v="Gisagara"/>
    <s v="Ndora"/>
    <s v="NAKN_2"/>
    <s v="Gishara/Mukunguri Sub-Catchment"/>
    <n v="3942.0000000000005"/>
  </r>
  <r>
    <x v="3"/>
    <s v="CYABITAMA"/>
    <s v="Public"/>
    <x v="0"/>
    <s v="Gisagara"/>
    <s v="Ndora"/>
    <s v="NAKN_2"/>
    <s v="Gishara/Mukunguri Sub-Catchment"/>
    <n v="473.04"/>
  </r>
  <r>
    <x v="3"/>
    <s v="AGAKONO"/>
    <s v="Public"/>
    <x v="0"/>
    <s v="Gisagara"/>
    <s v="Ndora"/>
    <s v="NAKN_2"/>
    <s v="Gishara/Mukunguri Sub-Catchment"/>
    <n v="7884.0000000000009"/>
  </r>
  <r>
    <x v="3"/>
    <s v="RWANDASHIMYE"/>
    <s v="Public"/>
    <x v="0"/>
    <s v="Gisagara"/>
    <s v="Ndora"/>
    <s v="NAKN_2"/>
    <s v="Gishara/Mukunguri Sub-Catchment"/>
    <n v="473.04"/>
  </r>
  <r>
    <x v="3"/>
    <s v="KANYINYA"/>
    <s v="Public"/>
    <x v="0"/>
    <s v="Gisagara"/>
    <s v="Ndora"/>
    <s v="NAKN_2"/>
    <s v="Gishara/Mukunguri Sub-Catchment"/>
    <n v="1261.44"/>
  </r>
  <r>
    <x v="3"/>
    <s v="KAMANGA"/>
    <s v="Public"/>
    <x v="0"/>
    <s v="Gisagara"/>
    <s v="Ndora"/>
    <s v="NAKN_2"/>
    <s v="Gishara/Mukunguri Sub-Catchment"/>
    <n v="15768.000000000002"/>
  </r>
  <r>
    <x v="3"/>
    <s v="AKADUMBURWA"/>
    <s v="Public"/>
    <x v="0"/>
    <s v="Gisagara"/>
    <s v="Ndora"/>
    <s v="NAKN_2"/>
    <s v="Gishara/Mukunguri Sub-Catchment"/>
    <n v="1419.12"/>
  </r>
  <r>
    <x v="3"/>
    <s v="KABUGONDO"/>
    <s v="Public"/>
    <x v="0"/>
    <s v="Gisagara"/>
    <s v="Ndora"/>
    <s v="NAKN_2"/>
    <s v="Gishara/Mukunguri Sub-Catchment"/>
    <n v="1576.8000000000002"/>
  </r>
  <r>
    <x v="3"/>
    <s v="NYAKAGEZI"/>
    <s v="Public"/>
    <x v="0"/>
    <s v="Gisagara"/>
    <s v="Ndora"/>
    <s v="NAKN_2"/>
    <s v="Gishara/Mukunguri Sub-Catchment"/>
    <n v="7884.0000000000009"/>
  </r>
  <r>
    <x v="3"/>
    <s v="NYIRAMAKABUZA"/>
    <s v="Public"/>
    <x v="0"/>
    <s v="Gisagara"/>
    <s v="Ndora"/>
    <s v="NAKN_2"/>
    <s v="Gishara/Mukunguri Sub-Catchment"/>
    <n v="3942.0000000000005"/>
  </r>
  <r>
    <x v="3"/>
    <s v="NYAGATOBE"/>
    <s v="Public"/>
    <x v="0"/>
    <s v="Gisagara"/>
    <s v="Ndora"/>
    <s v="NAKN_2"/>
    <s v="Gishara/Mukunguri Sub-Catchment"/>
    <n v="1892.16"/>
  </r>
  <r>
    <x v="3"/>
    <s v="CYAHAFI"/>
    <s v="Public"/>
    <x v="0"/>
    <s v="Gisagara"/>
    <s v="Ndora"/>
    <s v="NAKN_2"/>
    <s v="Gishara/Mukunguri Sub-Catchment"/>
    <n v="3153.6000000000004"/>
  </r>
  <r>
    <x v="3"/>
    <s v="KAGIMBU 2"/>
    <s v="Public"/>
    <x v="0"/>
    <s v="Ruhango"/>
    <s v="Ntongwe"/>
    <s v="NAKN_2"/>
    <s v="Gishara/Mukunguri Sub-Catchment"/>
    <n v="630.72"/>
  </r>
  <r>
    <x v="3"/>
    <s v="KABINGO"/>
    <s v="Public"/>
    <x v="0"/>
    <s v="Ruhango"/>
    <s v="Ntongwe"/>
    <s v="NAKN_2"/>
    <s v="Gishara/Mukunguri Sub-Catchment"/>
    <n v="4746.1679999999997"/>
  </r>
  <r>
    <x v="3"/>
    <s v="GATARE"/>
    <s v="Public"/>
    <x v="0"/>
    <s v="Ruhango"/>
    <s v="Ntongwe"/>
    <s v="NAKN_2"/>
    <s v="Gishara/Mukunguri Sub-Catchment"/>
    <n v="1119.5279999999998"/>
  </r>
  <r>
    <x v="3"/>
    <s v="NYABITARE"/>
    <s v="Public"/>
    <x v="0"/>
    <s v="Ruhango"/>
    <s v="Ntongwe"/>
    <s v="NAKN_2"/>
    <s v="Gishara/Mukunguri Sub-Catchment"/>
    <n v="9271.5839999999989"/>
  </r>
  <r>
    <x v="3"/>
    <s v="KANTWARI"/>
    <s v="Public"/>
    <x v="0"/>
    <s v="Ruhango"/>
    <s v="Ntongwe"/>
    <s v="NAKN_2"/>
    <s v="Gishara/Mukunguri Sub-Catchment"/>
    <n v="394.20000000000005"/>
  </r>
  <r>
    <x v="3"/>
    <s v="KAGIMBU"/>
    <s v="Public"/>
    <x v="0"/>
    <s v="Ruhango"/>
    <s v="Ntongwe"/>
    <s v="NAKN_2"/>
    <s v="Gishara/Mukunguri Sub-Catchment"/>
    <n v="2239.0559999999996"/>
  </r>
  <r>
    <x v="3"/>
    <s v="KAGINA"/>
    <s v="Public"/>
    <x v="0"/>
    <s v="Ruhango"/>
    <s v="Ntongwe"/>
    <s v="NAKN_2"/>
    <s v="Gishara/Mukunguri Sub-Catchment"/>
    <n v="655.94880000000001"/>
  </r>
  <r>
    <x v="3"/>
    <s v="CYAHAFI"/>
    <s v="Public"/>
    <x v="0"/>
    <s v="Ruhango"/>
    <s v="Ntongwe"/>
    <s v="NAKN_2"/>
    <s v="Gishara/Mukunguri Sub-Catchment"/>
    <n v="394.20000000000005"/>
  </r>
  <r>
    <x v="3"/>
    <s v="KAGUNGA"/>
    <s v="Public"/>
    <x v="0"/>
    <s v="Ruhango"/>
    <s v="Ntongwe"/>
    <s v="NAKN_2"/>
    <s v="Gishara/Mukunguri Sub-Catchment"/>
    <n v="646.48800000000006"/>
  </r>
  <r>
    <x v="3"/>
    <s v="BUHENDO"/>
    <s v="Public"/>
    <x v="0"/>
    <s v="Ruhango"/>
    <s v="Ntongwe"/>
    <s v="NAKN_2"/>
    <s v="Gishara/Mukunguri Sub-Catchment"/>
    <n v="9476.5679999999993"/>
  </r>
  <r>
    <x v="3"/>
    <s v="NYAKAGEZI"/>
    <s v="Public"/>
    <x v="0"/>
    <s v="Ruhango"/>
    <s v="Ntongwe"/>
    <s v="NAKN_2"/>
    <s v="Gishara/Mukunguri Sub-Catchment"/>
    <n v="788.40000000000009"/>
  </r>
  <r>
    <x v="3"/>
    <s v="GASUNA"/>
    <s v="Public"/>
    <x v="0"/>
    <s v="Ruhango"/>
    <s v="Ntongwe"/>
    <s v="NAKN_2"/>
    <s v="Gishara/Mukunguri Sub-Catchment"/>
    <n v="6559.4880000000003"/>
  </r>
  <r>
    <x v="3"/>
    <s v="NKENUYE"/>
    <s v="Public"/>
    <x v="0"/>
    <s v="Ruhango"/>
    <s v="Ntongwe"/>
    <s v="NAKN_2"/>
    <s v="Gishara/Mukunguri Sub-Catchment"/>
    <n v="86.72399999999999"/>
  </r>
  <r>
    <x v="3"/>
    <s v="RWINTAMA"/>
    <s v="Public"/>
    <x v="0"/>
    <s v="Ruhango"/>
    <s v="Ntongwe"/>
    <s v="NAKN_2"/>
    <s v="Gishara/Mukunguri Sub-Catchment"/>
    <n v="1734.4800000000002"/>
  </r>
  <r>
    <x v="3"/>
    <s v="KAGAGA"/>
    <s v="Public"/>
    <x v="0"/>
    <s v="Ruhango"/>
    <s v="Ntongwe"/>
    <s v="NAKN_2"/>
    <s v="Gishara/Mukunguri Sub-Catchment"/>
    <n v="3279.7440000000001"/>
  </r>
  <r>
    <x v="3"/>
    <s v="RWINTAMA 2"/>
    <s v="Public"/>
    <x v="0"/>
    <s v="Ruhango"/>
    <s v="Ntongwe"/>
    <s v="NAKN_2"/>
    <s v="Gishara/Mukunguri Sub-Catchment"/>
    <n v="3169.3679999999999"/>
  </r>
  <r>
    <x v="3"/>
    <s v="NYAMIGENDE"/>
    <s v="Public"/>
    <x v="0"/>
    <s v="Ruhango"/>
    <s v="Ntongwe"/>
    <s v="NAKN_2"/>
    <s v="Gishara/Mukunguri Sub-Catchment"/>
    <n v="15783.767999999998"/>
  </r>
  <r>
    <x v="3"/>
    <s v="KWA ZARIYA"/>
    <s v="Public"/>
    <x v="0"/>
    <s v="Ruhango"/>
    <s v="Ntongwe"/>
    <s v="NAKN_2"/>
    <s v="Gishara/Mukunguri Sub-Catchment"/>
    <n v="2365.2000000000003"/>
  </r>
  <r>
    <x v="3"/>
    <s v="RWADOMIYE"/>
    <s v="Public"/>
    <x v="0"/>
    <s v="Ruhango"/>
    <s v="Ntongwe"/>
    <s v="NAKN_2"/>
    <s v="Gishara/Mukunguri Sub-Catchment"/>
    <n v="2365.2000000000003"/>
  </r>
  <r>
    <x v="3"/>
    <s v="RWAKAJUJA"/>
    <s v="Public"/>
    <x v="0"/>
    <s v="Ruhango"/>
    <s v="Ntongwe"/>
    <s v="NAKN_2"/>
    <s v="Gishara/Mukunguri Sub-Catchment"/>
    <n v="11258.352000000001"/>
  </r>
  <r>
    <x v="3"/>
    <s v="RWAKAJUJA 2"/>
    <s v="Public"/>
    <x v="0"/>
    <s v="Ruhango"/>
    <s v="Ntongwe"/>
    <s v="NAKN_2"/>
    <s v="Gishara/Mukunguri Sub-Catchment"/>
    <n v="3200.904"/>
  </r>
  <r>
    <x v="3"/>
    <s v="NYAKABINGO"/>
    <s v="Public"/>
    <x v="0"/>
    <s v="Ruhango"/>
    <s v="Ntongwe"/>
    <s v="NAKN_2"/>
    <s v="Gishara/Mukunguri Sub-Catchment"/>
    <n v="7899.768"/>
  </r>
  <r>
    <x v="3"/>
    <s v="KWA SENTARE"/>
    <s v="Public"/>
    <x v="0"/>
    <s v="Ruhango"/>
    <s v="Ntongwe"/>
    <s v="NAKN_2"/>
    <s v="Gishara/Mukunguri Sub-Catchment"/>
    <n v="5255.4743999999992"/>
  </r>
  <r>
    <x v="3"/>
    <s v="MARINGA"/>
    <s v="Public"/>
    <x v="0"/>
    <s v="Ruhango"/>
    <s v="Ntongwe"/>
    <s v="NAKN_2"/>
    <s v="Gishara/Mukunguri Sub-Catchment"/>
    <n v="3942.0000000000005"/>
  </r>
  <r>
    <x v="3"/>
    <s v="MUKANYETI"/>
    <s v="Public"/>
    <x v="0"/>
    <s v="Ruhango"/>
    <s v="Ntongwe"/>
    <s v="NAKN_2"/>
    <s v="Gishara/Mukunguri Sub-Catchment"/>
    <n v="2775.1679999999997"/>
  </r>
  <r>
    <x v="3"/>
    <s v="GASEKE"/>
    <s v="Public"/>
    <x v="0"/>
    <s v="Ruhango"/>
    <s v="Ntongwe"/>
    <s v="NAKN_2"/>
    <s v="Gishara/Mukunguri Sub-Catchment"/>
    <n v="3942.0000000000005"/>
  </r>
  <r>
    <x v="3"/>
    <s v="MUGOMERO"/>
    <s v="Public"/>
    <x v="0"/>
    <s v="Ruhango"/>
    <s v="Ntongwe"/>
    <s v="NAKN_2"/>
    <s v="Gishara/Mukunguri Sub-Catchment"/>
    <n v="47319.768000000004"/>
  </r>
  <r>
    <x v="3"/>
    <s v="GIHAMA"/>
    <s v="Public"/>
    <x v="0"/>
    <s v="Ruhango"/>
    <s v="Ntongwe"/>
    <s v="NAKN_2"/>
    <s v="Gishara/Mukunguri Sub-Catchment"/>
    <n v="741.09599999999989"/>
  </r>
  <r>
    <x v="3"/>
    <s v="NYABITARE"/>
    <s v="Public"/>
    <x v="0"/>
    <s v="Ruhango"/>
    <s v="Ntongwe"/>
    <s v="NAKN_2"/>
    <s v="Gishara/Mukunguri Sub-Catchment"/>
    <n v="3279.7440000000001"/>
  </r>
  <r>
    <x v="3"/>
    <s v="RUSEBEYA"/>
    <s v="Public"/>
    <x v="0"/>
    <s v="Nyanza"/>
    <s v="Ntyazo"/>
    <s v="NAKN_2"/>
    <s v="Gishara/Mukunguri Sub-Catchment"/>
    <n v="7884.0000000000009"/>
  </r>
  <r>
    <x v="3"/>
    <s v="NYACYONGA"/>
    <s v="Public"/>
    <x v="0"/>
    <s v="Nyanza"/>
    <s v="Ntyazo"/>
    <s v="NAKN_2"/>
    <s v="Gishara/Mukunguri Sub-Catchment"/>
    <n v="985.50000000000011"/>
  </r>
  <r>
    <x v="3"/>
    <s v="NGOMA"/>
    <s v="Public"/>
    <x v="0"/>
    <s v="Nyanza"/>
    <s v="Ntyazo"/>
    <s v="NAKN_2"/>
    <s v="Gishara/Mukunguri Sub-Catchment"/>
    <n v="4604.2560000000003"/>
  </r>
  <r>
    <x v="3"/>
    <s v="KIRUHURA"/>
    <s v="Public"/>
    <x v="0"/>
    <s v="Nyanza"/>
    <s v="Ntyazo"/>
    <s v="NAKN_2"/>
    <s v="Gishara/Mukunguri Sub-Catchment"/>
    <n v="539.26560000000006"/>
  </r>
  <r>
    <x v="3"/>
    <s v="KANYAMUGENDA"/>
    <s v="Public"/>
    <x v="0"/>
    <s v="Nyanza"/>
    <s v="Ntyazo"/>
    <s v="NAKN_2"/>
    <s v="Gishara/Mukunguri Sub-Catchment"/>
    <n v="2097.1439999999998"/>
  </r>
  <r>
    <x v="3"/>
    <s v="IRYABAPFUMU"/>
    <s v="Public"/>
    <x v="0"/>
    <s v="Nyanza"/>
    <s v="Ntyazo"/>
    <s v="NAKN_2"/>
    <s v="Gishara/Mukunguri Sub-Catchment"/>
    <n v="2328.9336000000003"/>
  </r>
  <r>
    <x v="3"/>
    <s v="NANGA"/>
    <s v="Public"/>
    <x v="0"/>
    <s v="Nyanza"/>
    <s v="Ntyazo"/>
    <s v="NAKN_2"/>
    <s v="Gishara/Mukunguri Sub-Catchment"/>
    <n v="252.28800000000001"/>
  </r>
  <r>
    <x v="3"/>
    <s v="NYAMAHURU"/>
    <s v="Public"/>
    <x v="0"/>
    <s v="Nyanza"/>
    <s v="Ntyazo"/>
    <s v="NAKN_2"/>
    <s v="Gishara/Mukunguri Sub-Catchment"/>
    <n v="3169.3679999999999"/>
  </r>
  <r>
    <x v="3"/>
    <s v="GAHEHE"/>
    <s v="Public"/>
    <x v="0"/>
    <s v="Nyanza"/>
    <s v="Ntyazo"/>
    <s v="NAKN_2"/>
    <s v="Gishara/Mukunguri Sub-Catchment"/>
    <n v="1781.7839999999999"/>
  </r>
  <r>
    <x v="3"/>
    <s v="GASAVE"/>
    <s v="Public"/>
    <x v="0"/>
    <s v="Nyanza"/>
    <s v="Ntyazo"/>
    <s v="NAKN_2"/>
    <s v="Gishara/Mukunguri Sub-Catchment"/>
    <n v="618.10559999999998"/>
  </r>
  <r>
    <x v="3"/>
    <s v="KABINGO"/>
    <s v="Public"/>
    <x v="0"/>
    <s v="Nyanza"/>
    <s v="Ntyazo"/>
    <s v="NAKN_2"/>
    <s v="Gishara/Mukunguri Sub-Catchment"/>
    <n v="536.11200000000008"/>
  </r>
  <r>
    <x v="3"/>
    <s v="RUBUMBA"/>
    <s v="Public"/>
    <x v="0"/>
    <s v="Nyanza"/>
    <s v="Ntyazo"/>
    <s v="NAKN_2"/>
    <s v="Gishara/Mukunguri Sub-Catchment"/>
    <n v="520.34400000000005"/>
  </r>
  <r>
    <x v="3"/>
    <s v="NYABITARE"/>
    <s v="Public"/>
    <x v="0"/>
    <s v="Nyanza"/>
    <s v="Ntyazo"/>
    <s v="NAKN_2"/>
    <s v="Gishara/Mukunguri Sub-Catchment"/>
    <n v="252.28800000000001"/>
  </r>
  <r>
    <x v="3"/>
    <s v="BAHIMBA"/>
    <s v="Public"/>
    <x v="0"/>
    <s v="Nyanza"/>
    <s v="Ntyazo"/>
    <s v="NAKN_2"/>
    <s v="Gishara/Mukunguri Sub-Catchment"/>
    <n v="859.35599999999999"/>
  </r>
  <r>
    <x v="3"/>
    <s v="KIVUMBI"/>
    <s v="Public"/>
    <x v="0"/>
    <s v="Nyanza"/>
    <s v="Ntyazo"/>
    <s v="NAKN_2"/>
    <s v="Gishara/Mukunguri Sub-Catchment"/>
    <n v="662.2560000000002"/>
  </r>
  <r>
    <x v="3"/>
    <s v="NYAKARIBA"/>
    <s v="Public"/>
    <x v="0"/>
    <s v="Nyanza"/>
    <s v="Ntyazo"/>
    <s v="NAKN_2"/>
    <s v="Gishara/Mukunguri Sub-Catchment"/>
    <n v="2459.808"/>
  </r>
  <r>
    <x v="3"/>
    <s v="KABINGO"/>
    <s v="Public"/>
    <x v="0"/>
    <s v="Nyanza"/>
    <s v="Ntyazo"/>
    <s v="NAKN_2"/>
    <s v="Gishara/Mukunguri Sub-Catchment"/>
    <n v="805.90248000000008"/>
  </r>
  <r>
    <x v="3"/>
    <s v="GASOVU"/>
    <s v="Public"/>
    <x v="0"/>
    <s v="Nyanza"/>
    <s v="Ntyazo"/>
    <s v="NAKN_2"/>
    <s v="Gishara/Mukunguri Sub-Catchment"/>
    <n v="788.40000000000009"/>
  </r>
  <r>
    <x v="3"/>
    <s v="UMUVUGANGOMA"/>
    <s v="Public"/>
    <x v="0"/>
    <s v="Nyanza"/>
    <s v="Ntyazo"/>
    <s v="NAKN_2"/>
    <s v="Gishara/Mukunguri Sub-Catchment"/>
    <n v="5250.7439999999997"/>
  </r>
  <r>
    <x v="3"/>
    <s v="KARUYUMBU"/>
    <s v="Public"/>
    <x v="0"/>
    <s v="Nyanza"/>
    <s v="Ntyazo"/>
    <s v="NAKN_2"/>
    <s v="Gishara/Mukunguri Sub-Catchment"/>
    <n v="1009.152"/>
  </r>
  <r>
    <x v="3"/>
    <s v="RWAKINONKO"/>
    <s v="Public"/>
    <x v="0"/>
    <s v="Nyanza"/>
    <s v="Ntyazo"/>
    <s v="NAKN_2"/>
    <s v="Gishara/Mukunguri Sub-Catchment"/>
    <n v="788.40000000000009"/>
  </r>
  <r>
    <x v="3"/>
    <s v="GAKERI"/>
    <s v="Public"/>
    <x v="0"/>
    <s v="Nyanza"/>
    <s v="Ntyazo"/>
    <s v="NAKN_2"/>
    <s v="Gishara/Mukunguri Sub-Catchment"/>
    <n v="252.28800000000001"/>
  </r>
  <r>
    <x v="3"/>
    <s v="GATARE"/>
    <s v="Public"/>
    <x v="0"/>
    <s v="Nyanza"/>
    <s v="Ntyazo"/>
    <s v="NAKN_2"/>
    <s v="Gishara/Mukunguri Sub-Catchment"/>
    <n v="1313.4744000000001"/>
  </r>
  <r>
    <x v="3"/>
    <s v="KABERANYA"/>
    <s v="Public"/>
    <x v="0"/>
    <s v="Nyanza"/>
    <s v="Ntyazo"/>
    <s v="NAKN_2"/>
    <s v="Gishara/Mukunguri Sub-Catchment"/>
    <n v="1050.1488000000002"/>
  </r>
  <r>
    <x v="3"/>
    <s v="CYAHAFI"/>
    <s v="Public"/>
    <x v="0"/>
    <s v="Nyanza"/>
    <s v="Ntyazo"/>
    <s v="NAKN_2"/>
    <s v="Gishara/Mukunguri Sub-Catchment"/>
    <n v="525.07440000000008"/>
  </r>
  <r>
    <x v="3"/>
    <s v="NYIRANTURIRA"/>
    <s v="Public"/>
    <x v="0"/>
    <s v="Nyanza"/>
    <s v="Ntyazo"/>
    <s v="NAKN_2"/>
    <s v="Gishara/Mukunguri Sub-Catchment"/>
    <n v="1119.5279999999998"/>
  </r>
  <r>
    <x v="3"/>
    <s v="KAYENZI"/>
    <s v="Public"/>
    <x v="0"/>
    <s v="Nyanza"/>
    <s v="Ntyazo"/>
    <s v="NAKN_2"/>
    <s v="Gishara/Mukunguri Sub-Catchment"/>
    <n v="5255.4743999999992"/>
  </r>
  <r>
    <x v="3"/>
    <s v="GATARE 2"/>
    <s v="Public"/>
    <x v="0"/>
    <s v="Nyanza"/>
    <s v="Ntyazo"/>
    <s v="NAKN_2"/>
    <s v="Gishara/Mukunguri Sub-Catchment"/>
    <n v="963.4248"/>
  </r>
  <r>
    <x v="3"/>
    <s v="RWANKOMBE"/>
    <s v="Public"/>
    <x v="0"/>
    <s v="Nyanza"/>
    <s v="Ntyazo"/>
    <s v="NAKN_2"/>
    <s v="Gishara/Mukunguri Sub-Catchment"/>
    <n v="3500.4960000000001"/>
  </r>
  <r>
    <x v="3"/>
    <s v="KIZIGO"/>
    <s v="Public"/>
    <x v="0"/>
    <s v="Nyanza"/>
    <s v="Ntyazo"/>
    <s v="NAKN_2"/>
    <s v="Gishara/Mukunguri Sub-Catchment"/>
    <n v="1750.248"/>
  </r>
  <r>
    <x v="3"/>
    <s v="NYIRAYOBOKA"/>
    <s v="Public"/>
    <x v="0"/>
    <s v="Nyanza"/>
    <s v="Ntyazo"/>
    <s v="NAKN_2"/>
    <s v="Gishara/Mukunguri Sub-Catchment"/>
    <n v="1750.248"/>
  </r>
  <r>
    <x v="3"/>
    <s v="MUGIKOKI"/>
    <s v="Public"/>
    <x v="0"/>
    <s v="Nyanza"/>
    <s v="Ntyazo"/>
    <s v="NAKN_2"/>
    <s v="Gishara/Mukunguri Sub-Catchment"/>
    <n v="1971.0000000000002"/>
  </r>
  <r>
    <x v="3"/>
    <s v="KANKINA"/>
    <s v="Public"/>
    <x v="0"/>
    <s v="Nyanza"/>
    <s v="Ntyazo"/>
    <s v="NAKN_2"/>
    <s v="Gishara/Mukunguri Sub-Catchment"/>
    <n v="1671.4080000000001"/>
  </r>
  <r>
    <x v="3"/>
    <s v="MUTAGARA"/>
    <s v="Public"/>
    <x v="0"/>
    <s v="Kamonyi"/>
    <s v="Nyarubaka"/>
    <s v="NAKN_2"/>
    <s v="Gishara/Mukunguri Sub-Catchment"/>
    <n v="11037.6"/>
  </r>
  <r>
    <x v="3"/>
    <s v="RYABONYINKA"/>
    <s v="Public"/>
    <x v="0"/>
    <s v="Kamonyi"/>
    <s v="Nyarubaka"/>
    <s v="NAKN_2"/>
    <s v="Gishara/Mukunguri Sub-Catchment"/>
    <n v="31.536000000000001"/>
  </r>
  <r>
    <x v="3"/>
    <s v="NKORA"/>
    <s v="Public"/>
    <x v="0"/>
    <s v="Kamonyi"/>
    <s v="Nyarubaka"/>
    <s v="NAKN_2"/>
    <s v="Gishara/Mukunguri Sub-Catchment"/>
    <n v="7884.0000000000009"/>
  </r>
  <r>
    <x v="3"/>
    <s v="RUBUMBA"/>
    <s v="Public"/>
    <x v="0"/>
    <s v="Kamonyi"/>
    <s v="Nyarubaka"/>
    <s v="NAKN_2"/>
    <s v="Gishara/Mukunguri Sub-Catchment"/>
    <n v="788.40000000000009"/>
  </r>
  <r>
    <x v="3"/>
    <s v="gatagara"/>
    <s v="Public"/>
    <x v="0"/>
    <s v="Kamonyi"/>
    <s v="Nyarubaka"/>
    <s v="NAKN_2"/>
    <s v="Gishara/Mukunguri Sub-Catchment"/>
    <n v="1419.12"/>
  </r>
  <r>
    <x v="3"/>
    <s v="NYAMUKO"/>
    <s v="Public"/>
    <x v="0"/>
    <s v="Kamonyi"/>
    <s v="Nyarubaka"/>
    <s v="NAKN_2"/>
    <s v="Gishara/Mukunguri Sub-Catchment"/>
    <n v="4730.4000000000005"/>
  </r>
  <r>
    <x v="3"/>
    <s v="kiruhura"/>
    <s v="Public"/>
    <x v="0"/>
    <s v="Kamonyi"/>
    <s v="Nyarubaka"/>
    <s v="NAKN_2"/>
    <s v="Gishara/Mukunguri Sub-Catchment"/>
    <n v="63.072000000000003"/>
  </r>
  <r>
    <x v="3"/>
    <s v="gaserege"/>
    <s v="Public"/>
    <x v="0"/>
    <s v="Kamonyi"/>
    <s v="Nyarubaka"/>
    <s v="NAKN_2"/>
    <s v="Gishara/Mukunguri Sub-Catchment"/>
    <n v="31.536000000000001"/>
  </r>
  <r>
    <x v="3"/>
    <s v="RUFUHA"/>
    <s v="Public"/>
    <x v="0"/>
    <s v="Kamonyi"/>
    <s v="Nyarubaka"/>
    <s v="NAKN_2"/>
    <s v="Gishara/Mukunguri Sub-Catchment"/>
    <n v="14191.2"/>
  </r>
  <r>
    <x v="3"/>
    <s v="RWABIZOZA"/>
    <s v="Public"/>
    <x v="0"/>
    <s v="Kamonyi"/>
    <s v="Nyarubaka"/>
    <s v="NAKN_2"/>
    <s v="Gishara/Mukunguri Sub-Catchment"/>
    <n v="0"/>
  </r>
  <r>
    <x v="3"/>
    <s v="gaserege/kwa diyonise"/>
    <s v="Public"/>
    <x v="0"/>
    <s v="Kamonyi"/>
    <s v="Nyarubaka"/>
    <s v="NAKN_2"/>
    <s v="Gishara/Mukunguri Sub-Catchment"/>
    <n v="7884.0000000000009"/>
  </r>
  <r>
    <x v="3"/>
    <s v="KAYONZA"/>
    <s v="Public"/>
    <x v="0"/>
    <s v="Kamonyi"/>
    <s v="Nyarubaka"/>
    <s v="NAKN_2"/>
    <s v="Gishara/Mukunguri Sub-Catchment"/>
    <n v="946.08"/>
  </r>
  <r>
    <x v="3"/>
    <s v="RWARUGIRA"/>
    <s v="Public"/>
    <x v="0"/>
    <s v="Kamonyi"/>
    <s v="Nyarubaka"/>
    <s v="NAKN_2"/>
    <s v="Gishara/Mukunguri Sub-Catchment"/>
    <n v="4730.4000000000005"/>
  </r>
  <r>
    <x v="3"/>
    <s v="KANYEGENYEGE"/>
    <s v="Public"/>
    <x v="0"/>
    <s v="Kamonyi"/>
    <s v="Nyarubaka"/>
    <s v="NAKN_2"/>
    <s v="Gishara/Mukunguri Sub-Catchment"/>
    <n v="6307.2000000000007"/>
  </r>
  <r>
    <x v="3"/>
    <s v="GASEKE"/>
    <s v="Public"/>
    <x v="0"/>
    <s v="Kamonyi"/>
    <s v="Nyarubaka"/>
    <s v="NAKN_2"/>
    <s v="Gishara/Mukunguri Sub-Catchment"/>
    <n v="2365.2000000000003"/>
  </r>
  <r>
    <x v="3"/>
    <s v="GACAGU I"/>
    <s v="Public"/>
    <x v="0"/>
    <s v="Kamonyi"/>
    <s v="Nyarubaka"/>
    <s v="NAKN_2"/>
    <s v="Gishara/Mukunguri Sub-Catchment"/>
    <n v="15768.000000000002"/>
  </r>
  <r>
    <x v="3"/>
    <s v="GACAGU II"/>
    <s v="Public"/>
    <x v="0"/>
    <s v="Kamonyi"/>
    <s v="Nyarubaka"/>
    <s v="NAKN_2"/>
    <s v="Gishara/Mukunguri Sub-Catchment"/>
    <n v="7568.64"/>
  </r>
  <r>
    <x v="3"/>
    <s v="RWAbugigira"/>
    <s v="Public"/>
    <x v="0"/>
    <s v="Kamonyi"/>
    <s v="Nyarubaka"/>
    <s v="NAKN_2"/>
    <s v="Gishara/Mukunguri Sub-Catchment"/>
    <n v="788.40000000000009"/>
  </r>
  <r>
    <x v="3"/>
    <s v="nyamuko"/>
    <s v="Public"/>
    <x v="0"/>
    <s v="Kamonyi"/>
    <s v="Nyarubaka"/>
    <s v="NAKN_2"/>
    <s v="Gishara/Mukunguri Sub-Catchment"/>
    <n v="11037.6"/>
  </r>
  <r>
    <x v="3"/>
    <s v="KAVUMU"/>
    <s v="Public"/>
    <x v="0"/>
    <s v="Kamonyi"/>
    <s v="Nyarubaka"/>
    <s v="NAKN_2"/>
    <s v="Gishara/Mukunguri Sub-Catchment"/>
    <n v="2680.56"/>
  </r>
  <r>
    <x v="3"/>
    <s v="nyirakibingo"/>
    <s v="Public"/>
    <x v="0"/>
    <s v="Kamonyi"/>
    <s v="Nyarubaka"/>
    <s v="NAKN_2"/>
    <s v="Gishara/Mukunguri Sub-Catchment"/>
    <n v="1103.7600000000002"/>
  </r>
  <r>
    <x v="3"/>
    <s v="rwamurinzi"/>
    <s v="Public"/>
    <x v="0"/>
    <s v="Kamonyi"/>
    <s v="Nyarubaka"/>
    <s v="NAKN_2"/>
    <s v="Gishara/Mukunguri Sub-Catchment"/>
    <n v="15.768000000000001"/>
  </r>
  <r>
    <x v="3"/>
    <s v="kagwene"/>
    <s v="Public"/>
    <x v="0"/>
    <s v="Kamonyi"/>
    <s v="Nyarubaka"/>
    <s v="NAKN_2"/>
    <s v="Gishara/Mukunguri Sub-Catchment"/>
    <n v="9460.8000000000011"/>
  </r>
  <r>
    <x v="3"/>
    <s v="kamuhoza"/>
    <s v="Public"/>
    <x v="0"/>
    <s v="Kamonyi"/>
    <s v="Nyarubaka"/>
    <s v="NAKN_2"/>
    <s v="Gishara/Mukunguri Sub-Catchment"/>
    <n v="946.08"/>
  </r>
  <r>
    <x v="3"/>
    <s v="GATARE"/>
    <s v="Public"/>
    <x v="0"/>
    <s v="Kamonyi"/>
    <s v="Nyarubaka"/>
    <s v="NAKN_2"/>
    <s v="Gishara/Mukunguri Sub-Catchment"/>
    <n v="31.536000000000001"/>
  </r>
  <r>
    <x v="3"/>
    <s v="gahigi"/>
    <s v="Public"/>
    <x v="0"/>
    <s v="Kamonyi"/>
    <s v="Nyarubaka"/>
    <s v="NAKN_2"/>
    <s v="Gishara/Mukunguri Sub-Catchment"/>
    <n v="946.08"/>
  </r>
  <r>
    <x v="3"/>
    <s v="RYANYANDWI"/>
    <s v="Public"/>
    <x v="0"/>
    <s v="Kamonyi"/>
    <s v="Nyarubaka"/>
    <s v="NAKN_2"/>
    <s v="Gishara/Mukunguri Sub-Catchment"/>
    <n v="31.536000000000001"/>
  </r>
  <r>
    <x v="3"/>
    <s v="rukebesha"/>
    <s v="Public"/>
    <x v="0"/>
    <s v="Kamonyi"/>
    <s v="Nyarubaka"/>
    <s v="NAKN_2"/>
    <s v="Gishara/Mukunguri Sub-Catchment"/>
    <n v="63.072000000000003"/>
  </r>
  <r>
    <x v="3"/>
    <s v="kanombe"/>
    <s v="Public"/>
    <x v="0"/>
    <s v="Kamonyi"/>
    <s v="Nyarubaka"/>
    <s v="NAKN_2"/>
    <s v="Gishara/Mukunguri Sub-Catchment"/>
    <n v="977.61599999999999"/>
  </r>
  <r>
    <x v="3"/>
    <s v="gitare"/>
    <s v="Public"/>
    <x v="0"/>
    <s v="Kamonyi"/>
    <s v="Nyarubaka"/>
    <s v="NAKN_2"/>
    <s v="Gishara/Mukunguri Sub-Catchment"/>
    <n v="1182.6000000000001"/>
  </r>
  <r>
    <x v="3"/>
    <s v="REMERA/kwa bujeni"/>
    <s v="Public"/>
    <x v="0"/>
    <s v="Kamonyi"/>
    <s v="Nyarubaka"/>
    <s v="NAKN_2"/>
    <s v="Gishara/Mukunguri Sub-Catchment"/>
    <n v="6307.2000000000007"/>
  </r>
  <r>
    <x v="3"/>
    <s v="murasandonyi"/>
    <s v="Public"/>
    <x v="0"/>
    <s v="Kamonyi"/>
    <s v="Nyarubaka"/>
    <s v="NAKN_2"/>
    <s v="Gishara/Mukunguri Sub-Catchment"/>
    <n v="473.04"/>
  </r>
  <r>
    <x v="3"/>
    <s v="kwa mariyana"/>
    <s v="Public"/>
    <x v="0"/>
    <s v="Kamonyi"/>
    <s v="Nyarubaka"/>
    <s v="NAKN_2"/>
    <s v="Gishara/Mukunguri Sub-Catchment"/>
    <n v="8357.0400000000009"/>
  </r>
  <r>
    <x v="3"/>
    <s v="nyakabingo"/>
    <s v="Public"/>
    <x v="0"/>
    <s v="Kamonyi"/>
    <s v="Nyarubaka"/>
    <s v="NAKN_2"/>
    <s v="Gishara/Mukunguri Sub-Catchment"/>
    <n v="7884.0000000000009"/>
  </r>
  <r>
    <x v="3"/>
    <s v="gitare/rwigerero"/>
    <s v="Public"/>
    <x v="0"/>
    <s v="Kamonyi"/>
    <s v="Nyarubaka"/>
    <s v="NAKN_2"/>
    <s v="Gishara/Mukunguri Sub-Catchment"/>
    <n v="15.768000000000001"/>
  </r>
  <r>
    <x v="3"/>
    <s v="RWIBITORWA"/>
    <s v="Public"/>
    <x v="0"/>
    <s v="Kamonyi"/>
    <s v="Nyarubaka"/>
    <s v="NAKN_2"/>
    <s v="Gishara/Mukunguri Sub-Catchment"/>
    <n v="1214.136"/>
  </r>
  <r>
    <x v="3"/>
    <s v="KATARENGWA"/>
    <s v="Public"/>
    <x v="0"/>
    <s v="Ruhango"/>
    <s v="Ruhango"/>
    <s v="NAKN_2"/>
    <s v="Gishara/Mukunguri Sub-Catchment"/>
    <n v="262.69488000000007"/>
  </r>
  <r>
    <x v="3"/>
    <s v="RWANYAMUGEMU"/>
    <s v="Public"/>
    <x v="0"/>
    <s v="Ruhango"/>
    <s v="Ruhango"/>
    <s v="NAKN_2"/>
    <s v="Gishara/Mukunguri Sub-Catchment"/>
    <n v="3155.1768000000002"/>
  </r>
  <r>
    <x v="3"/>
    <s v="RYABONYINKA"/>
    <s v="Public"/>
    <x v="0"/>
    <s v="Ruhango"/>
    <s v="Ruhango"/>
    <s v="NAKN_2"/>
    <s v="Gishara/Mukunguri Sub-Catchment"/>
    <n v="1182.6000000000001"/>
  </r>
  <r>
    <x v="3"/>
    <s v="RUKENDE"/>
    <s v="Public"/>
    <x v="0"/>
    <s v="Ruhango"/>
    <s v="Ruhango"/>
    <s v="NAKN_2"/>
    <s v="Gishara/Mukunguri Sub-Catchment"/>
    <n v="4378.7736000000004"/>
  </r>
  <r>
    <x v="3"/>
    <s v="KIYAMA"/>
    <s v="Public"/>
    <x v="0"/>
    <s v="Ruhango"/>
    <s v="Ruhango"/>
    <s v="NAKN_2"/>
    <s v="Gishara/Mukunguri Sub-Catchment"/>
    <n v="4378.7736000000004"/>
  </r>
  <r>
    <x v="3"/>
    <s v="KAZIBAZIBA"/>
    <s v="Public"/>
    <x v="0"/>
    <s v="Ruhango"/>
    <s v="Ruhango"/>
    <s v="NAKN_2"/>
    <s v="Gishara/Mukunguri Sub-Catchment"/>
    <n v="47461.68"/>
  </r>
  <r>
    <x v="3"/>
    <s v="KANDABARINZI"/>
    <s v="Public"/>
    <x v="0"/>
    <s v="Ruhango"/>
    <s v="Ruhango"/>
    <s v="NAKN_2"/>
    <s v="Gishara/Mukunguri Sub-Catchment"/>
    <n v="2239.0559999999996"/>
  </r>
  <r>
    <x v="3"/>
    <s v="NYARWONDO 2"/>
    <s v="Public"/>
    <x v="0"/>
    <s v="Ruhango"/>
    <s v="Ruhango"/>
    <s v="NAKN_2"/>
    <s v="Gishara/Mukunguri Sub-Catchment"/>
    <n v="7885.5768000000007"/>
  </r>
  <r>
    <x v="3"/>
    <s v="NYARWONDO"/>
    <s v="Public"/>
    <x v="0"/>
    <s v="Ruhango"/>
    <s v="Ruhango"/>
    <s v="NAKN_2"/>
    <s v="Gishara/Mukunguri Sub-Catchment"/>
    <n v="7899.768"/>
  </r>
  <r>
    <x v="3"/>
    <s v="NYAKARIBA"/>
    <s v="Public"/>
    <x v="0"/>
    <s v="Ruhango"/>
    <s v="Ruhango"/>
    <s v="NAKN_2"/>
    <s v="Gishara/Mukunguri Sub-Catchment"/>
    <n v="2239.0559999999996"/>
  </r>
  <r>
    <x v="3"/>
    <s v="RWANJUNGA"/>
    <s v="Public"/>
    <x v="0"/>
    <s v="Ruhango"/>
    <s v="Ruhango"/>
    <s v="NAKN_2"/>
    <s v="Gishara/Mukunguri Sub-Catchment"/>
    <n v="6322.9680000000017"/>
  </r>
  <r>
    <x v="3"/>
    <s v="BASUMBAGUTIRA"/>
    <s v="Public"/>
    <x v="0"/>
    <s v="Ruhango"/>
    <s v="Ruhango"/>
    <s v="NAKN_2"/>
    <s v="Gishara/Mukunguri Sub-Catchment"/>
    <n v="7885.5768000000007"/>
  </r>
  <r>
    <x v="3"/>
    <s v="NYAMUGALI 2"/>
    <s v="Public"/>
    <x v="0"/>
    <s v="Ruhango"/>
    <s v="Ruhango"/>
    <s v="NAKN_2"/>
    <s v="Gishara/Mukunguri Sub-Catchment"/>
    <n v="3155.1768000000002"/>
  </r>
  <r>
    <x v="3"/>
    <s v="BUKORIFU 2"/>
    <s v="Public"/>
    <x v="0"/>
    <s v="Ruhango"/>
    <s v="Ruhango"/>
    <s v="NAKN_2"/>
    <s v="Gishara/Mukunguri Sub-Catchment"/>
    <n v="2626.9488000000001"/>
  </r>
  <r>
    <x v="3"/>
    <s v="KATAGAYIFU"/>
    <s v="Public"/>
    <x v="0"/>
    <s v="Ruhango"/>
    <s v="Ruhango"/>
    <s v="NAKN_2"/>
    <s v="Gishara/Mukunguri Sub-Catchment"/>
    <n v="47461.68"/>
  </r>
  <r>
    <x v="3"/>
    <s v="KABINGO"/>
    <s v="Public"/>
    <x v="0"/>
    <s v="Ruhango"/>
    <s v="Ruhango"/>
    <s v="NAKN_2"/>
    <s v="Gishara/Mukunguri Sub-Catchment"/>
    <n v="3942.0000000000005"/>
  </r>
  <r>
    <x v="3"/>
    <s v="KAGINA"/>
    <s v="Public"/>
    <x v="0"/>
    <s v="Ruhango"/>
    <s v="Ruhango"/>
    <s v="NAKN_2"/>
    <s v="Gishara/Mukunguri Sub-Catchment"/>
    <n v="5629.1760000000004"/>
  </r>
  <r>
    <x v="3"/>
    <s v="KIMWAJANA"/>
    <s v="Public"/>
    <x v="0"/>
    <s v="Ruhango"/>
    <s v="Ruhango"/>
    <s v="NAKN_2"/>
    <s v="Gishara/Mukunguri Sub-Catchment"/>
    <n v="2626.9488000000001"/>
  </r>
  <r>
    <x v="3"/>
    <s v="RWABONYINKA"/>
    <s v="Public"/>
    <x v="0"/>
    <s v="Ruhango"/>
    <s v="Ruhango"/>
    <s v="NAKN_2"/>
    <s v="Gishara/Mukunguri Sub-Catchment"/>
    <n v="1050.1488000000002"/>
  </r>
  <r>
    <x v="3"/>
    <s v="MUGOMERO"/>
    <s v="Public"/>
    <x v="0"/>
    <s v="Ruhango"/>
    <s v="Ruhango"/>
    <s v="NAKN_2"/>
    <s v="Gishara/Mukunguri Sub-Catchment"/>
    <n v="5250.7439999999997"/>
  </r>
  <r>
    <x v="3"/>
    <s v="BUKORIFU"/>
    <s v="Public"/>
    <x v="0"/>
    <s v="Ruhango"/>
    <s v="Ruhango"/>
    <s v="NAKN_2"/>
    <s v="Gishara/Mukunguri Sub-Catchment"/>
    <n v="15941.447999999999"/>
  </r>
  <r>
    <x v="3"/>
    <s v="KWA NATHAN"/>
    <s v="Public"/>
    <x v="0"/>
    <s v="Ruhango"/>
    <s v="Ruhango"/>
    <s v="NAKN_2"/>
    <s v="Gishara/Mukunguri Sub-Catchment"/>
    <n v="1578.3767999999998"/>
  </r>
  <r>
    <x v="3"/>
    <s v="GATEKE"/>
    <s v="Public"/>
    <x v="0"/>
    <s v="Ruhango"/>
    <s v="Ruhango"/>
    <s v="NAKN_2"/>
    <s v="Gishara/Mukunguri Sub-Catchment"/>
    <n v="7885.5768000000007"/>
  </r>
  <r>
    <x v="3"/>
    <s v="RWASAMA"/>
    <s v="Public"/>
    <x v="0"/>
    <s v="Ruhango"/>
    <s v="Ruhango"/>
    <s v="NAKN_2"/>
    <s v="Gishara/Mukunguri Sub-Catchment"/>
    <n v="9462.3768"/>
  </r>
  <r>
    <x v="3"/>
    <s v="BIRUTWA"/>
    <s v="Public"/>
    <x v="0"/>
    <s v="Ruhango"/>
    <s v="Ruhango"/>
    <s v="NAKN_2"/>
    <s v="Gishara/Mukunguri Sub-Catchment"/>
    <n v="525.07440000000008"/>
  </r>
  <r>
    <x v="3"/>
    <s v="BIRUTWA 2"/>
    <s v="Public"/>
    <x v="0"/>
    <s v="Ruhango"/>
    <s v="Ruhango"/>
    <s v="NAKN_2"/>
    <s v="Gishara/Mukunguri Sub-Catchment"/>
    <n v="1578.3767999999998"/>
  </r>
  <r>
    <x v="3"/>
    <s v="RWASAMA2"/>
    <s v="Public"/>
    <x v="0"/>
    <s v="Ruhango"/>
    <s v="Ruhango"/>
    <s v="NAKN_2"/>
    <s v="Gishara/Mukunguri Sub-Catchment"/>
    <n v="15925.680000000002"/>
  </r>
  <r>
    <x v="3"/>
    <s v="CYAHAFI"/>
    <s v="Public"/>
    <x v="0"/>
    <s v="Ruhango"/>
    <s v="Ruhango"/>
    <s v="NAKN_2"/>
    <s v="Gishara/Mukunguri Sub-Catchment"/>
    <n v="7885.5768000000007"/>
  </r>
  <r>
    <x v="3"/>
    <s v="KAGINA"/>
    <s v="Public"/>
    <x v="0"/>
    <s v="Ruhango"/>
    <s v="Ruhango"/>
    <s v="NAKN_2"/>
    <s v="Gishara/Mukunguri Sub-Catchment"/>
    <n v="8751.2400000000016"/>
  </r>
  <r>
    <x v="3"/>
    <s v="CYAHAFI 2"/>
    <s v="Public"/>
    <x v="0"/>
    <s v="Ruhango"/>
    <s v="Ruhango"/>
    <s v="NAKN_2"/>
    <s v="Gishara/Mukunguri Sub-Catchment"/>
    <n v="525.07440000000008"/>
  </r>
  <r>
    <x v="3"/>
    <s v="GATARE"/>
    <s v="Public"/>
    <x v="0"/>
    <s v="Ruhango"/>
    <s v="Ruhango"/>
    <s v="NAKN_2"/>
    <s v="Gishara/Mukunguri Sub-Catchment"/>
    <n v="1578.3767999999998"/>
  </r>
  <r>
    <x v="3"/>
    <s v="MUSUGI"/>
    <s v="Public"/>
    <x v="0"/>
    <s v="Ruhango"/>
    <s v="Ruhango"/>
    <s v="NAKN_2"/>
    <s v="Gishara/Mukunguri Sub-Catchment"/>
    <n v="4731.9768000000004"/>
  </r>
  <r>
    <x v="3"/>
    <s v="BUSENYI"/>
    <s v="Public"/>
    <x v="0"/>
    <s v="Ruhango"/>
    <s v="Ruhango"/>
    <s v="NAKN_2"/>
    <s v="Gishara/Mukunguri Sub-Catchment"/>
    <n v="7885.5768000000007"/>
  </r>
  <r>
    <x v="3"/>
    <s v="GATARE2"/>
    <s v="Public"/>
    <x v="0"/>
    <s v="Ruhango"/>
    <s v="Ruhango"/>
    <s v="NAKN_2"/>
    <s v="Gishara/Mukunguri Sub-Catchment"/>
    <n v="15783.767999999998"/>
  </r>
  <r>
    <x v="3"/>
    <s v="RWUBAKA"/>
    <s v="Public"/>
    <x v="0"/>
    <s v="Ruhango"/>
    <s v="Ruhango"/>
    <s v="NAKN_2"/>
    <s v="Gishara/Mukunguri Sub-Catchment"/>
    <n v="851.47200000000009"/>
  </r>
  <r>
    <x v="3"/>
    <s v="NYABUBARE"/>
    <s v="Public"/>
    <x v="0"/>
    <s v="Ruhango"/>
    <s v="Ruhango"/>
    <s v="NAKN_2"/>
    <s v="Gishara/Mukunguri Sub-Catchment"/>
    <n v="1313.4744000000001"/>
  </r>
  <r>
    <x v="3"/>
    <s v="RUKO"/>
    <s v="Public"/>
    <x v="0"/>
    <s v="Ruhango"/>
    <s v="Ruhango"/>
    <s v="NAKN_2"/>
    <s v="Gishara/Mukunguri Sub-Catchment"/>
    <n v="1750.248"/>
  </r>
  <r>
    <x v="3"/>
    <s v="NYAKARIBA"/>
    <s v="Public"/>
    <x v="0"/>
    <s v="Ruhango"/>
    <s v="Ruhango"/>
    <s v="NAKN_2"/>
    <s v="Gishara/Mukunguri Sub-Catchment"/>
    <n v="788.40000000000009"/>
  </r>
  <r>
    <x v="3"/>
    <s v="IRYIKARONGI"/>
    <s v="Public"/>
    <x v="0"/>
    <s v="Ruhango"/>
    <s v="Ruhango"/>
    <s v="NAKN_2"/>
    <s v="Gishara/Mukunguri Sub-Catchment"/>
    <n v="1024.92"/>
  </r>
  <r>
    <x v="3"/>
    <s v="CYAHAFI"/>
    <s v="Public"/>
    <x v="0"/>
    <s v="Ruhango"/>
    <s v="Ruhango"/>
    <s v="NAKN_2"/>
    <s v="Gishara/Mukunguri Sub-Catchment"/>
    <n v="2475.5760000000005"/>
  </r>
  <r>
    <x v="3"/>
    <s v="MBONYUMUSHI"/>
    <s v="Public"/>
    <x v="0"/>
    <s v="Ruhango"/>
    <s v="Ruhango"/>
    <s v="NAKN_2"/>
    <s v="Gishara/Mukunguri Sub-Catchment"/>
    <n v="5250.7439999999997"/>
  </r>
  <r>
    <x v="3"/>
    <s v="GAKERI"/>
    <s v="Public"/>
    <x v="0"/>
    <s v="Ruhango"/>
    <s v="Ruhango"/>
    <s v="NAKN_2"/>
    <s v="Gishara/Mukunguri Sub-Catchment"/>
    <n v="4378.7736000000004"/>
  </r>
  <r>
    <x v="3"/>
    <s v="RURIBA"/>
    <s v="Public"/>
    <x v="0"/>
    <s v="Ruhango"/>
    <s v="Ruhango"/>
    <s v="NAKN_2"/>
    <s v="Gishara/Mukunguri Sub-Catchment"/>
    <n v="2917.0800000000004"/>
  </r>
  <r>
    <x v="3"/>
    <s v="GAKERI 2"/>
    <s v="Public"/>
    <x v="0"/>
    <s v="Ruhango"/>
    <s v="Ruhango"/>
    <s v="NAKN_2"/>
    <s v="Gishara/Mukunguri Sub-Catchment"/>
    <n v="867.24000000000012"/>
  </r>
  <r>
    <x v="3"/>
    <s v="KURYINKA"/>
    <s v="Public"/>
    <x v="0"/>
    <s v="Ruhango"/>
    <s v="Ruhango"/>
    <s v="NAKN_2"/>
    <s v="Gishara/Mukunguri Sub-Catchment"/>
    <n v="525.07440000000008"/>
  </r>
  <r>
    <x v="3"/>
    <s v="GISAYA"/>
    <s v="Public"/>
    <x v="0"/>
    <s v="Ruhango"/>
    <s v="Ruhango"/>
    <s v="NAKN_2"/>
    <s v="Gishara/Mukunguri Sub-Catchment"/>
    <n v="2626.9488000000001"/>
  </r>
  <r>
    <x v="3"/>
    <s v="KWAYOSIYA"/>
    <s v="Public"/>
    <x v="0"/>
    <s v="Ruhango"/>
    <s v="Ruhango"/>
    <s v="NAKN_2"/>
    <s v="Gishara/Mukunguri Sub-Catchment"/>
    <n v="789.97680000000003"/>
  </r>
  <r>
    <x v="3"/>
    <s v="KWA KABERA"/>
    <s v="Public"/>
    <x v="0"/>
    <s v="Ruhango"/>
    <s v="Ruhango"/>
    <s v="NAKN_2"/>
    <s v="Gishara/Mukunguri Sub-Catchment"/>
    <n v="1040.6880000000001"/>
  </r>
  <r>
    <x v="3"/>
    <s v="GATARE"/>
    <s v="Public"/>
    <x v="0"/>
    <s v="Ruhango"/>
    <s v="Ruhango"/>
    <s v="NAKN_2"/>
    <s v="Gishara/Mukunguri Sub-Catchment"/>
    <n v="960.27120000000014"/>
  </r>
  <r>
    <x v="3"/>
    <s v="KWA SEHENE"/>
    <s v="Public"/>
    <x v="0"/>
    <s v="Ruhango"/>
    <s v="Ruhango"/>
    <s v="NAKN_2"/>
    <s v="Gishara/Mukunguri Sub-Catchment"/>
    <n v="477.77039999999994"/>
  </r>
  <r>
    <x v="3"/>
    <s v="BUGWANZIRA"/>
    <s v="Public"/>
    <x v="0"/>
    <s v="Ruhango"/>
    <s v="Ruhango"/>
    <s v="NAKN_2"/>
    <s v="Gishara/Mukunguri Sub-Catchment"/>
    <n v="3155.1768000000002"/>
  </r>
  <r>
    <x v="3"/>
    <s v="MUGATAKA"/>
    <s v="Public"/>
    <x v="0"/>
    <s v="Ruhango"/>
    <s v="Ruhango"/>
    <s v="NAKN_2"/>
    <s v="Gishara/Mukunguri Sub-Catchment"/>
    <n v="630.72"/>
  </r>
  <r>
    <x v="3"/>
    <s v="BUGARAMA"/>
    <s v="Public"/>
    <x v="0"/>
    <s v="Ruhango"/>
    <s v="Ruhango"/>
    <s v="NAKN_2"/>
    <s v="Gishara/Mukunguri Sub-Catchment"/>
    <n v="441.50400000000002"/>
  </r>
  <r>
    <x v="3"/>
    <s v="KABINGO 2"/>
    <s v="Public"/>
    <x v="0"/>
    <s v="Ruhango"/>
    <s v="Ruhango"/>
    <s v="NAKN_2"/>
    <s v="Gishara/Mukunguri Sub-Catchment"/>
    <n v="2626.9488000000001"/>
  </r>
  <r>
    <x v="3"/>
    <s v="KIRUHURA"/>
    <s v="Public"/>
    <x v="0"/>
    <s v="Ruhango"/>
    <s v="Ruhango"/>
    <s v="NAKN_2"/>
    <s v="Gishara/Mukunguri Sub-Catchment"/>
    <n v="1229.904"/>
  </r>
  <r>
    <x v="3"/>
    <s v="KAYENZI"/>
    <s v="Public"/>
    <x v="0"/>
    <s v="Ruhango"/>
    <s v="Ruhango"/>
    <s v="NAKN_2"/>
    <s v="Gishara/Mukunguri Sub-Catchment"/>
    <n v="3169.3679999999999"/>
  </r>
  <r>
    <x v="3"/>
    <s v="NYAKABINGO"/>
    <s v="Public"/>
    <x v="0"/>
    <s v="Ruhango"/>
    <s v="Ruhango"/>
    <s v="NAKN_2"/>
    <s v="Gishara/Mukunguri Sub-Catchment"/>
    <n v="2475.5760000000005"/>
  </r>
  <r>
    <x v="3"/>
    <s v="GASEKE"/>
    <s v="Public"/>
    <x v="0"/>
    <s v="Ruhango"/>
    <s v="Ruhango"/>
    <s v="NAKN_2"/>
    <s v="Gishara/Mukunguri Sub-Catchment"/>
    <n v="1578.3767999999998"/>
  </r>
  <r>
    <x v="3"/>
    <s v="NYAMUGARI"/>
    <s v="Public"/>
    <x v="0"/>
    <s v="Ruhango"/>
    <s v="Ruhango"/>
    <s v="NAKN_2"/>
    <s v="Gishara/Mukunguri Sub-Catchment"/>
    <n v="1687.1759999999999"/>
  </r>
  <r>
    <x v="3"/>
    <s v="RYABONYINKA"/>
    <s v="Public"/>
    <x v="0"/>
    <s v="Ruhango"/>
    <s v="Ruhango"/>
    <s v="NAKN_2"/>
    <s v="Gishara/Mukunguri Sub-Catchment"/>
    <n v="1482.1919999999998"/>
  </r>
  <r>
    <x v="3"/>
    <s v="GATARE"/>
    <s v="Public"/>
    <x v="0"/>
    <s v="Ruhango"/>
    <s v="Ruhango"/>
    <s v="NAKN_2"/>
    <s v="Gishara/Mukunguri Sub-Catchment"/>
    <n v="796.28400000000011"/>
  </r>
  <r>
    <x v="3"/>
    <s v="GISEKE"/>
    <s v="Public"/>
    <x v="0"/>
    <s v="Ruhango"/>
    <s v="Ruhango"/>
    <s v="NAKN_2"/>
    <s v="Gishara/Mukunguri Sub-Catchment"/>
    <n v="1313.4744000000001"/>
  </r>
  <r>
    <x v="3"/>
    <s v="GASEKE"/>
    <s v="Public"/>
    <x v="0"/>
    <s v="Ruhango"/>
    <s v="Ruhango"/>
    <s v="NAKN_2"/>
    <s v="Gishara/Mukunguri Sub-Catchment"/>
    <n v="1578.3767999999998"/>
  </r>
  <r>
    <x v="3"/>
    <s v="GASEKE"/>
    <s v="Public"/>
    <x v="0"/>
    <s v="Ruhango"/>
    <s v="Ruhango"/>
    <s v="NAKN_2"/>
    <s v="Gishara/Mukunguri Sub-Catchment"/>
    <n v="1578.3767999999998"/>
  </r>
  <r>
    <x v="3"/>
    <s v="RWAKOKWE"/>
    <s v="Public"/>
    <x v="0"/>
    <s v="Ruhango"/>
    <s v="Ruhango"/>
    <s v="NAKN_2"/>
    <s v="Gishara/Mukunguri Sub-Catchment"/>
    <n v="2626.9488000000001"/>
  </r>
  <r>
    <x v="3"/>
    <s v="MUKABERE"/>
    <s v="Public"/>
    <x v="0"/>
    <s v="Ruhango"/>
    <s v="Ruhango"/>
    <s v="NAKN_2"/>
    <s v="Gishara/Mukunguri Sub-Catchment"/>
    <n v="1313.9474400000001"/>
  </r>
  <r>
    <x v="3"/>
    <s v="GATARE3"/>
    <s v="Public"/>
    <x v="0"/>
    <s v="Ruhango"/>
    <s v="Ruhango"/>
    <s v="NAKN_2"/>
    <s v="Gishara/Mukunguri Sub-Catchment"/>
    <n v="1578.3767999999998"/>
  </r>
  <r>
    <x v="3"/>
    <s v="RWANYIRANGO"/>
    <s v="Public"/>
    <x v="0"/>
    <s v="Ruhango"/>
    <s v="Ruhango"/>
    <s v="NAKN_2"/>
    <s v="Gishara/Mukunguri Sub-Catchment"/>
    <n v="436.77359999999999"/>
  </r>
  <r>
    <x v="3"/>
    <s v="NYAGATOVU"/>
    <s v="Public"/>
    <x v="0"/>
    <s v="Ruhango"/>
    <s v="Ruhango"/>
    <s v="NAKN_2"/>
    <s v="Gishara/Mukunguri Sub-Catchment"/>
    <n v="2626.9488000000001"/>
  </r>
  <r>
    <x v="3"/>
    <s v="KAZIBAZIBA"/>
    <s v="Public"/>
    <x v="0"/>
    <s v="Ruhango"/>
    <s v="Ruhango"/>
    <s v="NAKN_2"/>
    <s v="Gishara/Mukunguri Sub-Catchment"/>
    <n v="1578.3767999999998"/>
  </r>
  <r>
    <x v="3"/>
    <s v="NYIRIBUMBA"/>
    <s v="Public"/>
    <x v="0"/>
    <s v="Ruhango"/>
    <s v="Ruhango"/>
    <s v="NAKN_2"/>
    <s v="Gishara/Mukunguri Sub-Catchment"/>
    <n v="789.97680000000003"/>
  </r>
  <r>
    <x v="3"/>
    <s v="KAZABAGARURA"/>
    <s v="Public"/>
    <x v="0"/>
    <s v="Ruhango"/>
    <s v="Ruhango"/>
    <s v="NAKN_2"/>
    <s v="Gishara/Mukunguri Sub-Catchment"/>
    <n v="1892.16"/>
  </r>
  <r>
    <x v="3"/>
    <s v="GASHUNZI"/>
    <s v="Public"/>
    <x v="0"/>
    <s v="Ruhango"/>
    <s v="Ruhango"/>
    <s v="NAKN_2"/>
    <s v="Gishara/Mukunguri Sub-Catchment"/>
    <n v="1592.5680000000002"/>
  </r>
  <r>
    <x v="3"/>
    <s v="RWABUKONI"/>
    <s v="Public"/>
    <x v="0"/>
    <s v="Ruhango"/>
    <s v="Ruhango"/>
    <s v="NAKN_2"/>
    <s v="Gishara/Mukunguri Sub-Catchment"/>
    <n v="583.41599999999994"/>
  </r>
  <r>
    <x v="3"/>
    <s v="NYAMIGOGO"/>
    <s v="Public"/>
    <x v="0"/>
    <s v="Ruhango"/>
    <s v="Ruhango"/>
    <s v="NAKN_2"/>
    <s v="Gishara/Mukunguri Sub-Catchment"/>
    <n v="3942.0000000000005"/>
  </r>
  <r>
    <x v="3"/>
    <s v="KAZABAGARURA"/>
    <s v="Public"/>
    <x v="0"/>
    <s v="Ruhango"/>
    <s v="Ruhango"/>
    <s v="NAKN_2"/>
    <s v="Gishara/Mukunguri Sub-Catchment"/>
    <n v="875.12400000000002"/>
  </r>
  <r>
    <x v="3"/>
    <s v="KAJINJA"/>
    <s v="Public"/>
    <x v="0"/>
    <s v="Ruhango"/>
    <s v="Ruhango"/>
    <s v="NAKN_2"/>
    <s v="Gishara/Mukunguri Sub-Catchment"/>
    <n v="1750.248"/>
  </r>
  <r>
    <x v="3"/>
    <s v="NYAKARIBA 2"/>
    <s v="Public"/>
    <x v="0"/>
    <s v="Ruhango"/>
    <s v="Ruhango"/>
    <s v="NAKN_2"/>
    <s v="Gishara/Mukunguri Sub-Catchment"/>
    <n v="525.07440000000008"/>
  </r>
  <r>
    <x v="3"/>
    <s v="RWANZIGIYE"/>
    <s v="Public"/>
    <x v="0"/>
    <s v="Ruhango"/>
    <s v="Ruhango"/>
    <s v="NAKN_2"/>
    <s v="Gishara/Mukunguri Sub-Catchment"/>
    <n v="819.93600000000004"/>
  </r>
  <r>
    <x v="3"/>
    <s v="RUNYINYA"/>
    <s v="Public"/>
    <x v="0"/>
    <s v="Ruhango"/>
    <s v="Ruhango"/>
    <s v="NAKN_2"/>
    <s v="Gishara/Mukunguri Sub-Catchment"/>
    <n v="1313.4744000000001"/>
  </r>
  <r>
    <x v="3"/>
    <s v="NTUNGABUHORO"/>
    <s v="Public"/>
    <x v="0"/>
    <s v="Ruhango"/>
    <s v="Ruhango"/>
    <s v="NAKN_2"/>
    <s v="Gishara/Mukunguri Sub-Catchment"/>
    <n v="130.87440000000001"/>
  </r>
  <r>
    <x v="3"/>
    <s v="BAHIMBA"/>
    <s v="Public"/>
    <x v="0"/>
    <s v="Ruhango"/>
    <s v="Ruhango"/>
    <s v="NAKN_2"/>
    <s v="Gishara/Mukunguri Sub-Catchment"/>
    <n v="525.07440000000008"/>
  </r>
  <r>
    <x v="3"/>
    <s v="GASHONGORE"/>
    <s v="Public"/>
    <x v="0"/>
    <s v="Ruhango"/>
    <s v="Ruhango"/>
    <s v="NAKN_2"/>
    <s v="Gishara/Mukunguri Sub-Catchment"/>
    <n v="261.74880000000002"/>
  </r>
  <r>
    <x v="3"/>
    <s v="NYAMUKO"/>
    <s v="Public"/>
    <x v="0"/>
    <s v="Ruhango"/>
    <s v="Ruhango"/>
    <s v="NAKN_2"/>
    <s v="Gishara/Mukunguri Sub-Catchment"/>
    <n v="684.33120000000008"/>
  </r>
  <r>
    <x v="3"/>
    <s v="MURUSENYI"/>
    <s v="Public"/>
    <x v="0"/>
    <s v="Ruhango"/>
    <s v="Ruhango"/>
    <s v="NAKN_2"/>
    <s v="Gishara/Mukunguri Sub-Catchment"/>
    <n v="583.41599999999994"/>
  </r>
  <r>
    <x v="3"/>
    <s v="NYAKARIBA"/>
    <s v="Public"/>
    <x v="0"/>
    <s v="Ruhango"/>
    <s v="Ruhango"/>
    <s v="NAKN_2"/>
    <s v="Gishara/Mukunguri Sub-Catchment"/>
    <n v="2617.4880000000003"/>
  </r>
  <r>
    <x v="3"/>
    <s v="KABINGO"/>
    <s v="Public"/>
    <x v="0"/>
    <s v="Ruhango"/>
    <s v="Ruhango"/>
    <s v="NAKN_2"/>
    <s v="Gishara/Mukunguri Sub-Catchment"/>
    <n v="507.7296"/>
  </r>
  <r>
    <x v="3"/>
    <s v="GATARE"/>
    <s v="Public"/>
    <x v="0"/>
    <s v="Ruhango"/>
    <s v="Ruhango"/>
    <s v="NAKN_2"/>
    <s v="Gishara/Mukunguri Sub-Catchment"/>
    <n v="684.33120000000008"/>
  </r>
  <r>
    <x v="3"/>
    <s v="NYAMATA"/>
    <s v="Public"/>
    <x v="0"/>
    <s v="Ruhango"/>
    <s v="Ruhango"/>
    <s v="NAKN_2"/>
    <s v="Gishara/Mukunguri Sub-Catchment"/>
    <n v="262.69488000000007"/>
  </r>
  <r>
    <x v="3"/>
    <s v="RUVOMO"/>
    <s v="Public"/>
    <x v="0"/>
    <s v="Ruhango"/>
    <s v="Ruhango"/>
    <s v="NAKN_2"/>
    <s v="Gishara/Mukunguri Sub-Catchment"/>
    <n v="655.94880000000001"/>
  </r>
  <r>
    <x v="3"/>
    <s v="NYABINYENGA"/>
    <s v="Public"/>
    <x v="0"/>
    <s v="Ruhango"/>
    <s v="Ruhango"/>
    <s v="NAKN_2"/>
    <s v="Gishara/Mukunguri Sub-Catchment"/>
    <n v="684.33120000000008"/>
  </r>
  <r>
    <x v="3"/>
    <s v="KAGOGO"/>
    <s v="Public"/>
    <x v="0"/>
    <s v="Ruhango"/>
    <s v="Ruhango"/>
    <s v="NAKN_2"/>
    <s v="Gishara/Mukunguri Sub-Catchment"/>
    <n v="2617.4880000000003"/>
  </r>
  <r>
    <x v="3"/>
    <s v="RWANZIGIYE"/>
    <s v="Public"/>
    <x v="0"/>
    <s v="Ruhango"/>
    <s v="Ruhango"/>
    <s v="NAKN_2"/>
    <s v="Gishara/Mukunguri Sub-Catchment"/>
    <n v="280.67039999999997"/>
  </r>
  <r>
    <x v="3"/>
    <s v="NYARUBANDE"/>
    <s v="Public"/>
    <x v="0"/>
    <s v="Ruhango"/>
    <s v="Ruhango"/>
    <s v="NAKN_2"/>
    <s v="Gishara/Mukunguri Sub-Catchment"/>
    <n v="262.69488000000007"/>
  </r>
  <r>
    <x v="3"/>
    <s v="GASEKE"/>
    <s v="Public"/>
    <x v="0"/>
    <s v="Ruhango"/>
    <s v="Ruhango"/>
    <s v="NAKN_2"/>
    <s v="Gishara/Mukunguri Sub-Catchment"/>
    <n v="875.12400000000002"/>
  </r>
  <r>
    <x v="3"/>
    <s v="RWANDAKAZA"/>
    <s v="Public"/>
    <x v="0"/>
    <s v="Ruhango"/>
    <s v="Ruhango"/>
    <s v="NAKN_2"/>
    <s v="Gishara/Mukunguri Sub-Catchment"/>
    <n v="1277.2080000000001"/>
  </r>
  <r>
    <x v="3"/>
    <s v="KABINGO"/>
    <s v="Public"/>
    <x v="0"/>
    <s v="Ruhango"/>
    <s v="Ruhango"/>
    <s v="NAKN_2"/>
    <s v="Gishara/Mukunguri Sub-Catchment"/>
    <n v="1592.5680000000002"/>
  </r>
  <r>
    <x v="3"/>
    <s v="MUGIKOMBE"/>
    <s v="Public"/>
    <x v="0"/>
    <s v="Ruhango"/>
    <s v="Ruhango"/>
    <s v="NAKN_2"/>
    <s v="Gishara/Mukunguri Sub-Catchment"/>
    <n v="819.93600000000004"/>
  </r>
  <r>
    <x v="3"/>
    <s v="RWABAGENZI"/>
    <s v="Public"/>
    <x v="0"/>
    <s v="Ruhango"/>
    <s v="Ruhango"/>
    <s v="NAKN_2"/>
    <s v="Gishara/Mukunguri Sub-Catchment"/>
    <n v="350.04960000000005"/>
  </r>
  <r>
    <x v="3"/>
    <s v="NANGA"/>
    <s v="Public"/>
    <x v="0"/>
    <s v="Ruhango"/>
    <s v="Ruhango"/>
    <s v="NAKN_2"/>
    <s v="Gishara/Mukunguri Sub-Catchment"/>
    <n v="655.94880000000001"/>
  </r>
  <r>
    <x v="3"/>
    <s v="RWIMPUNGIRE"/>
    <s v="Public"/>
    <x v="0"/>
    <s v="Ruhango"/>
    <s v="Ruhango"/>
    <s v="NAKN_2"/>
    <s v="Gishara/Mukunguri Sub-Catchment"/>
    <n v="1313.4744000000001"/>
  </r>
  <r>
    <x v="3"/>
    <s v="KAZABAGARURA"/>
    <s v="Public"/>
    <x v="0"/>
    <s v="Ruhango"/>
    <s v="Ruhango"/>
    <s v="NAKN_2"/>
    <s v="Gishara/Mukunguri Sub-Catchment"/>
    <n v="262.69488000000007"/>
  </r>
  <r>
    <x v="3"/>
    <s v="KAGARAMA"/>
    <s v="Public"/>
    <x v="0"/>
    <s v="Ruhango"/>
    <s v="Ruhango"/>
    <s v="NAKN_2"/>
    <s v="Gishara/Mukunguri Sub-Catchment"/>
    <n v="261.74880000000002"/>
  </r>
  <r>
    <x v="3"/>
    <s v="NYAGATOVU"/>
    <s v="Public"/>
    <x v="0"/>
    <s v="Ruhango"/>
    <s v="Ruhango"/>
    <s v="NAKN_2"/>
    <s v="Gishara/Mukunguri Sub-Catchment"/>
    <n v="441.50400000000002"/>
  </r>
  <r>
    <x v="3"/>
    <s v="TEREZA"/>
    <s v="Public"/>
    <x v="0"/>
    <s v="Ruhango"/>
    <s v="Ruhango"/>
    <s v="NAKN_2"/>
    <s v="Gishara/Mukunguri Sub-Catchment"/>
    <n v="875.12400000000002"/>
  </r>
  <r>
    <x v="3"/>
    <s v="KADAHOKWA"/>
    <s v="Public"/>
    <x v="0"/>
    <s v="Ruhango"/>
    <s v="Ruhango"/>
    <s v="NAKN_2"/>
    <s v="Gishara/Mukunguri Sub-Catchment"/>
    <n v="261.74880000000002"/>
  </r>
  <r>
    <x v="3"/>
    <s v="NYAMUKO"/>
    <s v="Public"/>
    <x v="0"/>
    <s v="Ruhango"/>
    <s v="Ruhango"/>
    <s v="NAKN_2"/>
    <s v="Gishara/Mukunguri Sub-Catchment"/>
    <n v="262.69488000000007"/>
  </r>
  <r>
    <x v="3"/>
    <s v="KAZIBAZIBA"/>
    <s v="Public"/>
    <x v="0"/>
    <s v="Ruhango"/>
    <s v="Ruhango"/>
    <s v="NAKN_2"/>
    <s v="Gishara/Mukunguri Sub-Catchment"/>
    <n v="436.77359999999999"/>
  </r>
  <r>
    <x v="3"/>
    <s v="KAZABAGARURA"/>
    <s v="Public"/>
    <x v="0"/>
    <s v="Ruhango"/>
    <s v="Ruhango"/>
    <s v="NAKN_2"/>
    <s v="Gishara/Mukunguri Sub-Catchment"/>
    <n v="436.77359999999999"/>
  </r>
  <r>
    <x v="3"/>
    <s v="NYABITARE"/>
    <s v="Public"/>
    <x v="0"/>
    <s v="Ruhango"/>
    <s v="Ruhango"/>
    <s v="NAKN_2"/>
    <s v="Gishara/Mukunguri Sub-Catchment"/>
    <n v="1313.4744000000001"/>
  </r>
  <r>
    <x v="3"/>
    <s v="SIMBESHYA"/>
    <s v="Public"/>
    <x v="0"/>
    <s v="Ruhango"/>
    <s v="Ruhango"/>
    <s v="NAKN_2"/>
    <s v="Gishara/Mukunguri Sub-Catchment"/>
    <n v="436.77359999999999"/>
  </r>
  <r>
    <x v="3"/>
    <s v="GATUMBAZI"/>
    <s v="Public"/>
    <x v="0"/>
    <s v="Ruhango"/>
    <s v="Ruhango"/>
    <s v="NAKN_2"/>
    <s v="Gishara/Mukunguri Sub-Catchment"/>
    <n v="1750.248"/>
  </r>
  <r>
    <x v="3"/>
    <s v="MPAHWE"/>
    <s v="Public"/>
    <x v="0"/>
    <s v="Gisagara"/>
    <s v="Save"/>
    <s v="NAKN_2"/>
    <s v="Gishara/Mukunguri Sub-Catchment"/>
    <n v="2522.88"/>
  </r>
  <r>
    <x v="3"/>
    <s v="GAKO"/>
    <s v="Public"/>
    <x v="0"/>
    <s v="Gisagara"/>
    <s v="Save"/>
    <s v="NAKN_2"/>
    <s v="Gishara/Mukunguri Sub-Catchment"/>
    <n v="315.36"/>
  </r>
  <r>
    <x v="3"/>
    <s v="RUBIHA"/>
    <s v="Public"/>
    <x v="0"/>
    <s v="Gisagara"/>
    <s v="Save"/>
    <s v="NAKN_2"/>
    <s v="Gishara/Mukunguri Sub-Catchment"/>
    <n v="473.04"/>
  </r>
  <r>
    <x v="3"/>
    <s v="RUHORANA"/>
    <s v="Public"/>
    <x v="0"/>
    <s v="Gisagara"/>
    <s v="Save"/>
    <s v="NAKN_2"/>
    <s v="Gishara/Mukunguri Sub-Catchment"/>
    <n v="315.36"/>
  </r>
  <r>
    <x v="3"/>
    <s v="NYAMUKO"/>
    <s v="Public"/>
    <x v="0"/>
    <s v="Gisagara"/>
    <s v="Save"/>
    <s v="NAKN_2"/>
    <s v="Gishara/Mukunguri Sub-Catchment"/>
    <n v="473.04"/>
  </r>
  <r>
    <x v="3"/>
    <s v="BUGONDO"/>
    <s v="Public"/>
    <x v="0"/>
    <s v="Gisagara"/>
    <s v="Save"/>
    <s v="NAKN_2"/>
    <s v="Gishara/Mukunguri Sub-Catchment"/>
    <n v="7884.0000000000009"/>
  </r>
  <r>
    <x v="3"/>
    <s v="NYABUHORO"/>
    <s v="Public"/>
    <x v="0"/>
    <s v="Gisagara"/>
    <s v="Save"/>
    <s v="NAKN_2"/>
    <s v="Gishara/Mukunguri Sub-Catchment"/>
    <n v="788.40000000000009"/>
  </r>
  <r>
    <x v="3"/>
    <s v="NYAKAGEZI"/>
    <s v="Public"/>
    <x v="0"/>
    <s v="Gisagara"/>
    <s v="Save"/>
    <s v="NAKN_2"/>
    <s v="Gishara/Mukunguri Sub-Catchment"/>
    <n v="3942.0000000000005"/>
  </r>
  <r>
    <x v="3"/>
    <s v="RWACOKO"/>
    <s v="Public"/>
    <x v="0"/>
    <s v="Gisagara"/>
    <s v="Save"/>
    <s v="NAKN_2"/>
    <s v="Gishara/Mukunguri Sub-Catchment"/>
    <n v="5203.4400000000005"/>
  </r>
  <r>
    <x v="3"/>
    <s v="GASAVE"/>
    <s v="Public"/>
    <x v="0"/>
    <s v="Gisagara"/>
    <s v="Save"/>
    <s v="NAKN_2"/>
    <s v="Gishara/Mukunguri Sub-Catchment"/>
    <n v="3942.0000000000005"/>
  </r>
  <r>
    <x v="3"/>
    <s v="RWAMWUMBA"/>
    <s v="Public"/>
    <x v="0"/>
    <s v="Gisagara"/>
    <s v="Save"/>
    <s v="NAKN_2"/>
    <s v="Gishara/Mukunguri Sub-Catchment"/>
    <n v="4257.3600000000006"/>
  </r>
  <r>
    <x v="3"/>
    <s v="NYARURAMA"/>
    <s v="Public"/>
    <x v="0"/>
    <s v="Gisagara"/>
    <s v="Save"/>
    <s v="NAKN_2"/>
    <s v="Gishara/Mukunguri Sub-Catchment"/>
    <n v="3942.0000000000005"/>
  </r>
  <r>
    <x v="3"/>
    <s v="RWASANGABO"/>
    <s v="Public"/>
    <x v="0"/>
    <s v="Gisagara"/>
    <s v="Save"/>
    <s v="NAKN_2"/>
    <s v="Gishara/Mukunguri Sub-Catchment"/>
    <n v="2522.88"/>
  </r>
  <r>
    <x v="3"/>
    <s v="KAZABAGARURA"/>
    <s v="Public"/>
    <x v="0"/>
    <s v="Gisagara"/>
    <s v="Save"/>
    <s v="NAKN_2"/>
    <s v="Gishara/Mukunguri Sub-Catchment"/>
    <n v="2522.88"/>
  </r>
  <r>
    <x v="3"/>
    <s v="SUBUKINIRO"/>
    <s v="Public"/>
    <x v="0"/>
    <s v="Gisagara"/>
    <s v="Save"/>
    <s v="NAKN_2"/>
    <s v="Gishara/Mukunguri Sub-Catchment"/>
    <n v="3942.0000000000005"/>
  </r>
  <r>
    <x v="3"/>
    <s v="KAMUHETOII"/>
    <s v="Public"/>
    <x v="0"/>
    <s v="Gisagara"/>
    <s v="Save"/>
    <s v="NAKN_2"/>
    <s v="Gishara/Mukunguri Sub-Catchment"/>
    <n v="2522.88"/>
  </r>
  <r>
    <x v="3"/>
    <s v="AGAHAMA II"/>
    <s v="Public"/>
    <x v="0"/>
    <s v="Gisagara"/>
    <s v="Save"/>
    <s v="NAKN_2"/>
    <s v="Gishara/Mukunguri Sub-Catchment"/>
    <n v="2522.88"/>
  </r>
  <r>
    <x v="3"/>
    <s v="AGAHAMA I"/>
    <s v="Public"/>
    <x v="0"/>
    <s v="Gisagara"/>
    <s v="Save"/>
    <s v="NAKN_2"/>
    <s v="Gishara/Mukunguri Sub-Catchment"/>
    <n v="2207.5200000000004"/>
  </r>
  <r>
    <x v="3"/>
    <s v="RWANYIRABIGEGA"/>
    <s v="Public"/>
    <x v="0"/>
    <s v="Gisagara"/>
    <s v="Save"/>
    <s v="NAKN_2"/>
    <s v="Gishara/Mukunguri Sub-Catchment"/>
    <n v="3153.6000000000004"/>
  </r>
  <r>
    <x v="3"/>
    <s v="NYAKAGEZI"/>
    <s v="Public"/>
    <x v="0"/>
    <s v="Gisagara"/>
    <s v="Save"/>
    <s v="NAKN_2"/>
    <s v="Gishara/Mukunguri Sub-Catchment"/>
    <n v="2522.88"/>
  </r>
  <r>
    <x v="3"/>
    <s v="NYABIGUGU"/>
    <s v="Public"/>
    <x v="0"/>
    <s v="Gisagara"/>
    <s v="Save"/>
    <s v="NAKN_2"/>
    <s v="Gishara/Mukunguri Sub-Catchment"/>
    <n v="3153.6000000000004"/>
  </r>
  <r>
    <x v="3"/>
    <s v="GASAVE"/>
    <s v="Public"/>
    <x v="0"/>
    <s v="Gisagara"/>
    <s v="Save"/>
    <s v="NAKN_2"/>
    <s v="Gishara/Mukunguri Sub-Catchment"/>
    <n v="2207.5200000000004"/>
  </r>
  <r>
    <x v="3"/>
    <s v="RUGOLI"/>
    <s v="Public"/>
    <x v="0"/>
    <s v="Gisagara"/>
    <s v="Save"/>
    <s v="NAKN_2"/>
    <s v="Gishara/Mukunguri Sub-Catchment"/>
    <n v="7884.0000000000009"/>
  </r>
  <r>
    <x v="3"/>
    <s v="RWANTAGO II"/>
    <s v="Public"/>
    <x v="0"/>
    <s v="Gisagara"/>
    <s v="Save"/>
    <s v="NAKN_2"/>
    <s v="Gishara/Mukunguri Sub-Catchment"/>
    <n v="3153.6000000000004"/>
  </r>
  <r>
    <x v="3"/>
    <s v="KAMUHETO I"/>
    <s v="Public"/>
    <x v="0"/>
    <s v="Gisagara"/>
    <s v="Save"/>
    <s v="NAKN_2"/>
    <s v="Gishara/Mukunguri Sub-Catchment"/>
    <n v="2522.88"/>
  </r>
  <r>
    <x v="3"/>
    <s v="RWANTANGO I"/>
    <s v="Public"/>
    <x v="0"/>
    <s v="Gisagara"/>
    <s v="Save"/>
    <s v="NAKN_2"/>
    <s v="Gishara/Mukunguri Sub-Catchment"/>
    <n v="3153.6000000000004"/>
  </r>
  <r>
    <x v="3"/>
    <s v="NYAKARIBA"/>
    <s v="Public"/>
    <x v="0"/>
    <s v="Gisagara"/>
    <s v="Save"/>
    <s v="NAKN_2"/>
    <s v="Gishara/Mukunguri Sub-Catchment"/>
    <n v="3942.0000000000005"/>
  </r>
  <r>
    <x v="3"/>
    <s v="GAHOKO"/>
    <s v="Public"/>
    <x v="0"/>
    <s v="Gisagara"/>
    <s v="Save"/>
    <s v="NAKN_2"/>
    <s v="Gishara/Mukunguri Sub-Catchment"/>
    <n v="5203.4400000000005"/>
  </r>
  <r>
    <x v="3"/>
    <s v="AGATARE"/>
    <s v="Public"/>
    <x v="0"/>
    <s v="Gisagara"/>
    <s v="Save"/>
    <s v="NAKN_2"/>
    <s v="Gishara/Mukunguri Sub-Catchment"/>
    <n v="2207.5200000000004"/>
  </r>
  <r>
    <x v="3"/>
    <s v="RWANGUGE"/>
    <s v="Public"/>
    <x v="0"/>
    <s v="Gisagara"/>
    <s v="Save"/>
    <s v="NAKN_2"/>
    <s v="Gishara/Mukunguri Sub-Catchment"/>
    <n v="5203.4400000000005"/>
  </r>
  <r>
    <x v="3"/>
    <s v="NYAKARIBA"/>
    <s v="Public"/>
    <x v="0"/>
    <s v="Gisagara"/>
    <s v="Save"/>
    <s v="NAKN_2"/>
    <s v="Gishara/Mukunguri Sub-Catchment"/>
    <n v="2522.88"/>
  </r>
  <r>
    <x v="3"/>
    <s v="KANEKE"/>
    <s v="Public"/>
    <x v="0"/>
    <s v="Gisagara"/>
    <s v="Save"/>
    <s v="NAKN_2"/>
    <s v="Gishara/Mukunguri Sub-Catchment"/>
    <n v="5203.4400000000005"/>
  </r>
  <r>
    <x v="3"/>
    <s v="SHILINYOTA"/>
    <s v="Public"/>
    <x v="0"/>
    <s v="Gisagara"/>
    <s v="Save"/>
    <s v="NAKN_2"/>
    <s v="Gishara/Mukunguri Sub-Catchment"/>
    <n v="5203.4400000000005"/>
  </r>
  <r>
    <x v="3"/>
    <s v="KADOBOGO II"/>
    <s v="Public"/>
    <x v="0"/>
    <s v="Gisagara"/>
    <s v="Save"/>
    <s v="NAKN_2"/>
    <s v="Gishara/Mukunguri Sub-Catchment"/>
    <n v="189216.00000000003"/>
  </r>
  <r>
    <x v="3"/>
    <s v="KADOBOGOI"/>
    <s v="Public"/>
    <x v="0"/>
    <s v="Gisagara"/>
    <s v="Save"/>
    <s v="NAKN_2"/>
    <s v="Gishara/Mukunguri Sub-Catchment"/>
    <n v="5203.4400000000005"/>
  </r>
  <r>
    <x v="3"/>
    <s v="NYAKARIBA"/>
    <s v="Public"/>
    <x v="0"/>
    <s v="Gisagara"/>
    <s v="Save"/>
    <s v="NAKN_2"/>
    <s v="Gishara/Mukunguri Sub-Catchment"/>
    <n v="5203.4400000000005"/>
  </r>
  <r>
    <x v="3"/>
    <s v="KARUHINDURA"/>
    <s v="Public"/>
    <x v="0"/>
    <s v="Gisagara"/>
    <s v="Save"/>
    <s v="NAKN_2"/>
    <s v="Gishara/Mukunguri Sub-Catchment"/>
    <n v="2207.5200000000004"/>
  </r>
  <r>
    <x v="3"/>
    <s v="RWABUGABO"/>
    <s v="Public"/>
    <x v="0"/>
    <s v="Gisagara"/>
    <s v="Save"/>
    <s v="NAKN_2"/>
    <s v="Gishara/Mukunguri Sub-Catchment"/>
    <n v="5203.4400000000005"/>
  </r>
  <r>
    <x v="3"/>
    <s v="AKIMANA"/>
    <s v="Public"/>
    <x v="0"/>
    <s v="Gisagara"/>
    <s v="Save"/>
    <s v="NAKN_2"/>
    <s v="Gishara/Mukunguri Sub-Catchment"/>
    <n v="7884.0000000000009"/>
  </r>
  <r>
    <x v="3"/>
    <s v="CYAHAFI"/>
    <s v="Public"/>
    <x v="0"/>
    <s v="Gisagara"/>
    <s v="Save"/>
    <s v="NAKN_2"/>
    <s v="Gishara/Mukunguri Sub-Catchment"/>
    <n v="5203.4400000000005"/>
  </r>
  <r>
    <x v="3"/>
    <s v="GAKENJA"/>
    <s v="Public"/>
    <x v="0"/>
    <s v="Gisagara"/>
    <s v="Save"/>
    <s v="NAKN_2"/>
    <s v="Gishara/Mukunguri Sub-Catchment"/>
    <n v="5203.4400000000005"/>
  </r>
  <r>
    <x v="3"/>
    <s v="NYABITARE"/>
    <s v="Public"/>
    <x v="0"/>
    <s v="Gisagara"/>
    <s v="Save"/>
    <s v="NAKN_2"/>
    <s v="Gishara/Mukunguri Sub-Catchment"/>
    <n v="2207.5200000000004"/>
  </r>
  <r>
    <x v="3"/>
    <s v="GASHUBI"/>
    <s v="Public"/>
    <x v="0"/>
    <s v="Gisagara"/>
    <s v="Save"/>
    <s v="NAKN_2"/>
    <s v="Gishara/Mukunguri Sub-Catchment"/>
    <n v="2522.88"/>
  </r>
  <r>
    <x v="3"/>
    <s v="NTAKANANIRA"/>
    <s v="Public"/>
    <x v="0"/>
    <s v="Gisagara"/>
    <s v="Save"/>
    <s v="NAKN_2"/>
    <s v="Gishara/Mukunguri Sub-Catchment"/>
    <n v="5045.76"/>
  </r>
  <r>
    <x v="3"/>
    <s v="RWANKORI"/>
    <s v="Public"/>
    <x v="0"/>
    <s v="Gisagara"/>
    <s v="Save"/>
    <s v="NAKN_2"/>
    <s v="Gishara/Mukunguri Sub-Catchment"/>
    <n v="1419.12"/>
  </r>
  <r>
    <x v="3"/>
    <s v="NYAMIREMBE"/>
    <s v="Public"/>
    <x v="0"/>
    <s v="Muhanga"/>
    <s v="Shyogwe"/>
    <s v="NAKN_2"/>
    <s v="Gishara/Mukunguri Sub-Catchment"/>
    <n v="4730.4000000000005"/>
  </r>
  <r>
    <x v="3"/>
    <s v="GASOKO"/>
    <s v="Public"/>
    <x v="0"/>
    <s v="Muhanga"/>
    <s v="Shyogwe"/>
    <s v="NAKN_2"/>
    <s v="Gishara/Mukunguri Sub-Catchment"/>
    <n v="788.40000000000009"/>
  </r>
  <r>
    <x v="3"/>
    <s v="KAJINJA"/>
    <s v="Public"/>
    <x v="0"/>
    <s v="Muhanga"/>
    <s v="Shyogwe"/>
    <s v="NAKN_2"/>
    <s v="Gishara/Mukunguri Sub-Catchment"/>
    <n v="1892.16"/>
  </r>
  <r>
    <x v="3"/>
    <s v="KIBITOVU"/>
    <s v="Public"/>
    <x v="0"/>
    <s v="Muhanga"/>
    <s v="Shyogwe"/>
    <s v="NAKN_2"/>
    <s v="Gishara/Mukunguri Sub-Catchment"/>
    <n v="7884.0000000000009"/>
  </r>
  <r>
    <x v="3"/>
    <s v="GITOBE"/>
    <s v="Public"/>
    <x v="0"/>
    <s v="Muhanga"/>
    <s v="Shyogwe"/>
    <s v="NAKN_2"/>
    <s v="Gishara/Mukunguri Sub-Catchment"/>
    <n v="3942.0000000000005"/>
  </r>
  <r>
    <x v="3"/>
    <s v="GATARE I"/>
    <s v="Public"/>
    <x v="0"/>
    <s v="Muhanga"/>
    <s v="Shyogwe"/>
    <s v="NAKN_2"/>
    <s v="Gishara/Mukunguri Sub-Catchment"/>
    <n v="4730.4000000000005"/>
  </r>
  <r>
    <x v="3"/>
    <s v="GATARE II"/>
    <s v="Public"/>
    <x v="0"/>
    <s v="Muhanga"/>
    <s v="Shyogwe"/>
    <s v="NAKN_2"/>
    <s v="Gishara/Mukunguri Sub-Catchment"/>
    <n v="0"/>
  </r>
  <r>
    <x v="3"/>
    <s v="GATOBOTOBO"/>
    <s v="Public"/>
    <x v="0"/>
    <s v="Muhanga"/>
    <s v="Shyogwe"/>
    <s v="NAKN_2"/>
    <s v="Gishara/Mukunguri Sub-Catchment"/>
    <n v="1576.8000000000002"/>
  </r>
  <r>
    <x v="3"/>
    <s v="BUGURIZO"/>
    <s v="Public"/>
    <x v="0"/>
    <s v="Muhanga"/>
    <s v="Shyogwe"/>
    <s v="NAKN_2"/>
    <s v="Gishara/Mukunguri Sub-Catchment"/>
    <n v="4730.4000000000005"/>
  </r>
  <r>
    <x v="3"/>
    <s v="NYAKERA"/>
    <s v="Public"/>
    <x v="0"/>
    <s v="Muhanga"/>
    <s v="Shyogwe"/>
    <s v="NAKN_2"/>
    <s v="Gishara/Mukunguri Sub-Catchment"/>
    <n v="6307.2000000000007"/>
  </r>
  <r>
    <x v="3"/>
    <s v="RWAKINYENZI"/>
    <s v="Public"/>
    <x v="0"/>
    <s v="Muhanga"/>
    <s v="Shyogwe"/>
    <s v="NAKN_2"/>
    <s v="Gishara/Mukunguri Sub-Catchment"/>
    <n v="5518.8"/>
  </r>
  <r>
    <x v="3"/>
    <s v="KAZABAGARURA (MMARIYA TEREZA)"/>
    <s v="Public"/>
    <x v="0"/>
    <s v="Muhanga"/>
    <s v="Shyogwe"/>
    <s v="NAKN_2"/>
    <s v="Gishara/Mukunguri Sub-Catchment"/>
    <n v="3153.6000000000004"/>
  </r>
  <r>
    <x v="3"/>
    <s v="NYAKIBURIRI"/>
    <s v="Public"/>
    <x v="0"/>
    <s v="Muhanga"/>
    <s v="Shyogwe"/>
    <s v="NAKN_2"/>
    <s v="Gishara/Mukunguri Sub-Catchment"/>
    <n v="946.08"/>
  </r>
  <r>
    <x v="3"/>
    <s v="GASOVU I"/>
    <s v="Public"/>
    <x v="0"/>
    <s v="Muhanga"/>
    <s v="Shyogwe"/>
    <s v="NAKN_2"/>
    <s v="Gishara/Mukunguri Sub-Catchment"/>
    <n v="630.72"/>
  </r>
  <r>
    <x v="3"/>
    <s v="GASOVU II"/>
    <s v="Public"/>
    <x v="0"/>
    <s v="Muhanga"/>
    <s v="Shyogwe"/>
    <s v="NAKN_2"/>
    <s v="Gishara/Mukunguri Sub-Catchment"/>
    <n v="630.72"/>
  </r>
  <r>
    <x v="3"/>
    <s v="NYAGASHONGA"/>
    <s v="Public"/>
    <x v="0"/>
    <s v="Muhanga"/>
    <s v="Shyogwe"/>
    <s v="NAKN_2"/>
    <s v="Gishara/Mukunguri Sub-Catchment"/>
    <n v="1892.16"/>
  </r>
  <r>
    <x v="3"/>
    <s v="NYAMUTEGA"/>
    <s v="Public"/>
    <x v="0"/>
    <s v="Muhanga"/>
    <s v="Shyogwe"/>
    <s v="NAKN_2"/>
    <s v="Gishara/Mukunguri Sub-Catchment"/>
    <n v="1576.8000000000002"/>
  </r>
  <r>
    <x v="3"/>
    <s v="MUKINAMA"/>
    <s v="Public"/>
    <x v="0"/>
    <s v="Muhanga"/>
    <s v="Shyogwe"/>
    <s v="NAKN_2"/>
    <s v="Gishara/Mukunguri Sub-Catchment"/>
    <n v="6307.2000000000007"/>
  </r>
  <r>
    <x v="3"/>
    <s v="KAGINA"/>
    <s v="Public"/>
    <x v="0"/>
    <s v="Muhanga"/>
    <s v="Shyogwe"/>
    <s v="NAKN_2"/>
    <s v="Gishara/Mukunguri Sub-Catchment"/>
    <n v="4730.4000000000005"/>
  </r>
  <r>
    <x v="3"/>
    <s v="GATARE SONGA"/>
    <s v="Public"/>
    <x v="0"/>
    <s v="Muhanga"/>
    <s v="Shyogwe"/>
    <s v="NAKN_2"/>
    <s v="Gishara/Mukunguri Sub-Catchment"/>
    <n v="14191.2"/>
  </r>
  <r>
    <x v="3"/>
    <s v="GATABO"/>
    <s v="Public"/>
    <x v="0"/>
    <s v="Muhanga"/>
    <s v="Shyogwe"/>
    <s v="NAKN_2"/>
    <s v="Gishara/Mukunguri Sub-Catchment"/>
    <n v="4730.4000000000005"/>
  </r>
  <r>
    <x v="3"/>
    <s v="NYAKERU"/>
    <s v="Public"/>
    <x v="0"/>
    <s v="Muhanga"/>
    <s v="Shyogwe"/>
    <s v="NAKN_2"/>
    <s v="Gishara/Mukunguri Sub-Catchment"/>
    <n v="3942.0000000000005"/>
  </r>
  <r>
    <x v="3"/>
    <s v="KIRUHURA"/>
    <s v="Public"/>
    <x v="0"/>
    <s v="Muhanga"/>
    <s v="Shyogwe"/>
    <s v="NAKN_2"/>
    <s v="Gishara/Mukunguri Sub-Catchment"/>
    <n v="6307.2000000000007"/>
  </r>
  <r>
    <x v="3"/>
    <s v="GASEKE"/>
    <s v="Public"/>
    <x v="0"/>
    <s v="Muhanga"/>
    <s v="Shyogwe"/>
    <s v="NAKN_2"/>
    <s v="Gishara/Mukunguri Sub-Catchment"/>
    <n v="8672.4000000000015"/>
  </r>
  <r>
    <x v="3"/>
    <s v="RUHONDO"/>
    <s v="Public"/>
    <x v="0"/>
    <s v="Muhanga"/>
    <s v="Shyogwe"/>
    <s v="NAKN_2"/>
    <s v="Gishara/Mukunguri Sub-Catchment"/>
    <n v="4730.4000000000005"/>
  </r>
  <r>
    <x v="3"/>
    <s v="KIRUHURA"/>
    <s v="Public"/>
    <x v="0"/>
    <s v="Muhanga"/>
    <s v="Shyogwe"/>
    <s v="NAKN_2"/>
    <s v="Gishara/Mukunguri Sub-Catchment"/>
    <n v="7095.6"/>
  </r>
  <r>
    <x v="3"/>
    <s v="KAGENDE"/>
    <s v="Public"/>
    <x v="0"/>
    <s v="Muhanga"/>
    <s v="Shyogwe"/>
    <s v="NAKN_2"/>
    <s v="Gishara/Mukunguri Sub-Catchment"/>
    <n v="3468.9600000000005"/>
  </r>
  <r>
    <x v="3"/>
    <s v="GATOKI II"/>
    <s v="Public"/>
    <x v="0"/>
    <s v="Muhanga"/>
    <s v="Shyogwe"/>
    <s v="NAKN_2"/>
    <s v="Gishara/Mukunguri Sub-Catchment"/>
    <n v="3942.0000000000005"/>
  </r>
  <r>
    <x v="3"/>
    <s v="KABAGABAGA"/>
    <s v="Public"/>
    <x v="0"/>
    <s v="Muhanga"/>
    <s v="Shyogwe"/>
    <s v="NAKN_2"/>
    <s v="Gishara/Mukunguri Sub-Catchment"/>
    <n v="6307.2000000000007"/>
  </r>
  <r>
    <x v="3"/>
    <s v="KAZABAGARURA"/>
    <s v="Public"/>
    <x v="0"/>
    <s v="Muhanga"/>
    <s v="Shyogwe"/>
    <s v="NAKN_2"/>
    <s v="Gishara/Mukunguri Sub-Catchment"/>
    <n v="12614.400000000001"/>
  </r>
  <r>
    <x v="3"/>
    <s v="NKUNZABORO"/>
    <s v="Public"/>
    <x v="0"/>
    <s v="Muhanga"/>
    <s v="Shyogwe"/>
    <s v="NAKN_2"/>
    <s v="Gishara/Mukunguri Sub-Catchment"/>
    <n v="7884.0000000000009"/>
  </r>
  <r>
    <x v="3"/>
    <s v="NYAGATOVU"/>
    <s v="Public"/>
    <x v="0"/>
    <s v="Muhanga"/>
    <s v="Shyogwe"/>
    <s v="NAKN_2"/>
    <s v="Gishara/Mukunguri Sub-Catchment"/>
    <n v="473.04"/>
  </r>
  <r>
    <x v="3"/>
    <s v="KAZIBAZIBA"/>
    <s v="Public"/>
    <x v="0"/>
    <s v="Muhanga"/>
    <s v="Shyogwe"/>
    <s v="NAKN_2"/>
    <s v="Gishara/Mukunguri Sub-Catchment"/>
    <n v="3153.6000000000004"/>
  </r>
  <r>
    <x v="3"/>
    <s v="KWA MUSONI"/>
    <s v="Public"/>
    <x v="0"/>
    <s v="Muhanga"/>
    <s v="Shyogwe"/>
    <s v="NAKN_2"/>
    <s v="Gishara/Mukunguri Sub-Catchment"/>
    <n v="3942.0000000000005"/>
  </r>
  <r>
    <x v="3"/>
    <s v="KARIBA"/>
    <s v="Public"/>
    <x v="0"/>
    <s v="Muhanga"/>
    <s v="Shyogwe"/>
    <s v="NAKN_2"/>
    <s v="Gishara/Mukunguri Sub-Catchment"/>
    <n v="3942.0000000000005"/>
  </r>
  <r>
    <x v="3"/>
    <s v="CYAHAFI"/>
    <s v="Public"/>
    <x v="0"/>
    <s v="Muhanga"/>
    <s v="Shyogwe"/>
    <s v="NAKN_2"/>
    <s v="Gishara/Mukunguri Sub-Catchment"/>
    <n v="4730.4000000000005"/>
  </r>
  <r>
    <x v="3"/>
    <s v="GASHONGA"/>
    <s v="Public"/>
    <x v="0"/>
    <s v="Muhanga"/>
    <s v="Shyogwe"/>
    <s v="NAKN_2"/>
    <s v="Gishara/Mukunguri Sub-Catchment"/>
    <n v="3626.64"/>
  </r>
  <r>
    <x v="3"/>
    <s v="GASHARU"/>
    <s v="Public"/>
    <x v="0"/>
    <s v="Muhanga"/>
    <s v="Shyogwe"/>
    <s v="NAKN_2"/>
    <s v="Gishara/Mukunguri Sub-Catchment"/>
    <n v="3942.0000000000005"/>
  </r>
  <r>
    <x v="3"/>
    <s v="KARIBAKABANA"/>
    <s v="Public"/>
    <x v="0"/>
    <s v="Muhanga"/>
    <s v="Shyogwe"/>
    <s v="NAKN_2"/>
    <s v="Gishara/Mukunguri Sub-Catchment"/>
    <n v="4730.4000000000005"/>
  </r>
  <r>
    <x v="3"/>
    <s v="NYAKARIBA"/>
    <s v="Public"/>
    <x v="0"/>
    <s v="Muhanga"/>
    <s v="Shyogwe"/>
    <s v="NAKN_2"/>
    <s v="Gishara/Mukunguri Sub-Catchment"/>
    <n v="4730.4000000000005"/>
  </r>
  <r>
    <x v="3"/>
    <s v="GAKERI"/>
    <s v="Public"/>
    <x v="0"/>
    <s v="Muhanga"/>
    <s v="Shyogwe"/>
    <s v="NAKN_2"/>
    <s v="Gishara/Mukunguri Sub-Catchment"/>
    <n v="1103.7600000000002"/>
  </r>
  <r>
    <x v="3"/>
    <s v="RUHINA"/>
    <s v="Public"/>
    <x v="0"/>
    <s v="Muhanga"/>
    <s v="Shyogwe"/>
    <s v="NAKN_2"/>
    <s v="Gishara/Mukunguri Sub-Catchment"/>
    <n v="4730.4000000000005"/>
  </r>
  <r>
    <x v="3"/>
    <s v="NYIRAMADARI"/>
    <s v="Public"/>
    <x v="0"/>
    <s v="Muhanga"/>
    <s v="Shyogwe"/>
    <s v="NAKN_2"/>
    <s v="Gishara/Mukunguri Sub-Catchment"/>
    <n v="3626.64"/>
  </r>
  <r>
    <x v="3"/>
    <s v="CYERWA"/>
    <s v="Public"/>
    <x v="0"/>
    <s v="Muhanga"/>
    <s v="Shyogwe"/>
    <s v="NAKN_2"/>
    <s v="Gishara/Mukunguri Sub-Catchment"/>
    <n v="12614.400000000001"/>
  </r>
  <r>
    <x v="3"/>
    <s v="UWAGAHARA 2"/>
    <s v="Public"/>
    <x v="0"/>
    <s v="Nyaruguru"/>
    <s v="Busanze"/>
    <s v="NAKN_1"/>
    <s v="Giswi/Agatobwe Sub-Catchment"/>
    <n v="6307.2000000000007"/>
  </r>
  <r>
    <x v="3"/>
    <s v="UWANTUYE"/>
    <s v="Public"/>
    <x v="0"/>
    <s v="Nyaruguru"/>
    <s v="Busanze"/>
    <s v="NAKN_1"/>
    <s v="Giswi/Agatobwe Sub-Catchment"/>
    <n v="126144.00000000001"/>
  </r>
  <r>
    <x v="3"/>
    <s v="UWASEMUTALI"/>
    <s v="Public"/>
    <x v="0"/>
    <s v="Nyaruguru"/>
    <s v="Busanze"/>
    <s v="NAKN_1"/>
    <s v="Giswi/Agatobwe Sub-Catchment"/>
    <n v="2365.2000000000003"/>
  </r>
  <r>
    <x v="3"/>
    <s v="URUGUNA"/>
    <s v="Public"/>
    <x v="0"/>
    <s v="Nyaruguru"/>
    <s v="Busanze"/>
    <s v="NAKN_1"/>
    <s v="Giswi/Agatobwe Sub-Catchment"/>
    <n v="5361.12"/>
  </r>
  <r>
    <x v="3"/>
    <s v="ABAJEMBE"/>
    <s v="Public"/>
    <x v="0"/>
    <s v="Nyaruguru"/>
    <s v="Busanze"/>
    <s v="NAKN_1"/>
    <s v="Giswi/Agatobwe Sub-Catchment"/>
    <n v="473.04"/>
  </r>
  <r>
    <x v="3"/>
    <s v="UBUHONONGO"/>
    <s v="Public"/>
    <x v="0"/>
    <s v="Nyaruguru"/>
    <s v="Busanze"/>
    <s v="NAKN_1"/>
    <s v="Giswi/Agatobwe Sub-Catchment"/>
    <n v="315.36"/>
  </r>
  <r>
    <x v="3"/>
    <s v="UWABIRAGO"/>
    <s v="Public"/>
    <x v="0"/>
    <s v="Nyaruguru"/>
    <s v="Busanze"/>
    <s v="NAKN_1"/>
    <s v="Giswi/Agatobwe Sub-Catchment"/>
    <n v="1103.7600000000002"/>
  </r>
  <r>
    <x v="3"/>
    <s v="UWABADELI"/>
    <s v="Public"/>
    <x v="0"/>
    <s v="Nyaruguru"/>
    <s v="Busanze"/>
    <s v="NAKN_1"/>
    <s v="Giswi/Agatobwe Sub-Catchment"/>
    <n v="3468.9600000000005"/>
  </r>
  <r>
    <x v="3"/>
    <s v="RWACYUNGURA"/>
    <s v="Public"/>
    <x v="0"/>
    <s v="Nyaruguru"/>
    <s v="Busanze"/>
    <s v="NAKN_1"/>
    <s v="Giswi/Agatobwe Sub-Catchment"/>
    <n v="1261.44"/>
  </r>
  <r>
    <x v="3"/>
    <s v="UWAMPUMURO"/>
    <s v="Public"/>
    <x v="0"/>
    <s v="Nyaruguru"/>
    <s v="Busanze"/>
    <s v="NAKN_1"/>
    <s v="Giswi/Agatobwe Sub-Catchment"/>
    <n v="1734.4800000000002"/>
  </r>
  <r>
    <x v="3"/>
    <s v="UWAGAKENEYERI"/>
    <s v="Public"/>
    <x v="0"/>
    <s v="Nyaruguru"/>
    <s v="Busanze"/>
    <s v="NAKN_1"/>
    <s v="Giswi/Agatobwe Sub-Catchment"/>
    <n v="2522.88"/>
  </r>
  <r>
    <x v="3"/>
    <s v="NYAMAHINDU"/>
    <s v="Public"/>
    <x v="0"/>
    <s v="Nyaruguru"/>
    <s v="Busanze"/>
    <s v="NAKN_1"/>
    <s v="Giswi/Agatobwe Sub-Catchment"/>
    <n v="1261.44"/>
  </r>
  <r>
    <x v="3"/>
    <s v="UWABANA"/>
    <s v="Public"/>
    <x v="0"/>
    <s v="Nyaruguru"/>
    <s v="Busanze"/>
    <s v="NAKN_1"/>
    <s v="Giswi/Agatobwe Sub-Catchment"/>
    <n v="630.72"/>
  </r>
  <r>
    <x v="3"/>
    <s v="UWUBUBINGO"/>
    <s v="Public"/>
    <x v="0"/>
    <s v="Nyaruguru"/>
    <s v="Busanze"/>
    <s v="NAKN_1"/>
    <s v="Giswi/Agatobwe Sub-Catchment"/>
    <n v="630.72"/>
  </r>
  <r>
    <x v="3"/>
    <s v="RWABITEBA"/>
    <s v="Public"/>
    <x v="0"/>
    <s v="Nyaruguru"/>
    <s v="Busanze"/>
    <s v="NAKN_1"/>
    <s v="Giswi/Agatobwe Sub-Catchment"/>
    <n v="788.40000000000009"/>
  </r>
  <r>
    <x v="3"/>
    <s v="UWAGATUNTU"/>
    <s v="Public"/>
    <x v="0"/>
    <s v="Nyaruguru"/>
    <s v="Busanze"/>
    <s v="NAKN_1"/>
    <s v="Giswi/Agatobwe Sub-Catchment"/>
    <n v="9460.8000000000011"/>
  </r>
  <r>
    <x v="3"/>
    <s v="UWAKANUNGU"/>
    <s v="Public"/>
    <x v="0"/>
    <s v="Nyaruguru"/>
    <s v="Busanze"/>
    <s v="NAKN_1"/>
    <s v="Giswi/Agatobwe Sub-Catchment"/>
    <n v="1419.12"/>
  </r>
  <r>
    <x v="3"/>
    <s v="UWANDABATEZE"/>
    <s v="Public"/>
    <x v="0"/>
    <s v="Nyaruguru"/>
    <s v="Busanze"/>
    <s v="NAKN_1"/>
    <s v="Giswi/Agatobwe Sub-Catchment"/>
    <n v="12614.400000000001"/>
  </r>
  <r>
    <x v="3"/>
    <s v="AGATARE"/>
    <s v="Public"/>
    <x v="0"/>
    <s v="Nyaruguru"/>
    <s v="Busanze"/>
    <s v="NAKN_1"/>
    <s v="Giswi/Agatobwe Sub-Catchment"/>
    <n v="9460.8000000000011"/>
  </r>
  <r>
    <x v="3"/>
    <s v="UWANDAGANO"/>
    <s v="Public"/>
    <x v="0"/>
    <s v="Nyaruguru"/>
    <s v="Busanze"/>
    <s v="NAKN_1"/>
    <s v="Giswi/Agatobwe Sub-Catchment"/>
    <n v="9460.8000000000011"/>
  </r>
  <r>
    <x v="3"/>
    <s v="UWASETONGA"/>
    <s v="Public"/>
    <x v="0"/>
    <s v="Nyaruguru"/>
    <s v="Busanze"/>
    <s v="NAKN_1"/>
    <s v="Giswi/Agatobwe Sub-Catchment"/>
    <n v="1261.44"/>
  </r>
  <r>
    <x v="3"/>
    <s v="UWARUTANGA"/>
    <s v="Public"/>
    <x v="0"/>
    <s v="Nyaruguru"/>
    <s v="Busanze"/>
    <s v="NAKN_1"/>
    <s v="Giswi/Agatobwe Sub-Catchment"/>
    <n v="2049.84"/>
  </r>
  <r>
    <x v="3"/>
    <s v="UWAMARUMBA"/>
    <s v="Public"/>
    <x v="0"/>
    <s v="Nyaruguru"/>
    <s v="Busanze"/>
    <s v="NAKN_1"/>
    <s v="Giswi/Agatobwe Sub-Catchment"/>
    <n v="2995.92"/>
  </r>
  <r>
    <x v="3"/>
    <s v="BUSHUNZI"/>
    <s v="Public"/>
    <x v="0"/>
    <s v="Nyaruguru"/>
    <s v="Busanze"/>
    <s v="NAKN_1"/>
    <s v="Giswi/Agatobwe Sub-Catchment"/>
    <n v="1576.8000000000002"/>
  </r>
  <r>
    <x v="3"/>
    <s v="UWAMABARE"/>
    <s v="Public"/>
    <x v="0"/>
    <s v="Nyaruguru"/>
    <s v="Busanze"/>
    <s v="NAKN_1"/>
    <s v="Giswi/Agatobwe Sub-Catchment"/>
    <n v="2207.5200000000004"/>
  </r>
  <r>
    <x v="3"/>
    <s v="AGASUMO"/>
    <s v="Public"/>
    <x v="0"/>
    <s v="Nyaruguru"/>
    <s v="Busanze"/>
    <s v="NAKN_1"/>
    <s v="Giswi/Agatobwe Sub-Catchment"/>
    <n v="12614.400000000001"/>
  </r>
  <r>
    <x v="3"/>
    <s v="USUSEKE"/>
    <s v="Public"/>
    <x v="0"/>
    <s v="Nyaruguru"/>
    <s v="Busanze"/>
    <s v="NAKN_1"/>
    <s v="Giswi/Agatobwe Sub-Catchment"/>
    <n v="946.08"/>
  </r>
  <r>
    <x v="3"/>
    <s v="MUCYAMUTAGA"/>
    <s v="Public"/>
    <x v="0"/>
    <s v="Nyaruguru"/>
    <s v="Busanze"/>
    <s v="NAKN_1"/>
    <s v="Giswi/Agatobwe Sub-Catchment"/>
    <n v="4730.4000000000005"/>
  </r>
  <r>
    <x v="3"/>
    <s v="UWASEMUSHI"/>
    <s v="Public"/>
    <x v="0"/>
    <s v="Nyaruguru"/>
    <s v="Busanze"/>
    <s v="NAKN_1"/>
    <s v="Giswi/Agatobwe Sub-Catchment"/>
    <n v="2680.56"/>
  </r>
  <r>
    <x v="3"/>
    <s v="ABAHUMUZA"/>
    <s v="Public"/>
    <x v="0"/>
    <s v="Nyaruguru"/>
    <s v="Busanze"/>
    <s v="NAKN_1"/>
    <s v="Giswi/Agatobwe Sub-Catchment"/>
    <n v="1892.16"/>
  </r>
  <r>
    <x v="3"/>
    <s v="UWARUGIRA"/>
    <s v="Public"/>
    <x v="0"/>
    <s v="Nyaruguru"/>
    <s v="Busanze"/>
    <s v="NAKN_1"/>
    <s v="Giswi/Agatobwe Sub-Catchment"/>
    <n v="2522.88"/>
  </r>
  <r>
    <x v="3"/>
    <s v="RWAKINYAMUJUGU"/>
    <s v="Public"/>
    <x v="0"/>
    <s v="Nyaruguru"/>
    <s v="Busanze"/>
    <s v="NAKN_1"/>
    <s v="Giswi/Agatobwe Sub-Catchment"/>
    <n v="630.72"/>
  </r>
  <r>
    <x v="3"/>
    <s v="URUTONGATI"/>
    <s v="Public"/>
    <x v="0"/>
    <s v="Nyaruguru"/>
    <s v="Busanze"/>
    <s v="NAKN_1"/>
    <s v="Giswi/Agatobwe Sub-Catchment"/>
    <n v="1419.12"/>
  </r>
  <r>
    <x v="3"/>
    <s v="RYABUGONGO"/>
    <s v="Public"/>
    <x v="0"/>
    <s v="Nyaruguru"/>
    <s v="Busanze"/>
    <s v="NAKN_1"/>
    <s v="Giswi/Agatobwe Sub-Catchment"/>
    <n v="2049.84"/>
  </r>
  <r>
    <x v="3"/>
    <s v="UWIMPESHYI"/>
    <s v="Public"/>
    <x v="0"/>
    <s v="Nyaruguru"/>
    <s v="Busanze"/>
    <s v="NAKN_1"/>
    <s v="Giswi/Agatobwe Sub-Catchment"/>
    <n v="2838.24"/>
  </r>
  <r>
    <x v="3"/>
    <s v="BUNWA"/>
    <s v="Public"/>
    <x v="0"/>
    <s v="Nyaruguru"/>
    <s v="Busanze"/>
    <s v="NAKN_1"/>
    <s v="Giswi/Agatobwe Sub-Catchment"/>
    <n v="3626.64"/>
  </r>
  <r>
    <x v="3"/>
    <s v="GASEKE"/>
    <s v="Public"/>
    <x v="0"/>
    <s v="Nyaruguru"/>
    <s v="Busanze"/>
    <s v="NAKN_1"/>
    <s v="Giswi/Agatobwe Sub-Catchment"/>
    <n v="946.08"/>
  </r>
  <r>
    <x v="3"/>
    <s v="URUGOTE"/>
    <s v="Public"/>
    <x v="0"/>
    <s v="Nyaruguru"/>
    <s v="Busanze"/>
    <s v="NAKN_1"/>
    <s v="Giswi/Agatobwe Sub-Catchment"/>
    <n v="3311.2799999999997"/>
  </r>
  <r>
    <x v="3"/>
    <s v="MBANDURE"/>
    <s v="Public"/>
    <x v="0"/>
    <s v="Nyaruguru"/>
    <s v="Busanze"/>
    <s v="NAKN_1"/>
    <s v="Giswi/Agatobwe Sub-Catchment"/>
    <n v="946.08"/>
  </r>
  <r>
    <x v="3"/>
    <s v="UWAMIGENDO"/>
    <s v="Public"/>
    <x v="0"/>
    <s v="Nyaruguru"/>
    <s v="Busanze"/>
    <s v="NAKN_1"/>
    <s v="Giswi/Agatobwe Sub-Catchment"/>
    <n v="1103.7600000000002"/>
  </r>
  <r>
    <x v="3"/>
    <s v="NYIRANDAKEYE"/>
    <s v="Public"/>
    <x v="0"/>
    <s v="Nyaruguru"/>
    <s v="Busanze"/>
    <s v="NAKN_1"/>
    <s v="Giswi/Agatobwe Sub-Catchment"/>
    <n v="6780.24"/>
  </r>
  <r>
    <x v="3"/>
    <s v="RWABAKINGA"/>
    <s v="Public"/>
    <x v="0"/>
    <s v="Nyaruguru"/>
    <s v="Busanze"/>
    <s v="NAKN_1"/>
    <s v="Giswi/Agatobwe Sub-Catchment"/>
    <n v="788.40000000000009"/>
  </r>
  <r>
    <x v="3"/>
    <s v="KABUMBWE"/>
    <s v="Public"/>
    <x v="0"/>
    <s v="Nyaruguru"/>
    <s v="Busanze"/>
    <s v="NAKN_1"/>
    <s v="Giswi/Agatobwe Sub-Catchment"/>
    <n v="2522.88"/>
  </r>
  <r>
    <x v="3"/>
    <s v="UWAMUNYINYA"/>
    <s v="Public"/>
    <x v="0"/>
    <s v="Nyaruguru"/>
    <s v="Busanze"/>
    <s v="NAKN_1"/>
    <s v="Giswi/Agatobwe Sub-Catchment"/>
    <n v="14191.2"/>
  </r>
  <r>
    <x v="3"/>
    <s v="URUVUMU"/>
    <s v="Public"/>
    <x v="0"/>
    <s v="Nyaruguru"/>
    <s v="Busanze"/>
    <s v="NAKN_1"/>
    <s v="Giswi/Agatobwe Sub-Catchment"/>
    <n v="2049.84"/>
  </r>
  <r>
    <x v="3"/>
    <s v="UWAKABEBA"/>
    <s v="Public"/>
    <x v="0"/>
    <s v="Nyaruguru"/>
    <s v="Busanze"/>
    <s v="NAKN_1"/>
    <s v="Giswi/Agatobwe Sub-Catchment"/>
    <n v="9618.4800000000014"/>
  </r>
  <r>
    <x v="3"/>
    <s v="CYAHAFI"/>
    <s v="Public"/>
    <x v="0"/>
    <s v="Nyaruguru"/>
    <s v="Busanze"/>
    <s v="NAKN_1"/>
    <s v="Giswi/Agatobwe Sub-Catchment"/>
    <n v="23652.000000000004"/>
  </r>
  <r>
    <x v="3"/>
    <s v="UWIMFIZI"/>
    <s v="Public"/>
    <x v="0"/>
    <s v="Nyaruguru"/>
    <s v="Busanze"/>
    <s v="NAKN_1"/>
    <s v="Giswi/Agatobwe Sub-Catchment"/>
    <n v="1892.16"/>
  </r>
  <r>
    <x v="3"/>
    <s v="UWINGOMA"/>
    <s v="Public"/>
    <x v="0"/>
    <s v="Nyaruguru"/>
    <s v="Busanze"/>
    <s v="NAKN_1"/>
    <s v="Giswi/Agatobwe Sub-Catchment"/>
    <n v="1576.8000000000002"/>
  </r>
  <r>
    <x v="3"/>
    <s v="AGASEKE"/>
    <s v="Public"/>
    <x v="0"/>
    <s v="Nyaruguru"/>
    <s v="Busanze"/>
    <s v="NAKN_1"/>
    <s v="Giswi/Agatobwe Sub-Catchment"/>
    <n v="2838.24"/>
  </r>
  <r>
    <x v="3"/>
    <s v="UWANYAGASAZA"/>
    <s v="Public"/>
    <x v="0"/>
    <s v="Nyaruguru"/>
    <s v="Busanze"/>
    <s v="NAKN_1"/>
    <s v="Giswi/Agatobwe Sub-Catchment"/>
    <n v="1261.44"/>
  </r>
  <r>
    <x v="3"/>
    <s v="KABIRA"/>
    <s v="Public"/>
    <x v="0"/>
    <s v="Rusizi"/>
    <s v="Bweyeye"/>
    <s v="NAKN_1"/>
    <s v="Giswi/Agatobwe Sub-Catchment"/>
    <n v="2838.24"/>
  </r>
  <r>
    <x v="3"/>
    <s v="GAKOPFU II"/>
    <s v="Public"/>
    <x v="0"/>
    <s v="Rusizi"/>
    <s v="Bweyeye"/>
    <s v="NAKN_1"/>
    <s v="Giswi/Agatobwe Sub-Catchment"/>
    <n v="2365.2000000000003"/>
  </r>
  <r>
    <x v="3"/>
    <s v="MUHIZA"/>
    <s v="Public"/>
    <x v="0"/>
    <s v="Rusizi"/>
    <s v="Bweyeye"/>
    <s v="NAKN_1"/>
    <s v="Giswi/Agatobwe Sub-Catchment"/>
    <n v="11195.28"/>
  </r>
  <r>
    <x v="3"/>
    <s v="GAKOPFU I"/>
    <s v="Public"/>
    <x v="0"/>
    <s v="Rusizi"/>
    <s v="Bweyeye"/>
    <s v="NAKN_1"/>
    <s v="Giswi/Agatobwe Sub-Catchment"/>
    <n v="4257.3600000000006"/>
  </r>
  <r>
    <x v="3"/>
    <s v="GASOKO"/>
    <s v="Public"/>
    <x v="0"/>
    <s v="Rusizi"/>
    <s v="Bweyeye"/>
    <s v="NAKN_1"/>
    <s v="Giswi/Agatobwe Sub-Catchment"/>
    <n v="1892.16"/>
  </r>
  <r>
    <x v="3"/>
    <s v="KIBONAJORO"/>
    <s v="Public"/>
    <x v="0"/>
    <s v="Rusizi"/>
    <s v="Bweyeye"/>
    <s v="NAKN_1"/>
    <s v="Giswi/Agatobwe Sub-Catchment"/>
    <n v="11195.28"/>
  </r>
  <r>
    <x v="3"/>
    <s v="NYABIHOMORA"/>
    <s v="Public"/>
    <x v="0"/>
    <s v="Rusizi"/>
    <s v="Bweyeye"/>
    <s v="NAKN_1"/>
    <s v="Giswi/Agatobwe Sub-Catchment"/>
    <n v="1892.16"/>
  </r>
  <r>
    <x v="3"/>
    <s v="MISAVE"/>
    <s v="Public"/>
    <x v="0"/>
    <s v="Rusizi"/>
    <s v="Bweyeye"/>
    <s v="NAKN_1"/>
    <s v="Giswi/Agatobwe Sub-Catchment"/>
    <n v="2365.2000000000003"/>
  </r>
  <r>
    <x v="3"/>
    <s v="RWAMAGARE"/>
    <s v="Public"/>
    <x v="0"/>
    <s v="Rusizi"/>
    <s v="Bweyeye"/>
    <s v="NAKN_1"/>
    <s v="Giswi/Agatobwe Sub-Catchment"/>
    <n v="31536.000000000004"/>
  </r>
  <r>
    <x v="3"/>
    <s v="RUJUGUMIRA"/>
    <s v="Public"/>
    <x v="0"/>
    <s v="Rusizi"/>
    <s v="Bweyeye"/>
    <s v="NAKN_1"/>
    <s v="Giswi/Agatobwe Sub-Catchment"/>
    <n v="1419.12"/>
  </r>
  <r>
    <x v="3"/>
    <s v="RUBUYE"/>
    <s v="Public"/>
    <x v="0"/>
    <s v="Rusizi"/>
    <s v="Bweyeye"/>
    <s v="NAKN_1"/>
    <s v="Giswi/Agatobwe Sub-Catchment"/>
    <n v="5834.1600000000008"/>
  </r>
  <r>
    <x v="3"/>
    <s v="KINNYOGO"/>
    <s v="Public"/>
    <x v="0"/>
    <s v="Nyaruguru"/>
    <s v="Cyahinda"/>
    <s v="NAKN_1"/>
    <s v="Giswi/Agatobwe Sub-Catchment"/>
    <n v="4730.4000000000005"/>
  </r>
  <r>
    <x v="3"/>
    <s v="GASEKE"/>
    <s v="Public"/>
    <x v="0"/>
    <s v="Nyaruguru"/>
    <s v="Cyahinda"/>
    <s v="NAKN_1"/>
    <s v="Giswi/Agatobwe Sub-Catchment"/>
    <n v="2049.84"/>
  </r>
  <r>
    <x v="3"/>
    <s v="RWAGATOKI"/>
    <s v="Public"/>
    <x v="0"/>
    <s v="Nyaruguru"/>
    <s v="Cyahinda"/>
    <s v="NAKN_1"/>
    <s v="Giswi/Agatobwe Sub-Catchment"/>
    <n v="1419.12"/>
  </r>
  <r>
    <x v="3"/>
    <s v="NYABIHANGA"/>
    <s v="Public"/>
    <x v="0"/>
    <s v="Nyaruguru"/>
    <s v="Cyahinda"/>
    <s v="NAKN_1"/>
    <s v="Giswi/Agatobwe Sub-Catchment"/>
    <n v="1734.4800000000002"/>
  </r>
  <r>
    <x v="3"/>
    <s v="RWANYAMUHUNJA"/>
    <s v="Public"/>
    <x v="0"/>
    <s v="Nyaruguru"/>
    <s v="Cyahinda"/>
    <s v="NAKN_1"/>
    <s v="Giswi/Agatobwe Sub-Catchment"/>
    <n v="315.36"/>
  </r>
  <r>
    <x v="3"/>
    <s v="UWABITERO"/>
    <s v="Public"/>
    <x v="0"/>
    <s v="Nyaruguru"/>
    <s v="Cyahinda"/>
    <s v="NAKN_1"/>
    <s v="Giswi/Agatobwe Sub-Catchment"/>
    <n v="5045.76"/>
  </r>
  <r>
    <x v="3"/>
    <s v="NYAMUGALI"/>
    <s v="Public"/>
    <x v="0"/>
    <s v="Nyaruguru"/>
    <s v="Cyahinda"/>
    <s v="NAKN_1"/>
    <s v="Giswi/Agatobwe Sub-Catchment"/>
    <n v="3153.6000000000004"/>
  </r>
  <r>
    <x v="3"/>
    <s v="CYARUHIGA"/>
    <s v="Public"/>
    <x v="0"/>
    <s v="Nyaruguru"/>
    <s v="Cyahinda"/>
    <s v="NAKN_1"/>
    <s v="Giswi/Agatobwe Sub-Catchment"/>
    <n v="2838.24"/>
  </r>
  <r>
    <x v="3"/>
    <s v="GATARE"/>
    <s v="Public"/>
    <x v="0"/>
    <s v="Nyaruguru"/>
    <s v="Cyahinda"/>
    <s v="NAKN_1"/>
    <s v="Giswi/Agatobwe Sub-Catchment"/>
    <n v="1419.12"/>
  </r>
  <r>
    <x v="3"/>
    <s v="NYAMWONGA"/>
    <s v="Public"/>
    <x v="0"/>
    <s v="Nyaruguru"/>
    <s v="Cyahinda"/>
    <s v="NAKN_1"/>
    <s v="Giswi/Agatobwe Sub-Catchment"/>
    <n v="14191.2"/>
  </r>
  <r>
    <x v="3"/>
    <s v="MUKAGOGO"/>
    <s v="Public"/>
    <x v="0"/>
    <s v="Nyaruguru"/>
    <s v="Cyahinda"/>
    <s v="NAKN_1"/>
    <s v="Giswi/Agatobwe Sub-Catchment"/>
    <n v="5361.12"/>
  </r>
  <r>
    <x v="3"/>
    <s v="MUWABUTATI"/>
    <s v="Public"/>
    <x v="0"/>
    <s v="Nyaruguru"/>
    <s v="Cyahinda"/>
    <s v="NAKN_1"/>
    <s v="Giswi/Agatobwe Sub-Catchment"/>
    <n v="5045.76"/>
  </r>
  <r>
    <x v="3"/>
    <s v="GAKOMERO"/>
    <s v="Public"/>
    <x v="0"/>
    <s v="Nyaruguru"/>
    <s v="Cyahinda"/>
    <s v="NAKN_1"/>
    <s v="Giswi/Agatobwe Sub-Catchment"/>
    <n v="1261.44"/>
  </r>
  <r>
    <x v="3"/>
    <s v="CYAHAFI"/>
    <s v="Public"/>
    <x v="0"/>
    <s v="Nyaruguru"/>
    <s v="Cyahinda"/>
    <s v="NAKN_1"/>
    <s v="Giswi/Agatobwe Sub-Catchment"/>
    <n v="1261.44"/>
  </r>
  <r>
    <x v="3"/>
    <s v="MUWAMURAHANYI"/>
    <s v="Public"/>
    <x v="0"/>
    <s v="Nyaruguru"/>
    <s v="Cyahinda"/>
    <s v="NAKN_1"/>
    <s v="Giswi/Agatobwe Sub-Catchment"/>
    <n v="1261.44"/>
  </r>
  <r>
    <x v="3"/>
    <s v="NYIRABONDE"/>
    <s v="Public"/>
    <x v="0"/>
    <s v="Nyaruguru"/>
    <s v="Cyahinda"/>
    <s v="NAKN_1"/>
    <s v="Giswi/Agatobwe Sub-Catchment"/>
    <n v="1419.12"/>
  </r>
  <r>
    <x v="3"/>
    <s v="UWARUVUNABAGABO"/>
    <s v="Public"/>
    <x v="0"/>
    <s v="Nyaruguru"/>
    <s v="Cyahinda"/>
    <s v="NAKN_1"/>
    <s v="Giswi/Agatobwe Sub-Catchment"/>
    <n v="946.08"/>
  </r>
  <r>
    <x v="3"/>
    <s v="MUHEHURE"/>
    <s v="Public"/>
    <x v="0"/>
    <s v="Nyaruguru"/>
    <s v="Cyahinda"/>
    <s v="NAKN_1"/>
    <s v="Giswi/Agatobwe Sub-Catchment"/>
    <n v="6307.2000000000007"/>
  </r>
  <r>
    <x v="3"/>
    <s v="MUWANZOZI"/>
    <s v="Public"/>
    <x v="0"/>
    <s v="Nyaruguru"/>
    <s v="Cyahinda"/>
    <s v="NAKN_1"/>
    <s v="Giswi/Agatobwe Sub-Catchment"/>
    <n v="2995.92"/>
  </r>
  <r>
    <x v="3"/>
    <s v="RWABUSHISHI"/>
    <s v="Public"/>
    <x v="0"/>
    <s v="Nyaruguru"/>
    <s v="Cyahinda"/>
    <s v="NAKN_1"/>
    <s v="Giswi/Agatobwe Sub-Catchment"/>
    <n v="2680.56"/>
  </r>
  <r>
    <x v="3"/>
    <s v="MBURAMAZI"/>
    <s v="Public"/>
    <x v="0"/>
    <s v="Nyaruguru"/>
    <s v="Cyahinda"/>
    <s v="NAKN_1"/>
    <s v="Giswi/Agatobwe Sub-Catchment"/>
    <n v="1103.7600000000002"/>
  </r>
  <r>
    <x v="3"/>
    <s v="MUWACECEBA"/>
    <s v="Public"/>
    <x v="0"/>
    <s v="Nyaruguru"/>
    <s v="Cyahinda"/>
    <s v="NAKN_1"/>
    <s v="Giswi/Agatobwe Sub-Catchment"/>
    <n v="630.72"/>
  </r>
  <r>
    <x v="3"/>
    <s v="GISTYORI"/>
    <s v="Public"/>
    <x v="0"/>
    <s v="Nyaruguru"/>
    <s v="Cyahinda"/>
    <s v="NAKN_1"/>
    <s v="Giswi/Agatobwe Sub-Catchment"/>
    <n v="630.72"/>
  </r>
  <r>
    <x v="3"/>
    <s v="KIBAYA"/>
    <s v="Public"/>
    <x v="0"/>
    <s v="Nyaruguru"/>
    <s v="Cyahinda"/>
    <s v="NAKN_1"/>
    <s v="Giswi/Agatobwe Sub-Catchment"/>
    <n v="473.04"/>
  </r>
  <r>
    <x v="3"/>
    <s v="UWASHESHEMERA"/>
    <s v="Public"/>
    <x v="0"/>
    <s v="Nyaruguru"/>
    <s v="Cyahinda"/>
    <s v="NAKN_1"/>
    <s v="Giswi/Agatobwe Sub-Catchment"/>
    <n v="2838.24"/>
  </r>
  <r>
    <x v="3"/>
    <s v="RWANDAGARI"/>
    <s v="Public"/>
    <x v="0"/>
    <s v="Nyaruguru"/>
    <s v="Cyahinda"/>
    <s v="NAKN_1"/>
    <s v="Giswi/Agatobwe Sub-Catchment"/>
    <n v="3311.2799999999997"/>
  </r>
  <r>
    <x v="3"/>
    <s v="UWBIHURUMA"/>
    <s v="Public"/>
    <x v="0"/>
    <s v="Nyaruguru"/>
    <s v="Cyahinda"/>
    <s v="NAKN_1"/>
    <s v="Giswi/Agatobwe Sub-Catchment"/>
    <n v="3942.0000000000005"/>
  </r>
  <r>
    <x v="3"/>
    <s v="BATAKAGURUTSA"/>
    <s v="Public"/>
    <x v="0"/>
    <s v="Nyaruguru"/>
    <s v="Cyahinda"/>
    <s v="NAKN_1"/>
    <s v="Giswi/Agatobwe Sub-Catchment"/>
    <n v="2522.88"/>
  </r>
  <r>
    <x v="3"/>
    <s v="KANO"/>
    <s v="Public"/>
    <x v="0"/>
    <s v="Nyaruguru"/>
    <s v="Cyahinda"/>
    <s v="NAKN_1"/>
    <s v="Giswi/Agatobwe Sub-Catchment"/>
    <n v="2838.24"/>
  </r>
  <r>
    <x v="3"/>
    <s v="GASEKE"/>
    <s v="Public"/>
    <x v="0"/>
    <s v="Nyaruguru"/>
    <s v="Cyahinda"/>
    <s v="NAKN_1"/>
    <s v="Giswi/Agatobwe Sub-Catchment"/>
    <n v="2049.84"/>
  </r>
  <r>
    <x v="3"/>
    <s v="KIBONEKA"/>
    <s v="Public"/>
    <x v="0"/>
    <s v="Nyaruguru"/>
    <s v="Cyahinda"/>
    <s v="NAKN_1"/>
    <s v="Giswi/Agatobwe Sub-Catchment"/>
    <n v="1892.16"/>
  </r>
  <r>
    <x v="3"/>
    <s v="MUWASHOKEYE"/>
    <s v="Public"/>
    <x v="0"/>
    <s v="Nyaruguru"/>
    <s v="Cyahinda"/>
    <s v="NAKN_1"/>
    <s v="Giswi/Agatobwe Sub-Catchment"/>
    <n v="1892.16"/>
  </r>
  <r>
    <x v="3"/>
    <s v="RWAMANWA"/>
    <s v="Public"/>
    <x v="0"/>
    <s v="Nyaruguru"/>
    <s v="Cyahinda"/>
    <s v="NAKN_1"/>
    <s v="Giswi/Agatobwe Sub-Catchment"/>
    <n v="1261.44"/>
  </r>
  <r>
    <x v="3"/>
    <s v="SEGISHUBA"/>
    <s v="Public"/>
    <x v="0"/>
    <s v="Nyaruguru"/>
    <s v="Cyahinda"/>
    <s v="NAKN_1"/>
    <s v="Giswi/Agatobwe Sub-Catchment"/>
    <n v="3153.6000000000004"/>
  </r>
  <r>
    <x v="3"/>
    <s v="GATYAZO"/>
    <s v="Public"/>
    <x v="0"/>
    <s v="Nyaruguru"/>
    <s v="Cyahinda"/>
    <s v="NAKN_1"/>
    <s v="Giswi/Agatobwe Sub-Catchment"/>
    <n v="157.68"/>
  </r>
  <r>
    <x v="3"/>
    <s v="GASEKE"/>
    <s v="Public"/>
    <x v="0"/>
    <s v="Nyaruguru"/>
    <s v="Cyahinda"/>
    <s v="NAKN_1"/>
    <s v="Giswi/Agatobwe Sub-Catchment"/>
    <n v="3153.6000000000004"/>
  </r>
  <r>
    <x v="3"/>
    <s v="NYAMADAGE"/>
    <s v="Public"/>
    <x v="0"/>
    <s v="Nyaruguru"/>
    <s v="Cyahinda"/>
    <s v="NAKN_1"/>
    <s v="Giswi/Agatobwe Sub-Catchment"/>
    <n v="4730.4000000000005"/>
  </r>
  <r>
    <x v="3"/>
    <s v="MURWONANDARO"/>
    <s v="Public"/>
    <x v="0"/>
    <s v="Nyaruguru"/>
    <s v="Cyahinda"/>
    <s v="NAKN_1"/>
    <s v="Giswi/Agatobwe Sub-Catchment"/>
    <n v="2049.84"/>
  </r>
  <r>
    <x v="3"/>
    <s v="RWABASOZA"/>
    <s v="Public"/>
    <x v="0"/>
    <s v="Huye"/>
    <s v="Gishamvu"/>
    <s v="NAKN_1"/>
    <s v="Giswi/Agatobwe Sub-Catchment"/>
    <n v="11195.28"/>
  </r>
  <r>
    <x v="3"/>
    <s v="MWIZA"/>
    <s v="Public"/>
    <x v="0"/>
    <s v="Huye"/>
    <s v="Gishamvu"/>
    <s v="NAKN_1"/>
    <s v="Giswi/Agatobwe Sub-Catchment"/>
    <n v="2995.92"/>
  </r>
  <r>
    <x v="3"/>
    <s v="NYAMUKO"/>
    <s v="Public"/>
    <x v="0"/>
    <s v="Huye"/>
    <s v="Gishamvu"/>
    <s v="NAKN_1"/>
    <s v="Giswi/Agatobwe Sub-Catchment"/>
    <n v="1419.12"/>
  </r>
  <r>
    <x v="3"/>
    <s v="NANAGAMAHANE"/>
    <s v="Public"/>
    <x v="0"/>
    <s v="Huye"/>
    <s v="Gishamvu"/>
    <s v="NAKN_1"/>
    <s v="Giswi/Agatobwe Sub-Catchment"/>
    <n v="1261.44"/>
  </r>
  <r>
    <x v="3"/>
    <s v="MARYOHE"/>
    <s v="Public"/>
    <x v="0"/>
    <s v="Huye"/>
    <s v="Gishamvu"/>
    <s v="NAKN_1"/>
    <s v="Giswi/Agatobwe Sub-Catchment"/>
    <n v="1734.4800000000002"/>
  </r>
  <r>
    <x v="3"/>
    <s v="KABAKENE"/>
    <s v="Public"/>
    <x v="0"/>
    <s v="Huye"/>
    <s v="Gishamvu"/>
    <s v="NAKN_1"/>
    <s v="Giswi/Agatobwe Sub-Catchment"/>
    <n v="4888.0800000000008"/>
  </r>
  <r>
    <x v="3"/>
    <s v="NYAKARIBA"/>
    <s v="Public"/>
    <x v="0"/>
    <s v="Huye"/>
    <s v="Gishamvu"/>
    <s v="NAKN_1"/>
    <s v="Giswi/Agatobwe Sub-Catchment"/>
    <n v="5518.8"/>
  </r>
  <r>
    <x v="3"/>
    <s v="NYAKARIBA"/>
    <s v="Public"/>
    <x v="0"/>
    <s v="Huye"/>
    <s v="Gishamvu"/>
    <s v="NAKN_1"/>
    <s v="Giswi/Agatobwe Sub-Catchment"/>
    <n v="630.72"/>
  </r>
  <r>
    <x v="3"/>
    <s v="NYAKARIBA"/>
    <s v="Public"/>
    <x v="0"/>
    <s v="Huye"/>
    <s v="Gishamvu"/>
    <s v="NAKN_1"/>
    <s v="Giswi/Agatobwe Sub-Catchment"/>
    <n v="7884.0000000000009"/>
  </r>
  <r>
    <x v="3"/>
    <s v="RWANTABANA"/>
    <s v="Public"/>
    <x v="0"/>
    <s v="Huye"/>
    <s v="Gishamvu"/>
    <s v="NAKN_1"/>
    <s v="Giswi/Agatobwe Sub-Catchment"/>
    <n v="1261.44"/>
  </r>
  <r>
    <x v="3"/>
    <s v="NYIRAGAKERI"/>
    <s v="Public"/>
    <x v="0"/>
    <s v="Huye"/>
    <s v="Gishamvu"/>
    <s v="NAKN_1"/>
    <s v="Giswi/Agatobwe Sub-Catchment"/>
    <n v="1103.7600000000002"/>
  </r>
  <r>
    <x v="3"/>
    <s v="RUVUZO"/>
    <s v="Public"/>
    <x v="0"/>
    <s v="Huye"/>
    <s v="Gishamvu"/>
    <s v="NAKN_1"/>
    <s v="Giswi/Agatobwe Sub-Catchment"/>
    <n v="2995.92"/>
  </r>
  <r>
    <x v="3"/>
    <s v="MPAZA"/>
    <s v="Public"/>
    <x v="0"/>
    <s v="Huye"/>
    <s v="Gishamvu"/>
    <s v="NAKN_1"/>
    <s v="Giswi/Agatobwe Sub-Catchment"/>
    <n v="6780.24"/>
  </r>
  <r>
    <x v="3"/>
    <s v="KWAMUBILIGI"/>
    <s v="Public"/>
    <x v="0"/>
    <s v="Huye"/>
    <s v="Gishamvu"/>
    <s v="NAKN_1"/>
    <s v="Giswi/Agatobwe Sub-Catchment"/>
    <n v="1892.16"/>
  </r>
  <r>
    <x v="3"/>
    <s v="GATARE"/>
    <s v="Public"/>
    <x v="0"/>
    <s v="Huye"/>
    <s v="Gishamvu"/>
    <s v="NAKN_1"/>
    <s v="Giswi/Agatobwe Sub-Catchment"/>
    <n v="946.08"/>
  </r>
  <r>
    <x v="3"/>
    <s v="KWA PATIRISIYA"/>
    <s v="Public"/>
    <x v="0"/>
    <s v="Huye"/>
    <s v="Gishamvu"/>
    <s v="NAKN_1"/>
    <s v="Giswi/Agatobwe Sub-Catchment"/>
    <n v="1261.44"/>
  </r>
  <r>
    <x v="3"/>
    <s v="KWA MODESTE"/>
    <s v="Public"/>
    <x v="0"/>
    <s v="Huye"/>
    <s v="Gishamvu"/>
    <s v="NAKN_1"/>
    <s v="Giswi/Agatobwe Sub-Catchment"/>
    <n v="1734.4800000000002"/>
  </r>
  <r>
    <x v="3"/>
    <s v="RUKEZA"/>
    <s v="Public"/>
    <x v="0"/>
    <s v="Huye"/>
    <s v="Gishamvu"/>
    <s v="NAKN_1"/>
    <s v="Giswi/Agatobwe Sub-Catchment"/>
    <n v="2995.92"/>
  </r>
  <r>
    <x v="3"/>
    <s v="NYAKARIBA"/>
    <s v="Public"/>
    <x v="0"/>
    <s v="Huye"/>
    <s v="Gishamvu"/>
    <s v="NAKN_1"/>
    <s v="Giswi/Agatobwe Sub-Catchment"/>
    <n v="3153.6000000000004"/>
  </r>
  <r>
    <x v="3"/>
    <s v="KIMWAMAGANA"/>
    <s v="Public"/>
    <x v="0"/>
    <s v="Huye"/>
    <s v="Gishamvu"/>
    <s v="NAKN_1"/>
    <s v="Giswi/Agatobwe Sub-Catchment"/>
    <n v="10091.52"/>
  </r>
  <r>
    <x v="3"/>
    <s v="RWASEKAGONDO"/>
    <s v="Public"/>
    <x v="0"/>
    <s v="Huye"/>
    <s v="Huye"/>
    <s v="NAKN_1"/>
    <s v="Giswi/Agatobwe Sub-Catchment"/>
    <n v="3311.2799999999997"/>
  </r>
  <r>
    <x v="3"/>
    <s v="NYAMUKO"/>
    <s v="Public"/>
    <x v="0"/>
    <s v="Huye"/>
    <s v="Huye"/>
    <s v="NAKN_1"/>
    <s v="Giswi/Agatobwe Sub-Catchment"/>
    <n v="3153.6000000000004"/>
  </r>
  <r>
    <x v="3"/>
    <s v="RWAKABINGO"/>
    <s v="Public"/>
    <x v="0"/>
    <s v="Huye"/>
    <s v="Huye"/>
    <s v="NAKN_1"/>
    <s v="Giswi/Agatobwe Sub-Catchment"/>
    <n v="5203.4400000000005"/>
  </r>
  <r>
    <x v="3"/>
    <s v="NYIRANGORORE"/>
    <s v="Public"/>
    <x v="0"/>
    <s v="Huye"/>
    <s v="Huye"/>
    <s v="NAKN_1"/>
    <s v="Giswi/Agatobwe Sub-Catchment"/>
    <n v="14664.240000000002"/>
  </r>
  <r>
    <x v="3"/>
    <s v="NKAZIMITARI"/>
    <s v="Public"/>
    <x v="0"/>
    <s v="Huye"/>
    <s v="Huye"/>
    <s v="NAKN_1"/>
    <s v="Giswi/Agatobwe Sub-Catchment"/>
    <n v="7568.64"/>
  </r>
  <r>
    <x v="3"/>
    <s v="NANGAMATIKU"/>
    <s v="Public"/>
    <x v="0"/>
    <s v="Huye"/>
    <s v="Huye"/>
    <s v="NAKN_1"/>
    <s v="Giswi/Agatobwe Sub-Catchment"/>
    <n v="1734.4800000000002"/>
  </r>
  <r>
    <x v="3"/>
    <s v="RWASIRASI"/>
    <s v="Public"/>
    <x v="0"/>
    <s v="Huye"/>
    <s v="Huye"/>
    <s v="NAKN_1"/>
    <s v="Giswi/Agatobwe Sub-Catchment"/>
    <n v="3311.2799999999997"/>
  </r>
  <r>
    <x v="3"/>
    <s v="NANGAMAHANE"/>
    <s v="Public"/>
    <x v="0"/>
    <s v="Huye"/>
    <s v="Huye"/>
    <s v="NAKN_1"/>
    <s v="Giswi/Agatobwe Sub-Catchment"/>
    <n v="20498.399999999998"/>
  </r>
  <r>
    <x v="3"/>
    <s v="MASOROMO"/>
    <s v="Public"/>
    <x v="0"/>
    <s v="Huye"/>
    <s v="Huye"/>
    <s v="NAKN_1"/>
    <s v="Giswi/Agatobwe Sub-Catchment"/>
    <n v="6307.2000000000007"/>
  </r>
  <r>
    <x v="3"/>
    <s v="KAMIRAHUYE"/>
    <s v="Public"/>
    <x v="0"/>
    <s v="Huye"/>
    <s v="Huye"/>
    <s v="NAKN_1"/>
    <s v="Giswi/Agatobwe Sub-Catchment"/>
    <n v="25701.84"/>
  </r>
  <r>
    <x v="3"/>
    <s v="BEDA"/>
    <s v="Public"/>
    <x v="0"/>
    <s v="Huye"/>
    <s v="Huye"/>
    <s v="NAKN_1"/>
    <s v="Giswi/Agatobwe Sub-Catchment"/>
    <n v="630.72"/>
  </r>
  <r>
    <x v="3"/>
    <s v="NYAKAGEZI"/>
    <s v="Public"/>
    <x v="0"/>
    <s v="Huye"/>
    <s v="Huye"/>
    <s v="NAKN_1"/>
    <s v="Giswi/Agatobwe Sub-Catchment"/>
    <n v="12614.400000000001"/>
  </r>
  <r>
    <x v="3"/>
    <s v="KUGATARE"/>
    <s v="Public"/>
    <x v="0"/>
    <s v="Huye"/>
    <s v="Huye"/>
    <s v="NAKN_1"/>
    <s v="Giswi/Agatobwe Sub-Catchment"/>
    <n v="6307.2000000000007"/>
  </r>
  <r>
    <x v="3"/>
    <s v="BITARE"/>
    <s v="Public"/>
    <x v="0"/>
    <s v="Huye"/>
    <s v="Huye"/>
    <s v="NAKN_1"/>
    <s v="Giswi/Agatobwe Sub-Catchment"/>
    <n v="2365.2000000000003"/>
  </r>
  <r>
    <x v="3"/>
    <s v="MUKAGARAMA"/>
    <s v="Public"/>
    <x v="0"/>
    <s v="Huye"/>
    <s v="Huye"/>
    <s v="NAKN_1"/>
    <s v="Giswi/Agatobwe Sub-Catchment"/>
    <n v="1892.16"/>
  </r>
  <r>
    <x v="3"/>
    <s v="NYAWITA"/>
    <s v="Public"/>
    <x v="0"/>
    <s v="Huye"/>
    <s v="Huye"/>
    <s v="NAKN_1"/>
    <s v="Giswi/Agatobwe Sub-Catchment"/>
    <n v="1892.16"/>
  </r>
  <r>
    <x v="3"/>
    <s v="GACURAMA"/>
    <s v="Public"/>
    <x v="0"/>
    <s v="Huye"/>
    <s v="Huye"/>
    <s v="NAKN_1"/>
    <s v="Giswi/Agatobwe Sub-Catchment"/>
    <n v="8987.76"/>
  </r>
  <r>
    <x v="3"/>
    <s v="NYABITARE"/>
    <s v="Public"/>
    <x v="0"/>
    <s v="Huye"/>
    <s v="Huye"/>
    <s v="NAKN_1"/>
    <s v="Giswi/Agatobwe Sub-Catchment"/>
    <n v="4730.4000000000005"/>
  </r>
  <r>
    <x v="3"/>
    <s v="IKURYO"/>
    <s v="Public"/>
    <x v="0"/>
    <s v="Huye"/>
    <s v="Huye"/>
    <s v="NAKN_1"/>
    <s v="Giswi/Agatobwe Sub-Catchment"/>
    <n v="6622.5599999999995"/>
  </r>
  <r>
    <x v="3"/>
    <s v="RWABUNDUDU"/>
    <s v="Public"/>
    <x v="0"/>
    <s v="Huye"/>
    <s v="Huye"/>
    <s v="NAKN_1"/>
    <s v="Giswi/Agatobwe Sub-Catchment"/>
    <n v="6307.2000000000007"/>
  </r>
  <r>
    <x v="3"/>
    <s v="NKAMATIRA"/>
    <s v="Public"/>
    <x v="0"/>
    <s v="Huye"/>
    <s v="Huye"/>
    <s v="NAKN_1"/>
    <s v="Giswi/Agatobwe Sub-Catchment"/>
    <n v="8357.0400000000009"/>
  </r>
  <r>
    <x v="3"/>
    <s v="UWURUTARE"/>
    <s v="Public"/>
    <x v="0"/>
    <s v="Huye"/>
    <s v="Huye"/>
    <s v="NAKN_1"/>
    <s v="Giswi/Agatobwe Sub-Catchment"/>
    <n v="473.04"/>
  </r>
  <r>
    <x v="3"/>
    <s v="RWANYAMATANGA"/>
    <s v="Public"/>
    <x v="0"/>
    <s v="Huye"/>
    <s v="Huye"/>
    <s v="NAKN_1"/>
    <s v="Giswi/Agatobwe Sub-Catchment"/>
    <n v="3311.2799999999997"/>
  </r>
  <r>
    <x v="3"/>
    <s v="GATOKI"/>
    <s v="Public"/>
    <x v="0"/>
    <s v="Huye"/>
    <s v="Huye"/>
    <s v="NAKN_1"/>
    <s v="Giswi/Agatobwe Sub-Catchment"/>
    <n v="3626.64"/>
  </r>
  <r>
    <x v="3"/>
    <s v="KABUHORO"/>
    <s v="Public"/>
    <x v="0"/>
    <s v="Nyaruguru"/>
    <s v="Kibeho"/>
    <s v="NAKN_1"/>
    <s v="Giswi/Agatobwe Sub-Catchment"/>
    <n v="157.68"/>
  </r>
  <r>
    <x v="3"/>
    <s v="NYAKAGEZI"/>
    <s v="Public"/>
    <x v="0"/>
    <s v="Nyaruguru"/>
    <s v="Kibeho"/>
    <s v="NAKN_1"/>
    <s v="Giswi/Agatobwe Sub-Catchment"/>
    <n v="15768.000000000002"/>
  </r>
  <r>
    <x v="3"/>
    <s v="GATARE KABANYASHI"/>
    <s v="Public"/>
    <x v="0"/>
    <s v="Nyaruguru"/>
    <s v="Kibeho"/>
    <s v="NAKN_1"/>
    <s v="Giswi/Agatobwe Sub-Catchment"/>
    <n v="3153.6000000000004"/>
  </r>
  <r>
    <x v="3"/>
    <s v="RWASEMITALI"/>
    <s v="Public"/>
    <x v="0"/>
    <s v="Nyaruguru"/>
    <s v="Kibeho"/>
    <s v="NAKN_1"/>
    <s v="Giswi/Agatobwe Sub-Catchment"/>
    <n v="3311.2799999999997"/>
  </r>
  <r>
    <x v="3"/>
    <s v="MUKABIDENGE"/>
    <s v="Public"/>
    <x v="0"/>
    <s v="Nyaruguru"/>
    <s v="Kibeho"/>
    <s v="NAKN_1"/>
    <s v="Giswi/Agatobwe Sub-Catchment"/>
    <n v="1576.8000000000002"/>
  </r>
  <r>
    <x v="3"/>
    <s v="GATARE"/>
    <s v="Public"/>
    <x v="0"/>
    <s v="Nyaruguru"/>
    <s v="Kibeho"/>
    <s v="NAKN_1"/>
    <s v="Giswi/Agatobwe Sub-Catchment"/>
    <n v="473.04"/>
  </r>
  <r>
    <x v="3"/>
    <s v="SIMBUKA"/>
    <s v="Public"/>
    <x v="0"/>
    <s v="Nyaruguru"/>
    <s v="Kibeho"/>
    <s v="NAKN_1"/>
    <s v="Giswi/Agatobwe Sub-Catchment"/>
    <n v="13245.119999999999"/>
  </r>
  <r>
    <x v="3"/>
    <s v="RUTARE"/>
    <s v="Public"/>
    <x v="0"/>
    <s v="Nyaruguru"/>
    <s v="Kibeho"/>
    <s v="NAKN_1"/>
    <s v="Giswi/Agatobwe Sub-Catchment"/>
    <n v="1419.12"/>
  </r>
  <r>
    <x v="3"/>
    <s v="GAKERI"/>
    <s v="Public"/>
    <x v="0"/>
    <s v="Nyaruguru"/>
    <s v="Kibeho"/>
    <s v="NAKN_1"/>
    <s v="Giswi/Agatobwe Sub-Catchment"/>
    <n v="3468.9600000000005"/>
  </r>
  <r>
    <x v="3"/>
    <s v="RWANYAKANYERI"/>
    <s v="Public"/>
    <x v="0"/>
    <s v="Nyaruguru"/>
    <s v="Kibeho"/>
    <s v="NAKN_1"/>
    <s v="Giswi/Agatobwe Sub-Catchment"/>
    <n v="12614.400000000001"/>
  </r>
  <r>
    <x v="3"/>
    <s v="RWAKIRORERO"/>
    <s v="Public"/>
    <x v="0"/>
    <s v="Nyaruguru"/>
    <s v="Kibeho"/>
    <s v="NAKN_1"/>
    <s v="Giswi/Agatobwe Sub-Catchment"/>
    <n v="1261.44"/>
  </r>
  <r>
    <x v="3"/>
    <s v="MURWAMUHIMUZI"/>
    <s v="Public"/>
    <x v="0"/>
    <s v="Nyaruguru"/>
    <s v="Kibeho"/>
    <s v="NAKN_1"/>
    <s v="Giswi/Agatobwe Sub-Catchment"/>
    <n v="1576.8000000000002"/>
  </r>
  <r>
    <x v="3"/>
    <s v="GIKOMBE"/>
    <s v="Public"/>
    <x v="0"/>
    <s v="Nyaruguru"/>
    <s v="Kibeho"/>
    <s v="NAKN_1"/>
    <s v="Giswi/Agatobwe Sub-Catchment"/>
    <n v="473.04"/>
  </r>
  <r>
    <x v="3"/>
    <s v="KARIBA"/>
    <s v="Public"/>
    <x v="0"/>
    <s v="Nyaruguru"/>
    <s v="Kibeho"/>
    <s v="NAKN_1"/>
    <s v="Giswi/Agatobwe Sub-Catchment"/>
    <n v="5361.12"/>
  </r>
  <r>
    <x v="3"/>
    <s v="NKOMANE"/>
    <s v="Public"/>
    <x v="0"/>
    <s v="Nyaruguru"/>
    <s v="Kibeho"/>
    <s v="NAKN_1"/>
    <s v="Giswi/Agatobwe Sub-Catchment"/>
    <n v="2838.24"/>
  </r>
  <r>
    <x v="3"/>
    <s v="CYAHAFI"/>
    <s v="Public"/>
    <x v="0"/>
    <s v="Nyaruguru"/>
    <s v="Kibeho"/>
    <s v="NAKN_1"/>
    <s v="Giswi/Agatobwe Sub-Catchment"/>
    <n v="3626.64"/>
  </r>
  <r>
    <x v="3"/>
    <s v="URUGARAMA"/>
    <s v="Public"/>
    <x v="0"/>
    <s v="Nyaruguru"/>
    <s v="Kibeho"/>
    <s v="NAKN_1"/>
    <s v="Giswi/Agatobwe Sub-Catchment"/>
    <n v="4415.0400000000009"/>
  </r>
  <r>
    <x v="3"/>
    <s v="RWASAMA"/>
    <s v="Public"/>
    <x v="0"/>
    <s v="Nyaruguru"/>
    <s v="Kibeho"/>
    <s v="NAKN_1"/>
    <s v="Giswi/Agatobwe Sub-Catchment"/>
    <n v="18921.600000000002"/>
  </r>
  <r>
    <x v="3"/>
    <s v="NYIRAKAVUNJA"/>
    <s v="Public"/>
    <x v="0"/>
    <s v="Nyaruguru"/>
    <s v="Kibeho"/>
    <s v="NAKN_1"/>
    <s v="Giswi/Agatobwe Sub-Catchment"/>
    <n v="3626.64"/>
  </r>
  <r>
    <x v="3"/>
    <s v="RWABUGANDI"/>
    <s v="Public"/>
    <x v="0"/>
    <s v="Nyaruguru"/>
    <s v="Kibeho"/>
    <s v="NAKN_1"/>
    <s v="Giswi/Agatobwe Sub-Catchment"/>
    <n v="9933.84"/>
  </r>
  <r>
    <x v="3"/>
    <s v="RWABICUBA"/>
    <s v="Public"/>
    <x v="0"/>
    <s v="Nyaruguru"/>
    <s v="Kibeho"/>
    <s v="NAKN_1"/>
    <s v="Giswi/Agatobwe Sub-Catchment"/>
    <n v="6622.5599999999995"/>
  </r>
  <r>
    <x v="3"/>
    <s v="INGARAMA"/>
    <s v="Public"/>
    <x v="0"/>
    <s v="Nyaruguru"/>
    <s v="Kibeho"/>
    <s v="NAKN_1"/>
    <s v="Giswi/Agatobwe Sub-Catchment"/>
    <n v="15768.000000000002"/>
  </r>
  <r>
    <x v="3"/>
    <s v="RWAMUGANZA"/>
    <s v="Public"/>
    <x v="0"/>
    <s v="Nyaruguru"/>
    <s v="Kibeho"/>
    <s v="NAKN_1"/>
    <s v="Giswi/Agatobwe Sub-Catchment"/>
    <n v="12929.76"/>
  </r>
  <r>
    <x v="3"/>
    <s v="RWAMUGAMBA 2"/>
    <s v="Public"/>
    <x v="0"/>
    <s v="Nyaruguru"/>
    <s v="Kibeho"/>
    <s v="NAKN_1"/>
    <s v="Giswi/Agatobwe Sub-Catchment"/>
    <n v="7884.0000000000009"/>
  </r>
  <r>
    <x v="3"/>
    <s v="KARUNDA"/>
    <s v="Public"/>
    <x v="0"/>
    <s v="Nyaruguru"/>
    <s v="Kibeho"/>
    <s v="NAKN_1"/>
    <s v="Giswi/Agatobwe Sub-Catchment"/>
    <n v="3468.9600000000005"/>
  </r>
  <r>
    <x v="3"/>
    <s v="RWAGAHENE 1"/>
    <s v="Public"/>
    <x v="0"/>
    <s v="Nyaruguru"/>
    <s v="Kibeho"/>
    <s v="NAKN_1"/>
    <s v="Giswi/Agatobwe Sub-Catchment"/>
    <n v="16083.36"/>
  </r>
  <r>
    <x v="3"/>
    <s v="RWAMUGAMBA 1"/>
    <s v="Public"/>
    <x v="0"/>
    <s v="Nyaruguru"/>
    <s v="Kibeho"/>
    <s v="NAKN_1"/>
    <s v="Giswi/Agatobwe Sub-Catchment"/>
    <n v="16241.04"/>
  </r>
  <r>
    <x v="3"/>
    <s v="RWAKARAMBA 1"/>
    <s v="Public"/>
    <x v="0"/>
    <s v="Nyaruguru"/>
    <s v="Kibeho"/>
    <s v="NAKN_1"/>
    <s v="Giswi/Agatobwe Sub-Catchment"/>
    <n v="157.68"/>
  </r>
  <r>
    <x v="3"/>
    <s v="MUKIMBERE"/>
    <s v="Public"/>
    <x v="0"/>
    <s v="Nyaruguru"/>
    <s v="Kibeho"/>
    <s v="NAKN_1"/>
    <s v="Giswi/Agatobwe Sub-Catchment"/>
    <n v="6780.24"/>
  </r>
  <r>
    <x v="3"/>
    <s v="RWAKARAMBA 2"/>
    <s v="Public"/>
    <x v="0"/>
    <s v="Nyaruguru"/>
    <s v="Kibeho"/>
    <s v="NAKN_1"/>
    <s v="Giswi/Agatobwe Sub-Catchment"/>
    <n v="3626.64"/>
  </r>
  <r>
    <x v="3"/>
    <s v="RUVUMVU"/>
    <s v="Public"/>
    <x v="0"/>
    <s v="Nyaruguru"/>
    <s v="Kibeho"/>
    <s v="NAKN_1"/>
    <s v="Giswi/Agatobwe Sub-Catchment"/>
    <n v="7884.0000000000009"/>
  </r>
  <r>
    <x v="3"/>
    <s v="RWABIRENGE"/>
    <s v="Public"/>
    <x v="0"/>
    <s v="Nyaruguru"/>
    <s v="Kibeho"/>
    <s v="NAKN_1"/>
    <s v="Giswi/Agatobwe Sub-Catchment"/>
    <n v="473.04"/>
  </r>
  <r>
    <x v="3"/>
    <s v="RUGARAMA 2"/>
    <s v="Public"/>
    <x v="0"/>
    <s v="Nyaruguru"/>
    <s v="Kibeho"/>
    <s v="NAKN_1"/>
    <s v="Giswi/Agatobwe Sub-Catchment"/>
    <n v="15768.000000000002"/>
  </r>
  <r>
    <x v="3"/>
    <s v="RWANYIRASHAMI"/>
    <s v="Public"/>
    <x v="0"/>
    <s v="Nyaruguru"/>
    <s v="Kibeho"/>
    <s v="NAKN_1"/>
    <s v="Giswi/Agatobwe Sub-Catchment"/>
    <n v="8199.36"/>
  </r>
  <r>
    <x v="3"/>
    <s v="RWAKAGOROBA 2"/>
    <s v="Public"/>
    <x v="0"/>
    <s v="Nyaruguru"/>
    <s v="Kibeho"/>
    <s v="NAKN_1"/>
    <s v="Giswi/Agatobwe Sub-Catchment"/>
    <n v="3311.2799999999997"/>
  </r>
  <r>
    <x v="3"/>
    <s v="RUGARAMA1"/>
    <s v="Public"/>
    <x v="0"/>
    <s v="Nyaruguru"/>
    <s v="Kibeho"/>
    <s v="NAKN_1"/>
    <s v="Giswi/Agatobwe Sub-Catchment"/>
    <n v="5045.76"/>
  </r>
  <r>
    <x v="3"/>
    <s v="KABWENGE"/>
    <s v="Public"/>
    <x v="0"/>
    <s v="Nyaruguru"/>
    <s v="Kibeho"/>
    <s v="NAKN_1"/>
    <s v="Giswi/Agatobwe Sub-Catchment"/>
    <n v="3468.9600000000005"/>
  </r>
  <r>
    <x v="3"/>
    <s v="MUGAKOMBE"/>
    <s v="Public"/>
    <x v="0"/>
    <s v="Nyaruguru"/>
    <s v="Kibeho"/>
    <s v="NAKN_1"/>
    <s v="Giswi/Agatobwe Sub-Catchment"/>
    <n v="1892.16"/>
  </r>
  <r>
    <x v="3"/>
    <s v="UWIMPUNDU"/>
    <s v="Public"/>
    <x v="0"/>
    <s v="Nyaruguru"/>
    <s v="Kibeho"/>
    <s v="NAKN_1"/>
    <s v="Giswi/Agatobwe Sub-Catchment"/>
    <n v="8199.36"/>
  </r>
  <r>
    <x v="3"/>
    <s v="NYABIHANGA"/>
    <s v="Public"/>
    <x v="0"/>
    <s v="Nyaruguru"/>
    <s v="Kibeho"/>
    <s v="NAKN_1"/>
    <s v="Giswi/Agatobwe Sub-Catchment"/>
    <n v="10249.199999999999"/>
  </r>
  <r>
    <x v="3"/>
    <s v="BAZOZA"/>
    <s v="Public"/>
    <x v="0"/>
    <s v="Nyaruguru"/>
    <s v="Kibeho"/>
    <s v="NAKN_1"/>
    <s v="Giswi/Agatobwe Sub-Catchment"/>
    <n v="10722.24"/>
  </r>
  <r>
    <x v="3"/>
    <s v="KINYAMAGANYA"/>
    <s v="Public"/>
    <x v="0"/>
    <s v="Nyaruguru"/>
    <s v="Kibeho"/>
    <s v="NAKN_1"/>
    <s v="Giswi/Agatobwe Sub-Catchment"/>
    <n v="2838.24"/>
  </r>
  <r>
    <x v="3"/>
    <s v="RWAMUHOZA"/>
    <s v="Public"/>
    <x v="0"/>
    <s v="Nyaruguru"/>
    <s v="Kibeho"/>
    <s v="NAKN_1"/>
    <s v="Giswi/Agatobwe Sub-Catchment"/>
    <n v="1261.44"/>
  </r>
  <r>
    <x v="3"/>
    <s v="NYAKAGEZI"/>
    <s v="Public"/>
    <x v="0"/>
    <s v="Nyaruguru"/>
    <s v="Kibeho"/>
    <s v="NAKN_1"/>
    <s v="Giswi/Agatobwe Sub-Catchment"/>
    <n v="2680.56"/>
  </r>
  <r>
    <x v="3"/>
    <s v="NYAKAGEZI"/>
    <s v="Public"/>
    <x v="0"/>
    <s v="Nyaruguru"/>
    <s v="Kibeho"/>
    <s v="NAKN_1"/>
    <s v="Giswi/Agatobwe Sub-Catchment"/>
    <n v="3153.6000000000004"/>
  </r>
  <r>
    <x v="3"/>
    <s v="RUNYINYA"/>
    <s v="Public"/>
    <x v="0"/>
    <s v="Nyaruguru"/>
    <s v="Kibeho"/>
    <s v="NAKN_1"/>
    <s v="Giswi/Agatobwe Sub-Catchment"/>
    <n v="1419.12"/>
  </r>
  <r>
    <x v="3"/>
    <s v="KANEKE"/>
    <s v="Public"/>
    <x v="0"/>
    <s v="Nyaruguru"/>
    <s v="Kibeho"/>
    <s v="NAKN_1"/>
    <s v="Giswi/Agatobwe Sub-Catchment"/>
    <n v="16241.04"/>
  </r>
  <r>
    <x v="3"/>
    <s v="MUHONDO"/>
    <s v="Public"/>
    <x v="0"/>
    <s v="Gisagara"/>
    <s v="Kibirizi"/>
    <s v="NAKN_1"/>
    <s v="Giswi/Agatobwe Sub-Catchment"/>
    <n v="2617.4880000000003"/>
  </r>
  <r>
    <x v="3"/>
    <s v="NYAMUGALI"/>
    <s v="Public"/>
    <x v="0"/>
    <s v="Gisagara"/>
    <s v="Kibirizi"/>
    <s v="NAKN_1"/>
    <s v="Giswi/Agatobwe Sub-Catchment"/>
    <n v="1313.4744000000001"/>
  </r>
  <r>
    <x v="3"/>
    <s v="RWATUKURA"/>
    <s v="Public"/>
    <x v="0"/>
    <s v="Gisagara"/>
    <s v="Kibirizi"/>
    <s v="NAKN_1"/>
    <s v="Giswi/Agatobwe Sub-Catchment"/>
    <n v="1592.5680000000002"/>
  </r>
  <r>
    <x v="3"/>
    <s v="KARUGINA"/>
    <s v="Public"/>
    <x v="0"/>
    <s v="Gisagara"/>
    <s v="Kibirizi"/>
    <s v="NAKN_1"/>
    <s v="Giswi/Agatobwe Sub-Catchment"/>
    <n v="274.36320000000001"/>
  </r>
  <r>
    <x v="3"/>
    <s v="CYURUGANDA"/>
    <s v="Public"/>
    <x v="0"/>
    <s v="Gisagara"/>
    <s v="Kibirizi"/>
    <s v="NAKN_1"/>
    <s v="Giswi/Agatobwe Sub-Catchment"/>
    <n v="2617.4880000000003"/>
  </r>
  <r>
    <x v="3"/>
    <s v="KABOROGA"/>
    <s v="Public"/>
    <x v="0"/>
    <s v="Gisagara"/>
    <s v="Kibirizi"/>
    <s v="NAKN_1"/>
    <s v="Giswi/Agatobwe Sub-Catchment"/>
    <n v="2806.7039999999997"/>
  </r>
  <r>
    <x v="3"/>
    <s v="RUKOMA"/>
    <s v="Public"/>
    <x v="0"/>
    <s v="Gisagara"/>
    <s v="Kibirizi"/>
    <s v="NAKN_1"/>
    <s v="Giswi/Agatobwe Sub-Catchment"/>
    <n v="1040.6880000000001"/>
  </r>
  <r>
    <x v="3"/>
    <s v="KUWURUTOKI"/>
    <s v="Public"/>
    <x v="0"/>
    <s v="Gisagara"/>
    <s v="Kibirizi"/>
    <s v="NAKN_1"/>
    <s v="Giswi/Agatobwe Sub-Catchment"/>
    <n v="1313.4744000000001"/>
  </r>
  <r>
    <x v="3"/>
    <s v="KUMBA"/>
    <s v="Public"/>
    <x v="0"/>
    <s v="Gisagara"/>
    <s v="Kibirizi"/>
    <s v="NAKN_1"/>
    <s v="Giswi/Agatobwe Sub-Catchment"/>
    <n v="788.40000000000009"/>
  </r>
  <r>
    <x v="3"/>
    <s v="NYIRABIHERI"/>
    <s v="Public"/>
    <x v="0"/>
    <s v="Gisagara"/>
    <s v="Kibirizi"/>
    <s v="NAKN_1"/>
    <s v="Giswi/Agatobwe Sub-Catchment"/>
    <n v="985.50000000000011"/>
  </r>
  <r>
    <x v="3"/>
    <s v="KARIBUGUFI"/>
    <s v="Public"/>
    <x v="0"/>
    <s v="Gisagara"/>
    <s v="Kibirizi"/>
    <s v="NAKN_1"/>
    <s v="Giswi/Agatobwe Sub-Catchment"/>
    <n v="1313.4744000000001"/>
  </r>
  <r>
    <x v="3"/>
    <s v="GAKOMBE"/>
    <s v="Public"/>
    <x v="0"/>
    <s v="Gisagara"/>
    <s v="Kibirizi"/>
    <s v="NAKN_1"/>
    <s v="Giswi/Agatobwe Sub-Catchment"/>
    <n v="212.86800000000002"/>
  </r>
  <r>
    <x v="3"/>
    <s v="GATARE"/>
    <s v="Public"/>
    <x v="0"/>
    <s v="Gisagara"/>
    <s v="Kibirizi"/>
    <s v="NAKN_1"/>
    <s v="Giswi/Agatobwe Sub-Catchment"/>
    <n v="985.50000000000011"/>
  </r>
  <r>
    <x v="3"/>
    <s v="KAGWA"/>
    <s v="Public"/>
    <x v="0"/>
    <s v="Gisagara"/>
    <s v="Kibirizi"/>
    <s v="NAKN_1"/>
    <s v="Giswi/Agatobwe Sub-Catchment"/>
    <n v="2626.9488000000001"/>
  </r>
  <r>
    <x v="3"/>
    <s v="NYIRACOKO"/>
    <s v="Public"/>
    <x v="0"/>
    <s v="Gisagara"/>
    <s v="Kibirizi"/>
    <s v="NAKN_1"/>
    <s v="Giswi/Agatobwe Sub-Catchment"/>
    <n v="985.50000000000011"/>
  </r>
  <r>
    <x v="3"/>
    <s v="RUBIHA"/>
    <s v="Public"/>
    <x v="0"/>
    <s v="Gisagara"/>
    <s v="Kibirizi"/>
    <s v="NAKN_1"/>
    <s v="Giswi/Agatobwe Sub-Catchment"/>
    <n v="1313.4744000000001"/>
  </r>
  <r>
    <x v="3"/>
    <s v="NYIRAKWEZI"/>
    <s v="Public"/>
    <x v="0"/>
    <s v="Gisagara"/>
    <s v="Kibirizi"/>
    <s v="NAKN_1"/>
    <s v="Giswi/Agatobwe Sub-Catchment"/>
    <n v="1971.0000000000002"/>
  </r>
  <r>
    <x v="3"/>
    <s v="RWANYONGA"/>
    <s v="Public"/>
    <x v="0"/>
    <s v="Gisagara"/>
    <s v="Kibirizi"/>
    <s v="NAKN_1"/>
    <s v="Giswi/Agatobwe Sub-Catchment"/>
    <n v="2617.4880000000003"/>
  </r>
  <r>
    <x v="3"/>
    <s v="KAVOMO"/>
    <s v="Public"/>
    <x v="0"/>
    <s v="Gisagara"/>
    <s v="Kibirizi"/>
    <s v="NAKN_1"/>
    <s v="Giswi/Agatobwe Sub-Catchment"/>
    <n v="1971.0000000000002"/>
  </r>
  <r>
    <x v="3"/>
    <s v="RWASEDUGU"/>
    <s v="Public"/>
    <x v="0"/>
    <s v="Gisagara"/>
    <s v="Kibirizi"/>
    <s v="NAKN_1"/>
    <s v="Giswi/Agatobwe Sub-Catchment"/>
    <n v="1592.5680000000002"/>
  </r>
  <r>
    <x v="3"/>
    <s v="CYAHAFI"/>
    <s v="Public"/>
    <x v="0"/>
    <s v="Gisagara"/>
    <s v="Kibirizi"/>
    <s v="NAKN_1"/>
    <s v="Giswi/Agatobwe Sub-Catchment"/>
    <n v="1971.0000000000002"/>
  </r>
  <r>
    <x v="3"/>
    <s v="RUZIBAZIBA"/>
    <s v="Public"/>
    <x v="0"/>
    <s v="Gisagara"/>
    <s v="Kibirizi"/>
    <s v="NAKN_1"/>
    <s v="Giswi/Agatobwe Sub-Catchment"/>
    <n v="788.40000000000009"/>
  </r>
  <r>
    <x v="3"/>
    <s v="GATARE1"/>
    <s v="Public"/>
    <x v="0"/>
    <s v="Nyamagabe"/>
    <s v="Kitabi"/>
    <s v="NAKN_1"/>
    <s v="Giswi/Agatobwe Sub-Catchment"/>
    <n v="1971.0000000000002"/>
  </r>
  <r>
    <x v="3"/>
    <s v="WABAHIMA"/>
    <s v="Public"/>
    <x v="0"/>
    <s v="Nyamagabe"/>
    <s v="Kitabi"/>
    <s v="NAKN_1"/>
    <s v="Giswi/Agatobwe Sub-Catchment"/>
    <n v="1313.9474400000001"/>
  </r>
  <r>
    <x v="3"/>
    <s v="WAGASHISHA"/>
    <s v="Public"/>
    <x v="0"/>
    <s v="Nyamagabe"/>
    <s v="Kitabi"/>
    <s v="NAKN_1"/>
    <s v="Giswi/Agatobwe Sub-Catchment"/>
    <n v="3942.0000000000005"/>
  </r>
  <r>
    <x v="3"/>
    <s v="GASASA"/>
    <s v="Public"/>
    <x v="0"/>
    <s v="Nyamagabe"/>
    <s v="Kitabi"/>
    <s v="NAKN_1"/>
    <s v="Giswi/Agatobwe Sub-Catchment"/>
    <n v="2617.4880000000003"/>
  </r>
  <r>
    <x v="3"/>
    <s v="NYAKAGEZI"/>
    <s v="Public"/>
    <x v="0"/>
    <s v="Nyamagabe"/>
    <s v="Kitabi"/>
    <s v="NAKN_1"/>
    <s v="Giswi/Agatobwe Sub-Catchment"/>
    <n v="2759.4"/>
  </r>
  <r>
    <x v="3"/>
    <s v="TABA"/>
    <s v="Public"/>
    <x v="0"/>
    <s v="Nyamagabe"/>
    <s v="Kitabi"/>
    <s v="NAKN_1"/>
    <s v="Giswi/Agatobwe Sub-Catchment"/>
    <n v="1971.0000000000002"/>
  </r>
  <r>
    <x v="3"/>
    <s v="KWITABA"/>
    <s v="Public"/>
    <x v="0"/>
    <s v="Nyamagabe"/>
    <s v="Kitabi"/>
    <s v="NAKN_1"/>
    <s v="Giswi/Agatobwe Sub-Catchment"/>
    <n v="1340.28"/>
  </r>
  <r>
    <x v="3"/>
    <s v="UWANGURUBE"/>
    <s v="Public"/>
    <x v="0"/>
    <s v="Nyamagabe"/>
    <s v="Kitabi"/>
    <s v="NAKN_1"/>
    <s v="Giswi/Agatobwe Sub-Catchment"/>
    <n v="3942.0000000000005"/>
  </r>
  <r>
    <x v="3"/>
    <s v="RUGOMERO"/>
    <s v="Public"/>
    <x v="0"/>
    <s v="Nyamagabe"/>
    <s v="Kitabi"/>
    <s v="NAKN_1"/>
    <s v="Giswi/Agatobwe Sub-Catchment"/>
    <n v="1971.0000000000002"/>
  </r>
  <r>
    <x v="3"/>
    <s v="WAKARASANYI"/>
    <s v="Public"/>
    <x v="0"/>
    <s v="Nyamagabe"/>
    <s v="Kitabi"/>
    <s v="NAKN_1"/>
    <s v="Giswi/Agatobwe Sub-Catchment"/>
    <n v="2617.4880000000003"/>
  </r>
  <r>
    <x v="3"/>
    <s v="AKASEBUGIRI"/>
    <s v="Public"/>
    <x v="0"/>
    <s v="Nyamagabe"/>
    <s v="Kitabi"/>
    <s v="NAKN_1"/>
    <s v="Giswi/Agatobwe Sub-Catchment"/>
    <n v="1313.9474400000001"/>
  </r>
  <r>
    <x v="3"/>
    <s v="RUZIZI"/>
    <s v="Public"/>
    <x v="0"/>
    <s v="Nyamagabe"/>
    <s v="Kitabi"/>
    <s v="NAKN_1"/>
    <s v="Giswi/Agatobwe Sub-Catchment"/>
    <n v="275.94000000000005"/>
  </r>
  <r>
    <x v="3"/>
    <s v="UWABAHENE"/>
    <s v="Public"/>
    <x v="0"/>
    <s v="Nyamagabe"/>
    <s v="Kitabi"/>
    <s v="NAKN_1"/>
    <s v="Giswi/Agatobwe Sub-Catchment"/>
    <n v="2617.4880000000003"/>
  </r>
  <r>
    <x v="3"/>
    <s v="GISARENDA 2"/>
    <s v="Public"/>
    <x v="0"/>
    <s v="Nyamagabe"/>
    <s v="Kitabi"/>
    <s v="NAKN_1"/>
    <s v="Giswi/Agatobwe Sub-Catchment"/>
    <n v="3942.0000000000005"/>
  </r>
  <r>
    <x v="3"/>
    <s v="WURUTARE"/>
    <s v="Public"/>
    <x v="0"/>
    <s v="Nyamagabe"/>
    <s v="Kitabi"/>
    <s v="NAKN_1"/>
    <s v="Giswi/Agatobwe Sub-Catchment"/>
    <n v="3942.0000000000005"/>
  </r>
  <r>
    <x v="3"/>
    <s v="UWINKA"/>
    <s v="Public"/>
    <x v="0"/>
    <s v="Nyamagabe"/>
    <s v="Kitabi"/>
    <s v="NAKN_1"/>
    <s v="Giswi/Agatobwe Sub-Catchment"/>
    <n v="1313.4744000000001"/>
  </r>
  <r>
    <x v="3"/>
    <s v="MUKABAYA"/>
    <s v="Public"/>
    <x v="0"/>
    <s v="Nyamagabe"/>
    <s v="Kitabi"/>
    <s v="NAKN_1"/>
    <s v="Giswi/Agatobwe Sub-Catchment"/>
    <n v="1313.4744000000001"/>
  </r>
  <r>
    <x v="3"/>
    <s v="WURUTARE"/>
    <s v="Public"/>
    <x v="0"/>
    <s v="Nyamagabe"/>
    <s v="Kitabi"/>
    <s v="NAKN_1"/>
    <s v="Giswi/Agatobwe Sub-Catchment"/>
    <n v="2743.6320000000001"/>
  </r>
  <r>
    <x v="3"/>
    <s v="RWANYA2"/>
    <s v="Public"/>
    <x v="0"/>
    <s v="Nyamagabe"/>
    <s v="Kitabi"/>
    <s v="NAKN_1"/>
    <s v="Giswi/Agatobwe Sub-Catchment"/>
    <n v="1592.5680000000002"/>
  </r>
  <r>
    <x v="3"/>
    <s v="KANYABUSHISHI"/>
    <s v="Public"/>
    <x v="0"/>
    <s v="Nyamagabe"/>
    <s v="Kitabi"/>
    <s v="NAKN_1"/>
    <s v="Giswi/Agatobwe Sub-Catchment"/>
    <n v="247.55759999999998"/>
  </r>
  <r>
    <x v="3"/>
    <s v="RWIMBEHO"/>
    <s v="Public"/>
    <x v="0"/>
    <s v="Nyamagabe"/>
    <s v="Kitabi"/>
    <s v="NAKN_1"/>
    <s v="Giswi/Agatobwe Sub-Catchment"/>
    <n v="3942.0000000000005"/>
  </r>
  <r>
    <x v="3"/>
    <s v="AKABERE"/>
    <s v="Public"/>
    <x v="0"/>
    <s v="Nyamagabe"/>
    <s v="Kitabi"/>
    <s v="NAKN_1"/>
    <s v="Giswi/Agatobwe Sub-Catchment"/>
    <n v="3942.0000000000005"/>
  </r>
  <r>
    <x v="3"/>
    <s v="MUBADEGE"/>
    <s v="Public"/>
    <x v="0"/>
    <s v="Nyamagabe"/>
    <s v="Kitabi"/>
    <s v="NAKN_1"/>
    <s v="Giswi/Agatobwe Sub-Catchment"/>
    <n v="2759.4"/>
  </r>
  <r>
    <x v="3"/>
    <s v="WURUGOERO"/>
    <s v="Public"/>
    <x v="0"/>
    <s v="Nyamagabe"/>
    <s v="Kitabi"/>
    <s v="NAKN_1"/>
    <s v="Giswi/Agatobwe Sub-Catchment"/>
    <n v="2626.9488000000001"/>
  </r>
  <r>
    <x v="3"/>
    <s v="GATARE"/>
    <s v="Public"/>
    <x v="0"/>
    <s v="Nyamagabe"/>
    <s v="Kitabi"/>
    <s v="NAKN_1"/>
    <s v="Giswi/Agatobwe Sub-Catchment"/>
    <n v="2759.4"/>
  </r>
  <r>
    <x v="3"/>
    <s v="NKOMANE"/>
    <s v="Public"/>
    <x v="0"/>
    <s v="Nyamagabe"/>
    <s v="Kitabi"/>
    <s v="NAKN_1"/>
    <s v="Giswi/Agatobwe Sub-Catchment"/>
    <n v="520.34400000000005"/>
  </r>
  <r>
    <x v="3"/>
    <s v="NYAKABINGO"/>
    <s v="Public"/>
    <x v="0"/>
    <s v="Nyamagabe"/>
    <s v="Kitabi"/>
    <s v="NAKN_1"/>
    <s v="Giswi/Agatobwe Sub-Catchment"/>
    <n v="3942.0000000000005"/>
  </r>
  <r>
    <x v="3"/>
    <s v="MURAGO"/>
    <s v="Public"/>
    <x v="0"/>
    <s v="Nyamagabe"/>
    <s v="Kitabi"/>
    <s v="NAKN_1"/>
    <s v="Giswi/Agatobwe Sub-Catchment"/>
    <n v="2626.9488000000001"/>
  </r>
  <r>
    <x v="3"/>
    <s v="MUBAHOZI"/>
    <s v="Public"/>
    <x v="0"/>
    <s v="Nyamagabe"/>
    <s v="Kitabi"/>
    <s v="NAKN_1"/>
    <s v="Giswi/Agatobwe Sub-Catchment"/>
    <n v="1971.0000000000002"/>
  </r>
  <r>
    <x v="3"/>
    <s v="GAHU"/>
    <s v="Public"/>
    <x v="0"/>
    <s v="Nyamagabe"/>
    <s v="Kitabi"/>
    <s v="NAKN_1"/>
    <s v="Giswi/Agatobwe Sub-Catchment"/>
    <n v="3942.0000000000005"/>
  </r>
  <r>
    <x v="3"/>
    <s v="BUSENYI"/>
    <s v="Public"/>
    <x v="0"/>
    <s v="Nyamagabe"/>
    <s v="Kitabi"/>
    <s v="NAKN_1"/>
    <s v="Giswi/Agatobwe Sub-Catchment"/>
    <n v="1971.0000000000002"/>
  </r>
  <r>
    <x v="3"/>
    <s v="TABA 2"/>
    <s v="Public"/>
    <x v="0"/>
    <s v="Nyamagabe"/>
    <s v="Kitabi"/>
    <s v="NAKN_1"/>
    <s v="Giswi/Agatobwe Sub-Catchment"/>
    <n v="4746.1679999999997"/>
  </r>
  <r>
    <x v="3"/>
    <s v="KARUGALI"/>
    <s v="Public"/>
    <x v="0"/>
    <s v="Nyamagabe"/>
    <s v="Kitabi"/>
    <s v="NAKN_1"/>
    <s v="Giswi/Agatobwe Sub-Catchment"/>
    <n v="867.24000000000012"/>
  </r>
  <r>
    <x v="3"/>
    <s v="CYAHAFI"/>
    <s v="Public"/>
    <x v="0"/>
    <s v="Nyamagabe"/>
    <s v="Kitabi"/>
    <s v="NAKN_1"/>
    <s v="Giswi/Agatobwe Sub-Catchment"/>
    <n v="2759.4"/>
  </r>
  <r>
    <x v="3"/>
    <s v="WABARWANYI"/>
    <s v="Public"/>
    <x v="0"/>
    <s v="Nyamagabe"/>
    <s v="Kitabi"/>
    <s v="NAKN_1"/>
    <s v="Giswi/Agatobwe Sub-Catchment"/>
    <n v="1313.9474400000001"/>
  </r>
  <r>
    <x v="3"/>
    <s v="RUGOMERO"/>
    <s v="Public"/>
    <x v="0"/>
    <s v="Nyamagabe"/>
    <s v="Kitabi"/>
    <s v="NAKN_1"/>
    <s v="Giswi/Agatobwe Sub-Catchment"/>
    <n v="1971.0000000000002"/>
  </r>
  <r>
    <x v="3"/>
    <s v="UWANZANA"/>
    <s v="Public"/>
    <x v="0"/>
    <s v="Nyamagabe"/>
    <s v="Kitabi"/>
    <s v="NAKN_1"/>
    <s v="Giswi/Agatobwe Sub-Catchment"/>
    <n v="1971.0000000000002"/>
  </r>
  <r>
    <x v="3"/>
    <s v="AKAGOTE2"/>
    <s v="Public"/>
    <x v="0"/>
    <s v="Nyamagabe"/>
    <s v="Kitabi"/>
    <s v="NAKN_1"/>
    <s v="Giswi/Agatobwe Sub-Catchment"/>
    <n v="7884.0000000000009"/>
  </r>
  <r>
    <x v="3"/>
    <s v="MWUMBA"/>
    <s v="Public"/>
    <x v="0"/>
    <s v="Nyamagabe"/>
    <s v="Kitabi"/>
    <s v="NAKN_1"/>
    <s v="Giswi/Agatobwe Sub-Catchment"/>
    <n v="3942.0000000000005"/>
  </r>
  <r>
    <x v="3"/>
    <s v="UWURUTARE"/>
    <s v="Public"/>
    <x v="0"/>
    <s v="Nyamagabe"/>
    <s v="Kitabi"/>
    <s v="NAKN_1"/>
    <s v="Giswi/Agatobwe Sub-Catchment"/>
    <n v="4336.2000000000007"/>
  </r>
  <r>
    <x v="3"/>
    <s v="GASHWATI"/>
    <s v="Public"/>
    <x v="0"/>
    <s v="Nyamagabe"/>
    <s v="Kitabi"/>
    <s v="NAKN_1"/>
    <s v="Giswi/Agatobwe Sub-Catchment"/>
    <n v="1971.0000000000002"/>
  </r>
  <r>
    <x v="3"/>
    <s v="WURUTARE"/>
    <s v="Public"/>
    <x v="0"/>
    <s v="Nyamagabe"/>
    <s v="Kitabi"/>
    <s v="NAKN_1"/>
    <s v="Giswi/Agatobwe Sub-Catchment"/>
    <n v="2626.9488000000001"/>
  </r>
  <r>
    <x v="3"/>
    <s v="NYAKIRIBA"/>
    <s v="Public"/>
    <x v="0"/>
    <s v="Nyamagabe"/>
    <s v="Kitabi"/>
    <s v="NAKN_1"/>
    <s v="Giswi/Agatobwe Sub-Catchment"/>
    <n v="2626.9488000000001"/>
  </r>
  <r>
    <x v="3"/>
    <s v="UWINGOGO"/>
    <s v="Public"/>
    <x v="0"/>
    <s v="Nyamagabe"/>
    <s v="Kitabi"/>
    <s v="NAKN_1"/>
    <s v="Giswi/Agatobwe Sub-Catchment"/>
    <n v="1971.0000000000002"/>
  </r>
  <r>
    <x v="3"/>
    <s v="NYAKAGEZI"/>
    <s v="Public"/>
    <x v="0"/>
    <s v="Nyamagabe"/>
    <s v="Kitabi"/>
    <s v="NAKN_1"/>
    <s v="Giswi/Agatobwe Sub-Catchment"/>
    <n v="2365.2000000000003"/>
  </r>
  <r>
    <x v="3"/>
    <s v="WARWEGO 2"/>
    <s v="Public"/>
    <x v="0"/>
    <s v="Nyamagabe"/>
    <s v="Kitabi"/>
    <s v="NAKN_1"/>
    <s v="Giswi/Agatobwe Sub-Catchment"/>
    <n v="1592.5680000000002"/>
  </r>
  <r>
    <x v="3"/>
    <s v="WARWEGO"/>
    <s v="Public"/>
    <x v="0"/>
    <s v="Nyamagabe"/>
    <s v="Kitabi"/>
    <s v="NAKN_1"/>
    <s v="Giswi/Agatobwe Sub-Catchment"/>
    <n v="3169.3679999999999"/>
  </r>
  <r>
    <x v="3"/>
    <s v="WARWEGO"/>
    <s v="Public"/>
    <x v="0"/>
    <s v="Nyamagabe"/>
    <s v="Kitabi"/>
    <s v="NAKN_1"/>
    <s v="Giswi/Agatobwe Sub-Catchment"/>
    <n v="3942.0000000000005"/>
  </r>
  <r>
    <x v="3"/>
    <s v="UWINKA"/>
    <s v="Public"/>
    <x v="0"/>
    <s v="Nyamagabe"/>
    <s v="Kitabi"/>
    <s v="NAKN_1"/>
    <s v="Giswi/Agatobwe Sub-Catchment"/>
    <n v="7899.768"/>
  </r>
  <r>
    <x v="3"/>
    <s v="KABEZA"/>
    <s v="Public"/>
    <x v="0"/>
    <s v="Nyamagabe"/>
    <s v="Kitabi"/>
    <s v="NAKN_1"/>
    <s v="Giswi/Agatobwe Sub-Catchment"/>
    <n v="1971.0000000000002"/>
  </r>
  <r>
    <x v="3"/>
    <s v="GIKONDO"/>
    <s v="Public"/>
    <x v="0"/>
    <s v="Nyamagabe"/>
    <s v="Kitabi"/>
    <s v="NAKN_1"/>
    <s v="Giswi/Agatobwe Sub-Catchment"/>
    <n v="2617.4880000000003"/>
  </r>
  <r>
    <x v="3"/>
    <s v="KABAHINDO"/>
    <s v="Public"/>
    <x v="0"/>
    <s v="Nyamagabe"/>
    <s v="Kitabi"/>
    <s v="NAKN_1"/>
    <s v="Giswi/Agatobwe Sub-Catchment"/>
    <n v="525.07440000000008"/>
  </r>
  <r>
    <x v="3"/>
    <s v="MWISUMO"/>
    <s v="Public"/>
    <x v="0"/>
    <s v="Nyamagabe"/>
    <s v="Kitabi"/>
    <s v="NAKN_1"/>
    <s v="Giswi/Agatobwe Sub-Catchment"/>
    <n v="2743.6320000000001"/>
  </r>
  <r>
    <x v="3"/>
    <s v="RWIMBOGO"/>
    <s v="Public"/>
    <x v="0"/>
    <s v="Nyamagabe"/>
    <s v="Kitabi"/>
    <s v="NAKN_1"/>
    <s v="Giswi/Agatobwe Sub-Catchment"/>
    <n v="1313.4744000000001"/>
  </r>
  <r>
    <x v="3"/>
    <s v="KABUGA"/>
    <s v="Public"/>
    <x v="0"/>
    <s v="Nyamagabe"/>
    <s v="Kitabi"/>
    <s v="NAKN_1"/>
    <s v="Giswi/Agatobwe Sub-Catchment"/>
    <n v="1592.5680000000002"/>
  </r>
  <r>
    <x v="3"/>
    <s v="TURONZE"/>
    <s v="Public"/>
    <x v="0"/>
    <s v="Nyamagabe"/>
    <s v="Kitabi"/>
    <s v="NAKN_1"/>
    <s v="Giswi/Agatobwe Sub-Catchment"/>
    <n v="2617.4880000000003"/>
  </r>
  <r>
    <x v="3"/>
    <s v="KITABI2"/>
    <s v="Public"/>
    <x v="0"/>
    <s v="Nyamagabe"/>
    <s v="Kitabi"/>
    <s v="NAKN_1"/>
    <s v="Giswi/Agatobwe Sub-Catchment"/>
    <n v="2759.4"/>
  </r>
  <r>
    <x v="3"/>
    <s v="MUKAJAGARI"/>
    <s v="Public"/>
    <x v="0"/>
    <s v="Nyamagabe"/>
    <s v="Kitabi"/>
    <s v="NAKN_1"/>
    <s v="Giswi/Agatobwe Sub-Catchment"/>
    <n v="1971.0000000000002"/>
  </r>
  <r>
    <x v="3"/>
    <s v="KITABI1"/>
    <s v="Public"/>
    <x v="0"/>
    <s v="Nyamagabe"/>
    <s v="Kitabi"/>
    <s v="NAKN_1"/>
    <s v="Giswi/Agatobwe Sub-Catchment"/>
    <n v="2617.4880000000003"/>
  </r>
  <r>
    <x v="3"/>
    <s v="MWUMBA"/>
    <s v="Public"/>
    <x v="0"/>
    <s v="Nyamagabe"/>
    <s v="Kitabi"/>
    <s v="NAKN_1"/>
    <s v="Giswi/Agatobwe Sub-Catchment"/>
    <n v="1313.9474400000001"/>
  </r>
  <r>
    <x v="3"/>
    <s v="UWAMENYO"/>
    <s v="Public"/>
    <x v="0"/>
    <s v="Nyamagabe"/>
    <s v="Kitabi"/>
    <s v="NAKN_1"/>
    <s v="Giswi/Agatobwe Sub-Catchment"/>
    <n v="1971.0000000000002"/>
  </r>
  <r>
    <x v="3"/>
    <s v="UWISEKURU"/>
    <s v="Public"/>
    <x v="0"/>
    <s v="Nyamagabe"/>
    <s v="Kitabi"/>
    <s v="NAKN_1"/>
    <s v="Giswi/Agatobwe Sub-Catchment"/>
    <n v="2617.4880000000003"/>
  </r>
  <r>
    <x v="3"/>
    <s v="RANYAMUGIRA"/>
    <s v="Public"/>
    <x v="0"/>
    <s v="Nyaruguru"/>
    <s v="Kivu"/>
    <s v="NAKN_1"/>
    <s v="Giswi/Agatobwe Sub-Catchment"/>
    <n v="189216.00000000003"/>
  </r>
  <r>
    <x v="3"/>
    <s v="RWIMBEHO"/>
    <s v="Public"/>
    <x v="0"/>
    <s v="Nyaruguru"/>
    <s v="Kivu"/>
    <s v="NAKN_1"/>
    <s v="Giswi/Agatobwe Sub-Catchment"/>
    <n v="12614.400000000001"/>
  </r>
  <r>
    <x v="3"/>
    <s v="TWUMBA"/>
    <s v="Public"/>
    <x v="0"/>
    <s v="Nyaruguru"/>
    <s v="Kivu"/>
    <s v="NAKN_1"/>
    <s v="Giswi/Agatobwe Sub-Catchment"/>
    <n v="630.72"/>
  </r>
  <r>
    <x v="3"/>
    <s v="BIMOKO"/>
    <s v="Public"/>
    <x v="0"/>
    <s v="Nyaruguru"/>
    <s v="Kivu"/>
    <s v="NAKN_1"/>
    <s v="Giswi/Agatobwe Sub-Catchment"/>
    <n v="7884.0000000000009"/>
  </r>
  <r>
    <x v="3"/>
    <s v="UWAGITIKA"/>
    <s v="Public"/>
    <x v="0"/>
    <s v="Nyaruguru"/>
    <s v="Kivu"/>
    <s v="NAKN_1"/>
    <s v="Giswi/Agatobwe Sub-Catchment"/>
    <n v="946.08"/>
  </r>
  <r>
    <x v="3"/>
    <s v="NYIRAJANJA"/>
    <s v="Public"/>
    <x v="0"/>
    <s v="Nyaruguru"/>
    <s v="Kivu"/>
    <s v="NAKN_1"/>
    <s v="Giswi/Agatobwe Sub-Catchment"/>
    <n v="3942.0000000000005"/>
  </r>
  <r>
    <x v="3"/>
    <s v="MURUHANGA"/>
    <s v="Public"/>
    <x v="0"/>
    <s v="Nyaruguru"/>
    <s v="Kivu"/>
    <s v="NAKN_1"/>
    <s v="Giswi/Agatobwe Sub-Catchment"/>
    <n v="2365.2000000000003"/>
  </r>
  <r>
    <x v="3"/>
    <s v="AGASITO"/>
    <s v="Public"/>
    <x v="0"/>
    <s v="Nyaruguru"/>
    <s v="Kivu"/>
    <s v="NAKN_1"/>
    <s v="Giswi/Agatobwe Sub-Catchment"/>
    <n v="2522.88"/>
  </r>
  <r>
    <x v="3"/>
    <s v="GITOGOTA"/>
    <s v="Public"/>
    <x v="0"/>
    <s v="Nyaruguru"/>
    <s v="Kivu"/>
    <s v="NAKN_1"/>
    <s v="Giswi/Agatobwe Sub-Catchment"/>
    <n v="11510.640000000001"/>
  </r>
  <r>
    <x v="3"/>
    <s v="UWABASAKE"/>
    <s v="Public"/>
    <x v="0"/>
    <s v="Nyaruguru"/>
    <s v="Kivu"/>
    <s v="NAKN_1"/>
    <s v="Giswi/Agatobwe Sub-Catchment"/>
    <n v="4888.0800000000008"/>
  </r>
  <r>
    <x v="3"/>
    <s v="MUGASITO"/>
    <s v="Public"/>
    <x v="0"/>
    <s v="Nyaruguru"/>
    <s v="Kivu"/>
    <s v="NAKN_1"/>
    <s v="Giswi/Agatobwe Sub-Catchment"/>
    <n v="3468.9600000000005"/>
  </r>
  <r>
    <x v="3"/>
    <s v="UWABAGESERA"/>
    <s v="Public"/>
    <x v="0"/>
    <s v="Nyaruguru"/>
    <s v="Kivu"/>
    <s v="NAKN_1"/>
    <s v="Giswi/Agatobwe Sub-Catchment"/>
    <n v="1892.16"/>
  </r>
  <r>
    <x v="3"/>
    <s v="KABERA"/>
    <s v="Public"/>
    <x v="0"/>
    <s v="Nyaruguru"/>
    <s v="Kivu"/>
    <s v="NAKN_1"/>
    <s v="Giswi/Agatobwe Sub-Catchment"/>
    <n v="25701.84"/>
  </r>
  <r>
    <x v="3"/>
    <s v="KARUNAZI"/>
    <s v="Public"/>
    <x v="0"/>
    <s v="Nyaruguru"/>
    <s v="Kivu"/>
    <s v="NAKN_1"/>
    <s v="Giswi/Agatobwe Sub-Catchment"/>
    <n v="13087.44"/>
  </r>
  <r>
    <x v="3"/>
    <s v="RYAMISTINDA"/>
    <s v="Public"/>
    <x v="0"/>
    <s v="Nyaruguru"/>
    <s v="Kivu"/>
    <s v="NAKN_1"/>
    <s v="Giswi/Agatobwe Sub-Catchment"/>
    <n v="3942.0000000000005"/>
  </r>
  <r>
    <x v="3"/>
    <s v="MUMISTINDA"/>
    <s v="Public"/>
    <x v="0"/>
    <s v="Nyaruguru"/>
    <s v="Kivu"/>
    <s v="NAKN_1"/>
    <s v="Giswi/Agatobwe Sub-Catchment"/>
    <n v="4415.0400000000009"/>
  </r>
  <r>
    <x v="3"/>
    <s v="NYIRARUGANZA"/>
    <s v="Public"/>
    <x v="0"/>
    <s v="Nyaruguru"/>
    <s v="Kivu"/>
    <s v="NAKN_1"/>
    <s v="Giswi/Agatobwe Sub-Catchment"/>
    <n v="473.04"/>
  </r>
  <r>
    <x v="3"/>
    <s v="KUWUMUBAVU"/>
    <s v="Public"/>
    <x v="0"/>
    <s v="Nyaruguru"/>
    <s v="Kivu"/>
    <s v="NAKN_1"/>
    <s v="Giswi/Agatobwe Sub-Catchment"/>
    <n v="9460.8000000000011"/>
  </r>
  <r>
    <x v="3"/>
    <s v="KINYAGA"/>
    <s v="Public"/>
    <x v="0"/>
    <s v="Nyaruguru"/>
    <s v="Kivu"/>
    <s v="NAKN_1"/>
    <s v="Giswi/Agatobwe Sub-Catchment"/>
    <n v="11037.6"/>
  </r>
  <r>
    <x v="3"/>
    <s v="BITOKE"/>
    <s v="Public"/>
    <x v="0"/>
    <s v="Nyaruguru"/>
    <s v="Kivu"/>
    <s v="NAKN_1"/>
    <s v="Giswi/Agatobwe Sub-Catchment"/>
    <n v="11352.96"/>
  </r>
  <r>
    <x v="3"/>
    <s v="BIGARAGARI"/>
    <s v="Public"/>
    <x v="0"/>
    <s v="Nyaruguru"/>
    <s v="Kivu"/>
    <s v="NAKN_1"/>
    <s v="Giswi/Agatobwe Sub-Catchment"/>
    <n v="18921.600000000002"/>
  </r>
  <r>
    <x v="3"/>
    <s v="UWIBITI"/>
    <s v="Public"/>
    <x v="0"/>
    <s v="Nyaruguru"/>
    <s v="Kivu"/>
    <s v="NAKN_1"/>
    <s v="Giswi/Agatobwe Sub-Catchment"/>
    <n v="2049.84"/>
  </r>
  <r>
    <x v="3"/>
    <s v="KIVUMU II"/>
    <s v="Public"/>
    <x v="0"/>
    <s v="Nyaruguru"/>
    <s v="Kivu"/>
    <s v="NAKN_1"/>
    <s v="Giswi/Agatobwe Sub-Catchment"/>
    <n v="12929.76"/>
  </r>
  <r>
    <x v="3"/>
    <s v="UWURUNAZI"/>
    <s v="Public"/>
    <x v="0"/>
    <s v="Nyaruguru"/>
    <s v="Kivu"/>
    <s v="NAKN_1"/>
    <s v="Giswi/Agatobwe Sub-Catchment"/>
    <n v="18921.600000000002"/>
  </r>
  <r>
    <x v="3"/>
    <s v="GASIZO"/>
    <s v="Public"/>
    <x v="0"/>
    <s v="Nyaruguru"/>
    <s v="Kivu"/>
    <s v="NAKN_1"/>
    <s v="Giswi/Agatobwe Sub-Catchment"/>
    <n v="14191.2"/>
  </r>
  <r>
    <x v="3"/>
    <s v="URUKEREKO"/>
    <s v="Public"/>
    <x v="0"/>
    <s v="Nyaruguru"/>
    <s v="Kivu"/>
    <s v="NAKN_1"/>
    <s v="Giswi/Agatobwe Sub-Catchment"/>
    <n v="31693.679999999997"/>
  </r>
  <r>
    <x v="3"/>
    <s v="KINTARE"/>
    <s v="Public"/>
    <x v="0"/>
    <s v="Nyaruguru"/>
    <s v="Kivu"/>
    <s v="NAKN_1"/>
    <s v="Giswi/Agatobwe Sub-Catchment"/>
    <n v="3311.2799999999997"/>
  </r>
  <r>
    <x v="3"/>
    <s v="BIGAZI A"/>
    <s v="Public"/>
    <x v="0"/>
    <s v="Nyaruguru"/>
    <s v="Kivu"/>
    <s v="NAKN_1"/>
    <s v="Giswi/Agatobwe Sub-Catchment"/>
    <n v="47304.000000000007"/>
  </r>
  <r>
    <x v="3"/>
    <s v="BIGAZI B"/>
    <s v="Public"/>
    <x v="0"/>
    <s v="Nyaruguru"/>
    <s v="Kivu"/>
    <s v="NAKN_1"/>
    <s v="Giswi/Agatobwe Sub-Catchment"/>
    <n v="189216.00000000003"/>
  </r>
  <r>
    <x v="3"/>
    <s v="NYABYAMU"/>
    <s v="Public"/>
    <x v="0"/>
    <s v="Nyaruguru"/>
    <s v="Kivu"/>
    <s v="NAKN_1"/>
    <s v="Giswi/Agatobwe Sub-Catchment"/>
    <n v="55187.999999999993"/>
  </r>
  <r>
    <x v="3"/>
    <s v="KINTAMA"/>
    <s v="Public"/>
    <x v="0"/>
    <s v="Nyaruguru"/>
    <s v="Kivu"/>
    <s v="NAKN_1"/>
    <s v="Giswi/Agatobwe Sub-Catchment"/>
    <n v="12614.400000000001"/>
  </r>
  <r>
    <x v="3"/>
    <s v="MUGAHAMA"/>
    <s v="Public"/>
    <x v="0"/>
    <s v="Nyaruguru"/>
    <s v="Mata"/>
    <s v="NAKN_1"/>
    <s v="Giswi/Agatobwe Sub-Catchment"/>
    <n v="3626.64"/>
  </r>
  <r>
    <x v="3"/>
    <s v="KAGEYO"/>
    <s v="Public"/>
    <x v="0"/>
    <s v="Nyaruguru"/>
    <s v="Mata"/>
    <s v="NAKN_1"/>
    <s v="Giswi/Agatobwe Sub-Catchment"/>
    <n v="630.72"/>
  </r>
  <r>
    <x v="3"/>
    <s v="GATOKI"/>
    <s v="Public"/>
    <x v="0"/>
    <s v="Nyaruguru"/>
    <s v="Mata"/>
    <s v="NAKN_1"/>
    <s v="Giswi/Agatobwe Sub-Catchment"/>
    <n v="1892.16"/>
  </r>
  <r>
    <x v="3"/>
    <s v="KAVOMO"/>
    <s v="Public"/>
    <x v="0"/>
    <s v="Nyaruguru"/>
    <s v="Mata"/>
    <s v="NAKN_1"/>
    <s v="Giswi/Agatobwe Sub-Catchment"/>
    <n v="946.08"/>
  </r>
  <r>
    <x v="3"/>
    <s v="KAVOMO"/>
    <s v="Public"/>
    <x v="0"/>
    <s v="Nyaruguru"/>
    <s v="Mata"/>
    <s v="NAKN_1"/>
    <s v="Giswi/Agatobwe Sub-Catchment"/>
    <n v="946.08"/>
  </r>
  <r>
    <x v="3"/>
    <s v="KABUBA"/>
    <s v="Public"/>
    <x v="0"/>
    <s v="Nyaruguru"/>
    <s v="Mata"/>
    <s v="NAKN_1"/>
    <s v="Giswi/Agatobwe Sub-Catchment"/>
    <n v="946.08"/>
  </r>
  <r>
    <x v="3"/>
    <s v="RWINTARE"/>
    <s v="Public"/>
    <x v="0"/>
    <s v="Nyaruguru"/>
    <s v="Mata"/>
    <s v="NAKN_1"/>
    <s v="Giswi/Agatobwe Sub-Catchment"/>
    <n v="4415.0400000000009"/>
  </r>
  <r>
    <x v="3"/>
    <s v="RUBAYA"/>
    <s v="Public"/>
    <x v="0"/>
    <s v="Nyaruguru"/>
    <s v="Mata"/>
    <s v="NAKN_1"/>
    <s v="Giswi/Agatobwe Sub-Catchment"/>
    <n v="4730.4000000000005"/>
  </r>
  <r>
    <x v="3"/>
    <s v="MUKARUGIRAMAHEMA"/>
    <s v="Public"/>
    <x v="0"/>
    <s v="Nyaruguru"/>
    <s v="Mata"/>
    <s v="NAKN_1"/>
    <s v="Giswi/Agatobwe Sub-Catchment"/>
    <n v="1103.7600000000002"/>
  </r>
  <r>
    <x v="3"/>
    <s v="RWAZOBA"/>
    <s v="Public"/>
    <x v="0"/>
    <s v="Nyaruguru"/>
    <s v="Mata"/>
    <s v="NAKN_1"/>
    <s v="Giswi/Agatobwe Sub-Catchment"/>
    <n v="3626.64"/>
  </r>
  <r>
    <x v="3"/>
    <s v="RWABUSAGWE"/>
    <s v="Public"/>
    <x v="0"/>
    <s v="Nyaruguru"/>
    <s v="Mata"/>
    <s v="NAKN_1"/>
    <s v="Giswi/Agatobwe Sub-Catchment"/>
    <n v="1576.8000000000002"/>
  </r>
  <r>
    <x v="3"/>
    <s v="MUKUMBA"/>
    <s v="Public"/>
    <x v="0"/>
    <s v="Nyaruguru"/>
    <s v="Mata"/>
    <s v="NAKN_1"/>
    <s v="Giswi/Agatobwe Sub-Catchment"/>
    <n v="6464.88"/>
  </r>
  <r>
    <x v="3"/>
    <s v="NYAKAGEZI"/>
    <s v="Public"/>
    <x v="0"/>
    <s v="Nyaruguru"/>
    <s v="Mata"/>
    <s v="NAKN_1"/>
    <s v="Giswi/Agatobwe Sub-Catchment"/>
    <n v="1892.16"/>
  </r>
  <r>
    <x v="3"/>
    <s v="CYAMIPFURERO"/>
    <s v="Public"/>
    <x v="0"/>
    <s v="Nyaruguru"/>
    <s v="Mata"/>
    <s v="NAKN_1"/>
    <s v="Giswi/Agatobwe Sub-Catchment"/>
    <n v="2049.84"/>
  </r>
  <r>
    <x v="3"/>
    <s v="MUBUBOGO"/>
    <s v="Public"/>
    <x v="0"/>
    <s v="Nyaruguru"/>
    <s v="Mata"/>
    <s v="NAKN_1"/>
    <s v="Giswi/Agatobwe Sub-Catchment"/>
    <n v="2522.88"/>
  </r>
  <r>
    <x v="3"/>
    <s v="RWANYAKANYERI"/>
    <s v="Public"/>
    <x v="0"/>
    <s v="Nyaruguru"/>
    <s v="Mata"/>
    <s v="NAKN_1"/>
    <s v="Giswi/Agatobwe Sub-Catchment"/>
    <n v="1892.16"/>
  </r>
  <r>
    <x v="3"/>
    <s v="KAZIBAZIBA"/>
    <s v="Public"/>
    <x v="0"/>
    <s v="Huye"/>
    <s v="Mbazi"/>
    <s v="NAKN_1"/>
    <s v="Giswi/Agatobwe Sub-Catchment"/>
    <n v="6780.24"/>
  </r>
  <r>
    <x v="3"/>
    <s v="NYABITARE I"/>
    <s v="Public"/>
    <x v="0"/>
    <s v="Huye"/>
    <s v="Mbazi"/>
    <s v="NAKN_1"/>
    <s v="Giswi/Agatobwe Sub-Catchment"/>
    <n v="3942.0000000000005"/>
  </r>
  <r>
    <x v="3"/>
    <s v="KAYENZI"/>
    <s v="Public"/>
    <x v="0"/>
    <s v="Huye"/>
    <s v="Mbazi"/>
    <s v="NAKN_1"/>
    <s v="Giswi/Agatobwe Sub-Catchment"/>
    <n v="5203.4400000000005"/>
  </r>
  <r>
    <x v="3"/>
    <s v="NYABITARE II"/>
    <s v="Public"/>
    <x v="0"/>
    <s v="Huye"/>
    <s v="Mbazi"/>
    <s v="NAKN_1"/>
    <s v="Giswi/Agatobwe Sub-Catchment"/>
    <n v="3153.6000000000004"/>
  </r>
  <r>
    <x v="3"/>
    <s v="NABAGABO"/>
    <s v="Public"/>
    <x v="0"/>
    <s v="Huye"/>
    <s v="Mbazi"/>
    <s v="NAKN_1"/>
    <s v="Giswi/Agatobwe Sub-Catchment"/>
    <n v="3942.0000000000005"/>
  </r>
  <r>
    <x v="3"/>
    <s v="KAZABAGARURA"/>
    <s v="Public"/>
    <x v="0"/>
    <s v="Huye"/>
    <s v="Mbazi"/>
    <s v="NAKN_1"/>
    <s v="Giswi/Agatobwe Sub-Catchment"/>
    <n v="1419.12"/>
  </r>
  <r>
    <x v="3"/>
    <s v="RWANGA"/>
    <s v="Public"/>
    <x v="0"/>
    <s v="Huye"/>
    <s v="Mbazi"/>
    <s v="NAKN_1"/>
    <s v="Giswi/Agatobwe Sub-Catchment"/>
    <n v="3942.0000000000005"/>
  </r>
  <r>
    <x v="3"/>
    <s v="KANYOGO"/>
    <s v="Public"/>
    <x v="0"/>
    <s v="Huye"/>
    <s v="Mbazi"/>
    <s v="NAKN_1"/>
    <s v="Giswi/Agatobwe Sub-Catchment"/>
    <n v="0"/>
  </r>
  <r>
    <x v="3"/>
    <s v="RWAMUZURU"/>
    <s v="Public"/>
    <x v="0"/>
    <s v="Huye"/>
    <s v="Mbazi"/>
    <s v="NAKN_1"/>
    <s v="Giswi/Agatobwe Sub-Catchment"/>
    <n v="315.36"/>
  </r>
  <r>
    <x v="3"/>
    <s v="RWAMUSHIKAZI"/>
    <s v="Public"/>
    <x v="0"/>
    <s v="Huye"/>
    <s v="Mbazi"/>
    <s v="NAKN_1"/>
    <s v="Giswi/Agatobwe Sub-Catchment"/>
    <n v="4730.4000000000005"/>
  </r>
  <r>
    <x v="3"/>
    <s v="KIRUHURA"/>
    <s v="Public"/>
    <x v="0"/>
    <s v="Huye"/>
    <s v="Mbazi"/>
    <s v="NAKN_1"/>
    <s v="Giswi/Agatobwe Sub-Catchment"/>
    <n v="9460.8000000000011"/>
  </r>
  <r>
    <x v="3"/>
    <s v="GASARARA"/>
    <s v="Public"/>
    <x v="0"/>
    <s v="Huye"/>
    <s v="Mbazi"/>
    <s v="NAKN_1"/>
    <s v="Giswi/Agatobwe Sub-Catchment"/>
    <n v="7884.0000000000009"/>
  </r>
  <r>
    <x v="3"/>
    <s v="NYAKAGEZI"/>
    <s v="Public"/>
    <x v="0"/>
    <s v="Huye"/>
    <s v="Mbazi"/>
    <s v="NAKN_1"/>
    <s v="Giswi/Agatobwe Sub-Catchment"/>
    <n v="3468.9600000000005"/>
  </r>
  <r>
    <x v="3"/>
    <s v="RWAMUSAVE"/>
    <s v="Public"/>
    <x v="0"/>
    <s v="Huye"/>
    <s v="Mbazi"/>
    <s v="NAKN_1"/>
    <s v="Giswi/Agatobwe Sub-Catchment"/>
    <n v="946.08"/>
  </r>
  <r>
    <x v="3"/>
    <s v="KAGUGU"/>
    <s v="Public"/>
    <x v="0"/>
    <s v="Huye"/>
    <s v="Mbazi"/>
    <s v="NAKN_1"/>
    <s v="Giswi/Agatobwe Sub-Catchment"/>
    <n v="3942.0000000000005"/>
  </r>
  <r>
    <x v="3"/>
    <s v="FUKUYE"/>
    <s v="Public"/>
    <x v="0"/>
    <s v="Huye"/>
    <s v="Mbazi"/>
    <s v="NAKN_1"/>
    <s v="Giswi/Agatobwe Sub-Catchment"/>
    <n v="7884.0000000000009"/>
  </r>
  <r>
    <x v="3"/>
    <s v="NYABIHANGA"/>
    <s v="Public"/>
    <x v="0"/>
    <s v="Huye"/>
    <s v="Mbazi"/>
    <s v="NAKN_1"/>
    <s v="Giswi/Agatobwe Sub-Catchment"/>
    <n v="0"/>
  </r>
  <r>
    <x v="3"/>
    <s v="N.NDUHURA"/>
    <s v="Public"/>
    <x v="0"/>
    <s v="Huye"/>
    <s v="Mbazi"/>
    <s v="NAKN_1"/>
    <s v="Giswi/Agatobwe Sub-Catchment"/>
    <n v="3942.0000000000005"/>
  </r>
  <r>
    <x v="3"/>
    <s v="MPAZA"/>
    <s v="Public"/>
    <x v="0"/>
    <s v="Huye"/>
    <s v="Mbazi"/>
    <s v="NAKN_1"/>
    <s v="Giswi/Agatobwe Sub-Catchment"/>
    <n v="1261.44"/>
  </r>
  <r>
    <x v="3"/>
    <s v="KAZABAGARURA"/>
    <s v="Public"/>
    <x v="0"/>
    <s v="Huye"/>
    <s v="Mbazi"/>
    <s v="NAKN_1"/>
    <s v="Giswi/Agatobwe Sub-Catchment"/>
    <n v="3942.0000000000005"/>
  </r>
  <r>
    <x v="3"/>
    <s v="N.MPANA II"/>
    <s v="Public"/>
    <x v="0"/>
    <s v="Huye"/>
    <s v="Mbazi"/>
    <s v="NAKN_1"/>
    <s v="Giswi/Agatobwe Sub-Catchment"/>
    <n v="3626.64"/>
  </r>
  <r>
    <x v="3"/>
    <s v="N.MPANA I"/>
    <s v="Public"/>
    <x v="0"/>
    <s v="Huye"/>
    <s v="Mbazi"/>
    <s v="NAKN_1"/>
    <s v="Giswi/Agatobwe Sub-Catchment"/>
    <n v="2207.5200000000004"/>
  </r>
  <r>
    <x v="3"/>
    <s v="MUNYAZI"/>
    <s v="Public"/>
    <x v="0"/>
    <s v="Huye"/>
    <s v="Mbazi"/>
    <s v="NAKN_1"/>
    <s v="Giswi/Agatobwe Sub-Catchment"/>
    <n v="11983.68"/>
  </r>
  <r>
    <x v="3"/>
    <s v="N.GATOVU"/>
    <s v="Public"/>
    <x v="0"/>
    <s v="Huye"/>
    <s v="Mbazi"/>
    <s v="NAKN_1"/>
    <s v="Giswi/Agatobwe Sub-Catchment"/>
    <n v="63072.000000000007"/>
  </r>
  <r>
    <x v="3"/>
    <s v="BISHYINDU"/>
    <s v="Public"/>
    <x v="0"/>
    <s v="Huye"/>
    <s v="Mbazi"/>
    <s v="NAKN_1"/>
    <s v="Giswi/Agatobwe Sub-Catchment"/>
    <n v="2049.84"/>
  </r>
  <r>
    <x v="3"/>
    <s v="KINYANA"/>
    <s v="Public"/>
    <x v="0"/>
    <s v="Huye"/>
    <s v="Mbazi"/>
    <s v="NAKN_1"/>
    <s v="Giswi/Agatobwe Sub-Catchment"/>
    <n v="4730.4000000000005"/>
  </r>
  <r>
    <x v="3"/>
    <s v="NYABITARE"/>
    <s v="Public"/>
    <x v="0"/>
    <s v="Huye"/>
    <s v="Mbazi"/>
    <s v="NAKN_1"/>
    <s v="Giswi/Agatobwe Sub-Catchment"/>
    <n v="9145.44"/>
  </r>
  <r>
    <x v="3"/>
    <s v="NYAMUKO"/>
    <s v="Public"/>
    <x v="0"/>
    <s v="Huye"/>
    <s v="Mbazi"/>
    <s v="NAKN_1"/>
    <s v="Giswi/Agatobwe Sub-Catchment"/>
    <n v="63.072000000000003"/>
  </r>
  <r>
    <x v="3"/>
    <s v="NYAMUKO"/>
    <s v="Public"/>
    <x v="0"/>
    <s v="Huye"/>
    <s v="Mbazi"/>
    <s v="NAKN_1"/>
    <s v="Giswi/Agatobwe Sub-Catchment"/>
    <n v="15768.000000000002"/>
  </r>
  <r>
    <x v="3"/>
    <s v="GATARE"/>
    <s v="Public"/>
    <x v="0"/>
    <s v="Huye"/>
    <s v="Mbazi"/>
    <s v="NAKN_1"/>
    <s v="Giswi/Agatobwe Sub-Catchment"/>
    <n v="7884.0000000000009"/>
  </r>
  <r>
    <x v="3"/>
    <s v="KABINGO"/>
    <s v="Public"/>
    <x v="0"/>
    <s v="Huye"/>
    <s v="Mbazi"/>
    <s v="NAKN_1"/>
    <s v="Giswi/Agatobwe Sub-Catchment"/>
    <n v="3942.0000000000005"/>
  </r>
  <r>
    <x v="3"/>
    <s v="GAKOMBE"/>
    <s v="Public"/>
    <x v="0"/>
    <s v="Huye"/>
    <s v="Mbazi"/>
    <s v="NAKN_1"/>
    <s v="Giswi/Agatobwe Sub-Catchment"/>
    <n v="3942.0000000000005"/>
  </r>
  <r>
    <x v="3"/>
    <s v="GASEKE"/>
    <s v="Public"/>
    <x v="0"/>
    <s v="Huye"/>
    <s v="Mbazi"/>
    <s v="NAKN_1"/>
    <s v="Giswi/Agatobwe Sub-Catchment"/>
    <n v="3942.0000000000005"/>
  </r>
  <r>
    <x v="3"/>
    <s v="NYAKAGEZI"/>
    <s v="Public"/>
    <x v="0"/>
    <s v="Huye"/>
    <s v="Mbazi"/>
    <s v="NAKN_1"/>
    <s v="Giswi/Agatobwe Sub-Catchment"/>
    <n v="15768.000000000002"/>
  </r>
  <r>
    <x v="3"/>
    <s v="KWANYIRABIGWATE"/>
    <s v="Public"/>
    <x v="0"/>
    <s v="Huye"/>
    <s v="Mbazi"/>
    <s v="NAKN_1"/>
    <s v="Giswi/Agatobwe Sub-Catchment"/>
    <n v="4730.4000000000005"/>
  </r>
  <r>
    <x v="3"/>
    <s v="GATARE"/>
    <s v="Public"/>
    <x v="0"/>
    <s v="Huye"/>
    <s v="Mbazi"/>
    <s v="NAKN_1"/>
    <s v="Giswi/Agatobwe Sub-Catchment"/>
    <n v="3153.6000000000004"/>
  </r>
  <r>
    <x v="3"/>
    <s v="GATARE"/>
    <s v="Public"/>
    <x v="0"/>
    <s v="Huye"/>
    <s v="Mbazi"/>
    <s v="NAKN_1"/>
    <s v="Giswi/Agatobwe Sub-Catchment"/>
    <n v="1576.8000000000002"/>
  </r>
  <r>
    <x v="3"/>
    <s v="GASUMA"/>
    <s v="Public"/>
    <x v="0"/>
    <s v="Huye"/>
    <s v="Mbazi"/>
    <s v="NAKN_1"/>
    <s v="Giswi/Agatobwe Sub-Catchment"/>
    <n v="3153.6000000000004"/>
  </r>
  <r>
    <x v="3"/>
    <s v="KWAYAKOBO"/>
    <s v="Public"/>
    <x v="0"/>
    <s v="Huye"/>
    <s v="Mbazi"/>
    <s v="NAKN_1"/>
    <s v="Giswi/Agatobwe Sub-Catchment"/>
    <n v="630.72"/>
  </r>
  <r>
    <x v="3"/>
    <s v="UMUFUZO"/>
    <s v="Public"/>
    <x v="0"/>
    <s v="Huye"/>
    <s v="Mbazi"/>
    <s v="NAKN_1"/>
    <s v="Giswi/Agatobwe Sub-Catchment"/>
    <n v="473.04"/>
  </r>
  <r>
    <x v="3"/>
    <s v="NYACYONDO"/>
    <s v="Public"/>
    <x v="0"/>
    <s v="Huye"/>
    <s v="Mbazi"/>
    <s v="NAKN_1"/>
    <s v="Giswi/Agatobwe Sub-Catchment"/>
    <n v="2365.2000000000003"/>
  </r>
  <r>
    <x v="3"/>
    <s v="RUGOMO"/>
    <s v="Public"/>
    <x v="0"/>
    <s v="Huye"/>
    <s v="Mbazi"/>
    <s v="NAKN_1"/>
    <s v="Giswi/Agatobwe Sub-Catchment"/>
    <n v="3153.6000000000004"/>
  </r>
  <r>
    <x v="3"/>
    <s v="MUKINANI"/>
    <s v="Public"/>
    <x v="0"/>
    <s v="Huye"/>
    <s v="Mbazi"/>
    <s v="NAKN_1"/>
    <s v="Giswi/Agatobwe Sub-Catchment"/>
    <n v="1103.7600000000002"/>
  </r>
  <r>
    <x v="3"/>
    <s v="RURANGA"/>
    <s v="Public"/>
    <x v="0"/>
    <s v="Huye"/>
    <s v="Mbazi"/>
    <s v="NAKN_1"/>
    <s v="Giswi/Agatobwe Sub-Catchment"/>
    <n v="3942.0000000000005"/>
  </r>
  <r>
    <x v="3"/>
    <s v="MASAHO"/>
    <s v="Public"/>
    <x v="0"/>
    <s v="Huye"/>
    <s v="Mbazi"/>
    <s v="NAKN_1"/>
    <s v="Giswi/Agatobwe Sub-Catchment"/>
    <n v="3942.0000000000005"/>
  </r>
  <r>
    <x v="3"/>
    <s v="GATORE"/>
    <s v="Public"/>
    <x v="0"/>
    <s v="Huye"/>
    <s v="Mbazi"/>
    <s v="NAKN_1"/>
    <s v="Giswi/Agatobwe Sub-Catchment"/>
    <n v="1971.0000000000002"/>
  </r>
  <r>
    <x v="3"/>
    <s v="KAVURE"/>
    <s v="Public"/>
    <x v="0"/>
    <s v="Huye"/>
    <s v="Mbazi"/>
    <s v="NAKN_1"/>
    <s v="Giswi/Agatobwe Sub-Catchment"/>
    <n v="1592.5680000000002"/>
  </r>
  <r>
    <x v="3"/>
    <s v="KANYINYA"/>
    <s v="Public"/>
    <x v="0"/>
    <s v="Huye"/>
    <s v="Mbazi"/>
    <s v="NAKN_1"/>
    <s v="Giswi/Agatobwe Sub-Catchment"/>
    <n v="2626.9488000000001"/>
  </r>
  <r>
    <x v="3"/>
    <s v="KRIMBI"/>
    <s v="Public"/>
    <x v="0"/>
    <s v="Huye"/>
    <s v="Mbazi"/>
    <s v="NAKN_1"/>
    <s v="Giswi/Agatobwe Sub-Catchment"/>
    <n v="1750.248"/>
  </r>
  <r>
    <x v="3"/>
    <s v="KINYANA"/>
    <s v="Public"/>
    <x v="0"/>
    <s v="Huye"/>
    <s v="Mbazi"/>
    <s v="NAKN_1"/>
    <s v="Giswi/Agatobwe Sub-Catchment"/>
    <n v="2626.9488000000001"/>
  </r>
  <r>
    <x v="3"/>
    <s v="GAHANGA"/>
    <s v="Public"/>
    <x v="0"/>
    <s v="Huye"/>
    <s v="Mbazi"/>
    <s v="NAKN_1"/>
    <s v="Giswi/Agatobwe Sub-Catchment"/>
    <n v="1313.9474400000001"/>
  </r>
  <r>
    <x v="3"/>
    <s v="GAHONDO"/>
    <s v="Public"/>
    <x v="0"/>
    <s v="Huye"/>
    <s v="Mbazi"/>
    <s v="NAKN_1"/>
    <s v="Giswi/Agatobwe Sub-Catchment"/>
    <n v="2759.4"/>
  </r>
  <r>
    <x v="3"/>
    <s v="GAKOMBE"/>
    <s v="Public"/>
    <x v="0"/>
    <s v="Huye"/>
    <s v="Mbazi"/>
    <s v="NAKN_1"/>
    <s v="Giswi/Agatobwe Sub-Catchment"/>
    <n v="1971.0000000000002"/>
  </r>
  <r>
    <x v="3"/>
    <s v="KAJAGI"/>
    <s v="Public"/>
    <x v="0"/>
    <s v="Huye"/>
    <s v="Mbazi"/>
    <s v="NAKN_1"/>
    <s v="Giswi/Agatobwe Sub-Catchment"/>
    <n v="1592.5680000000002"/>
  </r>
  <r>
    <x v="3"/>
    <s v="MUTERACEBE"/>
    <s v="Public"/>
    <x v="0"/>
    <s v="Huye"/>
    <s v="Mbazi"/>
    <s v="NAKN_1"/>
    <s v="Giswi/Agatobwe Sub-Catchment"/>
    <n v="5250.7439999999997"/>
  </r>
  <r>
    <x v="3"/>
    <s v="KIRUMBI"/>
    <s v="Public"/>
    <x v="0"/>
    <s v="Huye"/>
    <s v="Mbazi"/>
    <s v="NAKN_1"/>
    <s v="Giswi/Agatobwe Sub-Catchment"/>
    <n v="2626.9488000000001"/>
  </r>
  <r>
    <x v="3"/>
    <s v="GATOKI"/>
    <s v="Public"/>
    <x v="0"/>
    <s v="Huye"/>
    <s v="Mbazi"/>
    <s v="NAKN_1"/>
    <s v="Giswi/Agatobwe Sub-Catchment"/>
    <n v="1313.9947440000001"/>
  </r>
  <r>
    <x v="3"/>
    <s v="GAFANGA"/>
    <s v="Public"/>
    <x v="0"/>
    <s v="Huye"/>
    <s v="Mbazi"/>
    <s v="NAKN_1"/>
    <s v="Giswi/Agatobwe Sub-Catchment"/>
    <n v="4336.2000000000007"/>
  </r>
  <r>
    <x v="3"/>
    <s v="MURWISWHA"/>
    <s v="Public"/>
    <x v="0"/>
    <s v="Huye"/>
    <s v="Mbazi"/>
    <s v="NAKN_1"/>
    <s v="Giswi/Agatobwe Sub-Catchment"/>
    <n v="1313.4744000000001"/>
  </r>
  <r>
    <x v="3"/>
    <s v="RUGINA 2"/>
    <s v="Public"/>
    <x v="0"/>
    <s v="Huye"/>
    <s v="Mbazi"/>
    <s v="NAKN_1"/>
    <s v="Giswi/Agatobwe Sub-Catchment"/>
    <n v="2626.9488000000001"/>
  </r>
  <r>
    <x v="3"/>
    <s v="RWEZAMENYO"/>
    <s v="Public"/>
    <x v="0"/>
    <s v="Huye"/>
    <s v="Mbazi"/>
    <s v="NAKN_1"/>
    <s v="Giswi/Agatobwe Sub-Catchment"/>
    <n v="3942.0000000000005"/>
  </r>
  <r>
    <x v="3"/>
    <s v="RUGINA"/>
    <s v="Public"/>
    <x v="0"/>
    <s v="Huye"/>
    <s v="Mbazi"/>
    <s v="NAKN_1"/>
    <s v="Giswi/Agatobwe Sub-Catchment"/>
    <n v="1971.0000000000002"/>
  </r>
  <r>
    <x v="3"/>
    <s v="MWARO"/>
    <s v="Public"/>
    <x v="0"/>
    <s v="Huye"/>
    <s v="Mbazi"/>
    <s v="NAKN_1"/>
    <s v="Giswi/Agatobwe Sub-Catchment"/>
    <n v="2101.8744000000002"/>
  </r>
  <r>
    <x v="3"/>
    <s v="GISIZA"/>
    <s v="Public"/>
    <x v="0"/>
    <s v="Huye"/>
    <s v="Mbazi"/>
    <s v="NAKN_1"/>
    <s v="Giswi/Agatobwe Sub-Catchment"/>
    <n v="1592.5680000000002"/>
  </r>
  <r>
    <x v="3"/>
    <s v="RUSEKE"/>
    <s v="Public"/>
    <x v="0"/>
    <s v="Huye"/>
    <s v="Mbazi"/>
    <s v="NAKN_1"/>
    <s v="Giswi/Agatobwe Sub-Catchment"/>
    <n v="1971.0000000000002"/>
  </r>
  <r>
    <x v="3"/>
    <s v="GATENGA"/>
    <s v="Public"/>
    <x v="0"/>
    <s v="Huye"/>
    <s v="Mbazi"/>
    <s v="NAKN_1"/>
    <s v="Giswi/Agatobwe Sub-Catchment"/>
    <n v="1971.0000000000002"/>
  </r>
  <r>
    <x v="3"/>
    <s v="GATOVU"/>
    <s v="Public"/>
    <x v="0"/>
    <s v="Huye"/>
    <s v="Mbazi"/>
    <s v="NAKN_1"/>
    <s v="Giswi/Agatobwe Sub-Catchment"/>
    <n v="3942.0000000000005"/>
  </r>
  <r>
    <x v="3"/>
    <s v="KAVOMO"/>
    <s v="Public"/>
    <x v="0"/>
    <s v="Huye"/>
    <s v="Mbazi"/>
    <s v="NAKN_1"/>
    <s v="Giswi/Agatobwe Sub-Catchment"/>
    <n v="1592.5680000000002"/>
  </r>
  <r>
    <x v="3"/>
    <s v="GITOMA"/>
    <s v="Public"/>
    <x v="0"/>
    <s v="Huye"/>
    <s v="Mbazi"/>
    <s v="NAKN_1"/>
    <s v="Giswi/Agatobwe Sub-Catchment"/>
    <n v="1971.0000000000002"/>
  </r>
  <r>
    <x v="3"/>
    <s v="NYARUMANGA"/>
    <s v="Public"/>
    <x v="0"/>
    <s v="Huye"/>
    <s v="Mbazi"/>
    <s v="NAKN_1"/>
    <s v="Giswi/Agatobwe Sub-Catchment"/>
    <n v="2626.9488000000001"/>
  </r>
  <r>
    <x v="3"/>
    <s v="RUHONDO"/>
    <s v="Public"/>
    <x v="0"/>
    <s v="Huye"/>
    <s v="Mbazi"/>
    <s v="NAKN_1"/>
    <s v="Giswi/Agatobwe Sub-Catchment"/>
    <n v="4099.68"/>
  </r>
  <r>
    <x v="3"/>
    <s v="NYAMAZI"/>
    <s v="Public"/>
    <x v="0"/>
    <s v="Huye"/>
    <s v="Mbazi"/>
    <s v="NAKN_1"/>
    <s v="Giswi/Agatobwe Sub-Catchment"/>
    <n v="1971.0000000000002"/>
  </r>
  <r>
    <x v="3"/>
    <s v="NYAMAZI"/>
    <s v="Public"/>
    <x v="0"/>
    <s v="Huye"/>
    <s v="Mbazi"/>
    <s v="NAKN_1"/>
    <s v="Giswi/Agatobwe Sub-Catchment"/>
    <n v="3942.0000000000005"/>
  </r>
  <r>
    <x v="3"/>
    <s v="MURUNYINYA"/>
    <s v="Public"/>
    <x v="0"/>
    <s v="Huye"/>
    <s v="Mbazi"/>
    <s v="NAKN_1"/>
    <s v="Giswi/Agatobwe Sub-Catchment"/>
    <n v="3942.0000000000005"/>
  </r>
  <r>
    <x v="3"/>
    <s v="NYAKABINGO"/>
    <s v="Public"/>
    <x v="0"/>
    <s v="Huye"/>
    <s v="Mbazi"/>
    <s v="NAKN_1"/>
    <s v="Giswi/Agatobwe Sub-Catchment"/>
    <n v="2759.4"/>
  </r>
  <r>
    <x v="3"/>
    <s v="MANWARI"/>
    <s v="Public"/>
    <x v="0"/>
    <s v="Huye"/>
    <s v="Mbazi"/>
    <s v="NAKN_1"/>
    <s v="Giswi/Agatobwe Sub-Catchment"/>
    <n v="3942.0000000000005"/>
  </r>
  <r>
    <x v="3"/>
    <s v="NYAMUKO"/>
    <s v="Public"/>
    <x v="0"/>
    <s v="Huye"/>
    <s v="Mbazi"/>
    <s v="NAKN_1"/>
    <s v="Giswi/Agatobwe Sub-Catchment"/>
    <n v="2759.4"/>
  </r>
  <r>
    <x v="3"/>
    <s v="RUTANGA"/>
    <s v="Public"/>
    <x v="0"/>
    <s v="Huye"/>
    <s v="Mbazi"/>
    <s v="NAKN_1"/>
    <s v="Giswi/Agatobwe Sub-Catchment"/>
    <n v="1892.16"/>
  </r>
  <r>
    <x v="3"/>
    <s v="GAKERI"/>
    <s v="Public"/>
    <x v="0"/>
    <s v="Huye"/>
    <s v="Mbazi"/>
    <s v="NAKN_1"/>
    <s v="Giswi/Agatobwe Sub-Catchment"/>
    <n v="2626.9488000000001"/>
  </r>
  <r>
    <x v="3"/>
    <s v="NYARUMANGA"/>
    <s v="Public"/>
    <x v="0"/>
    <s v="Huye"/>
    <s v="Mbazi"/>
    <s v="NAKN_1"/>
    <s v="Giswi/Agatobwe Sub-Catchment"/>
    <n v="5250.7439999999997"/>
  </r>
  <r>
    <x v="3"/>
    <s v="RUHONDO"/>
    <s v="Public"/>
    <x v="0"/>
    <s v="Huye"/>
    <s v="Mbazi"/>
    <s v="NAKN_1"/>
    <s v="Giswi/Agatobwe Sub-Catchment"/>
    <n v="3942.0000000000005"/>
  </r>
  <r>
    <x v="3"/>
    <s v="NYAKABINGO"/>
    <s v="Public"/>
    <x v="0"/>
    <s v="Huye"/>
    <s v="Mbazi"/>
    <s v="NAKN_1"/>
    <s v="Giswi/Agatobwe Sub-Catchment"/>
    <n v="6748.7039999999997"/>
  </r>
  <r>
    <x v="3"/>
    <s v="CYASEMPONGO"/>
    <s v="Public"/>
    <x v="0"/>
    <s v="Huye"/>
    <s v="Mbazi"/>
    <s v="NAKN_1"/>
    <s v="Giswi/Agatobwe Sub-Catchment"/>
    <n v="2626.9488000000001"/>
  </r>
  <r>
    <x v="3"/>
    <s v="CYISAMBU"/>
    <s v="Public"/>
    <x v="0"/>
    <s v="Huye"/>
    <s v="Mbazi"/>
    <s v="NAKN_1"/>
    <s v="Giswi/Agatobwe Sub-Catchment"/>
    <n v="1313.9474400000001"/>
  </r>
  <r>
    <x v="3"/>
    <s v="RWIMBOGO 2"/>
    <s v="Public"/>
    <x v="0"/>
    <s v="Huye"/>
    <s v="Mbazi"/>
    <s v="NAKN_1"/>
    <s v="Giswi/Agatobwe Sub-Catchment"/>
    <n v="8759.1239999999998"/>
  </r>
  <r>
    <x v="3"/>
    <s v="NYACONDO"/>
    <s v="Public"/>
    <x v="0"/>
    <s v="Huye"/>
    <s v="Mbazi"/>
    <s v="NAKN_1"/>
    <s v="Giswi/Agatobwe Sub-Catchment"/>
    <n v="1971.0000000000002"/>
  </r>
  <r>
    <x v="3"/>
    <s v="RWIMBOGO"/>
    <s v="Public"/>
    <x v="0"/>
    <s v="Huye"/>
    <s v="Mbazi"/>
    <s v="NAKN_1"/>
    <s v="Giswi/Agatobwe Sub-Catchment"/>
    <n v="1313.9474400000001"/>
  </r>
  <r>
    <x v="3"/>
    <s v="RUCEMBA"/>
    <s v="Public"/>
    <x v="0"/>
    <s v="Huye"/>
    <s v="Mbazi"/>
    <s v="NAKN_1"/>
    <s v="Giswi/Agatobwe Sub-Catchment"/>
    <n v="1971.0000000000002"/>
  </r>
  <r>
    <x v="3"/>
    <s v="GATARE"/>
    <s v="Public"/>
    <x v="0"/>
    <s v="Huye"/>
    <s v="Mbazi"/>
    <s v="NAKN_1"/>
    <s v="Giswi/Agatobwe Sub-Catchment"/>
    <n v="2101.8744000000002"/>
  </r>
  <r>
    <x v="3"/>
    <s v="RURINGA"/>
    <s v="Public"/>
    <x v="0"/>
    <s v="Huye"/>
    <s v="Mbazi"/>
    <s v="NAKN_1"/>
    <s v="Giswi/Agatobwe Sub-Catchment"/>
    <n v="5250.7439999999997"/>
  </r>
  <r>
    <x v="3"/>
    <s v="RUSEKE"/>
    <s v="Public"/>
    <x v="0"/>
    <s v="Huye"/>
    <s v="Mbazi"/>
    <s v="NAKN_1"/>
    <s v="Giswi/Agatobwe Sub-Catchment"/>
    <n v="3942.0000000000005"/>
  </r>
  <r>
    <x v="3"/>
    <s v="NYAGISENYI 2"/>
    <s v="Public"/>
    <x v="0"/>
    <s v="Huye"/>
    <s v="Mbazi"/>
    <s v="NAKN_1"/>
    <s v="Giswi/Agatobwe Sub-Catchment"/>
    <n v="2626.9488000000001"/>
  </r>
  <r>
    <x v="3"/>
    <s v="MBONYEBYOMBI"/>
    <s v="Public"/>
    <x v="0"/>
    <s v="Huye"/>
    <s v="Mbazi"/>
    <s v="NAKN_1"/>
    <s v="Giswi/Agatobwe Sub-Catchment"/>
    <n v="1971.0000000000002"/>
  </r>
  <r>
    <x v="3"/>
    <s v="GAHAMA"/>
    <s v="Public"/>
    <x v="0"/>
    <s v="Huye"/>
    <s v="Mbazi"/>
    <s v="NAKN_1"/>
    <s v="Giswi/Agatobwe Sub-Catchment"/>
    <n v="261.74880000000002"/>
  </r>
  <r>
    <x v="3"/>
    <s v="NYAGISENYI"/>
    <s v="Public"/>
    <x v="0"/>
    <s v="Huye"/>
    <s v="Mbazi"/>
    <s v="NAKN_1"/>
    <s v="Giswi/Agatobwe Sub-Catchment"/>
    <n v="3942.0000000000005"/>
  </r>
  <r>
    <x v="3"/>
    <s v="NYIRABWITO"/>
    <s v="Public"/>
    <x v="0"/>
    <s v="Huye"/>
    <s v="Mbazi"/>
    <s v="NAKN_1"/>
    <s v="Giswi/Agatobwe Sub-Catchment"/>
    <n v="3579.3359999999998"/>
  </r>
  <r>
    <x v="3"/>
    <s v="GAKOMBE"/>
    <s v="Public"/>
    <x v="0"/>
    <s v="Huye"/>
    <s v="Mbazi"/>
    <s v="NAKN_1"/>
    <s v="Giswi/Agatobwe Sub-Catchment"/>
    <n v="3942.0000000000005"/>
  </r>
  <r>
    <x v="3"/>
    <s v="RYAKAYOGERO"/>
    <s v="Public"/>
    <x v="0"/>
    <s v="Huye"/>
    <s v="Mbazi"/>
    <s v="NAKN_1"/>
    <s v="Giswi/Agatobwe Sub-Catchment"/>
    <n v="1592.5680000000002"/>
  </r>
  <r>
    <x v="3"/>
    <s v="GASIZA"/>
    <s v="Public"/>
    <x v="0"/>
    <s v="Huye"/>
    <s v="Mbazi"/>
    <s v="NAKN_1"/>
    <s v="Giswi/Agatobwe Sub-Catchment"/>
    <n v="2617.4880000000003"/>
  </r>
  <r>
    <x v="3"/>
    <s v="GAKOMA"/>
    <s v="Public"/>
    <x v="0"/>
    <s v="Huye"/>
    <s v="Mbazi"/>
    <s v="NAKN_1"/>
    <s v="Giswi/Agatobwe Sub-Catchment"/>
    <n v="3942.0000000000005"/>
  </r>
  <r>
    <x v="3"/>
    <s v="MUGATOVU"/>
    <s v="Public"/>
    <x v="0"/>
    <s v="Nyaruguru"/>
    <s v="Muganza"/>
    <s v="NAKN_1"/>
    <s v="Giswi/Agatobwe Sub-Catchment"/>
    <n v="8041.68"/>
  </r>
  <r>
    <x v="3"/>
    <s v="MURWINTAMA"/>
    <s v="Public"/>
    <x v="0"/>
    <s v="Nyaruguru"/>
    <s v="Muganza"/>
    <s v="NAKN_1"/>
    <s v="Giswi/Agatobwe Sub-Catchment"/>
    <n v="3784.32"/>
  </r>
  <r>
    <x v="3"/>
    <s v="RUBUMBA 1"/>
    <s v="Public"/>
    <x v="0"/>
    <s v="Nyaruguru"/>
    <s v="Muganza"/>
    <s v="NAKN_1"/>
    <s v="Giswi/Agatobwe Sub-Catchment"/>
    <n v="13087.44"/>
  </r>
  <r>
    <x v="3"/>
    <s v="GATOKI 2"/>
    <s v="Public"/>
    <x v="0"/>
    <s v="Nyaruguru"/>
    <s v="Muganza"/>
    <s v="NAKN_1"/>
    <s v="Giswi/Agatobwe Sub-Catchment"/>
    <n v="15768.000000000002"/>
  </r>
  <r>
    <x v="3"/>
    <s v="GISUMA"/>
    <s v="Public"/>
    <x v="0"/>
    <s v="Nyaruguru"/>
    <s v="Muganza"/>
    <s v="NAKN_1"/>
    <s v="Giswi/Agatobwe Sub-Catchment"/>
    <n v="7884.0000000000009"/>
  </r>
  <r>
    <x v="3"/>
    <s v="MUKIVOMO"/>
    <s v="Public"/>
    <x v="0"/>
    <s v="Nyaruguru"/>
    <s v="Muganza"/>
    <s v="NAKN_1"/>
    <s v="Giswi/Agatobwe Sub-Catchment"/>
    <n v="1576.8000000000002"/>
  </r>
  <r>
    <x v="3"/>
    <s v="RUBUMBA 2"/>
    <s v="Public"/>
    <x v="0"/>
    <s v="Nyaruguru"/>
    <s v="Muganza"/>
    <s v="NAKN_1"/>
    <s v="Giswi/Agatobwe Sub-Catchment"/>
    <n v="3784.32"/>
  </r>
  <r>
    <x v="3"/>
    <s v="GATOKI"/>
    <s v="Public"/>
    <x v="0"/>
    <s v="Nyaruguru"/>
    <s v="Muganza"/>
    <s v="NAKN_1"/>
    <s v="Giswi/Agatobwe Sub-Catchment"/>
    <n v="15925.680000000002"/>
  </r>
  <r>
    <x v="3"/>
    <s v="MURWAMAJORO"/>
    <s v="Public"/>
    <x v="0"/>
    <s v="Nyaruguru"/>
    <s v="Muganza"/>
    <s v="NAKN_1"/>
    <s v="Giswi/Agatobwe Sub-Catchment"/>
    <n v="15768.000000000002"/>
  </r>
  <r>
    <x v="3"/>
    <s v="RWABUTATE"/>
    <s v="Public"/>
    <x v="0"/>
    <s v="Nyaruguru"/>
    <s v="Muganza"/>
    <s v="NAKN_1"/>
    <s v="Giswi/Agatobwe Sub-Catchment"/>
    <n v="5991.84"/>
  </r>
  <r>
    <x v="3"/>
    <s v="BURUHUKIRO"/>
    <s v="Public"/>
    <x v="0"/>
    <s v="Nyaruguru"/>
    <s v="Muganza"/>
    <s v="NAKN_1"/>
    <s v="Giswi/Agatobwe Sub-Catchment"/>
    <n v="2522.88"/>
  </r>
  <r>
    <x v="3"/>
    <s v="RYASEBUSHINGWE"/>
    <s v="Public"/>
    <x v="0"/>
    <s v="Nyaruguru"/>
    <s v="Muganza"/>
    <s v="NAKN_1"/>
    <s v="Giswi/Agatobwe Sub-Catchment"/>
    <n v="10091.52"/>
  </r>
  <r>
    <x v="3"/>
    <s v="RWABISHAKU"/>
    <s v="Public"/>
    <x v="0"/>
    <s v="Nyaruguru"/>
    <s v="Muganza"/>
    <s v="NAKN_1"/>
    <s v="Giswi/Agatobwe Sub-Catchment"/>
    <n v="16083.36"/>
  </r>
  <r>
    <x v="3"/>
    <s v="RWABIGONDO"/>
    <s v="Public"/>
    <x v="0"/>
    <s v="Nyaruguru"/>
    <s v="Muganza"/>
    <s v="NAKN_1"/>
    <s v="Giswi/Agatobwe Sub-Catchment"/>
    <n v="16241.04"/>
  </r>
  <r>
    <x v="3"/>
    <s v="MURWANGABATESO"/>
    <s v="Public"/>
    <x v="0"/>
    <s v="Nyaruguru"/>
    <s v="Muganza"/>
    <s v="NAKN_1"/>
    <s v="Giswi/Agatobwe Sub-Catchment"/>
    <n v="6307.2000000000007"/>
  </r>
  <r>
    <x v="3"/>
    <s v="RUHONOKA I"/>
    <s v="Public"/>
    <x v="0"/>
    <s v="Nyaruguru"/>
    <s v="Muganza"/>
    <s v="NAKN_1"/>
    <s v="Giswi/Agatobwe Sub-Catchment"/>
    <n v="9460.8000000000011"/>
  </r>
  <r>
    <x v="3"/>
    <s v="KAZIBAZIBA"/>
    <s v="Public"/>
    <x v="0"/>
    <s v="Nyaruguru"/>
    <s v="Muganza"/>
    <s v="NAKN_1"/>
    <s v="Giswi/Agatobwe Sub-Catchment"/>
    <n v="9460.8000000000011"/>
  </r>
  <r>
    <x v="3"/>
    <s v="RUHONOKA 2"/>
    <s v="Public"/>
    <x v="0"/>
    <s v="Nyaruguru"/>
    <s v="Muganza"/>
    <s v="NAKN_1"/>
    <s v="Giswi/Agatobwe Sub-Catchment"/>
    <n v="12929.76"/>
  </r>
  <r>
    <x v="3"/>
    <s v="KUMURINDI"/>
    <s v="Public"/>
    <x v="0"/>
    <s v="Nyaruguru"/>
    <s v="Muganza"/>
    <s v="NAKN_1"/>
    <s v="Giswi/Agatobwe Sub-Catchment"/>
    <n v="4415.0400000000009"/>
  </r>
  <r>
    <x v="3"/>
    <s v="NYABISESERO"/>
    <s v="Public"/>
    <x v="0"/>
    <s v="Nyaruguru"/>
    <s v="Muganza"/>
    <s v="NAKN_1"/>
    <s v="Giswi/Agatobwe Sub-Catchment"/>
    <n v="9776.1600000000017"/>
  </r>
  <r>
    <x v="3"/>
    <s v="KWABASEKA"/>
    <s v="Public"/>
    <x v="0"/>
    <s v="Nyaruguru"/>
    <s v="Muganza"/>
    <s v="NAKN_1"/>
    <s v="Giswi/Agatobwe Sub-Catchment"/>
    <n v="3784.32"/>
  </r>
  <r>
    <x v="3"/>
    <s v="TABA"/>
    <s v="Public"/>
    <x v="0"/>
    <s v="Nyaruguru"/>
    <s v="Muganza"/>
    <s v="NAKN_1"/>
    <s v="Giswi/Agatobwe Sub-Catchment"/>
    <n v="7884.0000000000009"/>
  </r>
  <r>
    <x v="3"/>
    <s v="KABINGO I"/>
    <s v="Public"/>
    <x v="0"/>
    <s v="Nyaruguru"/>
    <s v="Muganza"/>
    <s v="NAKN_1"/>
    <s v="Giswi/Agatobwe Sub-Catchment"/>
    <n v="126144.00000000001"/>
  </r>
  <r>
    <x v="3"/>
    <s v="GAHONDO"/>
    <s v="Public"/>
    <x v="0"/>
    <s v="Nyaruguru"/>
    <s v="Muganza"/>
    <s v="NAKN_1"/>
    <s v="Giswi/Agatobwe Sub-Catchment"/>
    <n v="7253.28"/>
  </r>
  <r>
    <x v="3"/>
    <s v="MURWANANA"/>
    <s v="Public"/>
    <x v="0"/>
    <s v="Nyaruguru"/>
    <s v="Muganza"/>
    <s v="NAKN_1"/>
    <s v="Giswi/Agatobwe Sub-Catchment"/>
    <n v="8199.36"/>
  </r>
  <r>
    <x v="3"/>
    <s v="RUGOMERO"/>
    <s v="Public"/>
    <x v="0"/>
    <s v="Nyaruguru"/>
    <s v="Muganza"/>
    <s v="NAKN_1"/>
    <s v="Giswi/Agatobwe Sub-Catchment"/>
    <n v="4415.0400000000009"/>
  </r>
  <r>
    <x v="3"/>
    <s v="KWAKURAMBA"/>
    <s v="Public"/>
    <x v="0"/>
    <s v="Nyaruguru"/>
    <s v="Muganza"/>
    <s v="NAKN_1"/>
    <s v="Giswi/Agatobwe Sub-Catchment"/>
    <n v="16083.36"/>
  </r>
  <r>
    <x v="3"/>
    <s v="KWA SAMUEL"/>
    <s v="Public"/>
    <x v="0"/>
    <s v="Nyaruguru"/>
    <s v="Muganza"/>
    <s v="NAKN_1"/>
    <s v="Giswi/Agatobwe Sub-Catchment"/>
    <n v="2680.56"/>
  </r>
  <r>
    <x v="3"/>
    <s v="RYABUTATI"/>
    <s v="Public"/>
    <x v="0"/>
    <s v="Nyaruguru"/>
    <s v="Muganza"/>
    <s v="NAKN_1"/>
    <s v="Giswi/Agatobwe Sub-Catchment"/>
    <n v="15768.000000000002"/>
  </r>
  <r>
    <x v="3"/>
    <s v="KWASIRIYANI"/>
    <s v="Public"/>
    <x v="0"/>
    <s v="Nyaruguru"/>
    <s v="Muganza"/>
    <s v="NAKN_1"/>
    <s v="Giswi/Agatobwe Sub-Catchment"/>
    <n v="3784.32"/>
  </r>
  <r>
    <x v="3"/>
    <s v="KWABARIHENDA"/>
    <s v="Public"/>
    <x v="0"/>
    <s v="Nyaruguru"/>
    <s v="Muganza"/>
    <s v="NAKN_1"/>
    <s v="Giswi/Agatobwe Sub-Catchment"/>
    <n v="8199.36"/>
  </r>
  <r>
    <x v="3"/>
    <s v="KAGIRAMENYO"/>
    <s v="Public"/>
    <x v="0"/>
    <s v="Nyaruguru"/>
    <s v="Muganza"/>
    <s v="NAKN_1"/>
    <s v="Giswi/Agatobwe Sub-Catchment"/>
    <n v="1576.8000000000002"/>
  </r>
  <r>
    <x v="3"/>
    <s v="KWANYIRABURANYI"/>
    <s v="Public"/>
    <x v="0"/>
    <s v="Nyaruguru"/>
    <s v="Muganza"/>
    <s v="NAKN_1"/>
    <s v="Giswi/Agatobwe Sub-Catchment"/>
    <n v="16083.36"/>
  </r>
  <r>
    <x v="3"/>
    <s v="NYABITARE"/>
    <s v="Public"/>
    <x v="0"/>
    <s v="Nyaruguru"/>
    <s v="Muganza"/>
    <s v="NAKN_1"/>
    <s v="Giswi/Agatobwe Sub-Catchment"/>
    <n v="946.08"/>
  </r>
  <r>
    <x v="3"/>
    <s v="MWISABATA"/>
    <s v="Public"/>
    <x v="0"/>
    <s v="Nyaruguru"/>
    <s v="Muganza"/>
    <s v="NAKN_1"/>
    <s v="Giswi/Agatobwe Sub-Catchment"/>
    <n v="1419.12"/>
  </r>
  <r>
    <x v="3"/>
    <s v="NYIRABUYENZI"/>
    <s v="Public"/>
    <x v="0"/>
    <s v="Nyaruguru"/>
    <s v="Muganza"/>
    <s v="NAKN_1"/>
    <s v="Giswi/Agatobwe Sub-Catchment"/>
    <n v="788.40000000000009"/>
  </r>
  <r>
    <x v="3"/>
    <s v="KWAZABAKIRA"/>
    <s v="Public"/>
    <x v="0"/>
    <s v="Nyaruguru"/>
    <s v="Muganza"/>
    <s v="NAKN_1"/>
    <s v="Giswi/Agatobwe Sub-Catchment"/>
    <n v="11352.96"/>
  </r>
  <r>
    <x v="3"/>
    <s v="RUBUMBA 3"/>
    <s v="Public"/>
    <x v="0"/>
    <s v="Nyaruguru"/>
    <s v="Muganza"/>
    <s v="NAKN_1"/>
    <s v="Giswi/Agatobwe Sub-Catchment"/>
    <n v="15768.000000000002"/>
  </r>
  <r>
    <x v="3"/>
    <s v="KWASEMBEBA"/>
    <s v="Public"/>
    <x v="0"/>
    <s v="Nyaruguru"/>
    <s v="Muganza"/>
    <s v="NAKN_1"/>
    <s v="Giswi/Agatobwe Sub-Catchment"/>
    <n v="8199.36"/>
  </r>
  <r>
    <x v="3"/>
    <s v="MUKAZIBAZIBA"/>
    <s v="Public"/>
    <x v="0"/>
    <s v="Nyaruguru"/>
    <s v="Muganza"/>
    <s v="NAKN_1"/>
    <s v="Giswi/Agatobwe Sub-Catchment"/>
    <n v="16083.36"/>
  </r>
  <r>
    <x v="3"/>
    <s v="KWANYIRABIZIMANA"/>
    <s v="Public"/>
    <x v="0"/>
    <s v="Nyaruguru"/>
    <s v="Muganza"/>
    <s v="NAKN_1"/>
    <s v="Giswi/Agatobwe Sub-Catchment"/>
    <n v="473.04"/>
  </r>
  <r>
    <x v="3"/>
    <s v="KWADIDASI"/>
    <s v="Public"/>
    <x v="0"/>
    <s v="Nyaruguru"/>
    <s v="Muganza"/>
    <s v="NAKN_1"/>
    <s v="Giswi/Agatobwe Sub-Catchment"/>
    <n v="16241.04"/>
  </r>
  <r>
    <x v="3"/>
    <s v="KWANYIRACUMI"/>
    <s v="Public"/>
    <x v="0"/>
    <s v="Nyaruguru"/>
    <s v="Muganza"/>
    <s v="NAKN_1"/>
    <s v="Giswi/Agatobwe Sub-Catchment"/>
    <n v="2838.24"/>
  </r>
  <r>
    <x v="3"/>
    <s v="RUBUMBA 2"/>
    <s v="Public"/>
    <x v="0"/>
    <s v="Nyaruguru"/>
    <s v="Muganza"/>
    <s v="NAKN_1"/>
    <s v="Giswi/Agatobwe Sub-Catchment"/>
    <n v="14033.52"/>
  </r>
  <r>
    <x v="3"/>
    <s v="KWAZAKARIYA"/>
    <s v="Public"/>
    <x v="0"/>
    <s v="Nyaruguru"/>
    <s v="Muganza"/>
    <s v="NAKN_1"/>
    <s v="Giswi/Agatobwe Sub-Catchment"/>
    <n v="10249.199999999999"/>
  </r>
  <r>
    <x v="3"/>
    <s v="KABINGO"/>
    <s v="Public"/>
    <x v="0"/>
    <s v="Nyaruguru"/>
    <s v="Muganza"/>
    <s v="NAKN_1"/>
    <s v="Giswi/Agatobwe Sub-Catchment"/>
    <n v="5518.8"/>
  </r>
  <r>
    <x v="3"/>
    <s v="MUBAGANDA"/>
    <s v="Public"/>
    <x v="0"/>
    <s v="Nyaruguru"/>
    <s v="Muganza"/>
    <s v="NAKN_1"/>
    <s v="Giswi/Agatobwe Sub-Catchment"/>
    <n v="8672.4000000000015"/>
  </r>
  <r>
    <x v="3"/>
    <s v="CYARUKORE"/>
    <s v="Public"/>
    <x v="0"/>
    <s v="Nyaruguru"/>
    <s v="Muganza"/>
    <s v="NAKN_1"/>
    <s v="Giswi/Agatobwe Sub-Catchment"/>
    <n v="9460.8000000000011"/>
  </r>
  <r>
    <x v="3"/>
    <s v="RUMBA 1"/>
    <s v="Public"/>
    <x v="0"/>
    <s v="Nyaruguru"/>
    <s v="Muganza"/>
    <s v="NAKN_1"/>
    <s v="Giswi/Agatobwe Sub-Catchment"/>
    <n v="15768.000000000002"/>
  </r>
  <r>
    <x v="3"/>
    <s v="KWANYIRABAHIRE"/>
    <s v="Public"/>
    <x v="0"/>
    <s v="Nyaruguru"/>
    <s v="Muganza"/>
    <s v="NAKN_1"/>
    <s v="Giswi/Agatobwe Sub-Catchment"/>
    <n v="23652.000000000004"/>
  </r>
  <r>
    <x v="3"/>
    <s v="MIGENDO"/>
    <s v="Public"/>
    <x v="0"/>
    <s v="Nyaruguru"/>
    <s v="Muganza"/>
    <s v="NAKN_1"/>
    <s v="Giswi/Agatobwe Sub-Catchment"/>
    <n v="1261.44"/>
  </r>
  <r>
    <x v="3"/>
    <s v="KWABAGARUKA"/>
    <s v="Public"/>
    <x v="0"/>
    <s v="Nyaruguru"/>
    <s v="Muganza"/>
    <s v="NAKN_1"/>
    <s v="Giswi/Agatobwe Sub-Catchment"/>
    <n v="11510.640000000001"/>
  </r>
  <r>
    <x v="3"/>
    <s v="RUKABURO"/>
    <s v="Public"/>
    <x v="0"/>
    <s v="Nyaruguru"/>
    <s v="Muganza"/>
    <s v="NAKN_1"/>
    <s v="Giswi/Agatobwe Sub-Catchment"/>
    <n v="16241.04"/>
  </r>
  <r>
    <x v="3"/>
    <s v="MIRAKE"/>
    <s v="Public"/>
    <x v="0"/>
    <s v="Nyaruguru"/>
    <s v="Muganza"/>
    <s v="NAKN_1"/>
    <s v="Giswi/Agatobwe Sub-Catchment"/>
    <n v="20498.399999999998"/>
  </r>
  <r>
    <x v="3"/>
    <s v="KABAHONA"/>
    <s v="Public"/>
    <x v="0"/>
    <s v="Huye"/>
    <s v="Mukura"/>
    <s v="NAKN_1"/>
    <s v="Giswi/Agatobwe Sub-Catchment"/>
    <n v="2522.88"/>
  </r>
  <r>
    <x v="3"/>
    <s v="KABINGO"/>
    <s v="Public"/>
    <x v="0"/>
    <s v="Huye"/>
    <s v="Mukura"/>
    <s v="NAKN_1"/>
    <s v="Giswi/Agatobwe Sub-Catchment"/>
    <n v="1576.8000000000002"/>
  </r>
  <r>
    <x v="3"/>
    <s v="NYARUSAMBU"/>
    <s v="Public"/>
    <x v="0"/>
    <s v="Huye"/>
    <s v="Mukura"/>
    <s v="NAKN_1"/>
    <s v="Giswi/Agatobwe Sub-Catchment"/>
    <n v="6622.5599999999995"/>
  </r>
  <r>
    <x v="3"/>
    <s v="INYAGISENYI"/>
    <s v="Public"/>
    <x v="0"/>
    <s v="Huye"/>
    <s v="Mukura"/>
    <s v="NAKN_1"/>
    <s v="Giswi/Agatobwe Sub-Catchment"/>
    <n v="3311.2799999999997"/>
  </r>
  <r>
    <x v="3"/>
    <s v="NYIRAHIRANA"/>
    <s v="Public"/>
    <x v="0"/>
    <s v="Huye"/>
    <s v="Mukura"/>
    <s v="NAKN_1"/>
    <s v="Giswi/Agatobwe Sub-Catchment"/>
    <n v="662.2560000000002"/>
  </r>
  <r>
    <x v="3"/>
    <s v="NYAKARIBA"/>
    <s v="Public"/>
    <x v="0"/>
    <s v="Huye"/>
    <s v="Mukura"/>
    <s v="NAKN_1"/>
    <s v="Giswi/Agatobwe Sub-Catchment"/>
    <n v="157.68"/>
  </r>
  <r>
    <x v="3"/>
    <s v="KABUGA"/>
    <s v="Public"/>
    <x v="0"/>
    <s v="Huye"/>
    <s v="Mukura"/>
    <s v="NAKN_1"/>
    <s v="Giswi/Agatobwe Sub-Catchment"/>
    <n v="3942.0000000000005"/>
  </r>
  <r>
    <x v="3"/>
    <s v="NYAMATA"/>
    <s v="Public"/>
    <x v="0"/>
    <s v="Huye"/>
    <s v="Mukura"/>
    <s v="NAKN_1"/>
    <s v="Giswi/Agatobwe Sub-Catchment"/>
    <n v="1103.7600000000002"/>
  </r>
  <r>
    <x v="3"/>
    <s v="NYABIHANGA"/>
    <s v="Public"/>
    <x v="0"/>
    <s v="Huye"/>
    <s v="Mukura"/>
    <s v="NAKN_1"/>
    <s v="Giswi/Agatobwe Sub-Catchment"/>
    <n v="1261.44"/>
  </r>
  <r>
    <x v="3"/>
    <s v="IRYABUHIRI"/>
    <s v="Public"/>
    <x v="0"/>
    <s v="Huye"/>
    <s v="Mukura"/>
    <s v="NAKN_1"/>
    <s v="Giswi/Agatobwe Sub-Catchment"/>
    <n v="1576.8000000000002"/>
  </r>
  <r>
    <x v="3"/>
    <s v="MPAZA"/>
    <s v="Public"/>
    <x v="0"/>
    <s v="Huye"/>
    <s v="Mukura"/>
    <s v="NAKN_1"/>
    <s v="Giswi/Agatobwe Sub-Catchment"/>
    <n v="6307.2000000000007"/>
  </r>
  <r>
    <x v="3"/>
    <s v="MPAZA"/>
    <s v="Public"/>
    <x v="0"/>
    <s v="Huye"/>
    <s v="Mukura"/>
    <s v="NAKN_1"/>
    <s v="Giswi/Agatobwe Sub-Catchment"/>
    <n v="9618.4800000000014"/>
  </r>
  <r>
    <x v="3"/>
    <s v="GAKOMBE"/>
    <s v="Public"/>
    <x v="0"/>
    <s v="Huye"/>
    <s v="Mukura"/>
    <s v="NAKN_1"/>
    <s v="Giswi/Agatobwe Sub-Catchment"/>
    <n v="0"/>
  </r>
  <r>
    <x v="3"/>
    <s v="NANGA"/>
    <s v="Public"/>
    <x v="0"/>
    <s v="Huye"/>
    <s v="Mukura"/>
    <s v="NAKN_1"/>
    <s v="Giswi/Agatobwe Sub-Catchment"/>
    <n v="2680.56"/>
  </r>
  <r>
    <x v="3"/>
    <s v="GATARE"/>
    <s v="Public"/>
    <x v="0"/>
    <s v="Huye"/>
    <s v="Mukura"/>
    <s v="NAKN_1"/>
    <s v="Giswi/Agatobwe Sub-Catchment"/>
    <n v="1261.44"/>
  </r>
  <r>
    <x v="3"/>
    <s v="RWAMUGARURA"/>
    <s v="Public"/>
    <x v="0"/>
    <s v="Huye"/>
    <s v="Mukura"/>
    <s v="NAKN_1"/>
    <s v="Giswi/Agatobwe Sub-Catchment"/>
    <n v="7253.28"/>
  </r>
  <r>
    <x v="3"/>
    <s v="NANGA II"/>
    <s v="Public"/>
    <x v="0"/>
    <s v="Huye"/>
    <s v="Mukura"/>
    <s v="NAKN_1"/>
    <s v="Giswi/Agatobwe Sub-Catchment"/>
    <n v="3942.0000000000005"/>
  </r>
  <r>
    <x v="3"/>
    <s v="KAZABAGARURA"/>
    <s v="Public"/>
    <x v="0"/>
    <s v="Huye"/>
    <s v="Mukura"/>
    <s v="NAKN_1"/>
    <s v="Giswi/Agatobwe Sub-Catchment"/>
    <n v="3468.9600000000005"/>
  </r>
  <r>
    <x v="3"/>
    <s v="KAGUGU"/>
    <s v="Public"/>
    <x v="0"/>
    <s v="Huye"/>
    <s v="Mukura"/>
    <s v="NAKN_1"/>
    <s v="Giswi/Agatobwe Sub-Catchment"/>
    <n v="5991.84"/>
  </r>
  <r>
    <x v="3"/>
    <s v="RWAREMERA"/>
    <s v="Public"/>
    <x v="0"/>
    <s v="Huye"/>
    <s v="Mukura"/>
    <s v="NAKN_1"/>
    <s v="Giswi/Agatobwe Sub-Catchment"/>
    <n v="6622.5599999999995"/>
  </r>
  <r>
    <x v="3"/>
    <s v="MWENDO"/>
    <s v="Public"/>
    <x v="0"/>
    <s v="Huye"/>
    <s v="Mukura"/>
    <s v="NAKN_1"/>
    <s v="Giswi/Agatobwe Sub-Catchment"/>
    <n v="3153.6000000000004"/>
  </r>
  <r>
    <x v="3"/>
    <s v="NYAKAGEZI"/>
    <s v="Public"/>
    <x v="0"/>
    <s v="Huye"/>
    <s v="Mukura"/>
    <s v="NAKN_1"/>
    <s v="Giswi/Agatobwe Sub-Catchment"/>
    <n v="5203.4400000000005"/>
  </r>
  <r>
    <x v="3"/>
    <s v="GAHAMA"/>
    <s v="Public"/>
    <x v="0"/>
    <s v="Huye"/>
    <s v="Mukura"/>
    <s v="NAKN_1"/>
    <s v="Giswi/Agatobwe Sub-Catchment"/>
    <n v="4572.72"/>
  </r>
  <r>
    <x v="3"/>
    <s v="NANGAI"/>
    <s v="Public"/>
    <x v="0"/>
    <s v="Huye"/>
    <s v="Mukura"/>
    <s v="NAKN_1"/>
    <s v="Giswi/Agatobwe Sub-Catchment"/>
    <n v="11037.6"/>
  </r>
  <r>
    <x v="3"/>
    <s v="RWARUMANA"/>
    <s v="Public"/>
    <x v="0"/>
    <s v="Huye"/>
    <s v="Mukura"/>
    <s v="NAKN_1"/>
    <s v="Giswi/Agatobwe Sub-Catchment"/>
    <n v="5834.1600000000008"/>
  </r>
  <r>
    <x v="3"/>
    <s v="GATARE"/>
    <s v="Public"/>
    <x v="0"/>
    <s v="Huye"/>
    <s v="Mukura"/>
    <s v="NAKN_1"/>
    <s v="Giswi/Agatobwe Sub-Catchment"/>
    <n v="8199.36"/>
  </r>
  <r>
    <x v="3"/>
    <s v="NYAKARIBA"/>
    <s v="Public"/>
    <x v="0"/>
    <s v="Huye"/>
    <s v="Mukura"/>
    <s v="NAKN_1"/>
    <s v="Giswi/Agatobwe Sub-Catchment"/>
    <n v="8199.36"/>
  </r>
  <r>
    <x v="3"/>
    <s v="KAJORORO"/>
    <s v="Public"/>
    <x v="0"/>
    <s v="Huye"/>
    <s v="Mukura"/>
    <s v="NAKN_1"/>
    <s v="Giswi/Agatobwe Sub-Catchment"/>
    <n v="6780.24"/>
  </r>
  <r>
    <x v="3"/>
    <s v="RWARUNIGA"/>
    <s v="Public"/>
    <x v="0"/>
    <s v="Huye"/>
    <s v="Mukura"/>
    <s v="NAKN_1"/>
    <s v="Giswi/Agatobwe Sub-Catchment"/>
    <n v="2207.5200000000004"/>
  </r>
  <r>
    <x v="3"/>
    <s v="KABAKENE"/>
    <s v="Public"/>
    <x v="0"/>
    <s v="Huye"/>
    <s v="Mukura"/>
    <s v="NAKN_1"/>
    <s v="Giswi/Agatobwe Sub-Catchment"/>
    <n v="1261.44"/>
  </r>
  <r>
    <x v="3"/>
    <s v="RUTARE"/>
    <s v="Public"/>
    <x v="0"/>
    <s v="Huye"/>
    <s v="Mukura"/>
    <s v="NAKN_1"/>
    <s v="Giswi/Agatobwe Sub-Catchment"/>
    <n v="1419.12"/>
  </r>
  <r>
    <x v="3"/>
    <s v="NYAKABINGO"/>
    <s v="Public"/>
    <x v="0"/>
    <s v="Huye"/>
    <s v="Mukura"/>
    <s v="NAKN_1"/>
    <s v="Giswi/Agatobwe Sub-Catchment"/>
    <n v="0"/>
  </r>
  <r>
    <x v="3"/>
    <s v="RWAKABEBA"/>
    <s v="Public"/>
    <x v="0"/>
    <s v="Nyaruguru"/>
    <s v="Munini"/>
    <s v="NAKN_1"/>
    <s v="Giswi/Agatobwe Sub-Catchment"/>
    <n v="157.68"/>
  </r>
  <r>
    <x v="3"/>
    <s v="NYAMUCESHA"/>
    <s v="Public"/>
    <x v="0"/>
    <s v="Nyaruguru"/>
    <s v="Munini"/>
    <s v="NAKN_1"/>
    <s v="Giswi/Agatobwe Sub-Catchment"/>
    <n v="5045.76"/>
  </r>
  <r>
    <x v="3"/>
    <s v="RUSASA"/>
    <s v="Public"/>
    <x v="0"/>
    <s v="Nyaruguru"/>
    <s v="Munini"/>
    <s v="NAKN_1"/>
    <s v="Giswi/Agatobwe Sub-Catchment"/>
    <n v="6307.2000000000007"/>
  </r>
  <r>
    <x v="3"/>
    <s v="RWAMUTIBA"/>
    <s v="Public"/>
    <x v="0"/>
    <s v="Nyaruguru"/>
    <s v="Munini"/>
    <s v="NAKN_1"/>
    <s v="Giswi/Agatobwe Sub-Catchment"/>
    <n v="315.36"/>
  </r>
  <r>
    <x v="3"/>
    <s v="NYIRARABA"/>
    <s v="Public"/>
    <x v="0"/>
    <s v="Nyaruguru"/>
    <s v="Munini"/>
    <s v="NAKN_1"/>
    <s v="Giswi/Agatobwe Sub-Catchment"/>
    <n v="946.08"/>
  </r>
  <r>
    <x v="3"/>
    <s v="MUGATABA"/>
    <s v="Public"/>
    <x v="0"/>
    <s v="Nyaruguru"/>
    <s v="Munini"/>
    <s v="NAKN_1"/>
    <s v="Giswi/Agatobwe Sub-Catchment"/>
    <n v="473.04"/>
  </r>
  <r>
    <x v="3"/>
    <s v="UWARUGUMYA"/>
    <s v="Public"/>
    <x v="0"/>
    <s v="Nyaruguru"/>
    <s v="Munini"/>
    <s v="NAKN_1"/>
    <s v="Giswi/Agatobwe Sub-Catchment"/>
    <n v="7568.64"/>
  </r>
  <r>
    <x v="3"/>
    <s v="KWAMUGEMANYI"/>
    <s v="Public"/>
    <x v="0"/>
    <s v="Nyaruguru"/>
    <s v="Munini"/>
    <s v="NAKN_1"/>
    <s v="Giswi/Agatobwe Sub-Catchment"/>
    <n v="25228.800000000003"/>
  </r>
  <r>
    <x v="3"/>
    <s v="RUHEMBE"/>
    <s v="Public"/>
    <x v="0"/>
    <s v="Nyaruguru"/>
    <s v="Munini"/>
    <s v="NAKN_1"/>
    <s v="Giswi/Agatobwe Sub-Catchment"/>
    <n v="946.08"/>
  </r>
  <r>
    <x v="3"/>
    <s v="GATOKI"/>
    <s v="Public"/>
    <x v="0"/>
    <s v="Nyaruguru"/>
    <s v="Munini"/>
    <s v="NAKN_1"/>
    <s v="Giswi/Agatobwe Sub-Catchment"/>
    <n v="2049.84"/>
  </r>
  <r>
    <x v="3"/>
    <s v="SHONDEKA"/>
    <s v="Public"/>
    <x v="0"/>
    <s v="Nyaruguru"/>
    <s v="Munini"/>
    <s v="NAKN_1"/>
    <s v="Giswi/Agatobwe Sub-Catchment"/>
    <n v="4730.4000000000005"/>
  </r>
  <r>
    <x v="3"/>
    <s v="GASEKE"/>
    <s v="Public"/>
    <x v="0"/>
    <s v="Nyaruguru"/>
    <s v="Munini"/>
    <s v="NAKN_1"/>
    <s v="Giswi/Agatobwe Sub-Catchment"/>
    <n v="9460.8000000000011"/>
  </r>
  <r>
    <x v="3"/>
    <s v="RWAMAHAMBA"/>
    <s v="Public"/>
    <x v="0"/>
    <s v="Nyaruguru"/>
    <s v="Munini"/>
    <s v="NAKN_1"/>
    <s v="Giswi/Agatobwe Sub-Catchment"/>
    <n v="946.08"/>
  </r>
  <r>
    <x v="3"/>
    <s v="MPUMWUKO"/>
    <s v="Public"/>
    <x v="0"/>
    <s v="Nyaruguru"/>
    <s v="Munini"/>
    <s v="NAKN_1"/>
    <s v="Giswi/Agatobwe Sub-Catchment"/>
    <n v="7884.0000000000009"/>
  </r>
  <r>
    <x v="3"/>
    <s v="BYONDO"/>
    <s v="Public"/>
    <x v="0"/>
    <s v="Nyaruguru"/>
    <s v="Munini"/>
    <s v="NAKN_1"/>
    <s v="Giswi/Agatobwe Sub-Catchment"/>
    <n v="315.36"/>
  </r>
  <r>
    <x v="3"/>
    <s v="NYABUKOBWA"/>
    <s v="Public"/>
    <x v="0"/>
    <s v="Nyaruguru"/>
    <s v="Munini"/>
    <s v="NAKN_1"/>
    <s v="Giswi/Agatobwe Sub-Catchment"/>
    <n v="2995.92"/>
  </r>
  <r>
    <x v="3"/>
    <s v="RWAKABANDI"/>
    <s v="Public"/>
    <x v="0"/>
    <s v="Nyaruguru"/>
    <s v="Munini"/>
    <s v="NAKN_1"/>
    <s v="Giswi/Agatobwe Sub-Catchment"/>
    <n v="12614.400000000001"/>
  </r>
  <r>
    <x v="3"/>
    <s v="RWABIDAGARI"/>
    <s v="Public"/>
    <x v="0"/>
    <s v="Nyaruguru"/>
    <s v="Munini"/>
    <s v="NAKN_1"/>
    <s v="Giswi/Agatobwe Sub-Catchment"/>
    <n v="11037.6"/>
  </r>
  <r>
    <x v="3"/>
    <s v="BACAMUKANDI"/>
    <s v="Public"/>
    <x v="0"/>
    <s v="Nyaruguru"/>
    <s v="Munini"/>
    <s v="NAKN_1"/>
    <s v="Giswi/Agatobwe Sub-Catchment"/>
    <n v="20498.399999999998"/>
  </r>
  <r>
    <x v="3"/>
    <s v="RWASERUMONDO"/>
    <s v="Public"/>
    <x v="0"/>
    <s v="Nyaruguru"/>
    <s v="Munini"/>
    <s v="NAKN_1"/>
    <s v="Giswi/Agatobwe Sub-Catchment"/>
    <n v="3153.6000000000004"/>
  </r>
  <r>
    <x v="3"/>
    <s v="GATOKI"/>
    <s v="Public"/>
    <x v="0"/>
    <s v="Nyaruguru"/>
    <s v="Munini"/>
    <s v="NAKN_1"/>
    <s v="Giswi/Agatobwe Sub-Catchment"/>
    <n v="9460.8000000000011"/>
  </r>
  <r>
    <x v="3"/>
    <s v="RWAMUHIZI"/>
    <s v="Public"/>
    <x v="0"/>
    <s v="Nyaruguru"/>
    <s v="Munini"/>
    <s v="NAKN_1"/>
    <s v="Giswi/Agatobwe Sub-Catchment"/>
    <n v="11037.6"/>
  </r>
  <r>
    <x v="3"/>
    <s v="RUZIBAZIBA"/>
    <s v="Public"/>
    <x v="0"/>
    <s v="Nyaruguru"/>
    <s v="Munini"/>
    <s v="NAKN_1"/>
    <s v="Giswi/Agatobwe Sub-Catchment"/>
    <n v="14191.2"/>
  </r>
  <r>
    <x v="3"/>
    <s v="NYAKAGEZI"/>
    <s v="Public"/>
    <x v="0"/>
    <s v="Nyaruguru"/>
    <s v="Munini"/>
    <s v="NAKN_1"/>
    <s v="Giswi/Agatobwe Sub-Catchment"/>
    <n v="15768.000000000002"/>
  </r>
  <r>
    <x v="3"/>
    <s v="MURWABUVUVU"/>
    <s v="Public"/>
    <x v="0"/>
    <s v="Nyaruguru"/>
    <s v="Munini"/>
    <s v="NAKN_1"/>
    <s v="Giswi/Agatobwe Sub-Catchment"/>
    <n v="40996.799999999996"/>
  </r>
  <r>
    <x v="3"/>
    <s v="KABADANDANGARA"/>
    <s v="Public"/>
    <x v="0"/>
    <s v="Nyaruguru"/>
    <s v="Munini"/>
    <s v="NAKN_1"/>
    <s v="Giswi/Agatobwe Sub-Catchment"/>
    <n v="4730.4000000000005"/>
  </r>
  <r>
    <x v="3"/>
    <s v="RWANDABANANIYE"/>
    <s v="Public"/>
    <x v="0"/>
    <s v="Nyaruguru"/>
    <s v="Munini"/>
    <s v="NAKN_1"/>
    <s v="Giswi/Agatobwe Sub-Catchment"/>
    <n v="4730.4000000000005"/>
  </r>
  <r>
    <x v="3"/>
    <s v="MURUHONDO"/>
    <s v="Public"/>
    <x v="0"/>
    <s v="Nyaruguru"/>
    <s v="Munini"/>
    <s v="NAKN_1"/>
    <s v="Giswi/Agatobwe Sub-Catchment"/>
    <n v="12614.400000000001"/>
  </r>
  <r>
    <x v="3"/>
    <s v="KABAKENE"/>
    <s v="Public"/>
    <x v="0"/>
    <s v="Nyaruguru"/>
    <s v="Munini"/>
    <s v="NAKN_1"/>
    <s v="Giswi/Agatobwe Sub-Catchment"/>
    <n v="11037.6"/>
  </r>
  <r>
    <x v="3"/>
    <s v="GASEKE"/>
    <s v="Public"/>
    <x v="0"/>
    <s v="Nyaruguru"/>
    <s v="Munini"/>
    <s v="NAKN_1"/>
    <s v="Giswi/Agatobwe Sub-Catchment"/>
    <n v="12614.400000000001"/>
  </r>
  <r>
    <x v="3"/>
    <s v="MURUKUBO"/>
    <s v="Public"/>
    <x v="0"/>
    <s v="Nyaruguru"/>
    <s v="Munini"/>
    <s v="NAKN_1"/>
    <s v="Giswi/Agatobwe Sub-Catchment"/>
    <n v="15768.000000000002"/>
  </r>
  <r>
    <x v="3"/>
    <s v="GIKOMBE"/>
    <s v="Public"/>
    <x v="0"/>
    <s v="Nyaruguru"/>
    <s v="Munini"/>
    <s v="NAKN_1"/>
    <s v="Giswi/Agatobwe Sub-Catchment"/>
    <n v="9460.8000000000011"/>
  </r>
  <r>
    <x v="3"/>
    <s v="MANDONDI"/>
    <s v="Public"/>
    <x v="0"/>
    <s v="Nyaruguru"/>
    <s v="Munini"/>
    <s v="NAKN_1"/>
    <s v="Giswi/Agatobwe Sub-Catchment"/>
    <n v="473.04"/>
  </r>
  <r>
    <x v="3"/>
    <s v="BITARE"/>
    <s v="Public"/>
    <x v="0"/>
    <s v="Nyaruguru"/>
    <s v="Munini"/>
    <s v="NAKN_1"/>
    <s v="Giswi/Agatobwe Sub-Catchment"/>
    <n v="3784.32"/>
  </r>
  <r>
    <x v="3"/>
    <s v="MUWUMWUMBA"/>
    <s v="Public"/>
    <x v="0"/>
    <s v="Nyaruguru"/>
    <s v="Munini"/>
    <s v="NAKN_1"/>
    <s v="Giswi/Agatobwe Sub-Catchment"/>
    <n v="2995.92"/>
  </r>
  <r>
    <x v="3"/>
    <s v="RWINANKA"/>
    <s v="Public"/>
    <x v="0"/>
    <s v="Nyaruguru"/>
    <s v="Munini"/>
    <s v="NAKN_1"/>
    <s v="Giswi/Agatobwe Sub-Catchment"/>
    <n v="9460.8000000000011"/>
  </r>
  <r>
    <x v="3"/>
    <s v="KOGISHA"/>
    <s v="Public"/>
    <x v="0"/>
    <s v="Nyaruguru"/>
    <s v="Ngera"/>
    <s v="NAKN_1"/>
    <s v="Giswi/Agatobwe Sub-Catchment"/>
    <n v="5676.48"/>
  </r>
  <r>
    <x v="3"/>
    <s v="NYABITARE"/>
    <s v="Public"/>
    <x v="0"/>
    <s v="Nyaruguru"/>
    <s v="Ngera"/>
    <s v="NAKN_1"/>
    <s v="Giswi/Agatobwe Sub-Catchment"/>
    <n v="4888.0800000000008"/>
  </r>
  <r>
    <x v="3"/>
    <s v="GASAVE"/>
    <s v="Public"/>
    <x v="0"/>
    <s v="Nyaruguru"/>
    <s v="Ngera"/>
    <s v="NAKN_1"/>
    <s v="Giswi/Agatobwe Sub-Catchment"/>
    <n v="6464.88"/>
  </r>
  <r>
    <x v="3"/>
    <s v="RUTARE"/>
    <s v="Public"/>
    <x v="0"/>
    <s v="Nyaruguru"/>
    <s v="Ngera"/>
    <s v="NAKN_1"/>
    <s v="Giswi/Agatobwe Sub-Catchment"/>
    <n v="3311.2799999999997"/>
  </r>
  <r>
    <x v="3"/>
    <s v="RWASERUMVA"/>
    <s v="Public"/>
    <x v="0"/>
    <s v="Nyaruguru"/>
    <s v="Ngera"/>
    <s v="NAKN_1"/>
    <s v="Giswi/Agatobwe Sub-Catchment"/>
    <n v="2522.88"/>
  </r>
  <r>
    <x v="3"/>
    <s v="KABINGO"/>
    <s v="Public"/>
    <x v="0"/>
    <s v="Nyaruguru"/>
    <s v="Ngera"/>
    <s v="NAKN_1"/>
    <s v="Giswi/Agatobwe Sub-Catchment"/>
    <n v="788.40000000000009"/>
  </r>
  <r>
    <x v="3"/>
    <s v="RWAKINIGA"/>
    <s v="Public"/>
    <x v="0"/>
    <s v="Nyaruguru"/>
    <s v="Ngera"/>
    <s v="NAKN_1"/>
    <s v="Giswi/Agatobwe Sub-Catchment"/>
    <n v="2838.24"/>
  </r>
  <r>
    <x v="3"/>
    <s v="RWABIROGO"/>
    <s v="Public"/>
    <x v="0"/>
    <s v="Nyaruguru"/>
    <s v="Ngera"/>
    <s v="NAKN_1"/>
    <s v="Giswi/Agatobwe Sub-Catchment"/>
    <n v="1734.4800000000002"/>
  </r>
  <r>
    <x v="3"/>
    <s v="NYARUGEGA"/>
    <s v="Public"/>
    <x v="0"/>
    <s v="Nyaruguru"/>
    <s v="Ngera"/>
    <s v="NAKN_1"/>
    <s v="Giswi/Agatobwe Sub-Catchment"/>
    <n v="315.36"/>
  </r>
  <r>
    <x v="3"/>
    <s v="RWASEKABWA"/>
    <s v="Public"/>
    <x v="0"/>
    <s v="Nyaruguru"/>
    <s v="Ngera"/>
    <s v="NAKN_1"/>
    <s v="Giswi/Agatobwe Sub-Catchment"/>
    <n v="788.40000000000009"/>
  </r>
  <r>
    <x v="3"/>
    <s v="GASEBEYA"/>
    <s v="Public"/>
    <x v="0"/>
    <s v="Nyaruguru"/>
    <s v="Ngera"/>
    <s v="NAKN_1"/>
    <s v="Giswi/Agatobwe Sub-Catchment"/>
    <n v="1892.16"/>
  </r>
  <r>
    <x v="3"/>
    <s v="BETETA"/>
    <s v="Public"/>
    <x v="0"/>
    <s v="Nyaruguru"/>
    <s v="Ngera"/>
    <s v="NAKN_1"/>
    <s v="Giswi/Agatobwe Sub-Catchment"/>
    <n v="1261.44"/>
  </r>
  <r>
    <x v="3"/>
    <s v="NYAKANGA"/>
    <s v="Public"/>
    <x v="0"/>
    <s v="Nyaruguru"/>
    <s v="Ngera"/>
    <s v="NAKN_1"/>
    <s v="Giswi/Agatobwe Sub-Catchment"/>
    <n v="788.40000000000009"/>
  </r>
  <r>
    <x v="3"/>
    <s v="NYAKARIBA"/>
    <s v="Public"/>
    <x v="0"/>
    <s v="Nyaruguru"/>
    <s v="Ngera"/>
    <s v="NAKN_1"/>
    <s v="Giswi/Agatobwe Sub-Catchment"/>
    <n v="1576.8000000000002"/>
  </r>
  <r>
    <x v="3"/>
    <s v="AKAJORORO"/>
    <s v="Public"/>
    <x v="0"/>
    <s v="Nyaruguru"/>
    <s v="Ngera"/>
    <s v="NAKN_1"/>
    <s v="Giswi/Agatobwe Sub-Catchment"/>
    <n v="630.72"/>
  </r>
  <r>
    <x v="3"/>
    <s v="GIKOMBE"/>
    <s v="Public"/>
    <x v="0"/>
    <s v="Nyaruguru"/>
    <s v="Ngera"/>
    <s v="NAKN_1"/>
    <s v="Giswi/Agatobwe Sub-Catchment"/>
    <n v="946.08"/>
  </r>
  <r>
    <x v="3"/>
    <s v="MAYOGA"/>
    <s v="Public"/>
    <x v="0"/>
    <s v="Nyaruguru"/>
    <s v="Ngera"/>
    <s v="NAKN_1"/>
    <s v="Giswi/Agatobwe Sub-Catchment"/>
    <n v="3942.0000000000005"/>
  </r>
  <r>
    <x v="3"/>
    <s v="NYAKARIBA"/>
    <s v="Public"/>
    <x v="0"/>
    <s v="Nyaruguru"/>
    <s v="Ngera"/>
    <s v="NAKN_1"/>
    <s v="Giswi/Agatobwe Sub-Catchment"/>
    <n v="1261.44"/>
  </r>
  <r>
    <x v="3"/>
    <s v="KABUMBA"/>
    <s v="Public"/>
    <x v="0"/>
    <s v="Nyaruguru"/>
    <s v="Ngera"/>
    <s v="NAKN_1"/>
    <s v="Giswi/Agatobwe Sub-Catchment"/>
    <n v="630.72"/>
  </r>
  <r>
    <x v="3"/>
    <s v="RUHUMA"/>
    <s v="Public"/>
    <x v="0"/>
    <s v="Nyaruguru"/>
    <s v="Ngera"/>
    <s v="NAKN_1"/>
    <s v="Giswi/Agatobwe Sub-Catchment"/>
    <n v="2680.56"/>
  </r>
  <r>
    <x v="3"/>
    <s v="NYABITARE"/>
    <s v="Public"/>
    <x v="0"/>
    <s v="Nyaruguru"/>
    <s v="Ngera"/>
    <s v="NAKN_1"/>
    <s v="Giswi/Agatobwe Sub-Catchment"/>
    <n v="315.36"/>
  </r>
  <r>
    <x v="3"/>
    <s v="NYAGATOVU"/>
    <s v="Public"/>
    <x v="0"/>
    <s v="Nyaruguru"/>
    <s v="Ngera"/>
    <s v="NAKN_1"/>
    <s v="Giswi/Agatobwe Sub-Catchment"/>
    <n v="2838.24"/>
  </r>
  <r>
    <x v="3"/>
    <s v="RWASHYIRAMBERE"/>
    <s v="Public"/>
    <x v="0"/>
    <s v="Nyaruguru"/>
    <s v="Ngera"/>
    <s v="NAKN_1"/>
    <s v="Giswi/Agatobwe Sub-Catchment"/>
    <n v="946.08"/>
  </r>
  <r>
    <x v="3"/>
    <s v="GASEKE"/>
    <s v="Public"/>
    <x v="0"/>
    <s v="Nyaruguru"/>
    <s v="Ngera"/>
    <s v="NAKN_1"/>
    <s v="Giswi/Agatobwe Sub-Catchment"/>
    <n v="4730.4000000000005"/>
  </r>
  <r>
    <x v="3"/>
    <s v="KAGINA"/>
    <s v="Public"/>
    <x v="0"/>
    <s v="Nyaruguru"/>
    <s v="Ngera"/>
    <s v="NAKN_1"/>
    <s v="Giswi/Agatobwe Sub-Catchment"/>
    <n v="2365.2000000000003"/>
  </r>
  <r>
    <x v="3"/>
    <s v="RWANYAMUJYANA"/>
    <s v="Public"/>
    <x v="0"/>
    <s v="Nyaruguru"/>
    <s v="Ngera"/>
    <s v="NAKN_1"/>
    <s v="Giswi/Agatobwe Sub-Catchment"/>
    <n v="788.40000000000009"/>
  </r>
  <r>
    <x v="3"/>
    <s v="KARUGANDIKA"/>
    <s v="Public"/>
    <x v="0"/>
    <s v="Nyaruguru"/>
    <s v="Ngera"/>
    <s v="NAKN_1"/>
    <s v="Giswi/Agatobwe Sub-Catchment"/>
    <n v="3468.9600000000005"/>
  </r>
  <r>
    <x v="3"/>
    <s v="KABACUZI"/>
    <s v="Public"/>
    <x v="0"/>
    <s v="Nyaruguru"/>
    <s v="Ngera"/>
    <s v="NAKN_1"/>
    <s v="Giswi/Agatobwe Sub-Catchment"/>
    <n v="1892.16"/>
  </r>
  <r>
    <x v="3"/>
    <s v="RWANYIRABACUNI"/>
    <s v="Public"/>
    <x v="0"/>
    <s v="Nyaruguru"/>
    <s v="Ngera"/>
    <s v="NAKN_1"/>
    <s v="Giswi/Agatobwe Sub-Catchment"/>
    <n v="1103.7600000000002"/>
  </r>
  <r>
    <x v="3"/>
    <s v="NYABUHORO"/>
    <s v="Public"/>
    <x v="0"/>
    <s v="Nyaruguru"/>
    <s v="Ngera"/>
    <s v="NAKN_1"/>
    <s v="Giswi/Agatobwe Sub-Catchment"/>
    <n v="1261.44"/>
  </r>
  <r>
    <x v="3"/>
    <s v="AKABINGO"/>
    <s v="Public"/>
    <x v="0"/>
    <s v="Nyaruguru"/>
    <s v="Ngera"/>
    <s v="NAKN_1"/>
    <s v="Giswi/Agatobwe Sub-Catchment"/>
    <n v="630.72"/>
  </r>
  <r>
    <x v="3"/>
    <s v="BYERWA"/>
    <s v="Public"/>
    <x v="0"/>
    <s v="Nyaruguru"/>
    <s v="Ngera"/>
    <s v="NAKN_1"/>
    <s v="Giswi/Agatobwe Sub-Catchment"/>
    <n v="1892.16"/>
  </r>
  <r>
    <x v="3"/>
    <s v="RWAHOROGA"/>
    <s v="Public"/>
    <x v="0"/>
    <s v="Nyaruguru"/>
    <s v="Ngera"/>
    <s v="NAKN_1"/>
    <s v="Giswi/Agatobwe Sub-Catchment"/>
    <n v="1419.12"/>
  </r>
  <r>
    <x v="3"/>
    <s v="RUMENANKONO"/>
    <s v="Public"/>
    <x v="0"/>
    <s v="Nyaruguru"/>
    <s v="Ngera"/>
    <s v="NAKN_1"/>
    <s v="Giswi/Agatobwe Sub-Catchment"/>
    <n v="2207.5200000000004"/>
  </r>
  <r>
    <x v="3"/>
    <s v="GASEKE"/>
    <s v="Public"/>
    <x v="0"/>
    <s v="Nyaruguru"/>
    <s v="Ngera"/>
    <s v="NAKN_1"/>
    <s v="Giswi/Agatobwe Sub-Catchment"/>
    <n v="1892.16"/>
  </r>
  <r>
    <x v="3"/>
    <s v="RWANDABAVUNYI"/>
    <s v="Public"/>
    <x v="0"/>
    <s v="Nyaruguru"/>
    <s v="Ngera"/>
    <s v="NAKN_1"/>
    <s v="Giswi/Agatobwe Sub-Catchment"/>
    <n v="2207.5200000000004"/>
  </r>
  <r>
    <x v="3"/>
    <s v="NKAMWA"/>
    <s v="Public"/>
    <x v="0"/>
    <s v="Nyaruguru"/>
    <s v="Ngera"/>
    <s v="NAKN_1"/>
    <s v="Giswi/Agatobwe Sub-Catchment"/>
    <n v="2207.5200000000004"/>
  </r>
  <r>
    <x v="3"/>
    <s v="RWANYABIGINA"/>
    <s v="Public"/>
    <x v="0"/>
    <s v="Nyaruguru"/>
    <s v="Ngera"/>
    <s v="NAKN_1"/>
    <s v="Giswi/Agatobwe Sub-Catchment"/>
    <n v="1261.44"/>
  </r>
  <r>
    <x v="3"/>
    <s v="RUTONGATI"/>
    <s v="Public"/>
    <x v="0"/>
    <s v="Nyaruguru"/>
    <s v="Ngera"/>
    <s v="NAKN_1"/>
    <s v="Giswi/Agatobwe Sub-Catchment"/>
    <n v="630.72"/>
  </r>
  <r>
    <x v="3"/>
    <s v="RWANYUNDO"/>
    <s v="Public"/>
    <x v="0"/>
    <s v="Nyaruguru"/>
    <s v="Ngera"/>
    <s v="NAKN_1"/>
    <s v="Giswi/Agatobwe Sub-Catchment"/>
    <n v="630.72"/>
  </r>
  <r>
    <x v="3"/>
    <s v="GATARE"/>
    <s v="Public"/>
    <x v="0"/>
    <s v="Nyaruguru"/>
    <s v="Ngera"/>
    <s v="NAKN_1"/>
    <s v="Giswi/Agatobwe Sub-Catchment"/>
    <n v="1419.12"/>
  </r>
  <r>
    <x v="3"/>
    <s v="KIRUHURA"/>
    <s v="Public"/>
    <x v="0"/>
    <s v="Nyaruguru"/>
    <s v="Ngera"/>
    <s v="NAKN_1"/>
    <s v="Giswi/Agatobwe Sub-Catchment"/>
    <n v="468028.29888000007"/>
  </r>
  <r>
    <x v="3"/>
    <s v="NYAKARIBA"/>
    <s v="Public"/>
    <x v="0"/>
    <s v="Nyaruguru"/>
    <s v="Ngera"/>
    <s v="NAKN_1"/>
    <s v="Giswi/Agatobwe Sub-Catchment"/>
    <n v="630.72"/>
  </r>
  <r>
    <x v="3"/>
    <s v="KIDAHE"/>
    <s v="Public"/>
    <x v="0"/>
    <s v="Nyaruguru"/>
    <s v="Ngera"/>
    <s v="NAKN_1"/>
    <s v="Giswi/Agatobwe Sub-Catchment"/>
    <n v="1892.16"/>
  </r>
  <r>
    <x v="3"/>
    <s v="NYIRAMUTAMBYI"/>
    <s v="Public"/>
    <x v="0"/>
    <s v="Nyaruguru"/>
    <s v="Ngera"/>
    <s v="NAKN_1"/>
    <s v="Giswi/Agatobwe Sub-Catchment"/>
    <n v="1576.8000000000002"/>
  </r>
  <r>
    <x v="3"/>
    <s v="GATARE"/>
    <s v="Public"/>
    <x v="0"/>
    <s v="Nyaruguru"/>
    <s v="Ngera"/>
    <s v="NAKN_1"/>
    <s v="Giswi/Agatobwe Sub-Catchment"/>
    <n v="1103.7600000000002"/>
  </r>
  <r>
    <x v="3"/>
    <s v="NYIRABAYEMBA2"/>
    <s v="Public"/>
    <x v="0"/>
    <s v="Nyaruguru"/>
    <s v="Ngera"/>
    <s v="NAKN_1"/>
    <s v="Giswi/Agatobwe Sub-Catchment"/>
    <n v="1576.8000000000002"/>
  </r>
  <r>
    <x v="3"/>
    <s v="NYIRABAYEMBAI"/>
    <s v="Public"/>
    <x v="0"/>
    <s v="Nyaruguru"/>
    <s v="Ngera"/>
    <s v="NAKN_1"/>
    <s v="Giswi/Agatobwe Sub-Catchment"/>
    <n v="788.40000000000009"/>
  </r>
  <r>
    <x v="3"/>
    <s v="CYASENYA"/>
    <s v="Public"/>
    <x v="0"/>
    <s v="Nyaruguru"/>
    <s v="Ngera"/>
    <s v="NAKN_1"/>
    <s v="Giswi/Agatobwe Sub-Catchment"/>
    <n v="946.08"/>
  </r>
  <r>
    <x v="3"/>
    <s v="RWAMPANGO"/>
    <s v="Public"/>
    <x v="0"/>
    <s v="Nyaruguru"/>
    <s v="Ngera"/>
    <s v="NAKN_1"/>
    <s v="Giswi/Agatobwe Sub-Catchment"/>
    <n v="630.72"/>
  </r>
  <r>
    <x v="3"/>
    <s v="RWANKOMBE"/>
    <s v="Public"/>
    <x v="0"/>
    <s v="Nyaruguru"/>
    <s v="Ngera"/>
    <s v="NAKN_1"/>
    <s v="Giswi/Agatobwe Sub-Catchment"/>
    <n v="3468.9600000000005"/>
  </r>
  <r>
    <x v="3"/>
    <s v="RWABIGAZA"/>
    <s v="Public"/>
    <x v="0"/>
    <s v="Nyaruguru"/>
    <s v="Ngera"/>
    <s v="NAKN_1"/>
    <s v="Giswi/Agatobwe Sub-Catchment"/>
    <n v="1419.12"/>
  </r>
  <r>
    <x v="3"/>
    <s v="MUKOMBE"/>
    <s v="Public"/>
    <x v="0"/>
    <s v="Nyaruguru"/>
    <s v="Ngera"/>
    <s v="NAKN_1"/>
    <s v="Giswi/Agatobwe Sub-Catchment"/>
    <n v="473.04"/>
  </r>
  <r>
    <x v="3"/>
    <s v="RUBAGA"/>
    <s v="Public"/>
    <x v="0"/>
    <s v="Nyaruguru"/>
    <s v="Ngera"/>
    <s v="NAKN_1"/>
    <s v="Giswi/Agatobwe Sub-Catchment"/>
    <n v="4415.0400000000009"/>
  </r>
  <r>
    <x v="3"/>
    <s v="MUMANGA"/>
    <s v="Public"/>
    <x v="0"/>
    <s v="Nyaruguru"/>
    <s v="Ngera"/>
    <s v="NAKN_1"/>
    <s v="Giswi/Agatobwe Sub-Catchment"/>
    <n v="3311.2799999999997"/>
  </r>
  <r>
    <x v="3"/>
    <s v="NKOMANA"/>
    <s v="Public"/>
    <x v="0"/>
    <s v="Nyaruguru"/>
    <s v="Ngera"/>
    <s v="NAKN_1"/>
    <s v="Giswi/Agatobwe Sub-Catchment"/>
    <n v="1103.7600000000002"/>
  </r>
  <r>
    <x v="3"/>
    <s v="MUHANANA"/>
    <s v="Public"/>
    <x v="0"/>
    <s v="Nyaruguru"/>
    <s v="Ngera"/>
    <s v="NAKN_1"/>
    <s v="Giswi/Agatobwe Sub-Catchment"/>
    <n v="1419.12"/>
  </r>
  <r>
    <x v="3"/>
    <s v="RUSHAYO"/>
    <s v="Public"/>
    <x v="0"/>
    <s v="Nyaruguru"/>
    <s v="Ngera"/>
    <s v="NAKN_1"/>
    <s v="Giswi/Agatobwe Sub-Catchment"/>
    <n v="788.40000000000009"/>
  </r>
  <r>
    <x v="3"/>
    <s v="MUMANGA"/>
    <s v="Public"/>
    <x v="0"/>
    <s v="Nyaruguru"/>
    <s v="Ngera"/>
    <s v="NAKN_1"/>
    <s v="Giswi/Agatobwe Sub-Catchment"/>
    <n v="1892.16"/>
  </r>
  <r>
    <x v="3"/>
    <s v="MUTENGU"/>
    <s v="Public"/>
    <x v="0"/>
    <s v="Nyaruguru"/>
    <s v="Ngera"/>
    <s v="NAKN_1"/>
    <s v="Giswi/Agatobwe Sub-Catchment"/>
    <n v="473.04"/>
  </r>
  <r>
    <x v="3"/>
    <s v="RUKONDO"/>
    <s v="Public"/>
    <x v="0"/>
    <s v="Nyaruguru"/>
    <s v="Ngera"/>
    <s v="NAKN_1"/>
    <s v="Giswi/Agatobwe Sub-Catchment"/>
    <n v="788.40000000000009"/>
  </r>
  <r>
    <x v="3"/>
    <s v="GISENYI"/>
    <s v="Public"/>
    <x v="0"/>
    <s v="Nyaruguru"/>
    <s v="Ngera"/>
    <s v="NAKN_1"/>
    <s v="Giswi/Agatobwe Sub-Catchment"/>
    <n v="2207.5200000000004"/>
  </r>
  <r>
    <x v="3"/>
    <s v="NYIRAGASTAMU"/>
    <s v="Public"/>
    <x v="0"/>
    <s v="Nyaruguru"/>
    <s v="Ngera"/>
    <s v="NAKN_1"/>
    <s v="Giswi/Agatobwe Sub-Catchment"/>
    <n v="3153.6000000000004"/>
  </r>
  <r>
    <x v="3"/>
    <s v="AKANYOBYI"/>
    <s v="Public"/>
    <x v="0"/>
    <s v="Nyaruguru"/>
    <s v="Ngera"/>
    <s v="NAKN_1"/>
    <s v="Giswi/Agatobwe Sub-Catchment"/>
    <n v="788.40000000000009"/>
  </r>
  <r>
    <x v="3"/>
    <s v="KALIBU"/>
    <s v="Public"/>
    <x v="0"/>
    <s v="Nyaruguru"/>
    <s v="Ngera"/>
    <s v="NAKN_1"/>
    <s v="Giswi/Agatobwe Sub-Catchment"/>
    <n v="1261.44"/>
  </r>
  <r>
    <x v="3"/>
    <s v="NYAKARIBA"/>
    <s v="Public"/>
    <x v="0"/>
    <s v="Nyaruguru"/>
    <s v="Ngera"/>
    <s v="NAKN_1"/>
    <s v="Giswi/Agatobwe Sub-Catchment"/>
    <n v="788.40000000000009"/>
  </r>
  <r>
    <x v="3"/>
    <s v="BYERWA"/>
    <s v="Public"/>
    <x v="0"/>
    <s v="Nyaruguru"/>
    <s v="Ngera"/>
    <s v="NAKN_1"/>
    <s v="Giswi/Agatobwe Sub-Catchment"/>
    <n v="1261.44"/>
  </r>
  <r>
    <x v="3"/>
    <s v="MUGAKOMBE"/>
    <s v="Public"/>
    <x v="0"/>
    <s v="Nyaruguru"/>
    <s v="Ngera"/>
    <s v="NAKN_1"/>
    <s v="Giswi/Agatobwe Sub-Catchment"/>
    <n v="2995.92"/>
  </r>
  <r>
    <x v="3"/>
    <s v="GASEKE"/>
    <s v="Public"/>
    <x v="0"/>
    <s v="Nyaruguru"/>
    <s v="Ngera"/>
    <s v="NAKN_1"/>
    <s v="Giswi/Agatobwe Sub-Catchment"/>
    <n v="473.04"/>
  </r>
  <r>
    <x v="3"/>
    <s v="GATARE"/>
    <s v="Public"/>
    <x v="0"/>
    <s v="Nyaruguru"/>
    <s v="Ngera"/>
    <s v="NAKN_1"/>
    <s v="Giswi/Agatobwe Sub-Catchment"/>
    <n v="1419.12"/>
  </r>
  <r>
    <x v="3"/>
    <s v="RWARUBONEYE"/>
    <s v="Public"/>
    <x v="0"/>
    <s v="Nyaruguru"/>
    <s v="Ngoma"/>
    <s v="NAKN_1"/>
    <s v="Giswi/Agatobwe Sub-Catchment"/>
    <n v="1103.7600000000002"/>
  </r>
  <r>
    <x v="3"/>
    <s v="Ruheti"/>
    <s v="Public"/>
    <x v="0"/>
    <s v="Nyaruguru"/>
    <s v="Ngoma"/>
    <s v="NAKN_1"/>
    <s v="Giswi/Agatobwe Sub-Catchment"/>
    <n v="2049.84"/>
  </r>
  <r>
    <x v="3"/>
    <s v="Nyakagezi"/>
    <s v="Public"/>
    <x v="0"/>
    <s v="Nyaruguru"/>
    <s v="Ngoma"/>
    <s v="NAKN_1"/>
    <s v="Giswi/Agatobwe Sub-Catchment"/>
    <n v="3153.6000000000004"/>
  </r>
  <r>
    <x v="3"/>
    <s v="Mukadogo"/>
    <s v="Public"/>
    <x v="0"/>
    <s v="Nyaruguru"/>
    <s v="Ngoma"/>
    <s v="NAKN_1"/>
    <s v="Giswi/Agatobwe Sub-Catchment"/>
    <n v="7884.0000000000009"/>
  </r>
  <r>
    <x v="3"/>
    <s v="Nyaruriba"/>
    <s v="Public"/>
    <x v="0"/>
    <s v="Nyaruguru"/>
    <s v="Ngoma"/>
    <s v="NAKN_1"/>
    <s v="Giswi/Agatobwe Sub-Catchment"/>
    <n v="473.04"/>
  </r>
  <r>
    <x v="3"/>
    <s v="Kamusero"/>
    <s v="Public"/>
    <x v="0"/>
    <s v="Nyaruguru"/>
    <s v="Ngoma"/>
    <s v="NAKN_1"/>
    <s v="Giswi/Agatobwe Sub-Catchment"/>
    <n v="15768.000000000002"/>
  </r>
  <r>
    <x v="3"/>
    <s v="Kamanga"/>
    <s v="Public"/>
    <x v="0"/>
    <s v="Nyaruguru"/>
    <s v="Ngoma"/>
    <s v="NAKN_1"/>
    <s v="Giswi/Agatobwe Sub-Catchment"/>
    <n v="7095.6"/>
  </r>
  <r>
    <x v="3"/>
    <s v="Kayebe"/>
    <s v="Public"/>
    <x v="0"/>
    <s v="Nyaruguru"/>
    <s v="Ngoma"/>
    <s v="NAKN_1"/>
    <s v="Giswi/Agatobwe Sub-Catchment"/>
    <n v="11037.6"/>
  </r>
  <r>
    <x v="3"/>
    <s v="0PDI"/>
    <s v="Public"/>
    <x v="0"/>
    <s v="Huye"/>
    <s v="Ngoma"/>
    <s v="NAKN_1"/>
    <s v="Giswi/Agatobwe Sub-Catchment"/>
    <n v="1734.4800000000002"/>
  </r>
  <r>
    <x v="3"/>
    <s v="KWAKAGURU"/>
    <s v="Public"/>
    <x v="0"/>
    <s v="Huye"/>
    <s v="Ngoma"/>
    <s v="NAKN_1"/>
    <s v="Giswi/Agatobwe Sub-Catchment"/>
    <n v="3153.6000000000004"/>
  </r>
  <r>
    <x v="3"/>
    <s v="BUSENYI"/>
    <s v="Public"/>
    <x v="0"/>
    <s v="Huye"/>
    <s v="Ngoma"/>
    <s v="NAKN_1"/>
    <s v="Giswi/Agatobwe Sub-Catchment"/>
    <n v="3784.32"/>
  </r>
  <r>
    <x v="3"/>
    <s v="RWABAYANGA"/>
    <s v="Public"/>
    <x v="0"/>
    <s v="Huye"/>
    <s v="Ngoma"/>
    <s v="NAKN_1"/>
    <s v="Giswi/Agatobwe Sub-Catchment"/>
    <n v="28382.400000000001"/>
  </r>
  <r>
    <x v="3"/>
    <s v="NYABITARE"/>
    <s v="Public"/>
    <x v="0"/>
    <s v="Huye"/>
    <s v="Ngoma"/>
    <s v="NAKN_1"/>
    <s v="Giswi/Agatobwe Sub-Catchment"/>
    <n v="4730.4000000000005"/>
  </r>
  <r>
    <x v="3"/>
    <s v="RUGARA"/>
    <s v="Public"/>
    <x v="0"/>
    <s v="Huye"/>
    <s v="Ngoma"/>
    <s v="NAKN_1"/>
    <s v="Giswi/Agatobwe Sub-Catchment"/>
    <n v="3153.6000000000004"/>
  </r>
  <r>
    <x v="3"/>
    <s v="MUKELI"/>
    <s v="Public"/>
    <x v="0"/>
    <s v="Nyaruguru"/>
    <s v="Ngoma"/>
    <s v="NAKN_1"/>
    <s v="Giswi/Agatobwe Sub-Catchment"/>
    <n v="946.08"/>
  </r>
  <r>
    <x v="3"/>
    <s v="RUVUZO"/>
    <s v="Public"/>
    <x v="0"/>
    <s v="Huye"/>
    <s v="Ngoma"/>
    <s v="NAKN_1"/>
    <s v="Giswi/Agatobwe Sub-Catchment"/>
    <n v="2207.5200000000004"/>
  </r>
  <r>
    <x v="3"/>
    <s v="BWOSANA"/>
    <s v="Public"/>
    <x v="0"/>
    <s v="Huye"/>
    <s v="Ngoma"/>
    <s v="NAKN_1"/>
    <s v="Giswi/Agatobwe Sub-Catchment"/>
    <n v="2207.5200000000004"/>
  </r>
  <r>
    <x v="3"/>
    <s v="KIGOGO"/>
    <s v="Public"/>
    <x v="0"/>
    <s v="Nyaruguru"/>
    <s v="Ngoma"/>
    <s v="NAKN_1"/>
    <s v="Giswi/Agatobwe Sub-Catchment"/>
    <n v="1103.7600000000002"/>
  </r>
  <r>
    <x v="3"/>
    <s v="KAZABAGARURA"/>
    <s v="Public"/>
    <x v="0"/>
    <s v="Nyaruguru"/>
    <s v="Ngoma"/>
    <s v="NAKN_1"/>
    <s v="Giswi/Agatobwe Sub-Catchment"/>
    <n v="630.72"/>
  </r>
  <r>
    <x v="3"/>
    <s v="MIGOMBERO"/>
    <s v="Public"/>
    <x v="0"/>
    <s v="Nyaruguru"/>
    <s v="Ngoma"/>
    <s v="NAKN_1"/>
    <s v="Giswi/Agatobwe Sub-Catchment"/>
    <n v="1103.7600000000002"/>
  </r>
  <r>
    <x v="3"/>
    <s v="NYAKAGEZI"/>
    <s v="Public"/>
    <x v="0"/>
    <s v="Huye"/>
    <s v="Ngoma"/>
    <s v="NAKN_1"/>
    <s v="Giswi/Agatobwe Sub-Catchment"/>
    <n v="3153.6000000000004"/>
  </r>
  <r>
    <x v="3"/>
    <s v="GASEKE"/>
    <s v="Public"/>
    <x v="0"/>
    <s v="Huye"/>
    <s v="Ngoma"/>
    <s v="NAKN_1"/>
    <s v="Giswi/Agatobwe Sub-Catchment"/>
    <n v="3153.6000000000004"/>
  </r>
  <r>
    <x v="3"/>
    <s v="KATOKI"/>
    <s v="Public"/>
    <x v="0"/>
    <s v="Huye"/>
    <s v="Ngoma"/>
    <s v="NAKN_1"/>
    <s v="Giswi/Agatobwe Sub-Catchment"/>
    <n v="2522.88"/>
  </r>
  <r>
    <x v="3"/>
    <s v="BYIMANA"/>
    <s v="Public"/>
    <x v="0"/>
    <s v="Huye"/>
    <s v="Ngoma"/>
    <s v="NAKN_1"/>
    <s v="Giswi/Agatobwe Sub-Catchment"/>
    <n v="9460.8000000000011"/>
  </r>
  <r>
    <x v="3"/>
    <s v="KWADESURAYI"/>
    <s v="Public"/>
    <x v="0"/>
    <s v="Nyaruguru"/>
    <s v="Ngoma"/>
    <s v="NAKN_1"/>
    <s v="Giswi/Agatobwe Sub-Catchment"/>
    <n v="788.40000000000009"/>
  </r>
  <r>
    <x v="3"/>
    <s v="GITOGOTA"/>
    <s v="Public"/>
    <x v="0"/>
    <s v="Nyaruguru"/>
    <s v="Ngoma"/>
    <s v="NAKN_1"/>
    <s v="Giswi/Agatobwe Sub-Catchment"/>
    <n v="2365.2000000000003"/>
  </r>
  <r>
    <x v="3"/>
    <s v="MASHYOZA"/>
    <s v="Public"/>
    <x v="0"/>
    <s v="Nyaruguru"/>
    <s v="Ngoma"/>
    <s v="NAKN_1"/>
    <s v="Giswi/Agatobwe Sub-Catchment"/>
    <n v="2365.2000000000003"/>
  </r>
  <r>
    <x v="3"/>
    <s v="NYAMUTUKURA"/>
    <s v="Public"/>
    <x v="0"/>
    <s v="Nyaruguru"/>
    <s v="Ngoma"/>
    <s v="NAKN_1"/>
    <s v="Giswi/Agatobwe Sub-Catchment"/>
    <n v="3468.9600000000005"/>
  </r>
  <r>
    <x v="3"/>
    <s v="NYIRANDIRIMO"/>
    <s v="Public"/>
    <x v="0"/>
    <s v="Nyaruguru"/>
    <s v="Ngoma"/>
    <s v="NAKN_1"/>
    <s v="Giswi/Agatobwe Sub-Catchment"/>
    <n v="1261.44"/>
  </r>
  <r>
    <x v="3"/>
    <s v="BISAKA"/>
    <s v="Public"/>
    <x v="0"/>
    <s v="Nyaruguru"/>
    <s v="Ngoma"/>
    <s v="NAKN_1"/>
    <s v="Giswi/Agatobwe Sub-Catchment"/>
    <n v="1892.16"/>
  </r>
  <r>
    <x v="3"/>
    <s v="RWAKAJISHO"/>
    <s v="Public"/>
    <x v="0"/>
    <s v="Nyaruguru"/>
    <s v="Ngoma"/>
    <s v="NAKN_1"/>
    <s v="Giswi/Agatobwe Sub-Catchment"/>
    <n v="2049.84"/>
  </r>
  <r>
    <x v="3"/>
    <s v="RWANYAMUGI"/>
    <s v="Public"/>
    <x v="0"/>
    <s v="Nyaruguru"/>
    <s v="Ngoma"/>
    <s v="NAKN_1"/>
    <s v="Giswi/Agatobwe Sub-Catchment"/>
    <n v="1892.16"/>
  </r>
  <r>
    <x v="3"/>
    <s v="RUVUGANGOMA"/>
    <s v="Public"/>
    <x v="0"/>
    <s v="Nyaruguru"/>
    <s v="Ngoma"/>
    <s v="NAKN_1"/>
    <s v="Giswi/Agatobwe Sub-Catchment"/>
    <n v="1892.16"/>
  </r>
  <r>
    <x v="3"/>
    <s v="BYIMANA"/>
    <s v="Public"/>
    <x v="0"/>
    <s v="Nyaruguru"/>
    <s v="Ngoma"/>
    <s v="NAKN_1"/>
    <s v="Giswi/Agatobwe Sub-Catchment"/>
    <n v="946.08"/>
  </r>
  <r>
    <x v="3"/>
    <s v="UWASENTETERI"/>
    <s v="Public"/>
    <x v="0"/>
    <s v="Nyaruguru"/>
    <s v="Ngoma"/>
    <s v="NAKN_1"/>
    <s v="Giswi/Agatobwe Sub-Catchment"/>
    <n v="1576.8000000000002"/>
  </r>
  <r>
    <x v="3"/>
    <s v="RUDABIDABI"/>
    <s v="Public"/>
    <x v="0"/>
    <s v="Nyaruguru"/>
    <s v="Ngoma"/>
    <s v="NAKN_1"/>
    <s v="Giswi/Agatobwe Sub-Catchment"/>
    <n v="1734.4800000000002"/>
  </r>
  <r>
    <x v="3"/>
    <s v="GASIRIBO"/>
    <s v="Public"/>
    <x v="0"/>
    <s v="Nyaruguru"/>
    <s v="Ngoma"/>
    <s v="NAKN_1"/>
    <s v="Giswi/Agatobwe Sub-Catchment"/>
    <n v="2995.92"/>
  </r>
  <r>
    <x v="3"/>
    <s v="RWANYIRANTEBE"/>
    <s v="Public"/>
    <x v="0"/>
    <s v="Nyaruguru"/>
    <s v="Ngoma"/>
    <s v="NAKN_1"/>
    <s v="Giswi/Agatobwe Sub-Catchment"/>
    <n v="1576.8000000000002"/>
  </r>
  <r>
    <x v="3"/>
    <s v="UWABIZURU"/>
    <s v="Public"/>
    <x v="0"/>
    <s v="Nyaruguru"/>
    <s v="Ngoma"/>
    <s v="NAKN_1"/>
    <s v="Giswi/Agatobwe Sub-Catchment"/>
    <n v="946.08"/>
  </r>
  <r>
    <x v="3"/>
    <s v="MIGINA"/>
    <s v="Public"/>
    <x v="0"/>
    <s v="Nyaruguru"/>
    <s v="Ngoma"/>
    <s v="NAKN_1"/>
    <s v="Giswi/Agatobwe Sub-Catchment"/>
    <n v="2838.24"/>
  </r>
  <r>
    <x v="3"/>
    <s v="GATARE"/>
    <s v="Public"/>
    <x v="0"/>
    <s v="Nyaruguru"/>
    <s v="Ngoma"/>
    <s v="NAKN_1"/>
    <s v="Giswi/Agatobwe Sub-Catchment"/>
    <n v="2207.5200000000004"/>
  </r>
  <r>
    <x v="3"/>
    <s v="KAMATI"/>
    <s v="Public"/>
    <x v="0"/>
    <s v="Nyaruguru"/>
    <s v="Ngoma"/>
    <s v="NAKN_1"/>
    <s v="Giswi/Agatobwe Sub-Catchment"/>
    <n v="2365.2000000000003"/>
  </r>
  <r>
    <x v="3"/>
    <s v="MUGIPFUNA"/>
    <s v="Public"/>
    <x v="0"/>
    <s v="Nyaruguru"/>
    <s v="Ngoma"/>
    <s v="NAKN_1"/>
    <s v="Giswi/Agatobwe Sub-Catchment"/>
    <n v="1261.44"/>
  </r>
  <r>
    <x v="3"/>
    <s v="MURWIZA"/>
    <s v="Public"/>
    <x v="0"/>
    <s v="Nyaruguru"/>
    <s v="Ngoma"/>
    <s v="NAKN_1"/>
    <s v="Giswi/Agatobwe Sub-Catchment"/>
    <n v="1892.16"/>
  </r>
  <r>
    <x v="3"/>
    <s v="KABINGO"/>
    <s v="Public"/>
    <x v="0"/>
    <s v="Nyaruguru"/>
    <s v="Ngoma"/>
    <s v="NAKN_1"/>
    <s v="Giswi/Agatobwe Sub-Catchment"/>
    <n v="946.08"/>
  </r>
  <r>
    <x v="3"/>
    <s v="NYIRABISHAGA I"/>
    <s v="Public"/>
    <x v="0"/>
    <s v="Nyaruguru"/>
    <s v="Ngoma"/>
    <s v="NAKN_1"/>
    <s v="Giswi/Agatobwe Sub-Catchment"/>
    <n v="946.08"/>
  </r>
  <r>
    <x v="3"/>
    <s v="BUSHYONDORI"/>
    <s v="Public"/>
    <x v="0"/>
    <s v="Nyaruguru"/>
    <s v="Ngoma"/>
    <s v="NAKN_1"/>
    <s v="Giswi/Agatobwe Sub-Catchment"/>
    <n v="473.04"/>
  </r>
  <r>
    <x v="3"/>
    <s v="RUDAHEMUKA"/>
    <s v="Public"/>
    <x v="0"/>
    <s v="Nyaruguru"/>
    <s v="Ngoma"/>
    <s v="NAKN_1"/>
    <s v="Giswi/Agatobwe Sub-Catchment"/>
    <n v="473.04"/>
  </r>
  <r>
    <x v="3"/>
    <s v="NYABIHANGA"/>
    <s v="Public"/>
    <x v="0"/>
    <s v="Nyaruguru"/>
    <s v="Ngoma"/>
    <s v="NAKN_1"/>
    <s v="Giswi/Agatobwe Sub-Catchment"/>
    <n v="473.04"/>
  </r>
  <r>
    <x v="3"/>
    <s v="RUZIBAZIBA"/>
    <s v="Public"/>
    <x v="0"/>
    <s v="Nyaruguru"/>
    <s v="Ngoma"/>
    <s v="NAKN_1"/>
    <s v="Giswi/Agatobwe Sub-Catchment"/>
    <n v="2365.2000000000003"/>
  </r>
  <r>
    <x v="3"/>
    <s v="RWATSIMBURA"/>
    <s v="Public"/>
    <x v="0"/>
    <s v="Nyaruguru"/>
    <s v="Ngoma"/>
    <s v="NAKN_1"/>
    <s v="Giswi/Agatobwe Sub-Catchment"/>
    <n v="157.68"/>
  </r>
  <r>
    <x v="3"/>
    <s v="RWAGASAGARA"/>
    <s v="Public"/>
    <x v="0"/>
    <s v="Nyaruguru"/>
    <s v="Ngoma"/>
    <s v="NAKN_1"/>
    <s v="Giswi/Agatobwe Sub-Catchment"/>
    <n v="1892.16"/>
  </r>
  <r>
    <x v="3"/>
    <s v="NYIRABAGIRISHYA II"/>
    <s v="Public"/>
    <x v="0"/>
    <s v="Nyaruguru"/>
    <s v="Ngoma"/>
    <s v="NAKN_1"/>
    <s v="Giswi/Agatobwe Sub-Catchment"/>
    <n v="630.72"/>
  </r>
  <r>
    <x v="3"/>
    <s v="RWASEGICOBOGO"/>
    <s v="Public"/>
    <x v="0"/>
    <s v="Nyaruguru"/>
    <s v="Ngoma"/>
    <s v="NAKN_1"/>
    <s v="Giswi/Agatobwe Sub-Catchment"/>
    <n v="473.04"/>
  </r>
  <r>
    <x v="3"/>
    <s v="RUHUTA"/>
    <s v="Public"/>
    <x v="0"/>
    <s v="Nyaruguru"/>
    <s v="Ngoma"/>
    <s v="NAKN_1"/>
    <s v="Giswi/Agatobwe Sub-Catchment"/>
    <n v="1734.4800000000002"/>
  </r>
  <r>
    <x v="3"/>
    <s v="KAJORORO"/>
    <s v="Public"/>
    <x v="0"/>
    <s v="Nyaruguru"/>
    <s v="Ngoma"/>
    <s v="NAKN_1"/>
    <s v="Giswi/Agatobwe Sub-Catchment"/>
    <n v="946.08"/>
  </r>
  <r>
    <x v="3"/>
    <s v="MBURAMAZI"/>
    <s v="Public"/>
    <x v="0"/>
    <s v="Nyaruguru"/>
    <s v="Ngoma"/>
    <s v="NAKN_1"/>
    <s v="Giswi/Agatobwe Sub-Catchment"/>
    <n v="788.40000000000009"/>
  </r>
  <r>
    <x v="3"/>
    <s v="RUZIBAZIBA"/>
    <s v="Public"/>
    <x v="0"/>
    <s v="Nyaruguru"/>
    <s v="Ngoma"/>
    <s v="NAKN_1"/>
    <s v="Giswi/Agatobwe Sub-Catchment"/>
    <n v="315.36"/>
  </r>
  <r>
    <x v="3"/>
    <s v="RUZIBAZIBA"/>
    <s v="Public"/>
    <x v="0"/>
    <s v="Nyaruguru"/>
    <s v="Ngoma"/>
    <s v="NAKN_1"/>
    <s v="Giswi/Agatobwe Sub-Catchment"/>
    <n v="1576.8000000000002"/>
  </r>
  <r>
    <x v="3"/>
    <s v="BIMERA"/>
    <s v="Public"/>
    <x v="0"/>
    <s v="Nyaruguru"/>
    <s v="Ngoma"/>
    <s v="NAKN_1"/>
    <s v="Giswi/Agatobwe Sub-Catchment"/>
    <n v="946.08"/>
  </r>
  <r>
    <x v="3"/>
    <s v="GASEKE"/>
    <s v="Public"/>
    <x v="0"/>
    <s v="Nyaruguru"/>
    <s v="Ngoma"/>
    <s v="NAKN_1"/>
    <s v="Giswi/Agatobwe Sub-Catchment"/>
    <n v="1734.4800000000002"/>
  </r>
  <r>
    <x v="3"/>
    <s v="GASEKE"/>
    <s v="Public"/>
    <x v="0"/>
    <s v="Nyaruguru"/>
    <s v="Ngoma"/>
    <s v="NAKN_1"/>
    <s v="Giswi/Agatobwe Sub-Catchment"/>
    <n v="473.04"/>
  </r>
  <r>
    <x v="3"/>
    <s v="NYARWUFI"/>
    <s v="Public"/>
    <x v="0"/>
    <s v="Nyaruguru"/>
    <s v="Ngoma"/>
    <s v="NAKN_1"/>
    <s v="Giswi/Agatobwe Sub-Catchment"/>
    <n v="1103.7600000000002"/>
  </r>
  <r>
    <x v="3"/>
    <s v="KABONOBONO"/>
    <s v="Public"/>
    <x v="0"/>
    <s v="Nyaruguru"/>
    <s v="Ngoma"/>
    <s v="NAKN_1"/>
    <s v="Giswi/Agatobwe Sub-Catchment"/>
    <n v="946.08"/>
  </r>
  <r>
    <x v="3"/>
    <s v="NKOMBE"/>
    <s v="Public"/>
    <x v="0"/>
    <s v="Nyaruguru"/>
    <s v="Ngoma"/>
    <s v="NAKN_1"/>
    <s v="Giswi/Agatobwe Sub-Catchment"/>
    <n v="473.04"/>
  </r>
  <r>
    <x v="3"/>
    <s v="MANGA"/>
    <s v="Public"/>
    <x v="0"/>
    <s v="Nyaruguru"/>
    <s v="Ngoma"/>
    <s v="NAKN_1"/>
    <s v="Giswi/Agatobwe Sub-Catchment"/>
    <n v="3153.6000000000004"/>
  </r>
  <r>
    <x v="3"/>
    <s v="RWASULI"/>
    <s v="Public"/>
    <x v="0"/>
    <s v="Nyaruguru"/>
    <s v="Ngoma"/>
    <s v="NAKN_1"/>
    <s v="Giswi/Agatobwe Sub-Catchment"/>
    <n v="157.68"/>
  </r>
  <r>
    <x v="3"/>
    <s v="RUSULI I"/>
    <s v="Public"/>
    <x v="0"/>
    <s v="Nyaruguru"/>
    <s v="Ngoma"/>
    <s v="NAKN_1"/>
    <s v="Giswi/Agatobwe Sub-Catchment"/>
    <n v="0"/>
  </r>
  <r>
    <x v="3"/>
    <s v="RWASULI 2"/>
    <s v="Public"/>
    <x v="0"/>
    <s v="Nyaruguru"/>
    <s v="Ngoma"/>
    <s v="NAKN_1"/>
    <s v="Giswi/Agatobwe Sub-Catchment"/>
    <n v="2049.84"/>
  </r>
  <r>
    <x v="3"/>
    <s v="NYABAZIMU"/>
    <s v="Public"/>
    <x v="0"/>
    <s v="Nyaruguru"/>
    <s v="Ngoma"/>
    <s v="NAKN_1"/>
    <s v="Giswi/Agatobwe Sub-Catchment"/>
    <n v="630.72"/>
  </r>
  <r>
    <x v="3"/>
    <s v="GATOKI"/>
    <s v="Public"/>
    <x v="0"/>
    <s v="Nyaruguru"/>
    <s v="Ngoma"/>
    <s v="NAKN_1"/>
    <s v="Giswi/Agatobwe Sub-Catchment"/>
    <n v="946.08"/>
  </r>
  <r>
    <x v="3"/>
    <s v="RWAGATARE"/>
    <s v="Public"/>
    <x v="0"/>
    <s v="Nyaruguru"/>
    <s v="Ngoma"/>
    <s v="NAKN_1"/>
    <s v="Giswi/Agatobwe Sub-Catchment"/>
    <n v="630.72"/>
  </r>
  <r>
    <x v="3"/>
    <s v="CYAMALINYU"/>
    <s v="Public"/>
    <x v="0"/>
    <s v="Nyaruguru"/>
    <s v="Ngoma"/>
    <s v="NAKN_1"/>
    <s v="Giswi/Agatobwe Sub-Catchment"/>
    <n v="3942.0000000000005"/>
  </r>
  <r>
    <x v="3"/>
    <s v="RWAMUGANDA"/>
    <s v="Public"/>
    <x v="0"/>
    <s v="Nyaruguru"/>
    <s v="Ngoma"/>
    <s v="NAKN_1"/>
    <s v="Giswi/Agatobwe Sub-Catchment"/>
    <n v="1419.12"/>
  </r>
  <r>
    <x v="3"/>
    <s v="KINIKOII"/>
    <s v="Public"/>
    <x v="0"/>
    <s v="Nyaruguru"/>
    <s v="Ngoma"/>
    <s v="NAKN_1"/>
    <s v="Giswi/Agatobwe Sub-Catchment"/>
    <n v="1261.44"/>
  </r>
  <r>
    <x v="3"/>
    <s v="RWABIZUMWAMI"/>
    <s v="Public"/>
    <x v="0"/>
    <s v="Nyaruguru"/>
    <s v="Ngoma"/>
    <s v="NAKN_1"/>
    <s v="Giswi/Agatobwe Sub-Catchment"/>
    <n v="315.36"/>
  </r>
  <r>
    <x v="3"/>
    <s v="RWAMBOGO"/>
    <s v="Public"/>
    <x v="0"/>
    <s v="Nyaruguru"/>
    <s v="Ngoma"/>
    <s v="NAKN_1"/>
    <s v="Giswi/Agatobwe Sub-Catchment"/>
    <n v="315.36"/>
  </r>
  <r>
    <x v="3"/>
    <s v="KINIKO I"/>
    <s v="Public"/>
    <x v="0"/>
    <s v="Nyaruguru"/>
    <s v="Ngoma"/>
    <s v="NAKN_1"/>
    <s v="Giswi/Agatobwe Sub-Catchment"/>
    <n v="1892.16"/>
  </r>
  <r>
    <x v="3"/>
    <s v="URUBANGA"/>
    <s v="Public"/>
    <x v="0"/>
    <s v="Nyaruguru"/>
    <s v="Ngoma"/>
    <s v="NAKN_1"/>
    <s v="Giswi/Agatobwe Sub-Catchment"/>
    <n v="946.08"/>
  </r>
  <r>
    <x v="3"/>
    <s v="RWAGITONGERERO"/>
    <s v="Public"/>
    <x v="0"/>
    <s v="Nyaruguru"/>
    <s v="Ngoma"/>
    <s v="NAKN_1"/>
    <s v="Giswi/Agatobwe Sub-Catchment"/>
    <n v="1419.12"/>
  </r>
  <r>
    <x v="3"/>
    <s v="RWAMUNYANGE"/>
    <s v="Public"/>
    <x v="0"/>
    <s v="Nyaruguru"/>
    <s v="Ngoma"/>
    <s v="NAKN_1"/>
    <s v="Giswi/Agatobwe Sub-Catchment"/>
    <n v="788.40000000000009"/>
  </r>
  <r>
    <x v="3"/>
    <s v="RUVUBU"/>
    <s v="Public"/>
    <x v="0"/>
    <s v="Nyaruguru"/>
    <s v="Ngoma"/>
    <s v="NAKN_1"/>
    <s v="Giswi/Agatobwe Sub-Catchment"/>
    <n v="2049.84"/>
  </r>
  <r>
    <x v="3"/>
    <s v="RUHARAMAGARA"/>
    <s v="Public"/>
    <x v="0"/>
    <s v="Nyaruguru"/>
    <s v="Ngoma"/>
    <s v="NAKN_1"/>
    <s v="Giswi/Agatobwe Sub-Catchment"/>
    <n v="630.72"/>
  </r>
  <r>
    <x v="3"/>
    <s v="KURUKURAZO"/>
    <s v="Public"/>
    <x v="0"/>
    <s v="Nyaruguru"/>
    <s v="Ngoma"/>
    <s v="NAKN_1"/>
    <s v="Giswi/Agatobwe Sub-Catchment"/>
    <n v="788.40000000000009"/>
  </r>
  <r>
    <x v="3"/>
    <s v="RWAKIGERI"/>
    <s v="Public"/>
    <x v="0"/>
    <s v="Nyaruguru"/>
    <s v="Ngoma"/>
    <s v="NAKN_1"/>
    <s v="Giswi/Agatobwe Sub-Catchment"/>
    <n v="1419.12"/>
  </r>
  <r>
    <x v="3"/>
    <s v="NYAMATA"/>
    <s v="Public"/>
    <x v="0"/>
    <s v="Nyaruguru"/>
    <s v="Ngoma"/>
    <s v="NAKN_1"/>
    <s v="Giswi/Agatobwe Sub-Catchment"/>
    <n v="2995.92"/>
  </r>
  <r>
    <x v="3"/>
    <s v="RUTAMBASHA"/>
    <s v="Public"/>
    <x v="0"/>
    <s v="Nyaruguru"/>
    <s v="Ngoma"/>
    <s v="NAKN_1"/>
    <s v="Giswi/Agatobwe Sub-Catchment"/>
    <n v="1261.44"/>
  </r>
  <r>
    <x v="3"/>
    <s v="MAYEZI"/>
    <s v="Public"/>
    <x v="0"/>
    <s v="Nyaruguru"/>
    <s v="Ngoma"/>
    <s v="NAKN_1"/>
    <s v="Giswi/Agatobwe Sub-Catchment"/>
    <n v="3311.2799999999997"/>
  </r>
  <r>
    <x v="3"/>
    <s v="NYIRAFUKU"/>
    <s v="Public"/>
    <x v="0"/>
    <s v="Nyaruguru"/>
    <s v="Ngoma"/>
    <s v="NAKN_1"/>
    <s v="Giswi/Agatobwe Sub-Catchment"/>
    <n v="1261.44"/>
  </r>
  <r>
    <x v="3"/>
    <s v="RWAVUNABO"/>
    <s v="Public"/>
    <x v="0"/>
    <s v="Nyaruguru"/>
    <s v="Ngoma"/>
    <s v="NAKN_1"/>
    <s v="Giswi/Agatobwe Sub-Catchment"/>
    <n v="1892.16"/>
  </r>
  <r>
    <x v="3"/>
    <s v="KANYEGE"/>
    <s v="Public"/>
    <x v="0"/>
    <s v="Nyaruguru"/>
    <s v="Ngoma"/>
    <s v="NAKN_1"/>
    <s v="Giswi/Agatobwe Sub-Catchment"/>
    <n v="1419.12"/>
  </r>
  <r>
    <x v="3"/>
    <s v="RWAKAYANGE"/>
    <s v="Public"/>
    <x v="0"/>
    <s v="Nyaruguru"/>
    <s v="Ngoma"/>
    <s v="NAKN_1"/>
    <s v="Giswi/Agatobwe Sub-Catchment"/>
    <n v="1892.16"/>
  </r>
  <r>
    <x v="3"/>
    <s v="KARESHYA"/>
    <s v="Public"/>
    <x v="0"/>
    <s v="Nyaruguru"/>
    <s v="Ngoma"/>
    <s v="NAKN_1"/>
    <s v="Giswi/Agatobwe Sub-Catchment"/>
    <n v="2838.24"/>
  </r>
  <r>
    <x v="3"/>
    <s v="KAVIKO"/>
    <s v="Public"/>
    <x v="0"/>
    <s v="Nyaruguru"/>
    <s v="Ngoma"/>
    <s v="NAKN_1"/>
    <s v="Giswi/Agatobwe Sub-Catchment"/>
    <n v="2522.88"/>
  </r>
  <r>
    <x v="3"/>
    <s v="RWABISHARA"/>
    <s v="Public"/>
    <x v="0"/>
    <s v="Nyaruguru"/>
    <s v="Ngoma"/>
    <s v="NAKN_1"/>
    <s v="Giswi/Agatobwe Sub-Catchment"/>
    <n v="1103.7600000000002"/>
  </r>
  <r>
    <x v="3"/>
    <s v="NKOMANE"/>
    <s v="Public"/>
    <x v="0"/>
    <s v="Nyaruguru"/>
    <s v="Ngoma"/>
    <s v="NAKN_1"/>
    <s v="Giswi/Agatobwe Sub-Catchment"/>
    <n v="4099.68"/>
  </r>
  <r>
    <x v="3"/>
    <s v="KABUBURU"/>
    <s v="Public"/>
    <x v="0"/>
    <s v="Nyaruguru"/>
    <s v="Ngoma"/>
    <s v="NAKN_1"/>
    <s v="Giswi/Agatobwe Sub-Catchment"/>
    <n v="2207.5200000000004"/>
  </r>
  <r>
    <x v="3"/>
    <s v="KICOMA"/>
    <s v="Public"/>
    <x v="0"/>
    <s v="Nyaruguru"/>
    <s v="Ngoma"/>
    <s v="NAKN_1"/>
    <s v="Giswi/Agatobwe Sub-Catchment"/>
    <n v="1261.44"/>
  </r>
  <r>
    <x v="3"/>
    <s v="KU NKOMBE"/>
    <s v="Public"/>
    <x v="0"/>
    <s v="Nyaruguru"/>
    <s v="Ngoma"/>
    <s v="NAKN_1"/>
    <s v="Giswi/Agatobwe Sub-Catchment"/>
    <n v="315.36"/>
  </r>
  <r>
    <x v="3"/>
    <s v="RWANYAMANSWA"/>
    <s v="Public"/>
    <x v="0"/>
    <s v="Nyaruguru"/>
    <s v="Ngoma"/>
    <s v="NAKN_1"/>
    <s v="Giswi/Agatobwe Sub-Catchment"/>
    <n v="1103.7600000000002"/>
  </r>
  <r>
    <x v="3"/>
    <s v="NYAMIHENO"/>
    <s v="Public"/>
    <x v="0"/>
    <s v="Nyaruguru"/>
    <s v="Ngoma"/>
    <s v="NAKN_1"/>
    <s v="Giswi/Agatobwe Sub-Catchment"/>
    <n v="157.68"/>
  </r>
  <r>
    <x v="3"/>
    <s v="RWANDIBAHUMWE"/>
    <s v="Public"/>
    <x v="0"/>
    <s v="Nyaruguru"/>
    <s v="Nyabimata"/>
    <s v="NAKN_1"/>
    <s v="Giswi/Agatobwe Sub-Catchment"/>
    <n v="0"/>
  </r>
  <r>
    <x v="3"/>
    <s v="RWARUNYETI"/>
    <s v="Public"/>
    <x v="0"/>
    <s v="Nyaruguru"/>
    <s v="Nyabimata"/>
    <s v="NAKN_1"/>
    <s v="Giswi/Agatobwe Sub-Catchment"/>
    <n v="6307.2000000000007"/>
  </r>
  <r>
    <x v="3"/>
    <s v="RUTENGA 2"/>
    <s v="Public"/>
    <x v="0"/>
    <s v="Nyaruguru"/>
    <s v="Nyabimata"/>
    <s v="NAKN_1"/>
    <s v="Giswi/Agatobwe Sub-Catchment"/>
    <n v="4572.72"/>
  </r>
  <r>
    <x v="3"/>
    <s v="MURITEMA"/>
    <s v="Public"/>
    <x v="0"/>
    <s v="Nyaruguru"/>
    <s v="Nyabimata"/>
    <s v="NAKN_1"/>
    <s v="Giswi/Agatobwe Sub-Catchment"/>
    <n v="10091.52"/>
  </r>
  <r>
    <x v="3"/>
    <s v="RWAMURAHANYI"/>
    <s v="Public"/>
    <x v="0"/>
    <s v="Nyaruguru"/>
    <s v="Nyabimata"/>
    <s v="NAKN_1"/>
    <s v="Giswi/Agatobwe Sub-Catchment"/>
    <n v="11195.28"/>
  </r>
  <r>
    <x v="3"/>
    <s v="RWABUJORO I"/>
    <s v="Public"/>
    <x v="0"/>
    <s v="Nyaruguru"/>
    <s v="Nyabimata"/>
    <s v="NAKN_1"/>
    <s v="Giswi/Agatobwe Sub-Catchment"/>
    <n v="5991.84"/>
  </r>
  <r>
    <x v="3"/>
    <s v="RWABUJORO II"/>
    <s v="Public"/>
    <x v="0"/>
    <s v="Nyaruguru"/>
    <s v="Nyabimata"/>
    <s v="NAKN_1"/>
    <s v="Giswi/Agatobwe Sub-Catchment"/>
    <n v="13087.44"/>
  </r>
  <r>
    <x v="3"/>
    <s v="NGARAMA"/>
    <s v="Public"/>
    <x v="0"/>
    <s v="Nyaruguru"/>
    <s v="Nyabimata"/>
    <s v="NAKN_1"/>
    <s v="Giswi/Agatobwe Sub-Catchment"/>
    <n v="8199.36"/>
  </r>
  <r>
    <x v="3"/>
    <s v="RUTENGA I"/>
    <s v="Public"/>
    <x v="0"/>
    <s v="Nyaruguru"/>
    <s v="Nyabimata"/>
    <s v="NAKN_1"/>
    <s v="Giswi/Agatobwe Sub-Catchment"/>
    <n v="14191.2"/>
  </r>
  <r>
    <x v="3"/>
    <s v="MUBATEGURA"/>
    <s v="Public"/>
    <x v="0"/>
    <s v="Nyaruguru"/>
    <s v="Nyabimata"/>
    <s v="NAKN_1"/>
    <s v="Giswi/Agatobwe Sub-Catchment"/>
    <n v="16398.72"/>
  </r>
  <r>
    <x v="3"/>
    <s v="KWATEGERA"/>
    <s v="Public"/>
    <x v="0"/>
    <s v="Nyaruguru"/>
    <s v="Nyabimata"/>
    <s v="NAKN_1"/>
    <s v="Giswi/Agatobwe Sub-Catchment"/>
    <n v="20498.399999999998"/>
  </r>
  <r>
    <x v="3"/>
    <s v="KWA FILIPO"/>
    <s v="Public"/>
    <x v="0"/>
    <s v="Nyaruguru"/>
    <s v="Nyabimata"/>
    <s v="NAKN_1"/>
    <s v="Giswi/Agatobwe Sub-Catchment"/>
    <n v="15137.28"/>
  </r>
  <r>
    <x v="3"/>
    <s v="MUCYABIRIMIRO"/>
    <s v="Public"/>
    <x v="0"/>
    <s v="Nyaruguru"/>
    <s v="Nyabimata"/>
    <s v="NAKN_1"/>
    <s v="Giswi/Agatobwe Sub-Catchment"/>
    <n v="5203.4400000000005"/>
  </r>
  <r>
    <x v="3"/>
    <s v="KIGENDE"/>
    <s v="Public"/>
    <x v="0"/>
    <s v="Nyaruguru"/>
    <s v="Nyabimata"/>
    <s v="NAKN_1"/>
    <s v="Giswi/Agatobwe Sub-Catchment"/>
    <n v="473.04"/>
  </r>
  <r>
    <x v="3"/>
    <s v="MPINGA"/>
    <s v="Public"/>
    <x v="0"/>
    <s v="Nyaruguru"/>
    <s v="Nyabimata"/>
    <s v="NAKN_1"/>
    <s v="Giswi/Agatobwe Sub-Catchment"/>
    <n v="18290.88"/>
  </r>
  <r>
    <x v="3"/>
    <s v="NYIRAKAGANO"/>
    <s v="Public"/>
    <x v="0"/>
    <s v="Nyaruguru"/>
    <s v="Nyabimata"/>
    <s v="NAKN_1"/>
    <s v="Giswi/Agatobwe Sub-Catchment"/>
    <n v="6622.5599999999995"/>
  </r>
  <r>
    <x v="3"/>
    <s v="MUGOMERO"/>
    <s v="Public"/>
    <x v="0"/>
    <s v="Nyaruguru"/>
    <s v="Nyabimata"/>
    <s v="NAKN_1"/>
    <s v="Giswi/Agatobwe Sub-Catchment"/>
    <n v="5045.76"/>
  </r>
  <r>
    <x v="3"/>
    <s v="KAGANO"/>
    <s v="Public"/>
    <x v="0"/>
    <s v="Nyaruguru"/>
    <s v="Nyabimata"/>
    <s v="NAKN_1"/>
    <s v="Giswi/Agatobwe Sub-Catchment"/>
    <n v="10722.24"/>
  </r>
  <r>
    <x v="3"/>
    <s v="MUMATABA"/>
    <s v="Public"/>
    <x v="0"/>
    <s v="Nyaruguru"/>
    <s v="Nyabimata"/>
    <s v="NAKN_1"/>
    <s v="Giswi/Agatobwe Sub-Catchment"/>
    <n v="39420"/>
  </r>
  <r>
    <x v="3"/>
    <s v="KUNKAMBI"/>
    <s v="Public"/>
    <x v="0"/>
    <s v="Nyaruguru"/>
    <s v="Nyabimata"/>
    <s v="NAKN_1"/>
    <s v="Giswi/Agatobwe Sub-Catchment"/>
    <n v="2838.24"/>
  </r>
  <r>
    <x v="3"/>
    <s v="RUSAVE"/>
    <s v="Public"/>
    <x v="0"/>
    <s v="Nyaruguru"/>
    <s v="Nyagisozi"/>
    <s v="NAKN_1"/>
    <s v="Giswi/Agatobwe Sub-Catchment"/>
    <n v="2365.2000000000003"/>
  </r>
  <r>
    <x v="3"/>
    <s v="KAGENDE"/>
    <s v="Public"/>
    <x v="0"/>
    <s v="Nyaruguru"/>
    <s v="Nyagisozi"/>
    <s v="NAKN_1"/>
    <s v="Giswi/Agatobwe Sub-Catchment"/>
    <n v="962.0056800000001"/>
  </r>
  <r>
    <x v="3"/>
    <s v="MWUMBA"/>
    <s v="Public"/>
    <x v="0"/>
    <s v="Nyaruguru"/>
    <s v="Nyagisozi"/>
    <s v="NAKN_1"/>
    <s v="Giswi/Agatobwe Sub-Catchment"/>
    <n v="1277.2080000000001"/>
  </r>
  <r>
    <x v="3"/>
    <s v="RUKERI"/>
    <s v="Public"/>
    <x v="0"/>
    <s v="Nyaruguru"/>
    <s v="Nyagisozi"/>
    <s v="NAKN_1"/>
    <s v="Giswi/Agatobwe Sub-Catchment"/>
    <n v="804.16799999999989"/>
  </r>
  <r>
    <x v="3"/>
    <s v="CYAHAFI"/>
    <s v="Public"/>
    <x v="0"/>
    <s v="Nyaruguru"/>
    <s v="Nyagisozi"/>
    <s v="NAKN_1"/>
    <s v="Giswi/Agatobwe Sub-Catchment"/>
    <n v="8041.68"/>
  </r>
  <r>
    <x v="3"/>
    <s v="GASHYENZI"/>
    <s v="Public"/>
    <x v="0"/>
    <s v="Nyaruguru"/>
    <s v="Nyagisozi"/>
    <s v="NAKN_1"/>
    <s v="Giswi/Agatobwe Sub-Catchment"/>
    <n v="1277.2080000000001"/>
  </r>
  <r>
    <x v="3"/>
    <s v="GASHYARU/ROSI"/>
    <s v="Public"/>
    <x v="0"/>
    <s v="Nyaruguru"/>
    <s v="Nyagisozi"/>
    <s v="NAKN_1"/>
    <s v="Giswi/Agatobwe Sub-Catchment"/>
    <n v="525.07440000000008"/>
  </r>
  <r>
    <x v="3"/>
    <s v="KABANDE"/>
    <s v="Public"/>
    <x v="0"/>
    <s v="Nyaruguru"/>
    <s v="Nyagisozi"/>
    <s v="NAKN_1"/>
    <s v="Giswi/Agatobwe Sub-Catchment"/>
    <n v="2617.4880000000003"/>
  </r>
  <r>
    <x v="3"/>
    <s v="MWEZI"/>
    <s v="Public"/>
    <x v="0"/>
    <s v="Nyaruguru"/>
    <s v="Nyagisozi"/>
    <s v="NAKN_1"/>
    <s v="Giswi/Agatobwe Sub-Catchment"/>
    <n v="5250.7439999999997"/>
  </r>
  <r>
    <x v="3"/>
    <s v="NYAKABINGO"/>
    <s v="Public"/>
    <x v="0"/>
    <s v="Nyaruguru"/>
    <s v="Nyagisozi"/>
    <s v="NAKN_1"/>
    <s v="Giswi/Agatobwe Sub-Catchment"/>
    <n v="2232.7487999999998"/>
  </r>
  <r>
    <x v="3"/>
    <s v="RURANGAZI"/>
    <s v="Public"/>
    <x v="0"/>
    <s v="Nyaruguru"/>
    <s v="Nyagisozi"/>
    <s v="NAKN_1"/>
    <s v="Giswi/Agatobwe Sub-Catchment"/>
    <n v="8041.68"/>
  </r>
  <r>
    <x v="3"/>
    <s v="NYAKAGEZI 2"/>
    <s v="Public"/>
    <x v="0"/>
    <s v="Nyaruguru"/>
    <s v="Nyagisozi"/>
    <s v="NAKN_1"/>
    <s v="Giswi/Agatobwe Sub-Catchment"/>
    <n v="2617.4880000000003"/>
  </r>
  <r>
    <x v="3"/>
    <s v="NYAMUKO"/>
    <s v="Public"/>
    <x v="0"/>
    <s v="Nyaruguru"/>
    <s v="Nyagisozi"/>
    <s v="NAKN_1"/>
    <s v="Giswi/Agatobwe Sub-Catchment"/>
    <n v="2626.9488000000001"/>
  </r>
  <r>
    <x v="3"/>
    <s v="NYAKAGEZI"/>
    <s v="Public"/>
    <x v="0"/>
    <s v="Nyaruguru"/>
    <s v="Nyagisozi"/>
    <s v="NAKN_1"/>
    <s v="Giswi/Agatobwe Sub-Catchment"/>
    <n v="525.07440000000008"/>
  </r>
  <r>
    <x v="3"/>
    <s v="NYAKAGEZI"/>
    <s v="Public"/>
    <x v="0"/>
    <s v="Nyaruguru"/>
    <s v="Nyagisozi"/>
    <s v="NAKN_1"/>
    <s v="Giswi/Agatobwe Sub-Catchment"/>
    <n v="5250.7439999999997"/>
  </r>
  <r>
    <x v="3"/>
    <s v="AGAKOMBE"/>
    <s v="Public"/>
    <x v="0"/>
    <s v="Nyaruguru"/>
    <s v="Nyagisozi"/>
    <s v="NAKN_1"/>
    <s v="Giswi/Agatobwe Sub-Catchment"/>
    <n v="3153.6000000000004"/>
  </r>
  <r>
    <x v="3"/>
    <s v="KIGARAMA"/>
    <s v="Public"/>
    <x v="0"/>
    <s v="Nyaruguru"/>
    <s v="Nyagisozi"/>
    <s v="NAKN_1"/>
    <s v="Giswi/Agatobwe Sub-Catchment"/>
    <n v="473.04"/>
  </r>
  <r>
    <x v="3"/>
    <s v="RWAMVUYEKURE"/>
    <s v="Public"/>
    <x v="0"/>
    <s v="Nyaruguru"/>
    <s v="Nyagisozi"/>
    <s v="NAKN_1"/>
    <s v="Giswi/Agatobwe Sub-Catchment"/>
    <n v="1103.7600000000002"/>
  </r>
  <r>
    <x v="3"/>
    <s v="AGASENYI"/>
    <s v="Public"/>
    <x v="0"/>
    <s v="Nyaruguru"/>
    <s v="Nyagisozi"/>
    <s v="NAKN_1"/>
    <s v="Giswi/Agatobwe Sub-Catchment"/>
    <n v="788.40000000000009"/>
  </r>
  <r>
    <x v="3"/>
    <s v="RWAKAGENDE"/>
    <s v="Public"/>
    <x v="0"/>
    <s v="Nyaruguru"/>
    <s v="Nyagisozi"/>
    <s v="NAKN_1"/>
    <s v="Giswi/Agatobwe Sub-Catchment"/>
    <n v="315.36"/>
  </r>
  <r>
    <x v="3"/>
    <s v="ABADIRI"/>
    <s v="Public"/>
    <x v="0"/>
    <s v="Nyaruguru"/>
    <s v="Nyagisozi"/>
    <s v="NAKN_1"/>
    <s v="Giswi/Agatobwe Sub-Catchment"/>
    <n v="473.04"/>
  </r>
  <r>
    <x v="3"/>
    <s v="URUVUGANGOMA"/>
    <s v="Public"/>
    <x v="0"/>
    <s v="Nyaruguru"/>
    <s v="Nyagisozi"/>
    <s v="NAKN_1"/>
    <s v="Giswi/Agatobwe Sub-Catchment"/>
    <n v="788.40000000000009"/>
  </r>
  <r>
    <x v="3"/>
    <s v="MBONYIMBUGA"/>
    <s v="Public"/>
    <x v="0"/>
    <s v="Nyaruguru"/>
    <s v="Nyagisozi"/>
    <s v="NAKN_1"/>
    <s v="Giswi/Agatobwe Sub-Catchment"/>
    <n v="1261.44"/>
  </r>
  <r>
    <x v="3"/>
    <s v="KAGOMERO II"/>
    <s v="Public"/>
    <x v="0"/>
    <s v="Nyaruguru"/>
    <s v="Nyagisozi"/>
    <s v="NAKN_1"/>
    <s v="Giswi/Agatobwe Sub-Catchment"/>
    <n v="1892.16"/>
  </r>
  <r>
    <x v="3"/>
    <s v="AGASEKE"/>
    <s v="Public"/>
    <x v="0"/>
    <s v="Nyaruguru"/>
    <s v="Nyagisozi"/>
    <s v="NAKN_1"/>
    <s v="Giswi/Agatobwe Sub-Catchment"/>
    <n v="473.04"/>
  </r>
  <r>
    <x v="3"/>
    <s v="RWASHENYI"/>
    <s v="Public"/>
    <x v="0"/>
    <s v="Nyaruguru"/>
    <s v="Nyagisozi"/>
    <s v="NAKN_1"/>
    <s v="Giswi/Agatobwe Sub-Catchment"/>
    <n v="1576.8000000000002"/>
  </r>
  <r>
    <x v="3"/>
    <s v="KAGOMERO I"/>
    <s v="Public"/>
    <x v="0"/>
    <s v="Nyaruguru"/>
    <s v="Nyagisozi"/>
    <s v="NAKN_1"/>
    <s v="Giswi/Agatobwe Sub-Catchment"/>
    <n v="2680.56"/>
  </r>
  <r>
    <x v="3"/>
    <s v="RWANYAKAGUYA"/>
    <s v="Public"/>
    <x v="0"/>
    <s v="Nyaruguru"/>
    <s v="Nyagisozi"/>
    <s v="NAKN_1"/>
    <s v="Giswi/Agatobwe Sub-Catchment"/>
    <n v="3626.64"/>
  </r>
  <r>
    <x v="3"/>
    <s v="RWABYUNGA"/>
    <s v="Public"/>
    <x v="0"/>
    <s v="Nyaruguru"/>
    <s v="Nyagisozi"/>
    <s v="NAKN_1"/>
    <s v="Giswi/Agatobwe Sub-Catchment"/>
    <n v="1892.16"/>
  </r>
  <r>
    <x v="3"/>
    <s v="RWARUHATWE"/>
    <s v="Public"/>
    <x v="0"/>
    <s v="Nyaruguru"/>
    <s v="Nyagisozi"/>
    <s v="NAKN_1"/>
    <s v="Giswi/Agatobwe Sub-Catchment"/>
    <n v="2838.24"/>
  </r>
  <r>
    <x v="3"/>
    <s v="RWASEMPUMA"/>
    <s v="Public"/>
    <x v="0"/>
    <s v="Nyaruguru"/>
    <s v="Nyagisozi"/>
    <s v="NAKN_1"/>
    <s v="Giswi/Agatobwe Sub-Catchment"/>
    <n v="1576.8000000000002"/>
  </r>
  <r>
    <x v="3"/>
    <s v="RWAKANYARWANDA"/>
    <s v="Public"/>
    <x v="0"/>
    <s v="Nyaruguru"/>
    <s v="Nyagisozi"/>
    <s v="NAKN_1"/>
    <s v="Giswi/Agatobwe Sub-Catchment"/>
    <n v="315.36"/>
  </r>
  <r>
    <x v="3"/>
    <s v="NKOMBE"/>
    <s v="Public"/>
    <x v="0"/>
    <s v="Nyaruguru"/>
    <s v="Nyagisozi"/>
    <s v="NAKN_1"/>
    <s v="Giswi/Agatobwe Sub-Catchment"/>
    <n v="1892.16"/>
  </r>
  <r>
    <x v="3"/>
    <s v="RWARUNANIRA"/>
    <s v="Public"/>
    <x v="0"/>
    <s v="Nyaruguru"/>
    <s v="Nyagisozi"/>
    <s v="NAKN_1"/>
    <s v="Giswi/Agatobwe Sub-Catchment"/>
    <n v="1892.16"/>
  </r>
  <r>
    <x v="3"/>
    <s v="GASEKE"/>
    <s v="Public"/>
    <x v="0"/>
    <s v="Nyaruguru"/>
    <s v="Nyagisozi"/>
    <s v="NAKN_1"/>
    <s v="Giswi/Agatobwe Sub-Catchment"/>
    <n v="2522.88"/>
  </r>
  <r>
    <x v="3"/>
    <s v="MUKIZANYE"/>
    <s v="Public"/>
    <x v="0"/>
    <s v="Nyaruguru"/>
    <s v="Nyagisozi"/>
    <s v="NAKN_1"/>
    <s v="Giswi/Agatobwe Sub-Catchment"/>
    <n v="157.68"/>
  </r>
  <r>
    <x v="3"/>
    <s v="MUNGUGU"/>
    <s v="Public"/>
    <x v="0"/>
    <s v="Nyaruguru"/>
    <s v="Nyagisozi"/>
    <s v="NAKN_1"/>
    <s v="Giswi/Agatobwe Sub-Catchment"/>
    <n v="2207.5200000000004"/>
  </r>
  <r>
    <x v="3"/>
    <s v="GATUMBA"/>
    <s v="Public"/>
    <x v="0"/>
    <s v="Nyaruguru"/>
    <s v="Nyagisozi"/>
    <s v="NAKN_1"/>
    <s v="Giswi/Agatobwe Sub-Catchment"/>
    <n v="4730.4000000000005"/>
  </r>
  <r>
    <x v="3"/>
    <s v="MUKUMBA"/>
    <s v="Public"/>
    <x v="0"/>
    <s v="Nyaruguru"/>
    <s v="Nyagisozi"/>
    <s v="NAKN_1"/>
    <s v="Giswi/Agatobwe Sub-Catchment"/>
    <n v="788.40000000000009"/>
  </r>
  <r>
    <x v="3"/>
    <s v="MUKABUYE"/>
    <s v="Public"/>
    <x v="0"/>
    <s v="Nyaruguru"/>
    <s v="Nyagisozi"/>
    <s v="NAKN_1"/>
    <s v="Giswi/Agatobwe Sub-Catchment"/>
    <n v="473.04"/>
  </r>
  <r>
    <x v="3"/>
    <s v="NYAMUGANYA"/>
    <s v="Public"/>
    <x v="0"/>
    <s v="Nyaruguru"/>
    <s v="Nyagisozi"/>
    <s v="NAKN_1"/>
    <s v="Giswi/Agatobwe Sub-Catchment"/>
    <n v="315.36"/>
  </r>
  <r>
    <x v="3"/>
    <s v="AGAHAMA"/>
    <s v="Public"/>
    <x v="0"/>
    <s v="Nyaruguru"/>
    <s v="Nyagisozi"/>
    <s v="NAKN_1"/>
    <s v="Giswi/Agatobwe Sub-Catchment"/>
    <n v="1419.12"/>
  </r>
  <r>
    <x v="3"/>
    <s v="KARARAMA"/>
    <s v="Public"/>
    <x v="0"/>
    <s v="Nyaruguru"/>
    <s v="Nyagisozi"/>
    <s v="NAKN_1"/>
    <s v="Giswi/Agatobwe Sub-Catchment"/>
    <n v="3153.6000000000004"/>
  </r>
  <r>
    <x v="3"/>
    <s v="MUWABAVOMO"/>
    <s v="Public"/>
    <x v="0"/>
    <s v="Nyaruguru"/>
    <s v="Nyagisozi"/>
    <s v="NAKN_1"/>
    <s v="Giswi/Agatobwe Sub-Catchment"/>
    <n v="6307.2000000000007"/>
  </r>
  <r>
    <x v="3"/>
    <s v="GASEKE"/>
    <s v="Public"/>
    <x v="0"/>
    <s v="Nyaruguru"/>
    <s v="Nyagisozi"/>
    <s v="NAKN_1"/>
    <s v="Giswi/Agatobwe Sub-Catchment"/>
    <n v="2838.24"/>
  </r>
  <r>
    <x v="3"/>
    <s v="SINDUKA"/>
    <s v="Public"/>
    <x v="0"/>
    <s v="Nyaruguru"/>
    <s v="Nyagisozi"/>
    <s v="NAKN_1"/>
    <s v="Giswi/Agatobwe Sub-Catchment"/>
    <n v="4730.4000000000005"/>
  </r>
  <r>
    <x v="3"/>
    <s v="NYABIHANGA II"/>
    <s v="Public"/>
    <x v="0"/>
    <s v="Nyaruguru"/>
    <s v="Nyagisozi"/>
    <s v="NAKN_1"/>
    <s v="Giswi/Agatobwe Sub-Catchment"/>
    <n v="5045.76"/>
  </r>
  <r>
    <x v="3"/>
    <s v="NYABIHANGA I"/>
    <s v="Public"/>
    <x v="0"/>
    <s v="Nyaruguru"/>
    <s v="Nyagisozi"/>
    <s v="NAKN_1"/>
    <s v="Giswi/Agatobwe Sub-Catchment"/>
    <n v="2995.92"/>
  </r>
  <r>
    <x v="3"/>
    <s v="BWANYIRAMUTAMU"/>
    <s v="Public"/>
    <x v="0"/>
    <s v="Nyaruguru"/>
    <s v="Nyagisozi"/>
    <s v="NAKN_1"/>
    <s v="Giswi/Agatobwe Sub-Catchment"/>
    <n v="1576.8000000000002"/>
  </r>
  <r>
    <x v="3"/>
    <s v="UWARUGINA"/>
    <s v="Public"/>
    <x v="0"/>
    <s v="Nyaruguru"/>
    <s v="Nyagisozi"/>
    <s v="NAKN_1"/>
    <s v="Giswi/Agatobwe Sub-Catchment"/>
    <n v="1261.44"/>
  </r>
  <r>
    <x v="3"/>
    <s v="GASHUNZI"/>
    <s v="Public"/>
    <x v="0"/>
    <s v="Nyaruguru"/>
    <s v="Nyagisozi"/>
    <s v="NAKN_1"/>
    <s v="Giswi/Agatobwe Sub-Catchment"/>
    <n v="3626.64"/>
  </r>
  <r>
    <x v="3"/>
    <s v="NYAKAGEZI  I"/>
    <s v="Public"/>
    <x v="0"/>
    <s v="Nyaruguru"/>
    <s v="Nyagisozi"/>
    <s v="NAKN_1"/>
    <s v="Giswi/Agatobwe Sub-Catchment"/>
    <n v="1734.4800000000002"/>
  </r>
  <r>
    <x v="3"/>
    <s v="MURWABUTARE"/>
    <s v="Public"/>
    <x v="0"/>
    <s v="Nyaruguru"/>
    <s v="Nyagisozi"/>
    <s v="NAKN_1"/>
    <s v="Giswi/Agatobwe Sub-Catchment"/>
    <n v="157.68"/>
  </r>
  <r>
    <x v="3"/>
    <s v="NYAKAGEZI III"/>
    <s v="Public"/>
    <x v="0"/>
    <s v="Nyaruguru"/>
    <s v="Nyagisozi"/>
    <s v="NAKN_1"/>
    <s v="Giswi/Agatobwe Sub-Catchment"/>
    <n v="1576.8000000000002"/>
  </r>
  <r>
    <x v="3"/>
    <s v="NDARE"/>
    <s v="Public"/>
    <x v="0"/>
    <s v="Nyaruguru"/>
    <s v="Nyagisozi"/>
    <s v="NAKN_1"/>
    <s v="Giswi/Agatobwe Sub-Catchment"/>
    <n v="2838.24"/>
  </r>
  <r>
    <x v="3"/>
    <s v="MURWAKAROTI"/>
    <s v="Public"/>
    <x v="0"/>
    <s v="Nyaruguru"/>
    <s v="Nyagisozi"/>
    <s v="NAKN_1"/>
    <s v="Giswi/Agatobwe Sub-Catchment"/>
    <n v="315.36"/>
  </r>
  <r>
    <x v="3"/>
    <s v="MUGATEBE"/>
    <s v="Public"/>
    <x v="0"/>
    <s v="Nyaruguru"/>
    <s v="Nyagisozi"/>
    <s v="NAKN_1"/>
    <s v="Giswi/Agatobwe Sub-Catchment"/>
    <n v="1734.4800000000002"/>
  </r>
  <r>
    <x v="3"/>
    <s v="NYAMIKERO"/>
    <s v="Public"/>
    <x v="0"/>
    <s v="Nyaruguru"/>
    <s v="Nyagisozi"/>
    <s v="NAKN_1"/>
    <s v="Giswi/Agatobwe Sub-Catchment"/>
    <n v="804.16799999999989"/>
  </r>
  <r>
    <x v="3"/>
    <s v="KAVOMO"/>
    <s v="Public"/>
    <x v="0"/>
    <s v="Nyaruguru"/>
    <s v="Nyagisozi"/>
    <s v="NAKN_1"/>
    <s v="Giswi/Agatobwe Sub-Catchment"/>
    <n v="1277.2080000000001"/>
  </r>
  <r>
    <x v="3"/>
    <s v="KADABAGE"/>
    <s v="Public"/>
    <x v="0"/>
    <s v="Nyaruguru"/>
    <s v="Nyagisozi"/>
    <s v="NAKN_1"/>
    <s v="Giswi/Agatobwe Sub-Catchment"/>
    <n v="1419.12"/>
  </r>
  <r>
    <x v="3"/>
    <s v="MUWARUKAZIRE"/>
    <s v="Public"/>
    <x v="0"/>
    <s v="Nyaruguru"/>
    <s v="Nyagisozi"/>
    <s v="NAKN_1"/>
    <s v="Giswi/Agatobwe Sub-Catchment"/>
    <n v="2207.5200000000004"/>
  </r>
  <r>
    <x v="3"/>
    <s v="NYIRADADARI"/>
    <s v="Public"/>
    <x v="0"/>
    <s v="Nyaruguru"/>
    <s v="Nyagisozi"/>
    <s v="NAKN_1"/>
    <s v="Giswi/Agatobwe Sub-Catchment"/>
    <n v="189.21599999999998"/>
  </r>
  <r>
    <x v="3"/>
    <s v="GAKANKA"/>
    <s v="Public"/>
    <x v="0"/>
    <s v="Nyaruguru"/>
    <s v="Nyagisozi"/>
    <s v="NAKN_1"/>
    <s v="Giswi/Agatobwe Sub-Catchment"/>
    <n v="315.36"/>
  </r>
  <r>
    <x v="3"/>
    <s v="NYAKAGEZI II"/>
    <s v="Public"/>
    <x v="0"/>
    <s v="Nyaruguru"/>
    <s v="Nyagisozi"/>
    <s v="NAKN_1"/>
    <s v="Giswi/Agatobwe Sub-Catchment"/>
    <n v="3153.6000000000004"/>
  </r>
  <r>
    <x v="3"/>
    <s v="KARUGUMA"/>
    <s v="Public"/>
    <x v="0"/>
    <s v="Nyaruguru"/>
    <s v="Nyagisozi"/>
    <s v="NAKN_1"/>
    <s v="Giswi/Agatobwe Sub-Catchment"/>
    <n v="804.16799999999989"/>
  </r>
  <r>
    <x v="3"/>
    <s v="NYAMUKO"/>
    <s v="Public"/>
    <x v="0"/>
    <s v="Nyaruguru"/>
    <s v="Nyagisozi"/>
    <s v="NAKN_1"/>
    <s v="Giswi/Agatobwe Sub-Catchment"/>
    <n v="94.60799999999999"/>
  </r>
  <r>
    <x v="3"/>
    <s v="KARISHYA"/>
    <s v="Public"/>
    <x v="0"/>
    <s v="Nyaruguru"/>
    <s v="Nyagisozi"/>
    <s v="NAKN_1"/>
    <s v="Giswi/Agatobwe Sub-Catchment"/>
    <n v="1592.5680000000002"/>
  </r>
  <r>
    <x v="3"/>
    <s v="NYAKIGOGO"/>
    <s v="Public"/>
    <x v="0"/>
    <s v="Nyaruguru"/>
    <s v="Nyagisozi"/>
    <s v="NAKN_1"/>
    <s v="Giswi/Agatobwe Sub-Catchment"/>
    <n v="4430.808"/>
  </r>
  <r>
    <x v="3"/>
    <s v="GIKURWE"/>
    <s v="Public"/>
    <x v="0"/>
    <s v="Nyaruguru"/>
    <s v="Nyagisozi"/>
    <s v="NAKN_1"/>
    <s v="Giswi/Agatobwe Sub-Catchment"/>
    <n v="3957.7680000000005"/>
  </r>
  <r>
    <x v="3"/>
    <s v="NYABIGUGU"/>
    <s v="Public"/>
    <x v="0"/>
    <s v="Nyaruguru"/>
    <s v="Nyagisozi"/>
    <s v="NAKN_1"/>
    <s v="Giswi/Agatobwe Sub-Catchment"/>
    <n v="3957.7680000000005"/>
  </r>
  <r>
    <x v="3"/>
    <s v="GAKOMA"/>
    <s v="Public"/>
    <x v="0"/>
    <s v="Nyaruguru"/>
    <s v="Nyagisozi"/>
    <s v="NAKN_1"/>
    <s v="Giswi/Agatobwe Sub-Catchment"/>
    <n v="157.68"/>
  </r>
  <r>
    <x v="3"/>
    <s v="RUGOMERO"/>
    <s v="Public"/>
    <x v="0"/>
    <s v="Nyaruguru"/>
    <s v="Nyagisozi"/>
    <s v="NAKN_1"/>
    <s v="Giswi/Agatobwe Sub-Catchment"/>
    <n v="9476.5679999999993"/>
  </r>
  <r>
    <x v="3"/>
    <s v="MWOKORA"/>
    <s v="Public"/>
    <x v="0"/>
    <s v="Nyaruguru"/>
    <s v="Nyagisozi"/>
    <s v="NAKN_1"/>
    <s v="Giswi/Agatobwe Sub-Catchment"/>
    <n v="961.84799999999996"/>
  </r>
  <r>
    <x v="3"/>
    <s v="NYAGATOVU"/>
    <s v="Public"/>
    <x v="0"/>
    <s v="Nyaruguru"/>
    <s v="Nyagisozi"/>
    <s v="NAKN_1"/>
    <s v="Giswi/Agatobwe Sub-Catchment"/>
    <n v="1972.5768"/>
  </r>
  <r>
    <x v="3"/>
    <s v="NYAGATOVU 2"/>
    <s v="Public"/>
    <x v="0"/>
    <s v="Nyaruguru"/>
    <s v="Nyagisozi"/>
    <s v="NAKN_1"/>
    <s v="Giswi/Agatobwe Sub-Catchment"/>
    <n v="946.08"/>
  </r>
  <r>
    <x v="3"/>
    <s v="GAHAMA"/>
    <s v="Public"/>
    <x v="0"/>
    <s v="Nyaruguru"/>
    <s v="Nyagisozi"/>
    <s v="NAKN_1"/>
    <s v="Giswi/Agatobwe Sub-Catchment"/>
    <n v="961.84799999999996"/>
  </r>
  <r>
    <x v="3"/>
    <s v="NYABITARE"/>
    <s v="Public"/>
    <x v="0"/>
    <s v="Nyaruguru"/>
    <s v="Nyagisozi"/>
    <s v="NAKN_1"/>
    <s v="Giswi/Agatobwe Sub-Catchment"/>
    <n v="157.68"/>
  </r>
  <r>
    <x v="3"/>
    <s v="MAKERA"/>
    <s v="Public"/>
    <x v="0"/>
    <s v="Nyaruguru"/>
    <s v="Nyagisozi"/>
    <s v="NAKN_1"/>
    <s v="Giswi/Agatobwe Sub-Catchment"/>
    <n v="1972.5768"/>
  </r>
  <r>
    <x v="3"/>
    <s v="MUGATARE 3"/>
    <s v="Public"/>
    <x v="0"/>
    <s v="Nyaruguru"/>
    <s v="Nyagisozi"/>
    <s v="NAKN_1"/>
    <s v="Giswi/Agatobwe Sub-Catchment"/>
    <n v="2365.2000000000003"/>
  </r>
  <r>
    <x v="3"/>
    <s v="KADUHA"/>
    <s v="Public"/>
    <x v="0"/>
    <s v="Nyaruguru"/>
    <s v="Nyagisozi"/>
    <s v="NAKN_1"/>
    <s v="Giswi/Agatobwe Sub-Catchment"/>
    <n v="977.61599999999999"/>
  </r>
  <r>
    <x v="3"/>
    <s v="MUGATARE 2"/>
    <s v="Public"/>
    <x v="0"/>
    <s v="Nyaruguru"/>
    <s v="Nyagisozi"/>
    <s v="NAKN_1"/>
    <s v="Giswi/Agatobwe Sub-Catchment"/>
    <n v="819.93600000000004"/>
  </r>
  <r>
    <x v="3"/>
    <s v="RWANDAMIRE"/>
    <s v="Public"/>
    <x v="0"/>
    <s v="Nyaruguru"/>
    <s v="Nyagisozi"/>
    <s v="NAKN_1"/>
    <s v="Giswi/Agatobwe Sub-Catchment"/>
    <n v="1592.5680000000002"/>
  </r>
  <r>
    <x v="3"/>
    <s v="KANUMA"/>
    <s v="Public"/>
    <x v="0"/>
    <s v="Nyaruguru"/>
    <s v="Nyagisozi"/>
    <s v="NAKN_1"/>
    <s v="Giswi/Agatobwe Sub-Catchment"/>
    <n v="961.84799999999996"/>
  </r>
  <r>
    <x v="3"/>
    <s v="MUGATARE"/>
    <s v="Public"/>
    <x v="0"/>
    <s v="Nyaruguru"/>
    <s v="Nyagisozi"/>
    <s v="NAKN_1"/>
    <s v="Giswi/Agatobwe Sub-Catchment"/>
    <n v="1278.7848000000004"/>
  </r>
  <r>
    <x v="3"/>
    <s v="UWURUTARE"/>
    <s v="Public"/>
    <x v="0"/>
    <s v="Gisagara"/>
    <s v="Nyanza"/>
    <s v="NAKN_1"/>
    <s v="Giswi/Agatobwe Sub-Catchment"/>
    <n v="1103.7600000000002"/>
  </r>
  <r>
    <x v="3"/>
    <s v="MUCYUBWATO"/>
    <s v="Public"/>
    <x v="0"/>
    <s v="Gisagara"/>
    <s v="Nyanza"/>
    <s v="NAKN_1"/>
    <s v="Giswi/Agatobwe Sub-Catchment"/>
    <n v="788.40000000000009"/>
  </r>
  <r>
    <x v="3"/>
    <s v="MPIMBANDIYE"/>
    <s v="Public"/>
    <x v="0"/>
    <s v="Gisagara"/>
    <s v="Nyanza"/>
    <s v="NAKN_1"/>
    <s v="Giswi/Agatobwe Sub-Catchment"/>
    <n v="1103.7600000000002"/>
  </r>
  <r>
    <x v="3"/>
    <s v="MURUBINDI"/>
    <s v="Public"/>
    <x v="0"/>
    <s v="Gisagara"/>
    <s v="Nyanza"/>
    <s v="NAKN_1"/>
    <s v="Giswi/Agatobwe Sub-Catchment"/>
    <n v="2838.24"/>
  </r>
  <r>
    <x v="3"/>
    <s v="KUKAPOLO"/>
    <s v="Public"/>
    <x v="0"/>
    <s v="Gisagara"/>
    <s v="Nyanza"/>
    <s v="NAKN_1"/>
    <s v="Giswi/Agatobwe Sub-Catchment"/>
    <n v="630.72"/>
  </r>
  <r>
    <x v="3"/>
    <s v="MUKIDOGO"/>
    <s v="Public"/>
    <x v="0"/>
    <s v="Gisagara"/>
    <s v="Nyanza"/>
    <s v="NAKN_1"/>
    <s v="Giswi/Agatobwe Sub-Catchment"/>
    <n v="189216.00000000003"/>
  </r>
  <r>
    <x v="3"/>
    <s v="KIZENGA"/>
    <s v="Public"/>
    <x v="0"/>
    <s v="Gisagara"/>
    <s v="Nyanza"/>
    <s v="NAKN_1"/>
    <s v="Giswi/Agatobwe Sub-Catchment"/>
    <n v="1261.44"/>
  </r>
  <r>
    <x v="3"/>
    <s v="GAKINDO"/>
    <s v="Public"/>
    <x v="0"/>
    <s v="Gisagara"/>
    <s v="Nyanza"/>
    <s v="NAKN_1"/>
    <s v="Giswi/Agatobwe Sub-Catchment"/>
    <n v="473.04"/>
  </r>
  <r>
    <x v="3"/>
    <s v="MURIRWACYUMA"/>
    <s v="Public"/>
    <x v="0"/>
    <s v="Gisagara"/>
    <s v="Nyanza"/>
    <s v="NAKN_1"/>
    <s v="Giswi/Agatobwe Sub-Catchment"/>
    <n v="315.36"/>
  </r>
  <r>
    <x v="3"/>
    <s v="RWAMPORERA"/>
    <s v="Public"/>
    <x v="0"/>
    <s v="Gisagara"/>
    <s v="Nyanza"/>
    <s v="NAKN_1"/>
    <s v="Giswi/Agatobwe Sub-Catchment"/>
    <n v="1103.7600000000002"/>
  </r>
  <r>
    <x v="3"/>
    <s v="KWAMUBIRIGI"/>
    <s v="Public"/>
    <x v="0"/>
    <s v="Gisagara"/>
    <s v="Nyanza"/>
    <s v="NAKN_1"/>
    <s v="Giswi/Agatobwe Sub-Catchment"/>
    <n v="788.40000000000009"/>
  </r>
  <r>
    <x v="3"/>
    <s v="KWISOKO"/>
    <s v="Public"/>
    <x v="0"/>
    <s v="Gisagara"/>
    <s v="Nyanza"/>
    <s v="NAKN_1"/>
    <s v="Giswi/Agatobwe Sub-Catchment"/>
    <n v="3311.2799999999997"/>
  </r>
  <r>
    <x v="3"/>
    <s v="KWAPETERO"/>
    <s v="Public"/>
    <x v="0"/>
    <s v="Gisagara"/>
    <s v="Nyanza"/>
    <s v="NAKN_1"/>
    <s v="Giswi/Agatobwe Sub-Catchment"/>
    <n v="7884.0000000000009"/>
  </r>
  <r>
    <x v="3"/>
    <s v="RWASHIRA"/>
    <s v="Public"/>
    <x v="0"/>
    <s v="Gisagara"/>
    <s v="Nyanza"/>
    <s v="NAKN_1"/>
    <s v="Giswi/Agatobwe Sub-Catchment"/>
    <n v="2365.2000000000003"/>
  </r>
  <r>
    <x v="3"/>
    <s v="KWANAKWA"/>
    <s v="Public"/>
    <x v="0"/>
    <s v="Gisagara"/>
    <s v="Nyanza"/>
    <s v="NAKN_1"/>
    <s v="Giswi/Agatobwe Sub-Catchment"/>
    <n v="473.04"/>
  </r>
  <r>
    <x v="3"/>
    <s v="KAWANDOLIMANA"/>
    <s v="Public"/>
    <x v="0"/>
    <s v="Gisagara"/>
    <s v="Nyanza"/>
    <s v="NAKN_1"/>
    <s v="Giswi/Agatobwe Sub-Catchment"/>
    <n v="0"/>
  </r>
  <r>
    <x v="3"/>
    <s v="KABAKENE"/>
    <s v="Public"/>
    <x v="0"/>
    <s v="Gisagara"/>
    <s v="Nyanza"/>
    <s v="NAKN_1"/>
    <s v="Giswi/Agatobwe Sub-Catchment"/>
    <n v="788.40000000000009"/>
  </r>
  <r>
    <x v="3"/>
    <s v="RWANYENGABO"/>
    <s v="Public"/>
    <x v="0"/>
    <s v="Gisagara"/>
    <s v="Nyanza"/>
    <s v="NAKN_1"/>
    <s v="Giswi/Agatobwe Sub-Catchment"/>
    <n v="946.08"/>
  </r>
  <r>
    <x v="3"/>
    <s v="SENYANGE"/>
    <s v="Public"/>
    <x v="0"/>
    <s v="Gisagara"/>
    <s v="Nyanza"/>
    <s v="NAKN_1"/>
    <s v="Giswi/Agatobwe Sub-Catchment"/>
    <n v="1103.7600000000002"/>
  </r>
  <r>
    <x v="3"/>
    <s v="KWAKAREKEZI"/>
    <s v="Public"/>
    <x v="0"/>
    <s v="Gisagara"/>
    <s v="Nyanza"/>
    <s v="NAKN_1"/>
    <s v="Giswi/Agatobwe Sub-Catchment"/>
    <n v="14506.56"/>
  </r>
  <r>
    <x v="3"/>
    <s v="KWRUGERA"/>
    <s v="Public"/>
    <x v="0"/>
    <s v="Gisagara"/>
    <s v="Nyanza"/>
    <s v="NAKN_1"/>
    <s v="Giswi/Agatobwe Sub-Catchment"/>
    <n v="1261.44"/>
  </r>
  <r>
    <x v="3"/>
    <s v="CUKURI"/>
    <s v="Public"/>
    <x v="0"/>
    <s v="Gisagara"/>
    <s v="Nyanza"/>
    <s v="NAKN_1"/>
    <s v="Giswi/Agatobwe Sub-Catchment"/>
    <n v="788.40000000000009"/>
  </r>
  <r>
    <x v="3"/>
    <s v="RUFUKUYE"/>
    <s v="Public"/>
    <x v="0"/>
    <s v="Gisagara"/>
    <s v="Nyanza"/>
    <s v="NAKN_1"/>
    <s v="Giswi/Agatobwe Sub-Catchment"/>
    <n v="630.72"/>
  </r>
  <r>
    <x v="3"/>
    <s v="KABINGO"/>
    <s v="Public"/>
    <x v="0"/>
    <s v="Gisagara"/>
    <s v="Nyanza"/>
    <s v="NAKN_1"/>
    <s v="Giswi/Agatobwe Sub-Catchment"/>
    <n v="788.40000000000009"/>
  </r>
  <r>
    <x v="3"/>
    <s v="KASEMABONDO"/>
    <s v="Public"/>
    <x v="0"/>
    <s v="Gisagara"/>
    <s v="Nyanza"/>
    <s v="NAKN_1"/>
    <s v="Giswi/Agatobwe Sub-Catchment"/>
    <n v="1103.7600000000002"/>
  </r>
  <r>
    <x v="3"/>
    <s v="KAZABAGARURA"/>
    <s v="Public"/>
    <x v="0"/>
    <s v="Gisagara"/>
    <s v="Nyanza"/>
    <s v="NAKN_1"/>
    <s v="Giswi/Agatobwe Sub-Catchment"/>
    <n v="630.72"/>
  </r>
  <r>
    <x v="3"/>
    <s v="KWARENA"/>
    <s v="Public"/>
    <x v="0"/>
    <s v="Gisagara"/>
    <s v="Nyanza"/>
    <s v="NAKN_1"/>
    <s v="Giswi/Agatobwe Sub-Catchment"/>
    <n v="2838.24"/>
  </r>
  <r>
    <x v="3"/>
    <s v="KWABIZI"/>
    <s v="Public"/>
    <x v="0"/>
    <s v="Gisagara"/>
    <s v="Nyanza"/>
    <s v="NAKN_1"/>
    <s v="Giswi/Agatobwe Sub-Catchment"/>
    <n v="1892.16"/>
  </r>
  <r>
    <x v="3"/>
    <s v="KABINGO"/>
    <s v="Public"/>
    <x v="0"/>
    <s v="Gisagara"/>
    <s v="Nyanza"/>
    <s v="NAKN_1"/>
    <s v="Giswi/Agatobwe Sub-Catchment"/>
    <n v="10879.92"/>
  </r>
  <r>
    <x v="3"/>
    <s v="RWANYAMUKORA"/>
    <s v="Public"/>
    <x v="0"/>
    <s v="Gisagara"/>
    <s v="Nyanza"/>
    <s v="NAKN_1"/>
    <s v="Giswi/Agatobwe Sub-Catchment"/>
    <n v="788.40000000000009"/>
  </r>
  <r>
    <x v="3"/>
    <s v="RUYUZI"/>
    <s v="Public"/>
    <x v="0"/>
    <s v="Gisagara"/>
    <s v="Nyanza"/>
    <s v="NAKN_1"/>
    <s v="Giswi/Agatobwe Sub-Catchment"/>
    <n v="315.36"/>
  </r>
  <r>
    <x v="3"/>
    <s v="MUMAMARWANIRE"/>
    <s v="Public"/>
    <x v="0"/>
    <s v="Gisagara"/>
    <s v="Nyanza"/>
    <s v="NAKN_1"/>
    <s v="Giswi/Agatobwe Sub-Catchment"/>
    <n v="1261.44"/>
  </r>
  <r>
    <x v="3"/>
    <s v="RUKIMIRANA"/>
    <s v="Public"/>
    <x v="0"/>
    <s v="Gisagara"/>
    <s v="Nyanza"/>
    <s v="NAKN_1"/>
    <s v="Giswi/Agatobwe Sub-Catchment"/>
    <n v="1261.44"/>
  </r>
  <r>
    <x v="3"/>
    <s v="NYIRAGASHIKAZI"/>
    <s v="Public"/>
    <x v="0"/>
    <s v="Gisagara"/>
    <s v="Nyanza"/>
    <s v="NAKN_1"/>
    <s v="Giswi/Agatobwe Sub-Catchment"/>
    <n v="1419.12"/>
  </r>
  <r>
    <x v="3"/>
    <s v="NKURUBINDI"/>
    <s v="Public"/>
    <x v="0"/>
    <s v="Gisagara"/>
    <s v="Nyanza"/>
    <s v="NAKN_1"/>
    <s v="Giswi/Agatobwe Sub-Catchment"/>
    <n v="473.04"/>
  </r>
  <r>
    <x v="3"/>
    <s v="SEKIROMBA"/>
    <s v="Public"/>
    <x v="0"/>
    <s v="Gisagara"/>
    <s v="Nyanza"/>
    <s v="NAKN_1"/>
    <s v="Giswi/Agatobwe Sub-Catchment"/>
    <n v="1576.8000000000002"/>
  </r>
  <r>
    <x v="3"/>
    <s v="KWAMUKAREMERA"/>
    <s v="Public"/>
    <x v="0"/>
    <s v="Gisagara"/>
    <s v="Nyanza"/>
    <s v="NAKN_1"/>
    <s v="Giswi/Agatobwe Sub-Catchment"/>
    <n v="315.36"/>
  </r>
  <r>
    <x v="3"/>
    <s v="MUHANGA"/>
    <s v="Public"/>
    <x v="0"/>
    <s v="Gisagara"/>
    <s v="Nyanza"/>
    <s v="NAKN_1"/>
    <s v="Giswi/Agatobwe Sub-Catchment"/>
    <n v="157.68"/>
  </r>
  <r>
    <x v="3"/>
    <s v="RYARUGANZU"/>
    <s v="Public"/>
    <x v="0"/>
    <s v="Gisagara"/>
    <s v="Nyanza"/>
    <s v="NAKN_1"/>
    <s v="Giswi/Agatobwe Sub-Catchment"/>
    <n v="2680.56"/>
  </r>
  <r>
    <x v="3"/>
    <s v="RUKEGETE"/>
    <s v="Public"/>
    <x v="0"/>
    <s v="Gisagara"/>
    <s v="Nyanza"/>
    <s v="NAKN_1"/>
    <s v="Giswi/Agatobwe Sub-Catchment"/>
    <n v="5991.84"/>
  </r>
  <r>
    <x v="3"/>
    <s v="AKAVIKO"/>
    <s v="Public"/>
    <x v="0"/>
    <s v="Gisagara"/>
    <s v="Nyanza"/>
    <s v="NAKN_1"/>
    <s v="Giswi/Agatobwe Sub-Catchment"/>
    <n v="2680.56"/>
  </r>
  <r>
    <x v="3"/>
    <s v="AKABUGA"/>
    <s v="Public"/>
    <x v="0"/>
    <s v="Gisagara"/>
    <s v="Nyanza"/>
    <s v="NAKN_1"/>
    <s v="Giswi/Agatobwe Sub-Catchment"/>
    <n v="788.40000000000009"/>
  </r>
  <r>
    <x v="3"/>
    <s v="GAHOMA"/>
    <s v="Public"/>
    <x v="0"/>
    <s v="Gisagara"/>
    <s v="Nyanza"/>
    <s v="NAKN_1"/>
    <s v="Giswi/Agatobwe Sub-Catchment"/>
    <n v="2995.92"/>
  </r>
  <r>
    <x v="3"/>
    <s v="KABYIRO"/>
    <s v="Public"/>
    <x v="0"/>
    <s v="Gisagara"/>
    <s v="Nyanza"/>
    <s v="NAKN_1"/>
    <s v="Giswi/Agatobwe Sub-Catchment"/>
    <n v="2995.92"/>
  </r>
  <r>
    <x v="3"/>
    <s v="KAYOGORO"/>
    <s v="Public"/>
    <x v="0"/>
    <s v="Gisagara"/>
    <s v="Nyanza"/>
    <s v="NAKN_1"/>
    <s v="Giswi/Agatobwe Sub-Catchment"/>
    <n v="315.36"/>
  </r>
  <r>
    <x v="3"/>
    <s v="AKARERA"/>
    <s v="Public"/>
    <x v="0"/>
    <s v="Nyaruguru"/>
    <s v="Rusenge"/>
    <s v="NAKN_1"/>
    <s v="Giswi/Agatobwe Sub-Catchment"/>
    <n v="11668.320000000002"/>
  </r>
  <r>
    <x v="3"/>
    <s v="GATOKI"/>
    <s v="Public"/>
    <x v="0"/>
    <s v="Nyaruguru"/>
    <s v="Rusenge"/>
    <s v="NAKN_1"/>
    <s v="Giswi/Agatobwe Sub-Catchment"/>
    <n v="1734.4800000000002"/>
  </r>
  <r>
    <x v="3"/>
    <s v="BYERWA"/>
    <s v="Public"/>
    <x v="0"/>
    <s v="Nyaruguru"/>
    <s v="Rusenge"/>
    <s v="NAKN_1"/>
    <s v="Giswi/Agatobwe Sub-Catchment"/>
    <n v="4415.0400000000009"/>
  </r>
  <r>
    <x v="3"/>
    <s v="MUKARAMA"/>
    <s v="Public"/>
    <x v="0"/>
    <s v="Nyaruguru"/>
    <s v="Rusenge"/>
    <s v="NAKN_1"/>
    <s v="Giswi/Agatobwe Sub-Catchment"/>
    <n v="1419.12"/>
  </r>
  <r>
    <x v="3"/>
    <s v="BAGERA"/>
    <s v="Public"/>
    <x v="0"/>
    <s v="Nyaruguru"/>
    <s v="Rusenge"/>
    <s v="NAKN_1"/>
    <s v="Giswi/Agatobwe Sub-Catchment"/>
    <n v="1734.4800000000002"/>
  </r>
  <r>
    <x v="3"/>
    <s v="NYAKAGEZI"/>
    <s v="Public"/>
    <x v="0"/>
    <s v="Nyaruguru"/>
    <s v="Rusenge"/>
    <s v="NAKN_1"/>
    <s v="Giswi/Agatobwe Sub-Catchment"/>
    <n v="630.72"/>
  </r>
  <r>
    <x v="3"/>
    <s v="KARUMBO"/>
    <s v="Public"/>
    <x v="0"/>
    <s v="Nyaruguru"/>
    <s v="Rusenge"/>
    <s v="NAKN_1"/>
    <s v="Giswi/Agatobwe Sub-Catchment"/>
    <n v="1261.44"/>
  </r>
  <r>
    <x v="3"/>
    <s v="NYAKAGEZI"/>
    <s v="Public"/>
    <x v="0"/>
    <s v="Nyaruguru"/>
    <s v="Rusenge"/>
    <s v="NAKN_1"/>
    <s v="Giswi/Agatobwe Sub-Catchment"/>
    <n v="3942.0000000000005"/>
  </r>
  <r>
    <x v="3"/>
    <s v="GOGORI"/>
    <s v="Public"/>
    <x v="0"/>
    <s v="Nyaruguru"/>
    <s v="Rusenge"/>
    <s v="NAKN_1"/>
    <s v="Giswi/Agatobwe Sub-Catchment"/>
    <n v="1576.8000000000002"/>
  </r>
  <r>
    <x v="3"/>
    <s v="NYAKARIBA"/>
    <s v="Public"/>
    <x v="0"/>
    <s v="Nyaruguru"/>
    <s v="Rusenge"/>
    <s v="NAKN_1"/>
    <s v="Giswi/Agatobwe Sub-Catchment"/>
    <n v="2365.2000000000003"/>
  </r>
  <r>
    <x v="3"/>
    <s v="KAVOMO"/>
    <s v="Public"/>
    <x v="0"/>
    <s v="Nyaruguru"/>
    <s v="Rusenge"/>
    <s v="NAKN_1"/>
    <s v="Giswi/Agatobwe Sub-Catchment"/>
    <n v="1103.7600000000002"/>
  </r>
  <r>
    <x v="3"/>
    <s v="RWABIKANGU"/>
    <s v="Public"/>
    <x v="0"/>
    <s v="Nyaruguru"/>
    <s v="Rusenge"/>
    <s v="NAKN_1"/>
    <s v="Giswi/Agatobwe Sub-Catchment"/>
    <n v="1576.8000000000002"/>
  </r>
  <r>
    <x v="3"/>
    <s v="KAMUYORA"/>
    <s v="Public"/>
    <x v="0"/>
    <s v="Nyaruguru"/>
    <s v="Rusenge"/>
    <s v="NAKN_1"/>
    <s v="Giswi/Agatobwe Sub-Catchment"/>
    <n v="6464.88"/>
  </r>
  <r>
    <x v="3"/>
    <s v="AGASHARU"/>
    <s v="Public"/>
    <x v="0"/>
    <s v="Nyaruguru"/>
    <s v="Rusenge"/>
    <s v="NAKN_1"/>
    <s v="Giswi/Agatobwe Sub-Catchment"/>
    <n v="946.08"/>
  </r>
  <r>
    <x v="3"/>
    <s v="GATARE"/>
    <s v="Public"/>
    <x v="0"/>
    <s v="Nyaruguru"/>
    <s v="Rusenge"/>
    <s v="NAKN_1"/>
    <s v="Giswi/Agatobwe Sub-Catchment"/>
    <n v="3311.2799999999997"/>
  </r>
  <r>
    <x v="3"/>
    <s v="RUSAVE"/>
    <s v="Public"/>
    <x v="0"/>
    <s v="Nyaruguru"/>
    <s v="Rusenge"/>
    <s v="NAKN_1"/>
    <s v="Giswi/Agatobwe Sub-Catchment"/>
    <n v="4415.0400000000009"/>
  </r>
  <r>
    <x v="3"/>
    <s v="NYIRAGASIGWA"/>
    <s v="Public"/>
    <x v="0"/>
    <s v="Nyaruguru"/>
    <s v="Rusenge"/>
    <s v="NAKN_1"/>
    <s v="Giswi/Agatobwe Sub-Catchment"/>
    <n v="1261.44"/>
  </r>
  <r>
    <x v="3"/>
    <s v="RWASUNZU"/>
    <s v="Public"/>
    <x v="0"/>
    <s v="Nyaruguru"/>
    <s v="Rusenge"/>
    <s v="NAKN_1"/>
    <s v="Giswi/Agatobwe Sub-Catchment"/>
    <n v="473.04"/>
  </r>
  <r>
    <x v="3"/>
    <s v="UWINGABO"/>
    <s v="Public"/>
    <x v="0"/>
    <s v="Nyaruguru"/>
    <s v="Rusenge"/>
    <s v="NAKN_1"/>
    <s v="Giswi/Agatobwe Sub-Catchment"/>
    <n v="473.04"/>
  </r>
  <r>
    <x v="3"/>
    <s v="NYAMUGALI"/>
    <s v="Public"/>
    <x v="0"/>
    <s v="Nyaruguru"/>
    <s v="Rusenge"/>
    <s v="NAKN_1"/>
    <s v="Giswi/Agatobwe Sub-Catchment"/>
    <n v="630.72"/>
  </r>
  <r>
    <x v="3"/>
    <s v="NYABITARE"/>
    <s v="Public"/>
    <x v="0"/>
    <s v="Nyaruguru"/>
    <s v="Rusenge"/>
    <s v="NAKN_1"/>
    <s v="Giswi/Agatobwe Sub-Catchment"/>
    <n v="315.36"/>
  </r>
  <r>
    <x v="3"/>
    <s v="KAGOZI"/>
    <s v="Public"/>
    <x v="0"/>
    <s v="Nyaruguru"/>
    <s v="Rusenge"/>
    <s v="NAKN_1"/>
    <s v="Giswi/Agatobwe Sub-Catchment"/>
    <n v="2207.5200000000004"/>
  </r>
  <r>
    <x v="3"/>
    <s v="NYANZOGA"/>
    <s v="Public"/>
    <x v="0"/>
    <s v="Nyaruguru"/>
    <s v="Rusenge"/>
    <s v="NAKN_1"/>
    <s v="Giswi/Agatobwe Sub-Catchment"/>
    <n v="1576.8000000000002"/>
  </r>
  <r>
    <x v="3"/>
    <s v="KARUBAMBA"/>
    <s v="Public"/>
    <x v="0"/>
    <s v="Nyaruguru"/>
    <s v="Rusenge"/>
    <s v="NAKN_1"/>
    <s v="Giswi/Agatobwe Sub-Catchment"/>
    <n v="315.36"/>
  </r>
  <r>
    <x v="3"/>
    <s v="RWABUKATSA"/>
    <s v="Public"/>
    <x v="0"/>
    <s v="Nyaruguru"/>
    <s v="Rusenge"/>
    <s v="NAKN_1"/>
    <s v="Giswi/Agatobwe Sub-Catchment"/>
    <n v="1892.16"/>
  </r>
  <r>
    <x v="3"/>
    <s v="IRYANYIRAJANA"/>
    <s v="Public"/>
    <x v="0"/>
    <s v="Nyaruguru"/>
    <s v="Rusenge"/>
    <s v="NAKN_1"/>
    <s v="Giswi/Agatobwe Sub-Catchment"/>
    <n v="946.08"/>
  </r>
  <r>
    <x v="3"/>
    <s v="RWAGISEKE"/>
    <s v="Public"/>
    <x v="0"/>
    <s v="Nyaruguru"/>
    <s v="Rusenge"/>
    <s v="NAKN_1"/>
    <s v="Giswi/Agatobwe Sub-Catchment"/>
    <n v="630.72"/>
  </r>
  <r>
    <x v="3"/>
    <s v="RWANKUBA"/>
    <s v="Public"/>
    <x v="0"/>
    <s v="Nyaruguru"/>
    <s v="Rusenge"/>
    <s v="NAKN_1"/>
    <s v="Giswi/Agatobwe Sub-Catchment"/>
    <n v="1261.44"/>
  </r>
  <r>
    <x v="3"/>
    <s v="MUMUHENO"/>
    <s v="Public"/>
    <x v="0"/>
    <s v="Nyaruguru"/>
    <s v="Rusenge"/>
    <s v="NAKN_1"/>
    <s v="Giswi/Agatobwe Sub-Catchment"/>
    <n v="630.72"/>
  </r>
  <r>
    <x v="3"/>
    <s v="RWABIZOZA"/>
    <s v="Public"/>
    <x v="0"/>
    <s v="Nyaruguru"/>
    <s v="Rusenge"/>
    <s v="NAKN_1"/>
    <s v="Giswi/Agatobwe Sub-Catchment"/>
    <n v="1734.4800000000002"/>
  </r>
  <r>
    <x v="3"/>
    <s v="NYAKAGEZI I"/>
    <s v="Public"/>
    <x v="0"/>
    <s v="Nyaruguru"/>
    <s v="Rusenge"/>
    <s v="NAKN_1"/>
    <s v="Giswi/Agatobwe Sub-Catchment"/>
    <n v="157.68"/>
  </r>
  <r>
    <x v="3"/>
    <s v="GAKERI"/>
    <s v="Public"/>
    <x v="0"/>
    <s v="Nyaruguru"/>
    <s v="Rusenge"/>
    <s v="NAKN_1"/>
    <s v="Giswi/Agatobwe Sub-Catchment"/>
    <n v="946.08"/>
  </r>
  <r>
    <x v="3"/>
    <s v="NYABURIBA"/>
    <s v="Public"/>
    <x v="0"/>
    <s v="Nyaruguru"/>
    <s v="Rusenge"/>
    <s v="NAKN_1"/>
    <s v="Giswi/Agatobwe Sub-Catchment"/>
    <n v="630.72"/>
  </r>
  <r>
    <x v="3"/>
    <s v="GATEGE"/>
    <s v="Public"/>
    <x v="0"/>
    <s v="Nyaruguru"/>
    <s v="Rusenge"/>
    <s v="NAKN_1"/>
    <s v="Giswi/Agatobwe Sub-Catchment"/>
    <n v="946.08"/>
  </r>
  <r>
    <x v="3"/>
    <s v="RUSEKE"/>
    <s v="Public"/>
    <x v="0"/>
    <s v="Nyaruguru"/>
    <s v="Rusenge"/>
    <s v="NAKN_1"/>
    <s v="Giswi/Agatobwe Sub-Catchment"/>
    <n v="1892.16"/>
  </r>
  <r>
    <x v="3"/>
    <s v="KWAMABUYE"/>
    <s v="Public"/>
    <x v="0"/>
    <s v="Nyaruguru"/>
    <s v="Rusenge"/>
    <s v="NAKN_1"/>
    <s v="Giswi/Agatobwe Sub-Catchment"/>
    <n v="788.40000000000009"/>
  </r>
  <r>
    <x v="3"/>
    <s v="RYARINYONGA"/>
    <s v="Public"/>
    <x v="0"/>
    <s v="Nyaruguru"/>
    <s v="Rusenge"/>
    <s v="NAKN_1"/>
    <s v="Giswi/Agatobwe Sub-Catchment"/>
    <n v="1734.4800000000002"/>
  </r>
  <r>
    <x v="3"/>
    <s v="CYANYA 1"/>
    <s v="Public"/>
    <x v="0"/>
    <s v="Nyaruguru"/>
    <s v="Rusenge"/>
    <s v="NAKN_1"/>
    <s v="Giswi/Agatobwe Sub-Catchment"/>
    <n v="2365.2000000000003"/>
  </r>
  <r>
    <x v="3"/>
    <s v="MBONYI"/>
    <s v="Public"/>
    <x v="0"/>
    <s v="Nyaruguru"/>
    <s v="Rusenge"/>
    <s v="NAKN_1"/>
    <s v="Giswi/Agatobwe Sub-Catchment"/>
    <n v="946.08"/>
  </r>
  <r>
    <x v="3"/>
    <s v="GASAVE"/>
    <s v="Public"/>
    <x v="0"/>
    <s v="Nyaruguru"/>
    <s v="Rusenge"/>
    <s v="NAKN_1"/>
    <s v="Giswi/Agatobwe Sub-Catchment"/>
    <n v="2680.56"/>
  </r>
  <r>
    <x v="3"/>
    <s v="CYANYA 2"/>
    <s v="Public"/>
    <x v="0"/>
    <s v="Nyaruguru"/>
    <s v="Rusenge"/>
    <s v="NAKN_1"/>
    <s v="Giswi/Agatobwe Sub-Catchment"/>
    <n v="630.72"/>
  </r>
  <r>
    <x v="3"/>
    <s v="RUBIHA"/>
    <s v="Public"/>
    <x v="0"/>
    <s v="Nyaruguru"/>
    <s v="Rusenge"/>
    <s v="NAKN_1"/>
    <s v="Giswi/Agatobwe Sub-Catchment"/>
    <n v="788.40000000000009"/>
  </r>
  <r>
    <x v="3"/>
    <s v="NYAKAGEZI"/>
    <s v="Public"/>
    <x v="0"/>
    <s v="Nyaruguru"/>
    <s v="Rusenge"/>
    <s v="NAKN_1"/>
    <s v="Giswi/Agatobwe Sub-Catchment"/>
    <n v="315.36"/>
  </r>
  <r>
    <x v="3"/>
    <s v="BYERWA"/>
    <s v="Public"/>
    <x v="0"/>
    <s v="Nyaruguru"/>
    <s v="Rusenge"/>
    <s v="NAKN_1"/>
    <s v="Giswi/Agatobwe Sub-Catchment"/>
    <n v="315.36"/>
  </r>
  <r>
    <x v="3"/>
    <s v="NYIRAGARUKA"/>
    <s v="Public"/>
    <x v="0"/>
    <s v="Nyaruguru"/>
    <s v="Rusenge"/>
    <s v="NAKN_1"/>
    <s v="Giswi/Agatobwe Sub-Catchment"/>
    <n v="788.40000000000009"/>
  </r>
  <r>
    <x v="3"/>
    <s v="NYAKAGEZI II"/>
    <s v="Public"/>
    <x v="0"/>
    <s v="Nyaruguru"/>
    <s v="Rusenge"/>
    <s v="NAKN_1"/>
    <s v="Giswi/Agatobwe Sub-Catchment"/>
    <n v="946.08"/>
  </r>
  <r>
    <x v="3"/>
    <s v="CYARUTARE"/>
    <s v="Public"/>
    <x v="0"/>
    <s v="Nyaruguru"/>
    <s v="Rusenge"/>
    <s v="NAKN_1"/>
    <s v="Giswi/Agatobwe Sub-Catchment"/>
    <n v="946.08"/>
  </r>
  <r>
    <x v="3"/>
    <s v="NYACYONDO"/>
    <s v="Public"/>
    <x v="0"/>
    <s v="Nyaruguru"/>
    <s v="Rusenge"/>
    <s v="NAKN_1"/>
    <s v="Giswi/Agatobwe Sub-Catchment"/>
    <n v="788.40000000000009"/>
  </r>
  <r>
    <x v="3"/>
    <s v="RWARUSINE"/>
    <s v="Public"/>
    <x v="0"/>
    <s v="Nyaruguru"/>
    <s v="Rusenge"/>
    <s v="NAKN_1"/>
    <s v="Giswi/Agatobwe Sub-Catchment"/>
    <n v="3626.64"/>
  </r>
  <r>
    <x v="3"/>
    <s v="RWAKIBUNGO"/>
    <s v="Public"/>
    <x v="0"/>
    <s v="Nyaruguru"/>
    <s v="Rusenge"/>
    <s v="NAKN_1"/>
    <s v="Giswi/Agatobwe Sub-Catchment"/>
    <n v="1419.12"/>
  </r>
  <r>
    <x v="3"/>
    <s v="KARURUMA"/>
    <s v="Public"/>
    <x v="0"/>
    <s v="Nyaruguru"/>
    <s v="Rusenge"/>
    <s v="NAKN_1"/>
    <s v="Giswi/Agatobwe Sub-Catchment"/>
    <n v="473.04"/>
  </r>
  <r>
    <x v="3"/>
    <s v="NYAGATOVU"/>
    <s v="Public"/>
    <x v="0"/>
    <s v="Nyaruguru"/>
    <s v="Rusenge"/>
    <s v="NAKN_1"/>
    <s v="Giswi/Agatobwe Sub-Catchment"/>
    <n v="2049.84"/>
  </r>
  <r>
    <x v="3"/>
    <s v="RWABUKOMBE"/>
    <s v="Public"/>
    <x v="0"/>
    <s v="Nyaruguru"/>
    <s v="Rusenge"/>
    <s v="NAKN_1"/>
    <s v="Giswi/Agatobwe Sub-Catchment"/>
    <n v="2049.84"/>
  </r>
  <r>
    <x v="3"/>
    <s v="KINYAMAGANGA"/>
    <s v="Public"/>
    <x v="0"/>
    <s v="Nyaruguru"/>
    <s v="Rusenge"/>
    <s v="NAKN_1"/>
    <s v="Giswi/Agatobwe Sub-Catchment"/>
    <n v="1261.44"/>
  </r>
  <r>
    <x v="3"/>
    <s v="GATOKI"/>
    <s v="Public"/>
    <x v="0"/>
    <s v="Nyaruguru"/>
    <s v="Rusenge"/>
    <s v="NAKN_1"/>
    <s v="Giswi/Agatobwe Sub-Catchment"/>
    <n v="1892.16"/>
  </r>
  <r>
    <x v="3"/>
    <s v="RWAMUCYENE"/>
    <s v="Public"/>
    <x v="0"/>
    <s v="Nyaruguru"/>
    <s v="Rusenge"/>
    <s v="NAKN_1"/>
    <s v="Giswi/Agatobwe Sub-Catchment"/>
    <n v="315.36"/>
  </r>
  <r>
    <x v="3"/>
    <s v="NANGAMAHANE"/>
    <s v="Public"/>
    <x v="0"/>
    <s v="Nyaruguru"/>
    <s v="Rusenge"/>
    <s v="NAKN_1"/>
    <s v="Giswi/Agatobwe Sub-Catchment"/>
    <n v="630.72"/>
  </r>
  <r>
    <x v="3"/>
    <s v="NYIRANTABA"/>
    <s v="Public"/>
    <x v="0"/>
    <s v="Nyaruguru"/>
    <s v="Rusenge"/>
    <s v="NAKN_1"/>
    <s v="Giswi/Agatobwe Sub-Catchment"/>
    <n v="473.04"/>
  </r>
  <r>
    <x v="3"/>
    <s v="Kinnyogo"/>
    <s v="Public"/>
    <x v="0"/>
    <s v="Huye"/>
    <s v="Tumba"/>
    <s v="NAKN_1"/>
    <s v="Giswi/Agatobwe Sub-Catchment"/>
    <n v="630.72"/>
  </r>
  <r>
    <x v="3"/>
    <s v="Nyakagezi"/>
    <s v="Public"/>
    <x v="0"/>
    <s v="Huye"/>
    <s v="Tumba"/>
    <s v="NAKN_1"/>
    <s v="Giswi/Agatobwe Sub-Catchment"/>
    <n v="946.08"/>
  </r>
  <r>
    <x v="3"/>
    <s v="Kazibaziba"/>
    <s v="Public"/>
    <x v="0"/>
    <s v="Huye"/>
    <s v="Tumba"/>
    <s v="NAKN_1"/>
    <s v="Giswi/Agatobwe Sub-Catchment"/>
    <n v="473.04"/>
  </r>
  <r>
    <x v="3"/>
    <s v="Umureko"/>
    <s v="Public"/>
    <x v="0"/>
    <s v="Huye"/>
    <s v="Tumba"/>
    <s v="NAKN_1"/>
    <s v="Giswi/Agatobwe Sub-Catchment"/>
    <n v="788.40000000000009"/>
  </r>
  <r>
    <x v="3"/>
    <s v="Gaseke II"/>
    <s v="Public"/>
    <x v="0"/>
    <s v="Huye"/>
    <s v="Tumba"/>
    <s v="NAKN_1"/>
    <s v="Giswi/Agatobwe Sub-Catchment"/>
    <n v="1419.12"/>
  </r>
  <r>
    <x v="3"/>
    <s v="Gaseke I"/>
    <s v="Public"/>
    <x v="0"/>
    <s v="Huye"/>
    <s v="Tumba"/>
    <s v="NAKN_1"/>
    <s v="Giswi/Agatobwe Sub-Catchment"/>
    <n v="630.72"/>
  </r>
  <r>
    <x v="3"/>
    <s v="Gasyo"/>
    <s v="Public"/>
    <x v="0"/>
    <s v="Huye"/>
    <s v="Tumba"/>
    <s v="NAKN_1"/>
    <s v="Giswi/Agatobwe Sub-Catchment"/>
    <n v="1261.44"/>
  </r>
  <r>
    <x v="3"/>
    <s v="Akagezi"/>
    <s v="Public"/>
    <x v="0"/>
    <s v="Huye"/>
    <s v="Tumba"/>
    <s v="NAKN_1"/>
    <s v="Giswi/Agatobwe Sub-Catchment"/>
    <n v="2049.84"/>
  </r>
  <r>
    <x v="3"/>
    <s v="Nyamagana II"/>
    <s v="Public"/>
    <x v="0"/>
    <s v="Huye"/>
    <s v="Tumba"/>
    <s v="NAKN_1"/>
    <s v="Giswi/Agatobwe Sub-Catchment"/>
    <n v="3153.6000000000004"/>
  </r>
  <r>
    <x v="3"/>
    <s v="Nyamagana I"/>
    <s v="Public"/>
    <x v="0"/>
    <s v="Huye"/>
    <s v="Tumba"/>
    <s v="NAKN_1"/>
    <s v="Giswi/Agatobwe Sub-Catchment"/>
    <n v="4099.68"/>
  </r>
  <r>
    <x v="3"/>
    <s v="Cyahafi II"/>
    <s v="Public"/>
    <x v="0"/>
    <s v="Huye"/>
    <s v="Tumba"/>
    <s v="NAKN_1"/>
    <s v="Giswi/Agatobwe Sub-Catchment"/>
    <n v="1103.7600000000002"/>
  </r>
  <r>
    <x v="3"/>
    <s v="Gahama"/>
    <s v="Public"/>
    <x v="0"/>
    <s v="Huye"/>
    <s v="Tumba"/>
    <s v="NAKN_1"/>
    <s v="Giswi/Agatobwe Sub-Catchment"/>
    <n v="946.08"/>
  </r>
  <r>
    <x v="3"/>
    <s v="Cyahafi I"/>
    <s v="Public"/>
    <x v="0"/>
    <s v="Huye"/>
    <s v="Tumba"/>
    <s v="NAKN_1"/>
    <s v="Giswi/Agatobwe Sub-Catchment"/>
    <n v="1261.44"/>
  </r>
  <r>
    <x v="3"/>
    <s v="Ntemba"/>
    <s v="Public"/>
    <x v="0"/>
    <s v="Huye"/>
    <s v="Tumba"/>
    <s v="NAKN_1"/>
    <s v="Giswi/Agatobwe Sub-Catchment"/>
    <n v="2365.2000000000003"/>
  </r>
  <r>
    <x v="3"/>
    <s v="Kivomo"/>
    <s v="Public"/>
    <x v="0"/>
    <s v="Huye"/>
    <s v="Tumba"/>
    <s v="NAKN_1"/>
    <s v="Giswi/Agatobwe Sub-Catchment"/>
    <n v="946.08"/>
  </r>
  <r>
    <x v="3"/>
    <s v="Nyakigezi"/>
    <s v="Public"/>
    <x v="0"/>
    <s v="Huye"/>
    <s v="Tumba"/>
    <s v="NAKN_1"/>
    <s v="Giswi/Agatobwe Sub-Catchment"/>
    <n v="946.08"/>
  </r>
  <r>
    <x v="3"/>
    <s v="Nyamagabe"/>
    <s v="Public"/>
    <x v="0"/>
    <s v="Huye"/>
    <s v="Tumba"/>
    <s v="NAKN_1"/>
    <s v="Giswi/Agatobwe Sub-Catchment"/>
    <n v="788.40000000000009"/>
  </r>
  <r>
    <x v="3"/>
    <s v="Nyakagezi"/>
    <s v="Public"/>
    <x v="0"/>
    <s v="Huye"/>
    <s v="Tumba"/>
    <s v="NAKN_1"/>
    <s v="Giswi/Agatobwe Sub-Catchment"/>
    <n v="946.08"/>
  </r>
  <r>
    <x v="3"/>
    <s v="Kabande"/>
    <s v="Public"/>
    <x v="0"/>
    <s v="Huye"/>
    <s v="Tumba"/>
    <s v="NAKN_1"/>
    <s v="Giswi/Agatobwe Sub-Catchment"/>
    <n v="5676.48"/>
  </r>
  <r>
    <x v="3"/>
    <s v="Katongo"/>
    <s v="Public"/>
    <x v="0"/>
    <s v="Huye"/>
    <s v="Tumba"/>
    <s v="NAKN_1"/>
    <s v="Giswi/Agatobwe Sub-Catchment"/>
    <n v="1734.4800000000002"/>
  </r>
  <r>
    <x v="3"/>
    <s v="Nyakagezi II"/>
    <s v="Public"/>
    <x v="0"/>
    <s v="Huye"/>
    <s v="Tumba"/>
    <s v="NAKN_1"/>
    <s v="Giswi/Agatobwe Sub-Catchment"/>
    <n v="1261.44"/>
  </r>
  <r>
    <x v="3"/>
    <s v="Rusake"/>
    <s v="Public"/>
    <x v="0"/>
    <s v="Huye"/>
    <s v="Tumba"/>
    <s v="NAKN_1"/>
    <s v="Giswi/Agatobwe Sub-Catchment"/>
    <n v="946.08"/>
  </r>
  <r>
    <x v="3"/>
    <s v="Kinyanzige"/>
    <s v="Public"/>
    <x v="0"/>
    <s v="Huye"/>
    <s v="Tumba"/>
    <s v="NAKN_1"/>
    <s v="Giswi/Agatobwe Sub-Catchment"/>
    <n v="788.40000000000009"/>
  </r>
  <r>
    <x v="3"/>
    <s v="Nyirampanga1"/>
    <s v="Public"/>
    <x v="0"/>
    <s v="Huye"/>
    <s v="Tumba"/>
    <s v="NAKN_1"/>
    <s v="Giswi/Agatobwe Sub-Catchment"/>
    <n v="2522.88"/>
  </r>
  <r>
    <x v="3"/>
    <s v="Kanzarwe"/>
    <s v="Public"/>
    <x v="0"/>
    <s v="Huye"/>
    <s v="Tumba"/>
    <s v="NAKN_1"/>
    <s v="Giswi/Agatobwe Sub-Catchment"/>
    <n v="1103.7600000000002"/>
  </r>
  <r>
    <x v="3"/>
    <s v="Nyirampanga2"/>
    <s v="Public"/>
    <x v="0"/>
    <s v="Huye"/>
    <s v="Tumba"/>
    <s v="NAKN_1"/>
    <s v="Giswi/Agatobwe Sub-Catchment"/>
    <n v="473.04"/>
  </r>
  <r>
    <x v="3"/>
    <s v="Rwasamba"/>
    <s v="Public"/>
    <x v="0"/>
    <s v="Huye"/>
    <s v="Tumba"/>
    <s v="NAKN_1"/>
    <s v="Giswi/Agatobwe Sub-Catchment"/>
    <n v="1103.7600000000002"/>
  </r>
  <r>
    <x v="3"/>
    <s v="Kabingo"/>
    <s v="Public"/>
    <x v="0"/>
    <s v="Huye"/>
    <s v="Tumba"/>
    <s v="NAKN_1"/>
    <s v="Giswi/Agatobwe Sub-Catchment"/>
    <n v="946.08"/>
  </r>
  <r>
    <x v="3"/>
    <s v="Nyirampanga3"/>
    <s v="Public"/>
    <x v="0"/>
    <s v="Huye"/>
    <s v="Tumba"/>
    <s v="NAKN_1"/>
    <s v="Giswi/Agatobwe Sub-Catchment"/>
    <n v="5676.48"/>
  </r>
  <r>
    <x v="3"/>
    <s v="Nyirampanga"/>
    <s v="Public"/>
    <x v="0"/>
    <s v="Huye"/>
    <s v="Tumba"/>
    <s v="NAKN_1"/>
    <s v="Giswi/Agatobwe Sub-Catchment"/>
    <n v="3153.6000000000004"/>
  </r>
  <r>
    <x v="3"/>
    <s v="Kiruhura"/>
    <s v="Public"/>
    <x v="0"/>
    <s v="Huye"/>
    <s v="Tumba"/>
    <s v="NAKN_1"/>
    <s v="Giswi/Agatobwe Sub-Catchment"/>
    <n v="788.40000000000009"/>
  </r>
  <r>
    <x v="3"/>
    <s v="Rushiru"/>
    <s v="Public"/>
    <x v="0"/>
    <s v="Huye"/>
    <s v="Tumba"/>
    <s v="NAKN_1"/>
    <s v="Giswi/Agatobwe Sub-Catchment"/>
    <n v="946.08"/>
  </r>
  <r>
    <x v="3"/>
    <s v="Mucyamo"/>
    <s v="Public"/>
    <x v="0"/>
    <s v="Huye"/>
    <s v="Tumba"/>
    <s v="NAKN_1"/>
    <s v="Giswi/Agatobwe Sub-Catchment"/>
    <n v="2680.56"/>
  </r>
  <r>
    <x v="3"/>
    <s v="Rwega"/>
    <s v="Public"/>
    <x v="0"/>
    <s v="Huye"/>
    <s v="Tumba"/>
    <s v="NAKN_1"/>
    <s v="Giswi/Agatobwe Sub-Catchment"/>
    <n v="1103.7600000000002"/>
  </r>
  <r>
    <x v="3"/>
    <s v="Kamuragi"/>
    <s v="Public"/>
    <x v="0"/>
    <s v="Huye"/>
    <s v="Tumba"/>
    <s v="NAKN_1"/>
    <s v="Giswi/Agatobwe Sub-Catchment"/>
    <n v="0"/>
  </r>
  <r>
    <x v="3"/>
    <s v="Rwampoma"/>
    <s v="Public"/>
    <x v="0"/>
    <s v="Huye"/>
    <s v="Tumba"/>
    <s v="NAKN_1"/>
    <s v="Giswi/Agatobwe Sub-Catchment"/>
    <n v="946.08"/>
  </r>
  <r>
    <x v="3"/>
    <s v="Nyakagezi II"/>
    <s v="Public"/>
    <x v="0"/>
    <s v="Huye"/>
    <s v="Tumba"/>
    <s v="NAKN_1"/>
    <s v="Giswi/Agatobwe Sub-Catchment"/>
    <n v="473.04"/>
  </r>
  <r>
    <x v="3"/>
    <s v="Nyakarambi"/>
    <s v="Public"/>
    <x v="0"/>
    <s v="Huye"/>
    <s v="Tumba"/>
    <s v="NAKN_1"/>
    <s v="Giswi/Agatobwe Sub-Catchment"/>
    <n v="788.40000000000009"/>
  </r>
  <r>
    <x v="3"/>
    <s v="Kanyonyo"/>
    <s v="Public"/>
    <x v="0"/>
    <s v="Huye"/>
    <s v="Tumba"/>
    <s v="NAKN_1"/>
    <s v="Giswi/Agatobwe Sub-Catchment"/>
    <n v="788.40000000000009"/>
  </r>
  <r>
    <x v="3"/>
    <s v="Kannyogo"/>
    <s v="Public"/>
    <x v="0"/>
    <s v="Huye"/>
    <s v="Tumba"/>
    <s v="NAKN_1"/>
    <s v="Giswi/Agatobwe Sub-Catchment"/>
    <n v="788.40000000000009"/>
  </r>
  <r>
    <x v="3"/>
    <s v="Munyinya"/>
    <s v="Public"/>
    <x v="0"/>
    <s v="Huye"/>
    <s v="Tumba"/>
    <s v="NAKN_1"/>
    <s v="Giswi/Agatobwe Sub-Catchment"/>
    <n v="1103.7600000000002"/>
  </r>
  <r>
    <x v="3"/>
    <s v="Rukingu"/>
    <s v="Public"/>
    <x v="0"/>
    <s v="Huye"/>
    <s v="Tumba"/>
    <s v="NAKN_1"/>
    <s v="Giswi/Agatobwe Sub-Catchment"/>
    <n v="1103.7600000000002"/>
  </r>
  <r>
    <x v="3"/>
    <s v="Kariba"/>
    <s v="Public"/>
    <x v="0"/>
    <s v="Huye"/>
    <s v="Tumba"/>
    <s v="NAKN_1"/>
    <s v="Giswi/Agatobwe Sub-Catchment"/>
    <n v="315.36"/>
  </r>
  <r>
    <x v="3"/>
    <s v="Kabeza"/>
    <s v="Public"/>
    <x v="0"/>
    <s v="Huye"/>
    <s v="Tumba"/>
    <s v="NAKN_1"/>
    <s v="Giswi/Agatobwe Sub-Catchment"/>
    <n v="473.04"/>
  </r>
  <r>
    <x v="3"/>
    <s v="Nyakagezi"/>
    <s v="Public"/>
    <x v="0"/>
    <s v="Huye"/>
    <s v="Tumba"/>
    <s v="NAKN_1"/>
    <s v="Giswi/Agatobwe Sub-Catchment"/>
    <n v="630.72"/>
  </r>
  <r>
    <x v="3"/>
    <s v="KANYINYA"/>
    <s v="Public"/>
    <x v="0"/>
    <s v="Huye"/>
    <s v="Tumba"/>
    <s v="NAKN_1"/>
    <s v="Giswi/Agatobwe Sub-Catchment"/>
    <n v="1892.16"/>
  </r>
  <r>
    <x v="3"/>
    <s v="RWANTAMBABAZI"/>
    <s v="Public"/>
    <x v="0"/>
    <s v="Huye"/>
    <s v="Tumba"/>
    <s v="NAKN_1"/>
    <s v="Giswi/Agatobwe Sub-Catchment"/>
    <n v="1261.44"/>
  </r>
  <r>
    <x v="3"/>
    <s v="BYIMANA"/>
    <s v="Public"/>
    <x v="0"/>
    <s v="Huye"/>
    <s v="Tumba"/>
    <s v="NAKN_1"/>
    <s v="Giswi/Agatobwe Sub-Catchment"/>
    <n v="0"/>
  </r>
  <r>
    <x v="3"/>
    <s v="KABASENGO"/>
    <s v="Public"/>
    <x v="0"/>
    <s v="Huye"/>
    <s v="Tumba"/>
    <s v="NAKN_1"/>
    <s v="Giswi/Agatobwe Sub-Catchment"/>
    <n v="3311.2799999999997"/>
  </r>
  <r>
    <x v="3"/>
    <s v="GASEKE"/>
    <s v="Public"/>
    <x v="0"/>
    <s v="Huye"/>
    <s v="Tumba"/>
    <s v="NAKN_1"/>
    <s v="Giswi/Agatobwe Sub-Catchment"/>
    <n v="2365.2000000000003"/>
  </r>
  <r>
    <x v="3"/>
    <s v="RWAMUHIRE"/>
    <s v="Public"/>
    <x v="0"/>
    <s v="Huye"/>
    <s v="Tumba"/>
    <s v="NAKN_1"/>
    <s v="Giswi/Agatobwe Sub-Catchment"/>
    <n v="3784.32"/>
  </r>
  <r>
    <x v="3"/>
    <s v="NYAGISENYI"/>
    <s v="Public"/>
    <x v="0"/>
    <s v="Huye"/>
    <s v="Tumba"/>
    <s v="NAKN_1"/>
    <s v="Giswi/Agatobwe Sub-Catchment"/>
    <n v="2680.56"/>
  </r>
  <r>
    <x v="3"/>
    <s v="NANGAMAHORO"/>
    <s v="Public"/>
    <x v="0"/>
    <s v="Huye"/>
    <s v="Tumba"/>
    <s v="NAKN_1"/>
    <s v="Giswi/Agatobwe Sub-Catchment"/>
    <n v="1734.4800000000002"/>
  </r>
  <r>
    <x v="3"/>
    <s v="NYAMATA"/>
    <s v="Public"/>
    <x v="0"/>
    <s v="Huye"/>
    <s v="Tumba"/>
    <s v="NAKN_1"/>
    <s v="Giswi/Agatobwe Sub-Catchment"/>
    <n v="0"/>
  </r>
  <r>
    <x v="3"/>
    <s v="RWAMUHINDA"/>
    <s v="Public"/>
    <x v="0"/>
    <s v="Huye"/>
    <s v="Tumba"/>
    <s v="NAKN_1"/>
    <s v="Giswi/Agatobwe Sub-Catchment"/>
    <n v="9460.8000000000011"/>
  </r>
  <r>
    <x v="3"/>
    <s v="KANEKE"/>
    <s v="Public"/>
    <x v="0"/>
    <s v="Huye"/>
    <s v="Tumba"/>
    <s v="NAKN_1"/>
    <s v="Giswi/Agatobwe Sub-Catchment"/>
    <n v="3153.6000000000004"/>
  </r>
  <r>
    <x v="3"/>
    <s v="GATOKI"/>
    <s v="Public"/>
    <x v="0"/>
    <s v="Huye"/>
    <s v="Tumba"/>
    <s v="NAKN_1"/>
    <s v="Giswi/Agatobwe Sub-Catchment"/>
    <n v="3311.2799999999997"/>
  </r>
  <r>
    <x v="3"/>
    <s v="NYAMUKO I"/>
    <s v="Public"/>
    <x v="0"/>
    <s v="Huye"/>
    <s v="Tumba"/>
    <s v="NAKN_1"/>
    <s v="Giswi/Agatobwe Sub-Catchment"/>
    <n v="3153.6000000000004"/>
  </r>
  <r>
    <x v="3"/>
    <s v="RWARUSHYENDE"/>
    <s v="Public"/>
    <x v="0"/>
    <s v="Huye"/>
    <s v="Tumba"/>
    <s v="NAKN_1"/>
    <s v="Giswi/Agatobwe Sub-Catchment"/>
    <n v="1892.16"/>
  </r>
  <r>
    <x v="3"/>
    <s v="NYAMUKO II"/>
    <s v="Public"/>
    <x v="0"/>
    <s v="Huye"/>
    <s v="Tumba"/>
    <s v="NAKN_1"/>
    <s v="Giswi/Agatobwe Sub-Catchment"/>
    <n v="1892.16"/>
  </r>
  <r>
    <x v="3"/>
    <s v="IRYAYOWERE"/>
    <s v="Public"/>
    <x v="0"/>
    <s v="Huye"/>
    <s v="Tumba"/>
    <s v="NAKN_1"/>
    <s v="Giswi/Agatobwe Sub-Catchment"/>
    <n v="1892.16"/>
  </r>
  <r>
    <x v="3"/>
    <s v="GATARE"/>
    <s v="Public"/>
    <x v="0"/>
    <s v="Huye"/>
    <s v="Tumba"/>
    <s v="NAKN_1"/>
    <s v="Giswi/Agatobwe Sub-Catchment"/>
    <n v="10564.56"/>
  </r>
  <r>
    <x v="3"/>
    <s v="GAHAMA"/>
    <s v="Public"/>
    <x v="0"/>
    <s v="Huye"/>
    <s v="Tumba"/>
    <s v="NAKN_1"/>
    <s v="Giswi/Agatobwe Sub-Catchment"/>
    <n v="2522.88"/>
  </r>
  <r>
    <x v="3"/>
    <s v="NYAKARIBA"/>
    <s v="Public"/>
    <x v="0"/>
    <s v="Huye"/>
    <s v="Tumba"/>
    <s v="NAKN_1"/>
    <s v="Giswi/Agatobwe Sub-Catchment"/>
    <n v="3942.0000000000005"/>
  </r>
  <r>
    <x v="3"/>
    <s v="RWASENDORA"/>
    <s v="Public"/>
    <x v="0"/>
    <s v="Huye"/>
    <s v="Tumba"/>
    <s v="NAKN_1"/>
    <s v="Giswi/Agatobwe Sub-Catchment"/>
    <n v="3942.0000000000005"/>
  </r>
  <r>
    <x v="3"/>
    <s v="KAMUGENGE"/>
    <s v="Public"/>
    <x v="0"/>
    <s v="Huye"/>
    <s v="Tumba"/>
    <s v="NAKN_1"/>
    <s v="Giswi/Agatobwe Sub-Catchment"/>
    <n v="4730.4000000000005"/>
  </r>
  <r>
    <x v="3"/>
    <s v="KAGINA"/>
    <s v="Public"/>
    <x v="0"/>
    <s v="Huye"/>
    <s v="Tumba"/>
    <s v="NAKN_1"/>
    <s v="Giswi/Agatobwe Sub-Catchment"/>
    <n v="3942.0000000000005"/>
  </r>
  <r>
    <x v="3"/>
    <s v="KADAHOKWA"/>
    <s v="Public"/>
    <x v="0"/>
    <s v="Huye"/>
    <s v="Tumba"/>
    <s v="NAKN_1"/>
    <s v="Giswi/Agatobwe Sub-Catchment"/>
    <n v="2522.88"/>
  </r>
  <r>
    <x v="3"/>
    <s v="Mutukura"/>
    <s v="Public"/>
    <x v="0"/>
    <s v="Huye"/>
    <s v="Tumba"/>
    <s v="NAKN_1"/>
    <s v="Giswi/Agatobwe Sub-Catchment"/>
    <n v="1103.7600000000002"/>
  </r>
  <r>
    <x v="3"/>
    <s v="SAMUNYORI"/>
    <s v="Public"/>
    <x v="0"/>
    <s v="Nyamasheke"/>
    <s v="Bushekeri"/>
    <s v="CKIV_3"/>
    <s v="Kamiranzovu Sub-Catchment"/>
    <n v="1261.44"/>
  </r>
  <r>
    <x v="3"/>
    <s v="RUKARAKARA"/>
    <s v="Public"/>
    <x v="0"/>
    <s v="Nyamasheke"/>
    <s v="Bushekeri"/>
    <s v="CKIV_3"/>
    <s v="Kamiranzovu Sub-Catchment"/>
    <n v="4257.3600000000006"/>
  </r>
  <r>
    <x v="3"/>
    <s v="NYAKAGEZI"/>
    <s v="Public"/>
    <x v="0"/>
    <s v="Nyamasheke"/>
    <s v="Bushekeri"/>
    <s v="CKIV_3"/>
    <s v="Kamiranzovu Sub-Catchment"/>
    <n v="4257.3600000000006"/>
  </r>
  <r>
    <x v="3"/>
    <s v="GASEBEYA"/>
    <s v="Public"/>
    <x v="0"/>
    <s v="Nyamasheke"/>
    <s v="Bushekeri"/>
    <s v="CKIV_3"/>
    <s v="Kamiranzovu Sub-Catchment"/>
    <n v="2365.2000000000003"/>
  </r>
  <r>
    <x v="3"/>
    <s v="KABINGO"/>
    <s v="Public"/>
    <x v="0"/>
    <s v="Nyamasheke"/>
    <s v="Bushekeri"/>
    <s v="CKIV_3"/>
    <s v="Kamiranzovu Sub-Catchment"/>
    <n v="946.08"/>
  </r>
  <r>
    <x v="3"/>
    <s v="KINNYOGO"/>
    <s v="Public"/>
    <x v="0"/>
    <s v="Nyamasheke"/>
    <s v="Bushekeri"/>
    <s v="CKIV_3"/>
    <s v="Kamiranzovu Sub-Catchment"/>
    <n v="3311.2799999999997"/>
  </r>
  <r>
    <x v="3"/>
    <s v="KAGEZI"/>
    <s v="Public"/>
    <x v="0"/>
    <s v="Nyamasheke"/>
    <s v="Bushekeri"/>
    <s v="CKIV_3"/>
    <s v="Kamiranzovu Sub-Catchment"/>
    <n v="3153.6000000000004"/>
  </r>
  <r>
    <x v="3"/>
    <s v="NYAKAGEZI"/>
    <s v="Public"/>
    <x v="0"/>
    <s v="Nyamasheke"/>
    <s v="Bushekeri"/>
    <s v="CKIV_3"/>
    <s v="Kamiranzovu Sub-Catchment"/>
    <n v="1892.16"/>
  </r>
  <r>
    <x v="3"/>
    <s v="RUZIBIRA"/>
    <s v="Public"/>
    <x v="0"/>
    <s v="Nyamasheke"/>
    <s v="Bushekeri"/>
    <s v="CKIV_3"/>
    <s v="Kamiranzovu Sub-Catchment"/>
    <n v="8672.4000000000015"/>
  </r>
  <r>
    <x v="3"/>
    <s v="RUGOMERO"/>
    <s v="Public"/>
    <x v="0"/>
    <s v="Nyamasheke"/>
    <s v="Bushekeri"/>
    <s v="CKIV_3"/>
    <s v="Kamiranzovu Sub-Catchment"/>
    <n v="11195.28"/>
  </r>
  <r>
    <x v="3"/>
    <s v="KANYEMPANGA"/>
    <s v="Public"/>
    <x v="0"/>
    <s v="Nyamasheke"/>
    <s v="Bushekeri"/>
    <s v="CKIV_3"/>
    <s v="Kamiranzovu Sub-Catchment"/>
    <n v="788.40000000000009"/>
  </r>
  <r>
    <x v="3"/>
    <s v="RYANYAMURI"/>
    <s v="Public"/>
    <x v="0"/>
    <s v="Nyamasheke"/>
    <s v="Bushekeri"/>
    <s v="CKIV_3"/>
    <s v="Kamiranzovu Sub-Catchment"/>
    <n v="7884.0000000000009"/>
  </r>
  <r>
    <x v="3"/>
    <s v="CYANYAMAKOMBE"/>
    <s v="Public"/>
    <x v="0"/>
    <s v="Nyamasheke"/>
    <s v="Bushenge"/>
    <s v="CKIV_3"/>
    <s v="Kamiranzovu Sub-Catchment"/>
    <n v="2365.2000000000003"/>
  </r>
  <r>
    <x v="3"/>
    <s v="NYARUTOVU"/>
    <s v="Public"/>
    <x v="0"/>
    <s v="Nyamasheke"/>
    <s v="Bushenge"/>
    <s v="CKIV_3"/>
    <s v="Kamiranzovu Sub-Catchment"/>
    <n v="788.40000000000009"/>
  </r>
  <r>
    <x v="3"/>
    <s v="GATENGA"/>
    <s v="Public"/>
    <x v="0"/>
    <s v="Nyamasheke"/>
    <s v="Bushenge"/>
    <s v="CKIV_3"/>
    <s v="Kamiranzovu Sub-Catchment"/>
    <n v="8672.4000000000015"/>
  </r>
  <r>
    <x v="3"/>
    <s v="GATARE"/>
    <s v="Public"/>
    <x v="0"/>
    <s v="Nyamasheke"/>
    <s v="Bushenge"/>
    <s v="CKIV_3"/>
    <s v="Kamiranzovu Sub-Catchment"/>
    <n v="3784.32"/>
  </r>
  <r>
    <x v="3"/>
    <s v="RYAMAERI"/>
    <s v="Public"/>
    <x v="0"/>
    <s v="Nyamasheke"/>
    <s v="Bushenge"/>
    <s v="CKIV_3"/>
    <s v="Kamiranzovu Sub-Catchment"/>
    <n v="1419.12"/>
  </r>
  <r>
    <x v="3"/>
    <s v="GAKOMA"/>
    <s v="Public"/>
    <x v="0"/>
    <s v="Nyamasheke"/>
    <s v="Bushenge"/>
    <s v="CKIV_3"/>
    <s v="Kamiranzovu Sub-Catchment"/>
    <n v="11195.28"/>
  </r>
  <r>
    <x v="3"/>
    <s v="KARUGANDO"/>
    <s v="Public"/>
    <x v="0"/>
    <s v="Nyamasheke"/>
    <s v="Bushenge"/>
    <s v="CKIV_3"/>
    <s v="Kamiranzovu Sub-Catchment"/>
    <n v="4888.0800000000008"/>
  </r>
  <r>
    <x v="3"/>
    <s v="KASONERA"/>
    <s v="Public"/>
    <x v="0"/>
    <s v="Nyamasheke"/>
    <s v="Bushenge"/>
    <s v="CKIV_3"/>
    <s v="Kamiranzovu Sub-Catchment"/>
    <n v="2049.84"/>
  </r>
  <r>
    <x v="3"/>
    <s v="RUKUMBUGURU"/>
    <s v="Public"/>
    <x v="0"/>
    <s v="Nyamasheke"/>
    <s v="Bushenge"/>
    <s v="CKIV_3"/>
    <s v="Kamiranzovu Sub-Catchment"/>
    <n v="4099.68"/>
  </r>
  <r>
    <x v="3"/>
    <s v="TETE"/>
    <s v="Public"/>
    <x v="0"/>
    <s v="Nyamasheke"/>
    <s v="Bushenge"/>
    <s v="CKIV_3"/>
    <s v="Kamiranzovu Sub-Catchment"/>
    <n v="8672.4000000000015"/>
  </r>
  <r>
    <x v="3"/>
    <s v="NYAKABINGO II"/>
    <s v="Public"/>
    <x v="0"/>
    <s v="Nyamasheke"/>
    <s v="Bushenge"/>
    <s v="CKIV_3"/>
    <s v="Kamiranzovu Sub-Catchment"/>
    <n v="1419.12"/>
  </r>
  <r>
    <x v="3"/>
    <s v="GAKO"/>
    <s v="Public"/>
    <x v="0"/>
    <s v="Nyamasheke"/>
    <s v="Bushenge"/>
    <s v="CKIV_3"/>
    <s v="Kamiranzovu Sub-Catchment"/>
    <n v="4257.3600000000006"/>
  </r>
  <r>
    <x v="3"/>
    <s v="RUVURUGA"/>
    <s v="Public"/>
    <x v="0"/>
    <s v="Nyamasheke"/>
    <s v="Bushenge"/>
    <s v="CKIV_3"/>
    <s v="Kamiranzovu Sub-Catchment"/>
    <n v="2049.84"/>
  </r>
  <r>
    <x v="3"/>
    <s v="KANYONGA"/>
    <s v="Public"/>
    <x v="0"/>
    <s v="Nyamasheke"/>
    <s v="Bushenge"/>
    <s v="CKIV_3"/>
    <s v="Kamiranzovu Sub-Catchment"/>
    <n v="2049.84"/>
  </r>
  <r>
    <x v="3"/>
    <s v="KAJAGAMA"/>
    <s v="Public"/>
    <x v="0"/>
    <s v="Nyamasheke"/>
    <s v="Bushenge"/>
    <s v="CKIV_3"/>
    <s v="Kamiranzovu Sub-Catchment"/>
    <n v="1419.12"/>
  </r>
  <r>
    <x v="3"/>
    <s v="KANYIRAREMBO"/>
    <s v="Public"/>
    <x v="0"/>
    <s v="Nyamasheke"/>
    <s v="Bushenge"/>
    <s v="CKIV_3"/>
    <s v="Kamiranzovu Sub-Catchment"/>
    <n v="2365.2000000000003"/>
  </r>
  <r>
    <x v="3"/>
    <s v="GAHONGO"/>
    <s v="Public"/>
    <x v="0"/>
    <s v="Nyamasheke"/>
    <s v="Bushenge"/>
    <s v="CKIV_3"/>
    <s v="Kamiranzovu Sub-Catchment"/>
    <n v="11195.28"/>
  </r>
  <r>
    <x v="3"/>
    <s v="NYARUGABIRO"/>
    <s v="Public"/>
    <x v="0"/>
    <s v="Nyamasheke"/>
    <s v="Bushenge"/>
    <s v="CKIV_3"/>
    <s v="Kamiranzovu Sub-Catchment"/>
    <n v="4888.0800000000008"/>
  </r>
  <r>
    <x v="3"/>
    <s v="KARUNGA"/>
    <s v="Public"/>
    <x v="0"/>
    <s v="Nyamasheke"/>
    <s v="Bushenge"/>
    <s v="CKIV_3"/>
    <s v="Kamiranzovu Sub-Catchment"/>
    <n v="3626.64"/>
  </r>
  <r>
    <x v="3"/>
    <s v="RYARUSINE"/>
    <s v="Public"/>
    <x v="0"/>
    <s v="Nyamasheke"/>
    <s v="Bushenge"/>
    <s v="CKIV_3"/>
    <s v="Kamiranzovu Sub-Catchment"/>
    <n v="2049.84"/>
  </r>
  <r>
    <x v="3"/>
    <s v="KARUSHOMBO"/>
    <s v="Public"/>
    <x v="0"/>
    <s v="Nyamasheke"/>
    <s v="Bushenge"/>
    <s v="CKIV_3"/>
    <s v="Kamiranzovu Sub-Catchment"/>
    <n v="2522.88"/>
  </r>
  <r>
    <x v="3"/>
    <s v="GASHINGE"/>
    <s v="Public"/>
    <x v="0"/>
    <s v="Nyamasheke"/>
    <s v="Bushenge"/>
    <s v="CKIV_3"/>
    <s v="Kamiranzovu Sub-Catchment"/>
    <n v="4888.0800000000008"/>
  </r>
  <r>
    <x v="3"/>
    <s v="KABINGO"/>
    <s v="Public"/>
    <x v="0"/>
    <s v="Nyamasheke"/>
    <s v="Bushenge"/>
    <s v="CKIV_3"/>
    <s v="Kamiranzovu Sub-Catchment"/>
    <n v="0"/>
  </r>
  <r>
    <x v="3"/>
    <s v="GATEMBO II"/>
    <s v="Public"/>
    <x v="0"/>
    <s v="Nyamasheke"/>
    <s v="Bushenge"/>
    <s v="CKIV_3"/>
    <s v="Kamiranzovu Sub-Catchment"/>
    <n v="1103.7600000000002"/>
  </r>
  <r>
    <x v="3"/>
    <s v="MUKAMENA"/>
    <s v="Public"/>
    <x v="0"/>
    <s v="Nyamasheke"/>
    <s v="Bushenge"/>
    <s v="CKIV_3"/>
    <s v="Kamiranzovu Sub-Catchment"/>
    <n v="4257.3600000000006"/>
  </r>
  <r>
    <x v="3"/>
    <s v="GASHEKE"/>
    <s v="Public"/>
    <x v="0"/>
    <s v="Nyamasheke"/>
    <s v="Bushenge"/>
    <s v="CKIV_3"/>
    <s v="Kamiranzovu Sub-Catchment"/>
    <n v="2049.84"/>
  </r>
  <r>
    <x v="3"/>
    <s v="N.RAMBEREGEZA"/>
    <s v="Public"/>
    <x v="0"/>
    <s v="Nyamasheke"/>
    <s v="Bushenge"/>
    <s v="CKIV_3"/>
    <s v="Kamiranzovu Sub-Catchment"/>
    <n v="788.40000000000009"/>
  </r>
  <r>
    <x v="3"/>
    <s v="KABIRO"/>
    <s v="Public"/>
    <x v="0"/>
    <s v="Nyamasheke"/>
    <s v="Bushenge"/>
    <s v="CKIV_3"/>
    <s v="Kamiranzovu Sub-Catchment"/>
    <n v="1261.44"/>
  </r>
  <r>
    <x v="3"/>
    <s v="KANYUNDO"/>
    <s v="Public"/>
    <x v="0"/>
    <s v="Nyamasheke"/>
    <s v="Bushenge"/>
    <s v="CKIV_3"/>
    <s v="Kamiranzovu Sub-Catchment"/>
    <n v="3626.64"/>
  </r>
  <r>
    <x v="3"/>
    <s v="MUNINI"/>
    <s v="Public"/>
    <x v="0"/>
    <s v="Nyamasheke"/>
    <s v="Cyato"/>
    <s v="CKIV_3"/>
    <s v="Kamiranzovu Sub-Catchment"/>
    <n v="946.08"/>
  </r>
  <r>
    <x v="3"/>
    <s v="GISUNYU"/>
    <s v="Public"/>
    <x v="0"/>
    <s v="Nyamasheke"/>
    <s v="Cyato"/>
    <s v="CKIV_3"/>
    <s v="Kamiranzovu Sub-Catchment"/>
    <n v="946.08"/>
  </r>
  <r>
    <x v="3"/>
    <s v="TABA"/>
    <s v="Public"/>
    <x v="0"/>
    <s v="Nyamasheke"/>
    <s v="Cyato"/>
    <s v="CKIV_3"/>
    <s v="Kamiranzovu Sub-Catchment"/>
    <n v="2049.84"/>
  </r>
  <r>
    <x v="3"/>
    <s v="KAYO II"/>
    <s v="Public"/>
    <x v="0"/>
    <s v="Nyamasheke"/>
    <s v="Cyato"/>
    <s v="CKIV_3"/>
    <s v="Kamiranzovu Sub-Catchment"/>
    <n v="1103.7600000000002"/>
  </r>
  <r>
    <x v="3"/>
    <s v="KIVUMU"/>
    <s v="Public"/>
    <x v="0"/>
    <s v="Nyamasheke"/>
    <s v="Cyato"/>
    <s v="CKIV_3"/>
    <s v="Kamiranzovu Sub-Catchment"/>
    <n v="2049.84"/>
  </r>
  <r>
    <x v="3"/>
    <s v="GASASA"/>
    <s v="Public"/>
    <x v="0"/>
    <s v="Nyamasheke"/>
    <s v="Cyato"/>
    <s v="CKIV_3"/>
    <s v="Kamiranzovu Sub-Catchment"/>
    <n v="2365.2000000000003"/>
  </r>
  <r>
    <x v="3"/>
    <s v="HANGARI"/>
    <s v="Public"/>
    <x v="0"/>
    <s v="Nyamasheke"/>
    <s v="Cyato"/>
    <s v="CKIV_3"/>
    <s v="Kamiranzovu Sub-Catchment"/>
    <n v="2207.5200000000004"/>
  </r>
  <r>
    <x v="3"/>
    <s v="KIBANDE"/>
    <s v="Public"/>
    <x v="0"/>
    <s v="Nyamasheke"/>
    <s v="Cyato"/>
    <s v="CKIV_3"/>
    <s v="Kamiranzovu Sub-Catchment"/>
    <n v="946.08"/>
  </r>
  <r>
    <x v="3"/>
    <s v="TSINDURA"/>
    <s v="Public"/>
    <x v="0"/>
    <s v="Nyamasheke"/>
    <s v="Cyato"/>
    <s v="CKIV_3"/>
    <s v="Kamiranzovu Sub-Catchment"/>
    <n v="4257.3600000000006"/>
  </r>
  <r>
    <x v="3"/>
    <s v="TSINDURA II"/>
    <s v="Public"/>
    <x v="0"/>
    <s v="Nyamasheke"/>
    <s v="Cyato"/>
    <s v="CKIV_3"/>
    <s v="Kamiranzovu Sub-Catchment"/>
    <n v="2838.24"/>
  </r>
  <r>
    <x v="3"/>
    <s v="BASUKA"/>
    <s v="Public"/>
    <x v="0"/>
    <s v="Nyamasheke"/>
    <s v="Cyato"/>
    <s v="CKIV_3"/>
    <s v="Kamiranzovu Sub-Catchment"/>
    <n v="2049.84"/>
  </r>
  <r>
    <x v="3"/>
    <s v="KAYO"/>
    <s v="Public"/>
    <x v="0"/>
    <s v="Nyamasheke"/>
    <s v="Cyato"/>
    <s v="CKIV_3"/>
    <s v="Kamiranzovu Sub-Catchment"/>
    <n v="2838.24"/>
  </r>
  <r>
    <x v="3"/>
    <s v="GASHIHE"/>
    <s v="Public"/>
    <x v="0"/>
    <s v="Nyamasheke"/>
    <s v="Cyato"/>
    <s v="CKIV_3"/>
    <s v="Kamiranzovu Sub-Catchment"/>
    <n v="1419.12"/>
  </r>
  <r>
    <x v="3"/>
    <s v="KARAMBO"/>
    <s v="Public"/>
    <x v="0"/>
    <s v="Nyamasheke"/>
    <s v="Cyato"/>
    <s v="CKIV_3"/>
    <s v="Kamiranzovu Sub-Catchment"/>
    <n v="2049.84"/>
  </r>
  <r>
    <x v="3"/>
    <s v="RUBEHO"/>
    <s v="Public"/>
    <x v="0"/>
    <s v="Nyamasheke"/>
    <s v="Cyato"/>
    <s v="CKIV_3"/>
    <s v="Kamiranzovu Sub-Catchment"/>
    <n v="1103.7600000000002"/>
  </r>
  <r>
    <x v="3"/>
    <s v="RWARAMBA II"/>
    <s v="Public"/>
    <x v="0"/>
    <s v="Nyamasheke"/>
    <s v="Cyato"/>
    <s v="CKIV_3"/>
    <s v="Kamiranzovu Sub-Catchment"/>
    <n v="2365.2000000000003"/>
  </r>
  <r>
    <x v="3"/>
    <s v="KARAMBO I"/>
    <s v="Public"/>
    <x v="0"/>
    <s v="Nyamasheke"/>
    <s v="Cyato"/>
    <s v="CKIV_3"/>
    <s v="Kamiranzovu Sub-Catchment"/>
    <n v="2838.24"/>
  </r>
  <r>
    <x v="3"/>
    <s v="VILLE"/>
    <s v="Public"/>
    <x v="0"/>
    <s v="Nyamasheke"/>
    <s v="Cyato"/>
    <s v="CKIV_3"/>
    <s v="Kamiranzovu Sub-Catchment"/>
    <n v="1103.7600000000002"/>
  </r>
  <r>
    <x v="3"/>
    <s v="KABUGA I"/>
    <s v="Public"/>
    <x v="0"/>
    <s v="Nyamasheke"/>
    <s v="Cyato"/>
    <s v="CKIV_3"/>
    <s v="Kamiranzovu Sub-Catchment"/>
    <n v="1892.16"/>
  </r>
  <r>
    <x v="3"/>
    <s v="RWARAMBO"/>
    <s v="Public"/>
    <x v="0"/>
    <s v="Nyamasheke"/>
    <s v="Cyato"/>
    <s v="CKIV_3"/>
    <s v="Kamiranzovu Sub-Catchment"/>
    <n v="1419.12"/>
  </r>
  <r>
    <x v="3"/>
    <s v="RUGARAMA"/>
    <s v="Public"/>
    <x v="0"/>
    <s v="Nyamasheke"/>
    <s v="Cyato"/>
    <s v="CKIV_3"/>
    <s v="Kamiranzovu Sub-Catchment"/>
    <n v="2049.84"/>
  </r>
  <r>
    <x v="3"/>
    <s v="RUHENGERI"/>
    <s v="Public"/>
    <x v="0"/>
    <s v="Nyamasheke"/>
    <s v="Cyato"/>
    <s v="CKIV_3"/>
    <s v="Kamiranzovu Sub-Catchment"/>
    <n v="2365.2000000000003"/>
  </r>
  <r>
    <x v="3"/>
    <s v="KABUGA II"/>
    <s v="Public"/>
    <x v="0"/>
    <s v="Nyamasheke"/>
    <s v="Cyato"/>
    <s v="CKIV_3"/>
    <s v="Kamiranzovu Sub-Catchment"/>
    <n v="2049.84"/>
  </r>
  <r>
    <x v="3"/>
    <s v="GIKOMBE"/>
    <s v="Public"/>
    <x v="0"/>
    <s v="Nyamasheke"/>
    <s v="Cyato"/>
    <s v="CKIV_3"/>
    <s v="Kamiranzovu Sub-Catchment"/>
    <n v="7884.0000000000009"/>
  </r>
  <r>
    <x v="3"/>
    <s v="NYAKABINGO II"/>
    <s v="Public"/>
    <x v="0"/>
    <s v="Nyamasheke"/>
    <s v="Cyato"/>
    <s v="CKIV_3"/>
    <s v="Kamiranzovu Sub-Catchment"/>
    <n v="630.72"/>
  </r>
  <r>
    <x v="3"/>
    <s v="RUZIBA"/>
    <s v="Public"/>
    <x v="0"/>
    <s v="Nyamasheke"/>
    <s v="Cyato"/>
    <s v="CKIV_3"/>
    <s v="Kamiranzovu Sub-Catchment"/>
    <n v="946.08"/>
  </r>
  <r>
    <x v="3"/>
    <s v="MUHINGO"/>
    <s v="Public"/>
    <x v="0"/>
    <s v="Nyamasheke"/>
    <s v="Cyato"/>
    <s v="CKIV_3"/>
    <s v="Kamiranzovu Sub-Catchment"/>
    <n v="1419.12"/>
  </r>
  <r>
    <x v="3"/>
    <s v="GIHUNGA"/>
    <s v="Public"/>
    <x v="0"/>
    <s v="Nyamasheke"/>
    <s v="Cyato"/>
    <s v="CKIV_3"/>
    <s v="Kamiranzovu Sub-Catchment"/>
    <n v="1892.16"/>
  </r>
  <r>
    <x v="3"/>
    <s v="GITUNTU"/>
    <s v="Public"/>
    <x v="0"/>
    <s v="Nyamasheke"/>
    <s v="Cyato"/>
    <s v="CKIV_3"/>
    <s v="Kamiranzovu Sub-Catchment"/>
    <n v="9776.1600000000017"/>
  </r>
  <r>
    <x v="3"/>
    <s v="BUNGANDA"/>
    <s v="Public"/>
    <x v="0"/>
    <s v="Nyamasheke"/>
    <s v="Cyato"/>
    <s v="CKIV_3"/>
    <s v="Kamiranzovu Sub-Catchment"/>
    <n v="946.08"/>
  </r>
  <r>
    <x v="3"/>
    <s v="NYAKABINGO"/>
    <s v="Public"/>
    <x v="0"/>
    <s v="Nyamasheke"/>
    <s v="Cyato"/>
    <s v="CKIV_3"/>
    <s v="Kamiranzovu Sub-Catchment"/>
    <n v="3626.64"/>
  </r>
  <r>
    <x v="3"/>
    <s v="KABUYE"/>
    <s v="Public"/>
    <x v="0"/>
    <s v="Nyamasheke"/>
    <s v="Cyato"/>
    <s v="CKIV_3"/>
    <s v="Kamiranzovu Sub-Catchment"/>
    <n v="3626.64"/>
  </r>
  <r>
    <x v="3"/>
    <s v="NKOMERO"/>
    <s v="Public"/>
    <x v="0"/>
    <s v="Nyamasheke"/>
    <s v="Cyato"/>
    <s v="CKIV_3"/>
    <s v="Kamiranzovu Sub-Catchment"/>
    <n v="2365.2000000000003"/>
  </r>
  <r>
    <x v="3"/>
    <s v="NKOMERO II"/>
    <s v="Public"/>
    <x v="0"/>
    <s v="Nyamasheke"/>
    <s v="Cyato"/>
    <s v="CKIV_3"/>
    <s v="Kamiranzovu Sub-Catchment"/>
    <n v="2365.2000000000003"/>
  </r>
  <r>
    <x v="3"/>
    <s v="RUSHAGA"/>
    <s v="Public"/>
    <x v="0"/>
    <s v="Nyamasheke"/>
    <s v="Cyato"/>
    <s v="CKIV_3"/>
    <s v="Kamiranzovu Sub-Catchment"/>
    <n v="2049.84"/>
  </r>
  <r>
    <x v="3"/>
    <s v="RWANYA"/>
    <s v="Public"/>
    <x v="0"/>
    <s v="Nyamasheke"/>
    <s v="Cyato"/>
    <s v="CKIV_3"/>
    <s v="Kamiranzovu Sub-Catchment"/>
    <n v="946.08"/>
  </r>
  <r>
    <x v="3"/>
    <s v="MABANGA"/>
    <s v="Public"/>
    <x v="0"/>
    <s v="Nyamasheke"/>
    <s v="Cyato"/>
    <s v="CKIV_3"/>
    <s v="Kamiranzovu Sub-Catchment"/>
    <n v="2049.84"/>
  </r>
  <r>
    <x v="3"/>
    <s v="MUHORA"/>
    <s v="Public"/>
    <x v="0"/>
    <s v="Nyamasheke"/>
    <s v="Cyato"/>
    <s v="CKIV_3"/>
    <s v="Kamiranzovu Sub-Catchment"/>
    <n v="5991.84"/>
  </r>
  <r>
    <x v="3"/>
    <s v="RUGUGE"/>
    <s v="Public"/>
    <x v="0"/>
    <s v="Nyamasheke"/>
    <s v="Cyato"/>
    <s v="CKIV_3"/>
    <s v="Kamiranzovu Sub-Catchment"/>
    <n v="2365.2000000000003"/>
  </r>
  <r>
    <x v="3"/>
    <s v="RYANTORE"/>
    <s v="Public"/>
    <x v="0"/>
    <s v="Nyamasheke"/>
    <s v="Cyato"/>
    <s v="CKIV_3"/>
    <s v="Kamiranzovu Sub-Catchment"/>
    <n v="11195.28"/>
  </r>
  <r>
    <x v="3"/>
    <s v="NYABIKERI II"/>
    <s v="Public"/>
    <x v="0"/>
    <s v="Nyamasheke"/>
    <s v="Cyato"/>
    <s v="CKIV_3"/>
    <s v="Kamiranzovu Sub-Catchment"/>
    <n v="2365.2000000000003"/>
  </r>
  <r>
    <x v="3"/>
    <s v="BAKESHA"/>
    <s v="Public"/>
    <x v="0"/>
    <s v="Nyamasheke"/>
    <s v="Cyato"/>
    <s v="CKIV_3"/>
    <s v="Kamiranzovu Sub-Catchment"/>
    <n v="1892.16"/>
  </r>
  <r>
    <x v="3"/>
    <s v="MURENGE"/>
    <s v="Public"/>
    <x v="0"/>
    <s v="Nyamasheke"/>
    <s v="Cyato"/>
    <s v="CKIV_3"/>
    <s v="Kamiranzovu Sub-Catchment"/>
    <n v="2838.24"/>
  </r>
  <r>
    <x v="3"/>
    <s v="KIMANGA I"/>
    <s v="Public"/>
    <x v="0"/>
    <s v="Nyamasheke"/>
    <s v="Cyato"/>
    <s v="CKIV_3"/>
    <s v="Kamiranzovu Sub-Catchment"/>
    <n v="8672.4000000000015"/>
  </r>
  <r>
    <x v="3"/>
    <s v="KAMINA"/>
    <s v="Public"/>
    <x v="0"/>
    <s v="Nyamasheke"/>
    <s v="Cyato"/>
    <s v="CKIV_3"/>
    <s v="Kamiranzovu Sub-Catchment"/>
    <n v="2049.84"/>
  </r>
  <r>
    <x v="3"/>
    <s v="KAZABAGARURA"/>
    <s v="Public"/>
    <x v="0"/>
    <s v="Nyamasheke"/>
    <s v="Cyato"/>
    <s v="CKIV_3"/>
    <s v="Kamiranzovu Sub-Catchment"/>
    <n v="2049.84"/>
  </r>
  <r>
    <x v="3"/>
    <s v="NYABIKERI"/>
    <s v="Public"/>
    <x v="0"/>
    <s v="Nyamasheke"/>
    <s v="Cyato"/>
    <s v="CKIV_3"/>
    <s v="Kamiranzovu Sub-Catchment"/>
    <n v="3942.0000000000005"/>
  </r>
  <r>
    <x v="3"/>
    <s v="KIMANGA I"/>
    <s v="Public"/>
    <x v="0"/>
    <s v="Nyamasheke"/>
    <s v="Cyato"/>
    <s v="CKIV_3"/>
    <s v="Kamiranzovu Sub-Catchment"/>
    <n v="1419.12"/>
  </r>
  <r>
    <x v="3"/>
    <s v="BWANAMA I"/>
    <s v="Public"/>
    <x v="0"/>
    <s v="Nyamasheke"/>
    <s v="Cyato"/>
    <s v="CKIV_3"/>
    <s v="Kamiranzovu Sub-Catchment"/>
    <n v="8672.4000000000015"/>
  </r>
  <r>
    <x v="3"/>
    <s v="RUGUNGE"/>
    <s v="Public"/>
    <x v="0"/>
    <s v="Nyamasheke"/>
    <s v="Cyato"/>
    <s v="CKIV_3"/>
    <s v="Kamiranzovu Sub-Catchment"/>
    <n v="3626.64"/>
  </r>
  <r>
    <x v="3"/>
    <s v="BAYOMBO"/>
    <s v="Public"/>
    <x v="0"/>
    <s v="Nyamasheke"/>
    <s v="Cyato"/>
    <s v="CKIV_3"/>
    <s v="Kamiranzovu Sub-Catchment"/>
    <n v="788.40000000000009"/>
  </r>
  <r>
    <x v="3"/>
    <s v="MATABA"/>
    <s v="Public"/>
    <x v="0"/>
    <s v="Nyamasheke"/>
    <s v="Cyato"/>
    <s v="CKIV_3"/>
    <s v="Kamiranzovu Sub-Catchment"/>
    <n v="3626.64"/>
  </r>
  <r>
    <x v="3"/>
    <s v="RWEGA"/>
    <s v="Public"/>
    <x v="0"/>
    <s v="Nyamasheke"/>
    <s v="Cyato"/>
    <s v="CKIV_3"/>
    <s v="Kamiranzovu Sub-Catchment"/>
    <n v="2365.2000000000003"/>
  </r>
  <r>
    <x v="3"/>
    <s v="NYIRAMIRAMBI"/>
    <s v="Public"/>
    <x v="0"/>
    <s v="Nyamasheke"/>
    <s v="Cyato"/>
    <s v="CKIV_3"/>
    <s v="Kamiranzovu Sub-Catchment"/>
    <n v="1419.12"/>
  </r>
  <r>
    <x v="3"/>
    <s v="KINNYOGO"/>
    <s v="Public"/>
    <x v="0"/>
    <s v="Nyamasheke"/>
    <s v="Cyato"/>
    <s v="CKIV_3"/>
    <s v="Kamiranzovu Sub-Catchment"/>
    <n v="2838.24"/>
  </r>
  <r>
    <x v="3"/>
    <s v="BASHEHA"/>
    <s v="Public"/>
    <x v="0"/>
    <s v="Nyamasheke"/>
    <s v="Cyato"/>
    <s v="CKIV_3"/>
    <s v="Kamiranzovu Sub-Catchment"/>
    <n v="2365.2000000000003"/>
  </r>
  <r>
    <x v="3"/>
    <s v="BIHUMA"/>
    <s v="Public"/>
    <x v="0"/>
    <s v="Nyamasheke"/>
    <s v="Cyato"/>
    <s v="CKIV_3"/>
    <s v="Kamiranzovu Sub-Catchment"/>
    <n v="7884.0000000000009"/>
  </r>
  <r>
    <x v="3"/>
    <s v="CYATO"/>
    <s v="Public"/>
    <x v="0"/>
    <s v="Nyamasheke"/>
    <s v="Cyato"/>
    <s v="CKIV_3"/>
    <s v="Kamiranzovu Sub-Catchment"/>
    <n v="2522.88"/>
  </r>
  <r>
    <x v="3"/>
    <s v="RWAMUZEGA"/>
    <s v="Public"/>
    <x v="0"/>
    <s v="Nyamasheke"/>
    <s v="Cyato"/>
    <s v="CKIV_3"/>
    <s v="Kamiranzovu Sub-Catchment"/>
    <n v="3626.64"/>
  </r>
  <r>
    <x v="3"/>
    <s v="BIGEYO I"/>
    <s v="Public"/>
    <x v="0"/>
    <s v="Nyamasheke"/>
    <s v="Cyato"/>
    <s v="CKIV_3"/>
    <s v="Kamiranzovu Sub-Catchment"/>
    <n v="2049.84"/>
  </r>
  <r>
    <x v="3"/>
    <s v="GASEKE"/>
    <s v="Public"/>
    <x v="0"/>
    <s v="Nyamasheke"/>
    <s v="Cyato"/>
    <s v="CKIV_3"/>
    <s v="Kamiranzovu Sub-Catchment"/>
    <n v="5203.4400000000005"/>
  </r>
  <r>
    <x v="3"/>
    <s v="MUHORORO"/>
    <s v="Public"/>
    <x v="0"/>
    <s v="Nyamasheke"/>
    <s v="Cyato"/>
    <s v="CKIV_3"/>
    <s v="Kamiranzovu Sub-Catchment"/>
    <n v="1419.12"/>
  </r>
  <r>
    <x v="3"/>
    <s v="BIGEYO II"/>
    <s v="Public"/>
    <x v="0"/>
    <s v="Nyamasheke"/>
    <s v="Cyato"/>
    <s v="CKIV_3"/>
    <s v="Kamiranzovu Sub-Catchment"/>
    <n v="8672.4000000000015"/>
  </r>
  <r>
    <x v="3"/>
    <s v="MUREHE"/>
    <s v="Public"/>
    <x v="0"/>
    <s v="Nyamasheke"/>
    <s v="Cyato"/>
    <s v="CKIV_3"/>
    <s v="Kamiranzovu Sub-Catchment"/>
    <n v="3626.64"/>
  </r>
  <r>
    <x v="3"/>
    <s v="RYAGASHAKAMBA"/>
    <s v="Public"/>
    <x v="0"/>
    <s v="Rusizi"/>
    <s v="Giheke"/>
    <s v="CKIV_3"/>
    <s v="Kamiranzovu Sub-Catchment"/>
    <n v="3626.64"/>
  </r>
  <r>
    <x v="3"/>
    <s v="MUSONGOTI"/>
    <s v="Public"/>
    <x v="0"/>
    <s v="Rusizi"/>
    <s v="Giheke"/>
    <s v="CKIV_3"/>
    <s v="Kamiranzovu Sub-Catchment"/>
    <n v="4257.3600000000006"/>
  </r>
  <r>
    <x v="3"/>
    <s v="KADOGORI"/>
    <s v="Public"/>
    <x v="0"/>
    <s v="Rusizi"/>
    <s v="Giheke"/>
    <s v="CKIV_3"/>
    <s v="Kamiranzovu Sub-Catchment"/>
    <n v="2838.24"/>
  </r>
  <r>
    <x v="3"/>
    <s v="KAMUHOZI"/>
    <s v="Public"/>
    <x v="0"/>
    <s v="Rusizi"/>
    <s v="Giheke"/>
    <s v="CKIV_3"/>
    <s v="Kamiranzovu Sub-Catchment"/>
    <n v="1419.12"/>
  </r>
  <r>
    <x v="3"/>
    <s v="KINNYOGO"/>
    <s v="Public"/>
    <x v="0"/>
    <s v="Rusizi"/>
    <s v="Giheke"/>
    <s v="CKIV_3"/>
    <s v="Kamiranzovu Sub-Catchment"/>
    <n v="6464.88"/>
  </r>
  <r>
    <x v="3"/>
    <s v="SIMUGOMWA"/>
    <s v="Public"/>
    <x v="0"/>
    <s v="Rusizi"/>
    <s v="Giheke"/>
    <s v="CKIV_3"/>
    <s v="Kamiranzovu Sub-Catchment"/>
    <n v="2838.24"/>
  </r>
  <r>
    <x v="3"/>
    <s v="KABEZA"/>
    <s v="Public"/>
    <x v="0"/>
    <s v="Rusizi"/>
    <s v="Giheke"/>
    <s v="CKIV_3"/>
    <s v="Kamiranzovu Sub-Catchment"/>
    <n v="1892.16"/>
  </r>
  <r>
    <x v="3"/>
    <s v="MUKANTWALI"/>
    <s v="Public"/>
    <x v="0"/>
    <s v="Rusizi"/>
    <s v="Giheke"/>
    <s v="CKIV_3"/>
    <s v="Kamiranzovu Sub-Catchment"/>
    <n v="3626.64"/>
  </r>
  <r>
    <x v="3"/>
    <s v="RUGOMERO"/>
    <s v="Public"/>
    <x v="0"/>
    <s v="Rusizi"/>
    <s v="Giheke"/>
    <s v="CKIV_3"/>
    <s v="Kamiranzovu Sub-Catchment"/>
    <n v="1892.16"/>
  </r>
  <r>
    <x v="3"/>
    <s v="RUSEKE"/>
    <s v="Public"/>
    <x v="0"/>
    <s v="Rusizi"/>
    <s v="Giheke"/>
    <s v="CKIV_3"/>
    <s v="Kamiranzovu Sub-Catchment"/>
    <n v="2049.84"/>
  </r>
  <r>
    <x v="3"/>
    <s v="BUSHOGWE"/>
    <s v="Public"/>
    <x v="0"/>
    <s v="Rusizi"/>
    <s v="Giheke"/>
    <s v="CKIV_3"/>
    <s v="Kamiranzovu Sub-Catchment"/>
    <n v="8672.4000000000015"/>
  </r>
  <r>
    <x v="3"/>
    <s v="KARUBOJO"/>
    <s v="Public"/>
    <x v="0"/>
    <s v="Rusizi"/>
    <s v="Giheke"/>
    <s v="CKIV_3"/>
    <s v="Kamiranzovu Sub-Catchment"/>
    <n v="4888.0800000000008"/>
  </r>
  <r>
    <x v="3"/>
    <s v="KABINGO"/>
    <s v="Public"/>
    <x v="0"/>
    <s v="Rusizi"/>
    <s v="Giheke"/>
    <s v="CKIV_3"/>
    <s v="Kamiranzovu Sub-Catchment"/>
    <n v="2838.24"/>
  </r>
  <r>
    <x v="3"/>
    <s v="KARUBOJO"/>
    <s v="Public"/>
    <x v="0"/>
    <s v="Rusizi"/>
    <s v="Giheke"/>
    <s v="CKIV_3"/>
    <s v="Kamiranzovu Sub-Catchment"/>
    <n v="4257.3600000000006"/>
  </r>
  <r>
    <x v="3"/>
    <s v="RUSEBEYA"/>
    <s v="Public"/>
    <x v="0"/>
    <s v="Rusizi"/>
    <s v="Giheke"/>
    <s v="CKIV_3"/>
    <s v="Kamiranzovu Sub-Catchment"/>
    <n v="2365.2000000000003"/>
  </r>
  <r>
    <x v="3"/>
    <s v="MUKAMUGISHA"/>
    <s v="Public"/>
    <x v="0"/>
    <s v="Rusizi"/>
    <s v="Giheke"/>
    <s v="CKIV_3"/>
    <s v="Kamiranzovu Sub-Catchment"/>
    <n v="15768.000000000002"/>
  </r>
  <r>
    <x v="3"/>
    <s v="KABUGA"/>
    <s v="Public"/>
    <x v="0"/>
    <s v="Rusizi"/>
    <s v="Giheke"/>
    <s v="CKIV_3"/>
    <s v="Kamiranzovu Sub-Catchment"/>
    <n v="2049.84"/>
  </r>
  <r>
    <x v="3"/>
    <s v="MURIRWA"/>
    <s v="Public"/>
    <x v="0"/>
    <s v="Rusizi"/>
    <s v="Giheke"/>
    <s v="CKIV_3"/>
    <s v="Kamiranzovu Sub-Catchment"/>
    <n v="6464.88"/>
  </r>
  <r>
    <x v="3"/>
    <s v="RUGARAGARA"/>
    <s v="Public"/>
    <x v="0"/>
    <s v="Rusizi"/>
    <s v="Giheke"/>
    <s v="CKIV_3"/>
    <s v="Kamiranzovu Sub-Catchment"/>
    <n v="11195.28"/>
  </r>
  <r>
    <x v="3"/>
    <s v="NGANZO"/>
    <s v="Public"/>
    <x v="0"/>
    <s v="Rusizi"/>
    <s v="Giheke"/>
    <s v="CKIV_3"/>
    <s v="Kamiranzovu Sub-Catchment"/>
    <n v="6464.88"/>
  </r>
  <r>
    <x v="3"/>
    <s v="GASENGESA"/>
    <s v="Public"/>
    <x v="0"/>
    <s v="Rusizi"/>
    <s v="Giheke"/>
    <s v="CKIV_3"/>
    <s v="Kamiranzovu Sub-Catchment"/>
    <n v="2365.2000000000003"/>
  </r>
  <r>
    <x v="3"/>
    <s v="RUKARAGATA"/>
    <s v="Public"/>
    <x v="0"/>
    <s v="Rusizi"/>
    <s v="Giheke"/>
    <s v="CKIV_3"/>
    <s v="Kamiranzovu Sub-Catchment"/>
    <n v="8672.4000000000015"/>
  </r>
  <r>
    <x v="3"/>
    <s v="RUSEKE"/>
    <s v="Public"/>
    <x v="0"/>
    <s v="Rusizi"/>
    <s v="Giheke"/>
    <s v="CKIV_3"/>
    <s v="Kamiranzovu Sub-Catchment"/>
    <n v="3626.64"/>
  </r>
  <r>
    <x v="3"/>
    <s v="GAHWITA"/>
    <s v="Public"/>
    <x v="0"/>
    <s v="Rusizi"/>
    <s v="Giheke"/>
    <s v="CKIV_3"/>
    <s v="Kamiranzovu Sub-Catchment"/>
    <n v="8672.4000000000015"/>
  </r>
  <r>
    <x v="3"/>
    <s v="GATARE"/>
    <s v="Public"/>
    <x v="0"/>
    <s v="Rusizi"/>
    <s v="Giheke"/>
    <s v="CKIV_3"/>
    <s v="Kamiranzovu Sub-Catchment"/>
    <n v="3626.64"/>
  </r>
  <r>
    <x v="3"/>
    <s v="KABAKO"/>
    <s v="Public"/>
    <x v="0"/>
    <s v="Rusizi"/>
    <s v="Giheke"/>
    <s v="CKIV_3"/>
    <s v="Kamiranzovu Sub-Catchment"/>
    <n v="4888.0800000000008"/>
  </r>
  <r>
    <x v="3"/>
    <s v="KIBIRA"/>
    <s v="Public"/>
    <x v="0"/>
    <s v="Rusizi"/>
    <s v="Giheke"/>
    <s v="CKIV_3"/>
    <s v="Kamiranzovu Sub-Catchment"/>
    <n v="2365.2000000000003"/>
  </r>
  <r>
    <x v="3"/>
    <s v="KADOBOGO"/>
    <s v="Public"/>
    <x v="0"/>
    <s v="Rusizi"/>
    <s v="Giheke"/>
    <s v="CKIV_3"/>
    <s v="Kamiranzovu Sub-Catchment"/>
    <n v="2838.24"/>
  </r>
  <r>
    <x v="3"/>
    <s v="NYAKAGENDE"/>
    <s v="Public"/>
    <x v="0"/>
    <s v="Rusizi"/>
    <s v="Giheke"/>
    <s v="CKIV_3"/>
    <s v="Kamiranzovu Sub-Catchment"/>
    <n v="11195.28"/>
  </r>
  <r>
    <x v="3"/>
    <s v="KARIBA"/>
    <s v="Public"/>
    <x v="0"/>
    <s v="Rusizi"/>
    <s v="Giheke"/>
    <s v="CKIV_3"/>
    <s v="Kamiranzovu Sub-Catchment"/>
    <n v="2365.2000000000003"/>
  </r>
  <r>
    <x v="3"/>
    <s v="KANYUGUNYUGU"/>
    <s v="Public"/>
    <x v="0"/>
    <s v="Rusizi"/>
    <s v="Giheke"/>
    <s v="CKIV_3"/>
    <s v="Kamiranzovu Sub-Catchment"/>
    <n v="2365.2000000000003"/>
  </r>
  <r>
    <x v="3"/>
    <s v="KABANDE"/>
    <s v="Public"/>
    <x v="0"/>
    <s v="Rusizi"/>
    <s v="Giheke"/>
    <s v="CKIV_3"/>
    <s v="Kamiranzovu Sub-Catchment"/>
    <n v="2365.2000000000003"/>
  </r>
  <r>
    <x v="3"/>
    <s v="MUNYOVE"/>
    <s v="Public"/>
    <x v="0"/>
    <s v="Rusizi"/>
    <s v="Gihundwe"/>
    <s v="CKIV_3"/>
    <s v="Kamiranzovu Sub-Catchment"/>
    <n v="2838.24"/>
  </r>
  <r>
    <x v="3"/>
    <s v="GAHAMA"/>
    <s v="Public"/>
    <x v="0"/>
    <s v="Rusizi"/>
    <s v="Gihundwe"/>
    <s v="CKIV_3"/>
    <s v="Kamiranzovu Sub-Catchment"/>
    <n v="19710"/>
  </r>
  <r>
    <x v="3"/>
    <s v="KAZITO"/>
    <s v="Public"/>
    <x v="0"/>
    <s v="Rusizi"/>
    <s v="Gihundwe"/>
    <s v="CKIV_3"/>
    <s v="Kamiranzovu Sub-Catchment"/>
    <n v="630.72"/>
  </r>
  <r>
    <x v="3"/>
    <s v="KAMESERO"/>
    <s v="Public"/>
    <x v="0"/>
    <s v="Rusizi"/>
    <s v="Gihundwe"/>
    <s v="CKIV_3"/>
    <s v="Kamiranzovu Sub-Catchment"/>
    <n v="4257.3600000000006"/>
  </r>
  <r>
    <x v="3"/>
    <s v="MUKUMBA"/>
    <s v="Public"/>
    <x v="0"/>
    <s v="Rusizi"/>
    <s v="Gihundwe"/>
    <s v="CKIV_3"/>
    <s v="Kamiranzovu Sub-Catchment"/>
    <n v="2838.24"/>
  </r>
  <r>
    <x v="3"/>
    <s v="KABARUMBA"/>
    <s v="Public"/>
    <x v="0"/>
    <s v="Rusizi"/>
    <s v="Gihundwe"/>
    <s v="CKIV_3"/>
    <s v="Kamiranzovu Sub-Catchment"/>
    <n v="2838.24"/>
  </r>
  <r>
    <x v="3"/>
    <s v="KABINYORO"/>
    <s v="Public"/>
    <x v="0"/>
    <s v="Rusizi"/>
    <s v="Gihundwe"/>
    <s v="CKIV_3"/>
    <s v="Kamiranzovu Sub-Catchment"/>
    <n v="473.04"/>
  </r>
  <r>
    <x v="3"/>
    <s v="KABINYORO II"/>
    <s v="Public"/>
    <x v="0"/>
    <s v="Rusizi"/>
    <s v="Gihundwe"/>
    <s v="CKIV_3"/>
    <s v="Kamiranzovu Sub-Catchment"/>
    <n v="6464.88"/>
  </r>
  <r>
    <x v="3"/>
    <s v="MPONGORO"/>
    <s v="Public"/>
    <x v="0"/>
    <s v="Rusizi"/>
    <s v="Gihundwe"/>
    <s v="CKIV_3"/>
    <s v="Kamiranzovu Sub-Catchment"/>
    <n v="8672.4000000000015"/>
  </r>
  <r>
    <x v="3"/>
    <s v="KAVUMU"/>
    <s v="Public"/>
    <x v="0"/>
    <s v="Rusizi"/>
    <s v="Gihundwe"/>
    <s v="CKIV_3"/>
    <s v="Kamiranzovu Sub-Catchment"/>
    <n v="4888.0800000000008"/>
  </r>
  <r>
    <x v="3"/>
    <s v="KAVURE"/>
    <s v="Public"/>
    <x v="0"/>
    <s v="Rusizi"/>
    <s v="Gihundwe"/>
    <s v="CKIV_3"/>
    <s v="Kamiranzovu Sub-Catchment"/>
    <n v="1103.7600000000002"/>
  </r>
  <r>
    <x v="3"/>
    <s v="KANKOKO"/>
    <s v="Public"/>
    <x v="0"/>
    <s v="Rusizi"/>
    <s v="Gihundwe"/>
    <s v="CKIV_3"/>
    <s v="Kamiranzovu Sub-Catchment"/>
    <n v="15768.000000000002"/>
  </r>
  <r>
    <x v="3"/>
    <s v="MUKABUJERI"/>
    <s v="Public"/>
    <x v="0"/>
    <s v="Rusizi"/>
    <s v="Gihundwe"/>
    <s v="CKIV_3"/>
    <s v="Kamiranzovu Sub-Catchment"/>
    <n v="2838.24"/>
  </r>
  <r>
    <x v="3"/>
    <s v="RUSUNYU"/>
    <s v="Public"/>
    <x v="0"/>
    <s v="Rusizi"/>
    <s v="Gihundwe"/>
    <s v="CKIV_3"/>
    <s v="Kamiranzovu Sub-Catchment"/>
    <n v="4257.3600000000006"/>
  </r>
  <r>
    <x v="3"/>
    <s v="KARIBA"/>
    <s v="Public"/>
    <x v="0"/>
    <s v="Rusizi"/>
    <s v="Gihundwe"/>
    <s v="CKIV_3"/>
    <s v="Kamiranzovu Sub-Catchment"/>
    <n v="3311.2799999999997"/>
  </r>
  <r>
    <x v="3"/>
    <s v="KARIBA II"/>
    <s v="Public"/>
    <x v="0"/>
    <s v="Rusizi"/>
    <s v="Gihundwe"/>
    <s v="CKIV_3"/>
    <s v="Kamiranzovu Sub-Catchment"/>
    <n v="6464.88"/>
  </r>
  <r>
    <x v="3"/>
    <s v="KINYAGA II"/>
    <s v="Public"/>
    <x v="0"/>
    <s v="Rusizi"/>
    <s v="Gihundwe"/>
    <s v="CKIV_3"/>
    <s v="Kamiranzovu Sub-Catchment"/>
    <n v="1892.16"/>
  </r>
  <r>
    <x v="3"/>
    <s v="KINYAGA I"/>
    <s v="Public"/>
    <x v="0"/>
    <s v="Rusizi"/>
    <s v="Gihundwe"/>
    <s v="CKIV_3"/>
    <s v="Kamiranzovu Sub-Catchment"/>
    <n v="0"/>
  </r>
  <r>
    <x v="3"/>
    <s v="MUKAMURERA"/>
    <s v="Public"/>
    <x v="0"/>
    <s v="Rusizi"/>
    <s v="Kamembe"/>
    <s v="CKIV_3"/>
    <s v="Kamiranzovu Sub-Catchment"/>
    <n v="4257.3600000000006"/>
  </r>
  <r>
    <x v="3"/>
    <s v="KAMUGOMORA"/>
    <s v="Public"/>
    <x v="0"/>
    <s v="Rusizi"/>
    <s v="Kamembe"/>
    <s v="CKIV_3"/>
    <s v="Kamiranzovu Sub-Catchment"/>
    <n v="6464.88"/>
  </r>
  <r>
    <x v="3"/>
    <s v="RUSHAKAMBA"/>
    <s v="Public"/>
    <x v="0"/>
    <s v="Rusizi"/>
    <s v="Kamembe"/>
    <s v="CKIV_3"/>
    <s v="Kamiranzovu Sub-Catchment"/>
    <n v="15768.000000000002"/>
  </r>
  <r>
    <x v="3"/>
    <s v="GIKOMBE"/>
    <s v="Public"/>
    <x v="0"/>
    <s v="Rusizi"/>
    <s v="Kamembe"/>
    <s v="CKIV_3"/>
    <s v="Kamiranzovu Sub-Catchment"/>
    <n v="19079.28"/>
  </r>
  <r>
    <x v="3"/>
    <s v="KABINGO"/>
    <s v="Public"/>
    <x v="0"/>
    <s v="Rusizi"/>
    <s v="Kamembe"/>
    <s v="CKIV_3"/>
    <s v="Kamiranzovu Sub-Catchment"/>
    <n v="2838.24"/>
  </r>
  <r>
    <x v="3"/>
    <s v="KANNYOGO"/>
    <s v="Public"/>
    <x v="0"/>
    <s v="Rusizi"/>
    <s v="Kamembe"/>
    <s v="CKIV_3"/>
    <s v="Kamiranzovu Sub-Catchment"/>
    <n v="2838.24"/>
  </r>
  <r>
    <x v="3"/>
    <s v="MVURINGOMA"/>
    <s v="Public"/>
    <x v="0"/>
    <s v="Rusizi"/>
    <s v="Kamembe"/>
    <s v="CKIV_3"/>
    <s v="Kamiranzovu Sub-Catchment"/>
    <n v="8672.4000000000015"/>
  </r>
  <r>
    <x v="3"/>
    <s v="CYARUGAJU"/>
    <s v="Public"/>
    <x v="0"/>
    <s v="Rusizi"/>
    <s v="Mururu"/>
    <s v="CKIV_3"/>
    <s v="Kamiranzovu Sub-Catchment"/>
    <n v="6464.88"/>
  </r>
  <r>
    <x v="3"/>
    <s v="KANYARU"/>
    <s v="Public"/>
    <x v="0"/>
    <s v="Rusizi"/>
    <s v="Mururu"/>
    <s v="CKIV_3"/>
    <s v="Kamiranzovu Sub-Catchment"/>
    <n v="6464.88"/>
  </r>
  <r>
    <x v="3"/>
    <s v="KIBERINKA"/>
    <s v="Public"/>
    <x v="0"/>
    <s v="Rusizi"/>
    <s v="Mururu"/>
    <s v="CKIV_3"/>
    <s v="Kamiranzovu Sub-Catchment"/>
    <n v="15768.000000000002"/>
  </r>
  <r>
    <x v="3"/>
    <s v="KAREKO"/>
    <s v="Public"/>
    <x v="0"/>
    <s v="Rusizi"/>
    <s v="Mururu"/>
    <s v="CKIV_3"/>
    <s v="Kamiranzovu Sub-Catchment"/>
    <n v="4257.3600000000006"/>
  </r>
  <r>
    <x v="3"/>
    <s v="GASOKO"/>
    <s v="Public"/>
    <x v="0"/>
    <s v="Rusizi"/>
    <s v="Mururu"/>
    <s v="CKIV_3"/>
    <s v="Kamiranzovu Sub-Catchment"/>
    <n v="1892.16"/>
  </r>
  <r>
    <x v="3"/>
    <s v="GAHAMA"/>
    <s v="Public"/>
    <x v="0"/>
    <s v="Rusizi"/>
    <s v="Mururu"/>
    <s v="CKIV_3"/>
    <s v="Kamiranzovu Sub-Catchment"/>
    <n v="2365.2000000000003"/>
  </r>
  <r>
    <x v="3"/>
    <s v="RYAGATONI"/>
    <s v="Public"/>
    <x v="0"/>
    <s v="Rusizi"/>
    <s v="Mururu"/>
    <s v="CKIV_3"/>
    <s v="Kamiranzovu Sub-Catchment"/>
    <n v="0"/>
  </r>
  <r>
    <x v="3"/>
    <s v="RUBONDWE"/>
    <s v="Public"/>
    <x v="0"/>
    <s v="Rusizi"/>
    <s v="Mururu"/>
    <s v="CKIV_3"/>
    <s v="Kamiranzovu Sub-Catchment"/>
    <n v="8672.4000000000015"/>
  </r>
  <r>
    <x v="3"/>
    <s v="KAMATENE"/>
    <s v="Public"/>
    <x v="0"/>
    <s v="Rusizi"/>
    <s v="Mururu"/>
    <s v="CKIV_3"/>
    <s v="Kamiranzovu Sub-Catchment"/>
    <n v="11195.28"/>
  </r>
  <r>
    <x v="3"/>
    <s v="GAHOGORA"/>
    <s v="Public"/>
    <x v="0"/>
    <s v="Rusizi"/>
    <s v="Mururu"/>
    <s v="CKIV_3"/>
    <s v="Kamiranzovu Sub-Catchment"/>
    <n v="4888.0800000000008"/>
  </r>
  <r>
    <x v="3"/>
    <s v="MUDENDE"/>
    <s v="Public"/>
    <x v="0"/>
    <s v="Rusizi"/>
    <s v="Mururu"/>
    <s v="CKIV_3"/>
    <s v="Kamiranzovu Sub-Catchment"/>
    <n v="1103.7600000000002"/>
  </r>
  <r>
    <x v="3"/>
    <s v="RYANTARAMA"/>
    <s v="Public"/>
    <x v="0"/>
    <s v="Rusizi"/>
    <s v="Mururu"/>
    <s v="CKIV_3"/>
    <s v="Kamiranzovu Sub-Catchment"/>
    <n v="946.08"/>
  </r>
  <r>
    <x v="3"/>
    <s v="KANINDA"/>
    <s v="Public"/>
    <x v="0"/>
    <s v="Rusizi"/>
    <s v="Nkanka"/>
    <s v="CKIV_3"/>
    <s v="Kamiranzovu Sub-Catchment"/>
    <n v="473.04"/>
  </r>
  <r>
    <x v="3"/>
    <s v="RUGEME"/>
    <s v="Public"/>
    <x v="0"/>
    <s v="Rusizi"/>
    <s v="Nkanka"/>
    <s v="CKIV_3"/>
    <s v="Kamiranzovu Sub-Catchment"/>
    <n v="8672.4000000000015"/>
  </r>
  <r>
    <x v="3"/>
    <s v="KANYOBYA"/>
    <s v="Public"/>
    <x v="0"/>
    <s v="Rusizi"/>
    <s v="Nkanka"/>
    <s v="CKIV_3"/>
    <s v="Kamiranzovu Sub-Catchment"/>
    <n v="1892.16"/>
  </r>
  <r>
    <x v="3"/>
    <s v="NYAKAGEZI"/>
    <s v="Public"/>
    <x v="0"/>
    <s v="Rusizi"/>
    <s v="Nkanka"/>
    <s v="CKIV_3"/>
    <s v="Kamiranzovu Sub-Catchment"/>
    <n v="4888.0800000000008"/>
  </r>
  <r>
    <x v="3"/>
    <s v="MWAGA"/>
    <s v="Public"/>
    <x v="0"/>
    <s v="Rusizi"/>
    <s v="Nkanka"/>
    <s v="CKIV_3"/>
    <s v="Kamiranzovu Sub-Catchment"/>
    <n v="1103.7600000000002"/>
  </r>
  <r>
    <x v="3"/>
    <s v="RWEYA"/>
    <s v="Public"/>
    <x v="0"/>
    <s v="Rusizi"/>
    <s v="Nkanka"/>
    <s v="CKIV_3"/>
    <s v="Kamiranzovu Sub-Catchment"/>
    <n v="1103.7600000000002"/>
  </r>
  <r>
    <x v="3"/>
    <s v="KABONA"/>
    <s v="Public"/>
    <x v="0"/>
    <s v="Rusizi"/>
    <s v="Nkanka"/>
    <s v="CKIV_3"/>
    <s v="Kamiranzovu Sub-Catchment"/>
    <n v="1419.12"/>
  </r>
  <r>
    <x v="3"/>
    <s v="KAVOGA"/>
    <s v="Public"/>
    <x v="0"/>
    <s v="Rusizi"/>
    <s v="Nkanka"/>
    <s v="CKIV_3"/>
    <s v="Kamiranzovu Sub-Catchment"/>
    <n v="6464.88"/>
  </r>
  <r>
    <x v="3"/>
    <s v="KABANDE"/>
    <s v="Public"/>
    <x v="0"/>
    <s v="Rusizi"/>
    <s v="Nkanka"/>
    <s v="CKIV_3"/>
    <s v="Kamiranzovu Sub-Catchment"/>
    <n v="0"/>
  </r>
  <r>
    <x v="3"/>
    <s v="KAJYIMBA"/>
    <s v="Public"/>
    <x v="0"/>
    <s v="Rusizi"/>
    <s v="Nkanka"/>
    <s v="CKIV_3"/>
    <s v="Kamiranzovu Sub-Catchment"/>
    <n v="1892.16"/>
  </r>
  <r>
    <x v="3"/>
    <s v="KABAZIMU"/>
    <s v="Public"/>
    <x v="0"/>
    <s v="Rusizi"/>
    <s v="Nkanka"/>
    <s v="CKIV_3"/>
    <s v="Kamiranzovu Sub-Catchment"/>
    <n v="4257.3600000000006"/>
  </r>
  <r>
    <x v="3"/>
    <s v="BUSEKANKA II"/>
    <s v="Public"/>
    <x v="0"/>
    <s v="Rusizi"/>
    <s v="Nkanka"/>
    <s v="CKIV_3"/>
    <s v="Kamiranzovu Sub-Catchment"/>
    <n v="1892.16"/>
  </r>
  <r>
    <x v="3"/>
    <s v="BUSEKANKA"/>
    <s v="Public"/>
    <x v="0"/>
    <s v="Rusizi"/>
    <s v="Nkanka"/>
    <s v="CKIV_3"/>
    <s v="Kamiranzovu Sub-Catchment"/>
    <n v="1892.16"/>
  </r>
  <r>
    <x v="3"/>
    <s v="MUKARARA"/>
    <s v="Public"/>
    <x v="0"/>
    <s v="Rusizi"/>
    <s v="Nyakarenzo"/>
    <s v="CKIV_3"/>
    <s v="Kamiranzovu Sub-Catchment"/>
    <n v="630.72"/>
  </r>
  <r>
    <x v="3"/>
    <s v="NYAKAGEZE"/>
    <s v="Public"/>
    <x v="0"/>
    <s v="Rusizi"/>
    <s v="Nyakarenzo"/>
    <s v="CKIV_3"/>
    <s v="Kamiranzovu Sub-Catchment"/>
    <n v="1892.16"/>
  </r>
  <r>
    <x v="3"/>
    <s v="KAGOGO"/>
    <s v="Public"/>
    <x v="0"/>
    <s v="Rusizi"/>
    <s v="Nyakarenzo"/>
    <s v="CKIV_3"/>
    <s v="Kamiranzovu Sub-Catchment"/>
    <n v="1892.16"/>
  </r>
  <r>
    <x v="3"/>
    <s v="GASOVU"/>
    <s v="Public"/>
    <x v="0"/>
    <s v="Rusizi"/>
    <s v="Nyakarenzo"/>
    <s v="CKIV_3"/>
    <s v="Kamiranzovu Sub-Catchment"/>
    <n v="4257.3600000000006"/>
  </r>
  <r>
    <x v="3"/>
    <s v="NYARAMUNINA"/>
    <s v="Public"/>
    <x v="0"/>
    <s v="Rusizi"/>
    <s v="Nyakarenzo"/>
    <s v="CKIV_3"/>
    <s v="Kamiranzovu Sub-Catchment"/>
    <n v="2049.84"/>
  </r>
  <r>
    <x v="3"/>
    <s v="RYARUGIMBANA"/>
    <s v="Public"/>
    <x v="0"/>
    <s v="Rusizi"/>
    <s v="Nyakarenzo"/>
    <s v="CKIV_3"/>
    <s v="Kamiranzovu Sub-Catchment"/>
    <n v="473.04"/>
  </r>
  <r>
    <x v="3"/>
    <s v="KANNYOGO"/>
    <s v="Public"/>
    <x v="0"/>
    <s v="Rusizi"/>
    <s v="Nyakarenzo"/>
    <s v="CKIV_3"/>
    <s v="Kamiranzovu Sub-Catchment"/>
    <n v="2365.2000000000003"/>
  </r>
  <r>
    <x v="3"/>
    <s v="RUZIBAZIBA"/>
    <s v="Public"/>
    <x v="0"/>
    <s v="Rusizi"/>
    <s v="Nyakarenzo"/>
    <s v="CKIV_3"/>
    <s v="Kamiranzovu Sub-Catchment"/>
    <n v="4257.3600000000006"/>
  </r>
  <r>
    <x v="3"/>
    <s v="RUDAHARA"/>
    <s v="Public"/>
    <x v="0"/>
    <s v="Rusizi"/>
    <s v="Nyakarenzo"/>
    <s v="CKIV_3"/>
    <s v="Kamiranzovu Sub-Catchment"/>
    <n v="4888.0800000000008"/>
  </r>
  <r>
    <x v="3"/>
    <s v="KABAREMA"/>
    <s v="Public"/>
    <x v="0"/>
    <s v="Rusizi"/>
    <s v="Nyakarenzo"/>
    <s v="CKIV_3"/>
    <s v="Kamiranzovu Sub-Catchment"/>
    <n v="4888.0800000000008"/>
  </r>
  <r>
    <x v="3"/>
    <s v="RUTENTEMA"/>
    <s v="Public"/>
    <x v="0"/>
    <s v="Rusizi"/>
    <s v="Nyakarenzo"/>
    <s v="CKIV_3"/>
    <s v="Kamiranzovu Sub-Catchment"/>
    <n v="1103.7600000000002"/>
  </r>
  <r>
    <x v="3"/>
    <s v="KAMANURA"/>
    <s v="Public"/>
    <x v="0"/>
    <s v="Rusizi"/>
    <s v="Nyakarenzo"/>
    <s v="CKIV_3"/>
    <s v="Kamiranzovu Sub-Catchment"/>
    <n v="15768.000000000002"/>
  </r>
  <r>
    <x v="3"/>
    <s v="KARIBA II"/>
    <s v="Public"/>
    <x v="0"/>
    <s v="Rusizi"/>
    <s v="Nyakarenzo"/>
    <s v="CKIV_3"/>
    <s v="Kamiranzovu Sub-Catchment"/>
    <n v="2049.84"/>
  </r>
  <r>
    <x v="3"/>
    <s v="MUNYAKARIBA"/>
    <s v="Public"/>
    <x v="0"/>
    <s v="Rusizi"/>
    <s v="Nyakarenzo"/>
    <s v="CKIV_3"/>
    <s v="Kamiranzovu Sub-Catchment"/>
    <n v="6464.88"/>
  </r>
  <r>
    <x v="3"/>
    <s v="NYABURIMBO"/>
    <s v="Public"/>
    <x v="0"/>
    <s v="Rusizi"/>
    <s v="Nyakarenzo"/>
    <s v="CKIV_3"/>
    <s v="Kamiranzovu Sub-Catchment"/>
    <n v="2838.24"/>
  </r>
  <r>
    <x v="3"/>
    <s v="MUSHORANGABO"/>
    <s v="Public"/>
    <x v="0"/>
    <s v="Rusizi"/>
    <s v="Nyakarenzo"/>
    <s v="CKIV_3"/>
    <s v="Kamiranzovu Sub-Catchment"/>
    <n v="1892.16"/>
  </r>
  <r>
    <x v="3"/>
    <s v="GASHYUHA"/>
    <s v="Public"/>
    <x v="0"/>
    <s v="Rusizi"/>
    <s v="Nyakarenzo"/>
    <s v="CKIV_3"/>
    <s v="Kamiranzovu Sub-Catchment"/>
    <n v="425.73600000000005"/>
  </r>
  <r>
    <x v="3"/>
    <s v="GATARE"/>
    <s v="Public"/>
    <x v="0"/>
    <s v="Rusizi"/>
    <s v="Nyakarenzo"/>
    <s v="CKIV_3"/>
    <s v="Kamiranzovu Sub-Catchment"/>
    <n v="8672.4000000000015"/>
  </r>
  <r>
    <x v="3"/>
    <s v="RUGOMERO"/>
    <s v="Public"/>
    <x v="0"/>
    <s v="Rusizi"/>
    <s v="Nyakarenzo"/>
    <s v="CKIV_3"/>
    <s v="Kamiranzovu Sub-Catchment"/>
    <n v="4257.3600000000006"/>
  </r>
  <r>
    <x v="3"/>
    <s v="RWIBOGA"/>
    <s v="Public"/>
    <x v="0"/>
    <s v="Rusizi"/>
    <s v="Nyakarenzo"/>
    <s v="CKIV_3"/>
    <s v="Kamiranzovu Sub-Catchment"/>
    <n v="946.08"/>
  </r>
  <r>
    <x v="3"/>
    <s v="RUGOMERO"/>
    <s v="Public"/>
    <x v="0"/>
    <s v="Rusizi"/>
    <s v="Nyakarenzo"/>
    <s v="CKIV_3"/>
    <s v="Kamiranzovu Sub-Catchment"/>
    <n v="2838.24"/>
  </r>
  <r>
    <x v="3"/>
    <s v="KAMUHUMUZA"/>
    <s v="Public"/>
    <x v="0"/>
    <s v="Rusizi"/>
    <s v="Nyakarenzo"/>
    <s v="CKIV_3"/>
    <s v="Kamiranzovu Sub-Catchment"/>
    <n v="11195.28"/>
  </r>
  <r>
    <x v="3"/>
    <s v="NYAKAGEZE"/>
    <s v="Public"/>
    <x v="0"/>
    <s v="Rusizi"/>
    <s v="Nyakarenzo"/>
    <s v="CKIV_3"/>
    <s v="Kamiranzovu Sub-Catchment"/>
    <n v="2365.2000000000003"/>
  </r>
  <r>
    <x v="3"/>
    <s v="CYARUSIRIBAHE"/>
    <s v="Public"/>
    <x v="0"/>
    <s v="Rusizi"/>
    <s v="Nyakarenzo"/>
    <s v="CKIV_3"/>
    <s v="Kamiranzovu Sub-Catchment"/>
    <n v="2838.24"/>
  </r>
  <r>
    <x v="3"/>
    <s v="KINIKO"/>
    <s v="Public"/>
    <x v="0"/>
    <s v="Rusizi"/>
    <s v="Nyakarenzo"/>
    <s v="CKIV_3"/>
    <s v="Kamiranzovu Sub-Catchment"/>
    <n v="4257.3600000000006"/>
  </r>
  <r>
    <x v="3"/>
    <s v="BAKIZA"/>
    <s v="Public"/>
    <x v="0"/>
    <s v="Rusizi"/>
    <s v="Nyakarenzo"/>
    <s v="CKIV_3"/>
    <s v="Kamiranzovu Sub-Catchment"/>
    <n v="3942.0000000000005"/>
  </r>
  <r>
    <x v="3"/>
    <s v="RYAMAKOMA"/>
    <s v="Public"/>
    <x v="0"/>
    <s v="Rusizi"/>
    <s v="Nyakarenzo"/>
    <s v="CKIV_3"/>
    <s v="Kamiranzovu Sub-Catchment"/>
    <n v="0"/>
  </r>
  <r>
    <x v="3"/>
    <s v="KAVUMU"/>
    <s v="Public"/>
    <x v="0"/>
    <s v="Rusizi"/>
    <s v="Nyakarenzo"/>
    <s v="CKIV_3"/>
    <s v="Kamiranzovu Sub-Catchment"/>
    <n v="6464.88"/>
  </r>
  <r>
    <x v="3"/>
    <s v="KABAYEGO"/>
    <s v="Public"/>
    <x v="0"/>
    <s v="Rusizi"/>
    <s v="Nyakarenzo"/>
    <s v="CKIV_3"/>
    <s v="Kamiranzovu Sub-Catchment"/>
    <n v="5834.1600000000008"/>
  </r>
  <r>
    <x v="3"/>
    <s v="CYAHAFI"/>
    <s v="Public"/>
    <x v="0"/>
    <s v="Rusizi"/>
    <s v="Nyakarenzo"/>
    <s v="CKIV_3"/>
    <s v="Kamiranzovu Sub-Catchment"/>
    <n v="3311.2799999999997"/>
  </r>
  <r>
    <x v="3"/>
    <s v="RUGANZU"/>
    <s v="Public"/>
    <x v="0"/>
    <s v="Rusizi"/>
    <s v="Nyakarenzo"/>
    <s v="CKIV_3"/>
    <s v="Kamiranzovu Sub-Catchment"/>
    <n v="15768.000000000002"/>
  </r>
  <r>
    <x v="3"/>
    <s v="GAHAMA"/>
    <s v="Public"/>
    <x v="0"/>
    <s v="Rusizi"/>
    <s v="Nyakarenzo"/>
    <s v="CKIV_3"/>
    <s v="Kamiranzovu Sub-Catchment"/>
    <n v="4257.3600000000006"/>
  </r>
  <r>
    <x v="3"/>
    <s v="KAGIMBU"/>
    <s v="Public"/>
    <x v="0"/>
    <s v="Karongi"/>
    <s v="Bwishyura"/>
    <s v="CKIV_2"/>
    <s v="Koko/Muregeya Sub-Catchment"/>
    <n v="1103.7600000000002"/>
  </r>
  <r>
    <x v="3"/>
    <s v="KINYOGO"/>
    <s v="Public"/>
    <x v="0"/>
    <s v="Karongi"/>
    <s v="Bwishyura"/>
    <s v="CKIV_2"/>
    <s v="Koko/Muregeya Sub-Catchment"/>
    <n v="1024.92"/>
  </r>
  <r>
    <x v="3"/>
    <s v="YURUVUGO"/>
    <s v="Public"/>
    <x v="0"/>
    <s v="Karongi"/>
    <s v="Bwishyura"/>
    <s v="CKIV_2"/>
    <s v="Koko/Muregeya Sub-Catchment"/>
    <n v="946.08"/>
  </r>
  <r>
    <x v="3"/>
    <s v="KARUGEZI"/>
    <s v="Public"/>
    <x v="0"/>
    <s v="Karongi"/>
    <s v="Bwishyura"/>
    <s v="CKIV_2"/>
    <s v="Koko/Muregeya Sub-Catchment"/>
    <n v="1892.16"/>
  </r>
  <r>
    <x v="3"/>
    <s v="GATOKI"/>
    <s v="Public"/>
    <x v="0"/>
    <s v="Karongi"/>
    <s v="Bwishyura"/>
    <s v="CKIV_2"/>
    <s v="Koko/Muregeya Sub-Catchment"/>
    <n v="473.04"/>
  </r>
  <r>
    <x v="3"/>
    <s v="GASEKE"/>
    <s v="Public"/>
    <x v="0"/>
    <s v="Karongi"/>
    <s v="Bwishyura"/>
    <s v="CKIV_2"/>
    <s v="Koko/Muregeya Sub-Catchment"/>
    <n v="3153.6000000000004"/>
  </r>
  <r>
    <x v="3"/>
    <s v="NYAKAGEZI"/>
    <s v="Public"/>
    <x v="0"/>
    <s v="Karongi"/>
    <s v="Bwishyura"/>
    <s v="CKIV_2"/>
    <s v="Koko/Muregeya Sub-Catchment"/>
    <n v="1261.44"/>
  </r>
  <r>
    <x v="3"/>
    <s v="NYAMUHEBE"/>
    <s v="Public"/>
    <x v="0"/>
    <s v="Karongi"/>
    <s v="Bwishyura"/>
    <s v="CKIV_2"/>
    <s v="Koko/Muregeya Sub-Catchment"/>
    <n v="1576.8000000000002"/>
  </r>
  <r>
    <x v="3"/>
    <s v="KIZIBAZIBA"/>
    <s v="Public"/>
    <x v="0"/>
    <s v="Karongi"/>
    <s v="Bwishyura"/>
    <s v="CKIV_2"/>
    <s v="Koko/Muregeya Sub-Catchment"/>
    <n v="551.88000000000011"/>
  </r>
  <r>
    <x v="3"/>
    <s v="NYAKAGEZI"/>
    <s v="Public"/>
    <x v="0"/>
    <s v="Karongi"/>
    <s v="Bwishyura"/>
    <s v="CKIV_2"/>
    <s v="Koko/Muregeya Sub-Catchment"/>
    <n v="946.08"/>
  </r>
  <r>
    <x v="3"/>
    <s v="KARIBA"/>
    <s v="Public"/>
    <x v="0"/>
    <s v="Karongi"/>
    <s v="Bwishyura"/>
    <s v="CKIV_2"/>
    <s v="Koko/Muregeya Sub-Catchment"/>
    <n v="788.40000000000009"/>
  </r>
  <r>
    <x v="3"/>
    <s v="GATOKI"/>
    <s v="Public"/>
    <x v="0"/>
    <s v="Karongi"/>
    <s v="Bwishyura"/>
    <s v="CKIV_2"/>
    <s v="Koko/Muregeya Sub-Catchment"/>
    <n v="1103.7600000000002"/>
  </r>
  <r>
    <x v="3"/>
    <s v="KIBANDE"/>
    <s v="Public"/>
    <x v="0"/>
    <s v="Karongi"/>
    <s v="Bwishyura"/>
    <s v="CKIV_2"/>
    <s v="Koko/Muregeya Sub-Catchment"/>
    <n v="315.36"/>
  </r>
  <r>
    <x v="3"/>
    <s v="NYONZA"/>
    <s v="Public"/>
    <x v="0"/>
    <s v="Karongi"/>
    <s v="Bwishyura"/>
    <s v="CKIV_2"/>
    <s v="Koko/Muregeya Sub-Catchment"/>
    <n v="1261.44"/>
  </r>
  <r>
    <x v="3"/>
    <s v="GISAYO"/>
    <s v="Public"/>
    <x v="0"/>
    <s v="Karongi"/>
    <s v="Bwishyura"/>
    <s v="CKIV_2"/>
    <s v="Koko/Muregeya Sub-Catchment"/>
    <n v="788.40000000000009"/>
  </r>
  <r>
    <x v="3"/>
    <s v="GATARE"/>
    <s v="Public"/>
    <x v="0"/>
    <s v="Karongi"/>
    <s v="Bwishyura"/>
    <s v="CKIV_2"/>
    <s v="Koko/Muregeya Sub-Catchment"/>
    <n v="1103.7600000000002"/>
  </r>
  <r>
    <x v="3"/>
    <s v="MUNDEKA"/>
    <s v="Public"/>
    <x v="0"/>
    <s v="Karongi"/>
    <s v="Bwishyura"/>
    <s v="CKIV_2"/>
    <s v="Koko/Muregeya Sub-Catchment"/>
    <n v="315.36"/>
  </r>
  <r>
    <x v="3"/>
    <s v="NKIZA"/>
    <s v="Public"/>
    <x v="0"/>
    <s v="Karongi"/>
    <s v="Bwishyura"/>
    <s v="CKIV_2"/>
    <s v="Koko/Muregeya Sub-Catchment"/>
    <n v="157.68"/>
  </r>
  <r>
    <x v="3"/>
    <s v="MARYOHE"/>
    <s v="Public"/>
    <x v="0"/>
    <s v="Karongi"/>
    <s v="Bwishyura"/>
    <s v="CKIV_2"/>
    <s v="Koko/Muregeya Sub-Catchment"/>
    <n v="315.36"/>
  </r>
  <r>
    <x v="3"/>
    <s v="KIBERINKA"/>
    <s v="Public"/>
    <x v="0"/>
    <s v="Karongi"/>
    <s v="Bwishyura"/>
    <s v="CKIV_2"/>
    <s v="Koko/Muregeya Sub-Catchment"/>
    <n v="346.89599999999996"/>
  </r>
  <r>
    <x v="3"/>
    <s v="GAHAMA"/>
    <s v="Public"/>
    <x v="0"/>
    <s v="Karongi"/>
    <s v="Bwishyura"/>
    <s v="CKIV_2"/>
    <s v="Koko/Muregeya Sub-Catchment"/>
    <n v="1103.7600000000002"/>
  </r>
  <r>
    <x v="3"/>
    <s v="MUCYOBATUYE"/>
    <s v="Public"/>
    <x v="0"/>
    <s v="Karongi"/>
    <s v="Bwishyura"/>
    <s v="CKIV_2"/>
    <s v="Koko/Muregeya Sub-Catchment"/>
    <n v="315.36"/>
  </r>
  <r>
    <x v="3"/>
    <s v="NYARUHOBOBO"/>
    <s v="Public"/>
    <x v="0"/>
    <s v="Karongi"/>
    <s v="Bwishyura"/>
    <s v="CKIV_2"/>
    <s v="Koko/Muregeya Sub-Catchment"/>
    <n v="946.08"/>
  </r>
  <r>
    <x v="3"/>
    <s v="NYARUHOBOBO"/>
    <s v="Public"/>
    <x v="0"/>
    <s v="Karongi"/>
    <s v="Bwishyura"/>
    <s v="CKIV_2"/>
    <s v="Koko/Muregeya Sub-Catchment"/>
    <n v="283.82400000000001"/>
  </r>
  <r>
    <x v="3"/>
    <s v="GISAYO"/>
    <s v="Public"/>
    <x v="0"/>
    <s v="Karongi"/>
    <s v="Bwishyura"/>
    <s v="CKIV_2"/>
    <s v="Koko/Muregeya Sub-Catchment"/>
    <n v="473.04"/>
  </r>
  <r>
    <x v="3"/>
    <s v="KIBANDE"/>
    <s v="Public"/>
    <x v="0"/>
    <s v="Karongi"/>
    <s v="Bwishyura"/>
    <s v="CKIV_2"/>
    <s v="Koko/Muregeya Sub-Catchment"/>
    <n v="630.72"/>
  </r>
  <r>
    <x v="3"/>
    <s v="NGANZO"/>
    <s v="Public"/>
    <x v="0"/>
    <s v="Rutsiro"/>
    <s v="Gihango"/>
    <s v="CKIV_2"/>
    <s v="Koko/Muregeya Sub-Catchment"/>
    <n v="1261.44"/>
  </r>
  <r>
    <x v="3"/>
    <s v="MURUKORE"/>
    <s v="Public"/>
    <x v="0"/>
    <s v="Rutsiro"/>
    <s v="Gihango"/>
    <s v="CKIV_2"/>
    <s v="Koko/Muregeya Sub-Catchment"/>
    <n v="157.68"/>
  </r>
  <r>
    <x v="3"/>
    <s v="RUHAMBAMAZI"/>
    <s v="Public"/>
    <x v="0"/>
    <s v="Rutsiro"/>
    <s v="Gihango"/>
    <s v="CKIV_2"/>
    <s v="Koko/Muregeya Sub-Catchment"/>
    <n v="14191.2"/>
  </r>
  <r>
    <x v="3"/>
    <s v="RYARUREMA"/>
    <s v="Public"/>
    <x v="0"/>
    <s v="Rutsiro"/>
    <s v="Gihango"/>
    <s v="CKIV_2"/>
    <s v="Koko/Muregeya Sub-Catchment"/>
    <n v="2207.5200000000004"/>
  </r>
  <r>
    <x v="3"/>
    <s v="BIRUTINGAGA"/>
    <s v="Public"/>
    <x v="0"/>
    <s v="Rutsiro"/>
    <s v="Gihango"/>
    <s v="CKIV_2"/>
    <s v="Koko/Muregeya Sub-Catchment"/>
    <n v="3468.9600000000005"/>
  </r>
  <r>
    <x v="3"/>
    <s v="KABURAMAZI"/>
    <s v="Public"/>
    <x v="0"/>
    <s v="Rutsiro"/>
    <s v="Gihango"/>
    <s v="CKIV_2"/>
    <s v="Koko/Muregeya Sub-Catchment"/>
    <n v="1576.8000000000002"/>
  </r>
  <r>
    <x v="3"/>
    <s v="KANYIRAMATEKE"/>
    <s v="Public"/>
    <x v="0"/>
    <s v="Rutsiro"/>
    <s v="Gihango"/>
    <s v="CKIV_2"/>
    <s v="Koko/Muregeya Sub-Catchment"/>
    <n v="473.04"/>
  </r>
  <r>
    <x v="3"/>
    <s v="KAMARANZARA"/>
    <s v="Public"/>
    <x v="0"/>
    <s v="Rutsiro"/>
    <s v="Gihango"/>
    <s v="CKIV_2"/>
    <s v="Koko/Muregeya Sub-Catchment"/>
    <n v="6307.2000000000007"/>
  </r>
  <r>
    <x v="3"/>
    <s v="RUSEKE"/>
    <s v="Public"/>
    <x v="0"/>
    <s v="Rutsiro"/>
    <s v="Gihango"/>
    <s v="CKIV_2"/>
    <s v="Koko/Muregeya Sub-Catchment"/>
    <n v="9145.44"/>
  </r>
  <r>
    <x v="3"/>
    <s v="SHYEMBE"/>
    <s v="Public"/>
    <x v="0"/>
    <s v="Rutsiro"/>
    <s v="Gihango"/>
    <s v="CKIV_2"/>
    <s v="Koko/Muregeya Sub-Catchment"/>
    <n v="2522.88"/>
  </r>
  <r>
    <x v="3"/>
    <s v="RWIBIREGEYA"/>
    <s v="Public"/>
    <x v="0"/>
    <s v="Rutsiro"/>
    <s v="Gihango"/>
    <s v="CKIV_2"/>
    <s v="Koko/Muregeya Sub-Catchment"/>
    <n v="2049.84"/>
  </r>
  <r>
    <x v="3"/>
    <s v="NYAMAZI"/>
    <s v="Public"/>
    <x v="0"/>
    <s v="Rutsiro"/>
    <s v="Gihango"/>
    <s v="CKIV_2"/>
    <s v="Koko/Muregeya Sub-Catchment"/>
    <n v="1419.12"/>
  </r>
  <r>
    <x v="3"/>
    <s v="KAMUTAMBIRO"/>
    <s v="Public"/>
    <x v="0"/>
    <s v="Rutsiro"/>
    <s v="Gihango"/>
    <s v="CKIV_2"/>
    <s v="Koko/Muregeya Sub-Catchment"/>
    <n v="315.36"/>
  </r>
  <r>
    <x v="3"/>
    <s v="GASHIHE"/>
    <s v="Public"/>
    <x v="0"/>
    <s v="Rutsiro"/>
    <s v="Gihango"/>
    <s v="CKIV_2"/>
    <s v="Koko/Muregeya Sub-Catchment"/>
    <n v="1576.8000000000002"/>
  </r>
  <r>
    <x v="3"/>
    <s v="GATARE"/>
    <s v="Public"/>
    <x v="0"/>
    <s v="Rutsiro"/>
    <s v="Gihango"/>
    <s v="CKIV_2"/>
    <s v="Koko/Muregeya Sub-Catchment"/>
    <n v="157.68"/>
  </r>
  <r>
    <x v="3"/>
    <s v="MASUMO"/>
    <s v="Public"/>
    <x v="0"/>
    <s v="Rutsiro"/>
    <s v="Gihango"/>
    <s v="CKIV_2"/>
    <s v="Koko/Muregeya Sub-Catchment"/>
    <n v="157.68"/>
  </r>
  <r>
    <x v="3"/>
    <s v="NYABINYONI"/>
    <s v="Public"/>
    <x v="0"/>
    <s v="Rutsiro"/>
    <s v="Gihango"/>
    <s v="CKIV_2"/>
    <s v="Koko/Muregeya Sub-Catchment"/>
    <n v="1892.16"/>
  </r>
  <r>
    <x v="3"/>
    <s v="NYABUNYONI"/>
    <s v="Public"/>
    <x v="0"/>
    <s v="Rutsiro"/>
    <s v="Gihango"/>
    <s v="CKIV_2"/>
    <s v="Koko/Muregeya Sub-Catchment"/>
    <n v="1103.7600000000002"/>
  </r>
  <r>
    <x v="3"/>
    <s v="KUMUSENYI"/>
    <s v="Public"/>
    <x v="0"/>
    <s v="Rutsiro"/>
    <s v="Gihango"/>
    <s v="CKIV_2"/>
    <s v="Koko/Muregeya Sub-Catchment"/>
    <n v="5203.4400000000005"/>
  </r>
  <r>
    <x v="3"/>
    <s v="NYAGASOZI"/>
    <s v="Public"/>
    <x v="0"/>
    <s v="Rutsiro"/>
    <s v="Gihango"/>
    <s v="CKIV_2"/>
    <s v="Koko/Muregeya Sub-Catchment"/>
    <n v="157.68"/>
  </r>
  <r>
    <x v="3"/>
    <s v="GASAVE"/>
    <s v="Public"/>
    <x v="0"/>
    <s v="Rutsiro"/>
    <s v="Gihango"/>
    <s v="CKIV_2"/>
    <s v="Koko/Muregeya Sub-Catchment"/>
    <n v="1576.8000000000002"/>
  </r>
  <r>
    <x v="3"/>
    <s v="GAKOMA"/>
    <s v="Public"/>
    <x v="0"/>
    <s v="Rutsiro"/>
    <s v="Gihango"/>
    <s v="CKIV_2"/>
    <s v="Koko/Muregeya Sub-Catchment"/>
    <n v="5991.84"/>
  </r>
  <r>
    <x v="3"/>
    <s v="NYAKAGEZI"/>
    <s v="Public"/>
    <x v="0"/>
    <s v="Rutsiro"/>
    <s v="Gihango"/>
    <s v="CKIV_2"/>
    <s v="Koko/Muregeya Sub-Catchment"/>
    <n v="1261.44"/>
  </r>
  <r>
    <x v="3"/>
    <s v="RYABITABI"/>
    <s v="Public"/>
    <x v="0"/>
    <s v="Rutsiro"/>
    <s v="Gihango"/>
    <s v="CKIV_2"/>
    <s v="Koko/Muregeya Sub-Catchment"/>
    <n v="473.04"/>
  </r>
  <r>
    <x v="3"/>
    <s v="GATOKI"/>
    <s v="Public"/>
    <x v="0"/>
    <s v="Rutsiro"/>
    <s v="Gihango"/>
    <s v="CKIV_2"/>
    <s v="Koko/Muregeya Sub-Catchment"/>
    <n v="8041.68"/>
  </r>
  <r>
    <x v="3"/>
    <s v="NYABIKENDE"/>
    <s v="Public"/>
    <x v="0"/>
    <s v="Rutsiro"/>
    <s v="Gihango"/>
    <s v="CKIV_2"/>
    <s v="Koko/Muregeya Sub-Catchment"/>
    <n v="315.36"/>
  </r>
  <r>
    <x v="3"/>
    <s v="KAGWA"/>
    <s v="Public"/>
    <x v="0"/>
    <s v="Rutsiro"/>
    <s v="Gihango"/>
    <s v="CKIV_2"/>
    <s v="Koko/Muregeya Sub-Catchment"/>
    <n v="315.36"/>
  </r>
  <r>
    <x v="3"/>
    <s v="KIBIHIRA"/>
    <s v="Public"/>
    <x v="0"/>
    <s v="Rutsiro"/>
    <s v="Gihango"/>
    <s v="CKIV_2"/>
    <s v="Koko/Muregeya Sub-Catchment"/>
    <n v="2522.88"/>
  </r>
  <r>
    <x v="3"/>
    <s v="RWAMUGONGO"/>
    <s v="Public"/>
    <x v="0"/>
    <s v="Rutsiro"/>
    <s v="Gihango"/>
    <s v="CKIV_2"/>
    <s v="Koko/Muregeya Sub-Catchment"/>
    <n v="1261.44"/>
  </r>
  <r>
    <x v="3"/>
    <s v="NYIRANDABIROHA"/>
    <s v="Public"/>
    <x v="0"/>
    <s v="Rutsiro"/>
    <s v="Gihango"/>
    <s v="CKIV_2"/>
    <s v="Koko/Muregeya Sub-Catchment"/>
    <n v="5203.4400000000005"/>
  </r>
  <r>
    <x v="3"/>
    <s v="RUBANDE"/>
    <s v="Public"/>
    <x v="0"/>
    <s v="Rutsiro"/>
    <s v="Gihango"/>
    <s v="CKIV_2"/>
    <s v="Koko/Muregeya Sub-Catchment"/>
    <n v="1892.16"/>
  </r>
  <r>
    <x v="3"/>
    <s v="BUGINA"/>
    <s v="Public"/>
    <x v="0"/>
    <s v="Rutsiro"/>
    <s v="Gihango"/>
    <s v="CKIV_2"/>
    <s v="Koko/Muregeya Sub-Catchment"/>
    <n v="1576.8000000000002"/>
  </r>
  <r>
    <x v="3"/>
    <s v="KARUMENGE"/>
    <s v="Public"/>
    <x v="0"/>
    <s v="Rutsiro"/>
    <s v="Gihango"/>
    <s v="CKIV_2"/>
    <s v="Koko/Muregeya Sub-Catchment"/>
    <n v="4415.0400000000009"/>
  </r>
  <r>
    <x v="3"/>
    <s v="MUKARIHO"/>
    <s v="Public"/>
    <x v="0"/>
    <s v="Nyamasheke"/>
    <s v="Gihombo"/>
    <s v="CKIV_2"/>
    <s v="Koko/Muregeya Sub-Catchment"/>
    <n v="3626.64"/>
  </r>
  <r>
    <x v="3"/>
    <s v="RYAGASOZI"/>
    <s v="Public"/>
    <x v="0"/>
    <s v="Nyamasheke"/>
    <s v="Gihombo"/>
    <s v="CKIV_2"/>
    <s v="Koko/Muregeya Sub-Catchment"/>
    <n v="1576.8000000000002"/>
  </r>
  <r>
    <x v="3"/>
    <s v="CYAHAFI"/>
    <s v="Public"/>
    <x v="0"/>
    <s v="Nyamasheke"/>
    <s v="Gihombo"/>
    <s v="CKIV_2"/>
    <s v="Koko/Muregeya Sub-Catchment"/>
    <n v="1261.44"/>
  </r>
  <r>
    <x v="3"/>
    <s v="MUKAMUSHORA"/>
    <s v="Public"/>
    <x v="0"/>
    <s v="Nyamasheke"/>
    <s v="Gihombo"/>
    <s v="CKIV_2"/>
    <s v="Koko/Muregeya Sub-Catchment"/>
    <n v="1734.4800000000002"/>
  </r>
  <r>
    <x v="3"/>
    <s v="KURIKIBOGA"/>
    <s v="Public"/>
    <x v="0"/>
    <s v="Nyamasheke"/>
    <s v="Gihombo"/>
    <s v="CKIV_2"/>
    <s v="Koko/Muregeya Sub-Catchment"/>
    <n v="3153.6000000000004"/>
  </r>
  <r>
    <x v="3"/>
    <s v="NYAKAGEZI"/>
    <s v="Public"/>
    <x v="0"/>
    <s v="Nyamasheke"/>
    <s v="Gihombo"/>
    <s v="CKIV_2"/>
    <s v="Koko/Muregeya Sub-Catchment"/>
    <n v="1419.12"/>
  </r>
  <r>
    <x v="3"/>
    <s v="MUKAJAGAMBA"/>
    <s v="Public"/>
    <x v="0"/>
    <s v="Nyamasheke"/>
    <s v="Gihombo"/>
    <s v="CKIV_2"/>
    <s v="Koko/Muregeya Sub-Catchment"/>
    <n v="3311.2799999999997"/>
  </r>
  <r>
    <x v="3"/>
    <s v="MUMASUMO"/>
    <s v="Public"/>
    <x v="0"/>
    <s v="Nyamasheke"/>
    <s v="Gihombo"/>
    <s v="CKIV_2"/>
    <s v="Koko/Muregeya Sub-Catchment"/>
    <n v="1103.7600000000002"/>
  </r>
  <r>
    <x v="3"/>
    <s v="GASUMO"/>
    <s v="Public"/>
    <x v="0"/>
    <s v="Nyamasheke"/>
    <s v="Gihombo"/>
    <s v="CKIV_2"/>
    <s v="Koko/Muregeya Sub-Catchment"/>
    <n v="2995.92"/>
  </r>
  <r>
    <x v="3"/>
    <s v="KAZIBIRA"/>
    <s v="Public"/>
    <x v="0"/>
    <s v="Nyamasheke"/>
    <s v="Gihombo"/>
    <s v="CKIV_2"/>
    <s v="Koko/Muregeya Sub-Catchment"/>
    <n v="1892.16"/>
  </r>
  <r>
    <x v="3"/>
    <s v="KAZIBAZIBA"/>
    <s v="Public"/>
    <x v="0"/>
    <s v="Nyamasheke"/>
    <s v="Gihombo"/>
    <s v="CKIV_2"/>
    <s v="Koko/Muregeya Sub-Catchment"/>
    <n v="3468.9600000000005"/>
  </r>
  <r>
    <x v="3"/>
    <s v="GIHOMBO"/>
    <s v="Public"/>
    <x v="0"/>
    <s v="Nyamasheke"/>
    <s v="Gihombo"/>
    <s v="CKIV_2"/>
    <s v="Koko/Muregeya Sub-Catchment"/>
    <n v="1576.8000000000002"/>
  </r>
  <r>
    <x v="3"/>
    <s v="MUKARIBO"/>
    <s v="Public"/>
    <x v="0"/>
    <s v="Nyamasheke"/>
    <s v="Gihombo"/>
    <s v="CKIV_2"/>
    <s v="Koko/Muregeya Sub-Catchment"/>
    <n v="1892.16"/>
  </r>
  <r>
    <x v="3"/>
    <s v="KUMUREHE"/>
    <s v="Public"/>
    <x v="0"/>
    <s v="Nyamasheke"/>
    <s v="Gihombo"/>
    <s v="CKIV_2"/>
    <s v="Koko/Muregeya Sub-Catchment"/>
    <n v="2049.84"/>
  </r>
  <r>
    <x v="3"/>
    <s v="GATUGUNGURU"/>
    <s v="Public"/>
    <x v="0"/>
    <s v="Nyamasheke"/>
    <s v="Gihombo"/>
    <s v="CKIV_2"/>
    <s v="Koko/Muregeya Sub-Catchment"/>
    <n v="1419.12"/>
  </r>
  <r>
    <x v="3"/>
    <s v="MUMWOMA II"/>
    <s v="Public"/>
    <x v="0"/>
    <s v="Nyamasheke"/>
    <s v="Gihombo"/>
    <s v="CKIV_2"/>
    <s v="Koko/Muregeya Sub-Catchment"/>
    <n v="2365.2000000000003"/>
  </r>
  <r>
    <x v="3"/>
    <s v="MUMWOMA"/>
    <s v="Public"/>
    <x v="0"/>
    <s v="Nyamasheke"/>
    <s v="Gihombo"/>
    <s v="CKIV_2"/>
    <s v="Koko/Muregeya Sub-Catchment"/>
    <n v="1261.44"/>
  </r>
  <r>
    <x v="3"/>
    <s v="MUMWOMA III"/>
    <s v="Public"/>
    <x v="0"/>
    <s v="Nyamasheke"/>
    <s v="Gihombo"/>
    <s v="CKIV_2"/>
    <s v="Koko/Muregeya Sub-Catchment"/>
    <n v="2680.56"/>
  </r>
  <r>
    <x v="3"/>
    <s v="MUBIGABIRO"/>
    <s v="Public"/>
    <x v="0"/>
    <s v="Nyamasheke"/>
    <s v="Gihombo"/>
    <s v="CKIV_2"/>
    <s v="Koko/Muregeya Sub-Catchment"/>
    <n v="1892.16"/>
  </r>
  <r>
    <x v="3"/>
    <s v="MUCYARUSENYERO"/>
    <s v="Public"/>
    <x v="0"/>
    <s v="Nyamasheke"/>
    <s v="Gihombo"/>
    <s v="CKIV_2"/>
    <s v="Koko/Muregeya Sub-Catchment"/>
    <n v="2522.88"/>
  </r>
  <r>
    <x v="3"/>
    <s v="KURUGANDA"/>
    <s v="Public"/>
    <x v="0"/>
    <s v="Nyamasheke"/>
    <s v="Gihombo"/>
    <s v="CKIV_2"/>
    <s v="Koko/Muregeya Sub-Catchment"/>
    <n v="3153.6000000000004"/>
  </r>
  <r>
    <x v="3"/>
    <s v="MUGABIRA"/>
    <s v="Public"/>
    <x v="0"/>
    <s v="Nyamasheke"/>
    <s v="Gihombo"/>
    <s v="CKIV_2"/>
    <s v="Koko/Muregeya Sub-Catchment"/>
    <n v="3153.6000000000004"/>
  </r>
  <r>
    <x v="3"/>
    <s v="RWATSI"/>
    <s v="Public"/>
    <x v="0"/>
    <s v="Nyamasheke"/>
    <s v="Gihombo"/>
    <s v="CKIV_2"/>
    <s v="Koko/Muregeya Sub-Catchment"/>
    <n v="1892.16"/>
  </r>
  <r>
    <x v="3"/>
    <s v="MUGASAYO"/>
    <s v="Public"/>
    <x v="0"/>
    <s v="Nyamasheke"/>
    <s v="Gihombo"/>
    <s v="CKIV_2"/>
    <s v="Koko/Muregeya Sub-Catchment"/>
    <n v="1103.7600000000002"/>
  </r>
  <r>
    <x v="3"/>
    <s v="KURI ADEPR"/>
    <s v="Public"/>
    <x v="0"/>
    <s v="Nyamasheke"/>
    <s v="Gihombo"/>
    <s v="CKIV_2"/>
    <s v="Koko/Muregeya Sub-Catchment"/>
    <n v="4415.0400000000009"/>
  </r>
  <r>
    <x v="3"/>
    <s v="MUDUHA"/>
    <s v="Public"/>
    <x v="0"/>
    <s v="Nyamasheke"/>
    <s v="Gihombo"/>
    <s v="CKIV_2"/>
    <s v="Koko/Muregeya Sub-Catchment"/>
    <n v="1261.44"/>
  </r>
  <r>
    <x v="3"/>
    <s v="MURWAGATI"/>
    <s v="Public"/>
    <x v="0"/>
    <s v="Nyamasheke"/>
    <s v="Gihombo"/>
    <s v="CKIV_2"/>
    <s v="Koko/Muregeya Sub-Catchment"/>
    <n v="4415.0400000000009"/>
  </r>
  <r>
    <x v="3"/>
    <s v="RWAMABONDI"/>
    <s v="Public"/>
    <x v="0"/>
    <s v="Nyamasheke"/>
    <s v="Gihombo"/>
    <s v="CKIV_2"/>
    <s v="Koko/Muregeya Sub-Catchment"/>
    <n v="2365.2000000000003"/>
  </r>
  <r>
    <x v="3"/>
    <s v="MURIGITI"/>
    <s v="Public"/>
    <x v="0"/>
    <s v="Nyamasheke"/>
    <s v="Gihombo"/>
    <s v="CKIV_2"/>
    <s v="Koko/Muregeya Sub-Catchment"/>
    <n v="3626.64"/>
  </r>
  <r>
    <x v="3"/>
    <s v="MASANGANO"/>
    <s v="Public"/>
    <x v="0"/>
    <s v="Nyamasheke"/>
    <s v="Gihombo"/>
    <s v="CKIV_2"/>
    <s v="Koko/Muregeya Sub-Catchment"/>
    <n v="2207.5200000000004"/>
  </r>
  <r>
    <x v="3"/>
    <s v="GATOKI"/>
    <s v="Public"/>
    <x v="0"/>
    <s v="Nyamasheke"/>
    <s v="Gihombo"/>
    <s v="CKIV_2"/>
    <s v="Koko/Muregeya Sub-Catchment"/>
    <n v="2522.88"/>
  </r>
  <r>
    <x v="3"/>
    <s v="JARAMA"/>
    <s v="Public"/>
    <x v="0"/>
    <s v="Nyamasheke"/>
    <s v="Gihombo"/>
    <s v="CKIV_2"/>
    <s v="Koko/Muregeya Sub-Catchment"/>
    <n v="3311.2799999999997"/>
  </r>
  <r>
    <x v="3"/>
    <s v="KANYEGE"/>
    <s v="Public"/>
    <x v="0"/>
    <s v="Nyamasheke"/>
    <s v="Gihombo"/>
    <s v="CKIV_2"/>
    <s v="Koko/Muregeya Sub-Catchment"/>
    <n v="2365.2000000000003"/>
  </r>
  <r>
    <x v="3"/>
    <s v="KAVOMO"/>
    <s v="Public"/>
    <x v="0"/>
    <s v="Nyamasheke"/>
    <s v="Gihombo"/>
    <s v="CKIV_2"/>
    <s v="Koko/Muregeya Sub-Catchment"/>
    <n v="1261.44"/>
  </r>
  <r>
    <x v="3"/>
    <s v="NYIRANSORO"/>
    <s v="Public"/>
    <x v="0"/>
    <s v="Nyamasheke"/>
    <s v="Gihombo"/>
    <s v="CKIV_2"/>
    <s v="Koko/Muregeya Sub-Catchment"/>
    <n v="3311.2799999999997"/>
  </r>
  <r>
    <x v="3"/>
    <s v="GATURA"/>
    <s v="Public"/>
    <x v="0"/>
    <s v="Nyamasheke"/>
    <s v="Gihombo"/>
    <s v="CKIV_2"/>
    <s v="Koko/Muregeya Sub-Catchment"/>
    <n v="3311.2799999999997"/>
  </r>
  <r>
    <x v="3"/>
    <s v="GASAYO"/>
    <s v="Public"/>
    <x v="0"/>
    <s v="Nyamasheke"/>
    <s v="Gihombo"/>
    <s v="CKIV_2"/>
    <s v="Koko/Muregeya Sub-Catchment"/>
    <n v="1419.12"/>
  </r>
  <r>
    <x v="3"/>
    <s v="MUKAZIKO"/>
    <s v="Public"/>
    <x v="0"/>
    <s v="Nyamasheke"/>
    <s v="Gihombo"/>
    <s v="CKIV_2"/>
    <s v="Koko/Muregeya Sub-Catchment"/>
    <n v="1419.12"/>
  </r>
  <r>
    <x v="3"/>
    <s v="GASAYO II"/>
    <s v="Public"/>
    <x v="0"/>
    <s v="Nyamasheke"/>
    <s v="Gihombo"/>
    <s v="CKIV_2"/>
    <s v="Koko/Muregeya Sub-Catchment"/>
    <n v="3153.6000000000004"/>
  </r>
  <r>
    <x v="3"/>
    <s v="MUMATARE"/>
    <s v="Public"/>
    <x v="0"/>
    <s v="Nyamasheke"/>
    <s v="Gihombo"/>
    <s v="CKIV_2"/>
    <s v="Koko/Muregeya Sub-Catchment"/>
    <n v="946.08"/>
  </r>
  <r>
    <x v="3"/>
    <s v="GASAYO III"/>
    <s v="Public"/>
    <x v="0"/>
    <s v="Nyamasheke"/>
    <s v="Gihombo"/>
    <s v="CKIV_2"/>
    <s v="Koko/Muregeya Sub-Catchment"/>
    <n v="2207.5200000000004"/>
  </r>
  <r>
    <x v="3"/>
    <s v="BIREHE"/>
    <s v="Public"/>
    <x v="0"/>
    <s v="Nyamasheke"/>
    <s v="Gihombo"/>
    <s v="CKIV_2"/>
    <s v="Koko/Muregeya Sub-Catchment"/>
    <n v="2995.92"/>
  </r>
  <r>
    <x v="3"/>
    <s v="KASOKORI"/>
    <s v="Public"/>
    <x v="0"/>
    <s v="Nyamasheke"/>
    <s v="Gihombo"/>
    <s v="CKIV_2"/>
    <s v="Koko/Muregeya Sub-Catchment"/>
    <n v="2522.88"/>
  </r>
  <r>
    <x v="3"/>
    <s v="MUMATARE"/>
    <s v="Public"/>
    <x v="0"/>
    <s v="Nyamasheke"/>
    <s v="Gihombo"/>
    <s v="CKIV_2"/>
    <s v="Koko/Muregeya Sub-Catchment"/>
    <n v="2049.84"/>
  </r>
  <r>
    <x v="3"/>
    <s v="KAGANO"/>
    <s v="Public"/>
    <x v="0"/>
    <s v="Nyamasheke"/>
    <s v="Gihombo"/>
    <s v="CKIV_2"/>
    <s v="Koko/Muregeya Sub-Catchment"/>
    <n v="1576.8000000000002"/>
  </r>
  <r>
    <x v="3"/>
    <s v="MUBYAMBYAYINGABO"/>
    <s v="Public"/>
    <x v="0"/>
    <s v="Nyamasheke"/>
    <s v="Gihombo"/>
    <s v="CKIV_2"/>
    <s v="Koko/Muregeya Sub-Catchment"/>
    <n v="1261.44"/>
  </r>
  <r>
    <x v="3"/>
    <s v="KUWIVOMO"/>
    <s v="Public"/>
    <x v="0"/>
    <s v="Karongi"/>
    <s v="Gishyita"/>
    <s v="CKIV_2"/>
    <s v="Koko/Muregeya Sub-Catchment"/>
    <n v="946.08"/>
  </r>
  <r>
    <x v="3"/>
    <s v="GATUGUNGURU"/>
    <s v="Public"/>
    <x v="0"/>
    <s v="Karongi"/>
    <s v="Gishyita"/>
    <s v="CKIV_2"/>
    <s v="Koko/Muregeya Sub-Catchment"/>
    <n v="3468.9600000000005"/>
  </r>
  <r>
    <x v="3"/>
    <s v="MUKAGEZI"/>
    <s v="Public"/>
    <x v="0"/>
    <s v="Karongi"/>
    <s v="Gishyita"/>
    <s v="CKIV_2"/>
    <s v="Koko/Muregeya Sub-Catchment"/>
    <n v="1103.7600000000002"/>
  </r>
  <r>
    <x v="3"/>
    <s v="KWAKABUTARE"/>
    <s v="Public"/>
    <x v="0"/>
    <s v="Karongi"/>
    <s v="Gishyita"/>
    <s v="CKIV_2"/>
    <s v="Koko/Muregeya Sub-Catchment"/>
    <n v="1419.12"/>
  </r>
  <r>
    <x v="3"/>
    <s v="NYAKABINGO"/>
    <s v="Public"/>
    <x v="0"/>
    <s v="Karongi"/>
    <s v="Gishyita"/>
    <s v="CKIV_2"/>
    <s v="Koko/Muregeya Sub-Catchment"/>
    <n v="2049.84"/>
  </r>
  <r>
    <x v="3"/>
    <s v="NGANDO"/>
    <s v="Public"/>
    <x v="0"/>
    <s v="Karongi"/>
    <s v="Gishyita"/>
    <s v="CKIV_2"/>
    <s v="Koko/Muregeya Sub-Catchment"/>
    <n v="1419.12"/>
  </r>
  <r>
    <x v="3"/>
    <s v="NYARUTOBOTOBO"/>
    <s v="Public"/>
    <x v="0"/>
    <s v="Karongi"/>
    <s v="Gishyita"/>
    <s v="CKIV_2"/>
    <s v="Koko/Muregeya Sub-Catchment"/>
    <n v="3153.6000000000004"/>
  </r>
  <r>
    <x v="3"/>
    <s v="GITOVU"/>
    <s v="Public"/>
    <x v="0"/>
    <s v="Karongi"/>
    <s v="Gishyita"/>
    <s v="CKIV_2"/>
    <s v="Koko/Muregeya Sub-Catchment"/>
    <n v="1576.8000000000002"/>
  </r>
  <r>
    <x v="3"/>
    <s v="GITAKA"/>
    <s v="Public"/>
    <x v="0"/>
    <s v="Karongi"/>
    <s v="Gishyita"/>
    <s v="CKIV_2"/>
    <s v="Koko/Muregeya Sub-Catchment"/>
    <n v="3311.2799999999997"/>
  </r>
  <r>
    <x v="3"/>
    <s v="KAGIMBU"/>
    <s v="Public"/>
    <x v="0"/>
    <s v="Karongi"/>
    <s v="Gishyita"/>
    <s v="CKIV_2"/>
    <s v="Koko/Muregeya Sub-Catchment"/>
    <n v="1103.7600000000002"/>
  </r>
  <r>
    <x v="3"/>
    <s v="BANKANKA"/>
    <s v="Public"/>
    <x v="0"/>
    <s v="Karongi"/>
    <s v="Gishyita"/>
    <s v="CKIV_2"/>
    <s v="Koko/Muregeya Sub-Catchment"/>
    <n v="2522.88"/>
  </r>
  <r>
    <x v="3"/>
    <s v="KARWASA"/>
    <s v="Public"/>
    <x v="0"/>
    <s v="Karongi"/>
    <s v="Gishyita"/>
    <s v="CKIV_2"/>
    <s v="Koko/Muregeya Sub-Catchment"/>
    <n v="1261.44"/>
  </r>
  <r>
    <x v="3"/>
    <s v="KAGUGU"/>
    <s v="Public"/>
    <x v="0"/>
    <s v="Karongi"/>
    <s v="Gishyita"/>
    <s v="CKIV_2"/>
    <s v="Koko/Muregeya Sub-Catchment"/>
    <n v="4099.68"/>
  </r>
  <r>
    <x v="3"/>
    <s v="KARUHURA"/>
    <s v="Public"/>
    <x v="0"/>
    <s v="Karongi"/>
    <s v="Gishyita"/>
    <s v="CKIV_2"/>
    <s v="Koko/Muregeya Sub-Catchment"/>
    <n v="1892.16"/>
  </r>
  <r>
    <x v="3"/>
    <s v="GAKERAKENJA"/>
    <s v="Public"/>
    <x v="0"/>
    <s v="Karongi"/>
    <s v="Gishyita"/>
    <s v="CKIV_2"/>
    <s v="Koko/Muregeya Sub-Catchment"/>
    <n v="2838.24"/>
  </r>
  <r>
    <x v="3"/>
    <s v="KARUHINDURA"/>
    <s v="Public"/>
    <x v="0"/>
    <s v="Karongi"/>
    <s v="Gishyita"/>
    <s v="CKIV_2"/>
    <s v="Koko/Muregeya Sub-Catchment"/>
    <n v="2049.84"/>
  </r>
  <r>
    <x v="3"/>
    <s v="NYAKAGEZI"/>
    <s v="Public"/>
    <x v="0"/>
    <s v="Karongi"/>
    <s v="Gishyita"/>
    <s v="CKIV_2"/>
    <s v="Koko/Muregeya Sub-Catchment"/>
    <n v="2522.88"/>
  </r>
  <r>
    <x v="3"/>
    <s v="MIKAMO"/>
    <s v="Public"/>
    <x v="0"/>
    <s v="Karongi"/>
    <s v="Gitesi"/>
    <s v="CKIV_2"/>
    <s v="Koko/Muregeya Sub-Catchment"/>
    <n v="2365.2000000000003"/>
  </r>
  <r>
    <x v="3"/>
    <s v="GASEKE"/>
    <s v="Public"/>
    <x v="0"/>
    <s v="Karongi"/>
    <s v="Gitesi"/>
    <s v="CKIV_2"/>
    <s v="Koko/Muregeya Sub-Catchment"/>
    <n v="1103.7600000000002"/>
  </r>
  <r>
    <x v="3"/>
    <s v="NYAGISASA"/>
    <s v="Public"/>
    <x v="0"/>
    <s v="Karongi"/>
    <s v="Gitesi"/>
    <s v="CKIV_2"/>
    <s v="Koko/Muregeya Sub-Catchment"/>
    <n v="3153.6000000000004"/>
  </r>
  <r>
    <x v="3"/>
    <s v="GITEGA"/>
    <s v="Public"/>
    <x v="0"/>
    <s v="Karongi"/>
    <s v="Gitesi"/>
    <s v="CKIV_2"/>
    <s v="Koko/Muregeya Sub-Catchment"/>
    <n v="788.40000000000009"/>
  </r>
  <r>
    <x v="3"/>
    <s v="RWAMAKOMA"/>
    <s v="Public"/>
    <x v="0"/>
    <s v="Karongi"/>
    <s v="Gitesi"/>
    <s v="CKIV_2"/>
    <s v="Koko/Muregeya Sub-Catchment"/>
    <n v="315.36"/>
  </r>
  <r>
    <x v="3"/>
    <s v="KAMUCURA"/>
    <s v="Public"/>
    <x v="0"/>
    <s v="Karongi"/>
    <s v="Gitesi"/>
    <s v="CKIV_2"/>
    <s v="Koko/Muregeya Sub-Catchment"/>
    <n v="551.88000000000011"/>
  </r>
  <r>
    <x v="3"/>
    <s v="NGANZO"/>
    <s v="Public"/>
    <x v="0"/>
    <s v="Karongi"/>
    <s v="Gitesi"/>
    <s v="CKIV_2"/>
    <s v="Koko/Muregeya Sub-Catchment"/>
    <n v="599.18399999999986"/>
  </r>
  <r>
    <x v="3"/>
    <s v="MUNINI"/>
    <s v="Public"/>
    <x v="0"/>
    <s v="Karongi"/>
    <s v="Gitesi"/>
    <s v="CKIV_2"/>
    <s v="Koko/Muregeya Sub-Catchment"/>
    <n v="1734.4800000000002"/>
  </r>
  <r>
    <x v="3"/>
    <s v="MUWAGATI"/>
    <s v="Public"/>
    <x v="0"/>
    <s v="Karongi"/>
    <s v="Gitesi"/>
    <s v="CKIV_2"/>
    <s v="Koko/Muregeya Sub-Catchment"/>
    <n v="473.04"/>
  </r>
  <r>
    <x v="3"/>
    <s v="MUNINI II"/>
    <s v="Public"/>
    <x v="0"/>
    <s v="Karongi"/>
    <s v="Gitesi"/>
    <s v="CKIV_2"/>
    <s v="Koko/Muregeya Sub-Catchment"/>
    <n v="3153.6000000000004"/>
  </r>
  <r>
    <x v="3"/>
    <s v="RUGOMERO"/>
    <s v="Public"/>
    <x v="0"/>
    <s v="Karongi"/>
    <s v="Gitesi"/>
    <s v="CKIV_2"/>
    <s v="Koko/Muregeya Sub-Catchment"/>
    <n v="315.36"/>
  </r>
  <r>
    <x v="3"/>
    <s v="KABIRAMBI"/>
    <s v="Public"/>
    <x v="0"/>
    <s v="Karongi"/>
    <s v="Gitesi"/>
    <s v="CKIV_2"/>
    <s v="Koko/Muregeya Sub-Catchment"/>
    <n v="457.27200000000005"/>
  </r>
  <r>
    <x v="3"/>
    <s v="NYABIKATI"/>
    <s v="Public"/>
    <x v="0"/>
    <s v="Karongi"/>
    <s v="Gitesi"/>
    <s v="CKIV_2"/>
    <s v="Koko/Muregeya Sub-Catchment"/>
    <n v="473.04"/>
  </r>
  <r>
    <x v="3"/>
    <s v="KABARI"/>
    <s v="Public"/>
    <x v="0"/>
    <s v="Karongi"/>
    <s v="Gitesi"/>
    <s v="CKIV_2"/>
    <s v="Koko/Muregeya Sub-Catchment"/>
    <n v="630.72"/>
  </r>
  <r>
    <x v="3"/>
    <s v="NYAKABINGO"/>
    <s v="Public"/>
    <x v="0"/>
    <s v="Karongi"/>
    <s v="Gitesi"/>
    <s v="CKIV_2"/>
    <s v="Koko/Muregeya Sub-Catchment"/>
    <n v="1261.44"/>
  </r>
  <r>
    <x v="3"/>
    <s v="NYARUTOVU"/>
    <s v="Public"/>
    <x v="0"/>
    <s v="Karongi"/>
    <s v="Gitesi"/>
    <s v="CKIV_2"/>
    <s v="Koko/Muregeya Sub-Catchment"/>
    <n v="3468.9600000000005"/>
  </r>
  <r>
    <x v="3"/>
    <s v="RUHINGA"/>
    <s v="Public"/>
    <x v="0"/>
    <s v="Karongi"/>
    <s v="Gitesi"/>
    <s v="CKIV_2"/>
    <s v="Koko/Muregeya Sub-Catchment"/>
    <n v="2365.2000000000003"/>
  </r>
  <r>
    <x v="3"/>
    <s v="GASEKE"/>
    <s v="Public"/>
    <x v="0"/>
    <s v="Karongi"/>
    <s v="Gitesi"/>
    <s v="CKIV_2"/>
    <s v="Koko/Muregeya Sub-Catchment"/>
    <n v="473.04"/>
  </r>
  <r>
    <x v="3"/>
    <s v="GASOGORORO"/>
    <s v="Public"/>
    <x v="0"/>
    <s v="Karongi"/>
    <s v="Gitesi"/>
    <s v="CKIV_2"/>
    <s v="Koko/Muregeya Sub-Catchment"/>
    <n v="788.40000000000009"/>
  </r>
  <r>
    <x v="3"/>
    <s v="NYAMUGALI"/>
    <s v="Public"/>
    <x v="0"/>
    <s v="Karongi"/>
    <s v="Gitesi"/>
    <s v="CKIV_2"/>
    <s v="Koko/Muregeya Sub-Catchment"/>
    <n v="630.72"/>
  </r>
  <r>
    <x v="3"/>
    <s v="MWUFE"/>
    <s v="Public"/>
    <x v="0"/>
    <s v="Karongi"/>
    <s v="Gitesi"/>
    <s v="CKIV_2"/>
    <s v="Koko/Muregeya Sub-Catchment"/>
    <n v="1892.16"/>
  </r>
  <r>
    <x v="3"/>
    <s v="NYARUHUNGERI"/>
    <s v="Public"/>
    <x v="0"/>
    <s v="Karongi"/>
    <s v="Gitesi"/>
    <s v="CKIV_2"/>
    <s v="Koko/Muregeya Sub-Catchment"/>
    <n v="315.36"/>
  </r>
  <r>
    <x v="3"/>
    <s v="MUWAKABUYE"/>
    <s v="Public"/>
    <x v="0"/>
    <s v="Karongi"/>
    <s v="Gitesi"/>
    <s v="CKIV_2"/>
    <s v="Koko/Muregeya Sub-Catchment"/>
    <n v="4730.4000000000005"/>
  </r>
  <r>
    <x v="3"/>
    <s v="RUNABO"/>
    <s v="Public"/>
    <x v="0"/>
    <s v="Karongi"/>
    <s v="Gitesi"/>
    <s v="CKIV_2"/>
    <s v="Koko/Muregeya Sub-Catchment"/>
    <n v="3153.6000000000004"/>
  </r>
  <r>
    <x v="3"/>
    <s v="KANNYOGO"/>
    <s v="Public"/>
    <x v="0"/>
    <s v="Karongi"/>
    <s v="Gitesi"/>
    <s v="CKIV_2"/>
    <s v="Koko/Muregeya Sub-Catchment"/>
    <n v="946.08"/>
  </r>
  <r>
    <x v="3"/>
    <s v="MUCYANZOGA"/>
    <s v="Public"/>
    <x v="0"/>
    <s v="Karongi"/>
    <s v="Gitesi"/>
    <s v="CKIV_2"/>
    <s v="Koko/Muregeya Sub-Catchment"/>
    <n v="2049.84"/>
  </r>
  <r>
    <x v="3"/>
    <s v="BUGARAMA"/>
    <s v="Public"/>
    <x v="0"/>
    <s v="Karongi"/>
    <s v="Gitesi"/>
    <s v="CKIV_2"/>
    <s v="Koko/Muregeya Sub-Catchment"/>
    <n v="1103.7600000000002"/>
  </r>
  <r>
    <x v="3"/>
    <s v="RUGARAMA"/>
    <s v="Public"/>
    <x v="0"/>
    <s v="Karongi"/>
    <s v="Gitesi"/>
    <s v="CKIV_2"/>
    <s v="Koko/Muregeya Sub-Catchment"/>
    <n v="1261.44"/>
  </r>
  <r>
    <x v="3"/>
    <s v="BIHONGO"/>
    <s v="Public"/>
    <x v="0"/>
    <s v="Karongi"/>
    <s v="Gitesi"/>
    <s v="CKIV_2"/>
    <s v="Koko/Muregeya Sub-Catchment"/>
    <n v="2365.2000000000003"/>
  </r>
  <r>
    <x v="3"/>
    <s v="GASEKE"/>
    <s v="Public"/>
    <x v="0"/>
    <s v="Karongi"/>
    <s v="Gitesi"/>
    <s v="CKIV_2"/>
    <s v="Koko/Muregeya Sub-Catchment"/>
    <n v="236.52"/>
  </r>
  <r>
    <x v="3"/>
    <s v="GASAYO I"/>
    <s v="Public"/>
    <x v="0"/>
    <s v="Karongi"/>
    <s v="Gitesi"/>
    <s v="CKIV_2"/>
    <s v="Koko/Muregeya Sub-Catchment"/>
    <n v="630.72"/>
  </r>
  <r>
    <x v="3"/>
    <s v="GASAYO II"/>
    <s v="Public"/>
    <x v="0"/>
    <s v="Karongi"/>
    <s v="Gitesi"/>
    <s v="CKIV_2"/>
    <s v="Koko/Muregeya Sub-Catchment"/>
    <n v="473.04"/>
  </r>
  <r>
    <x v="3"/>
    <s v="GAKOMEYE"/>
    <s v="Public"/>
    <x v="0"/>
    <s v="Karongi"/>
    <s v="Gitesi"/>
    <s v="CKIV_2"/>
    <s v="Koko/Muregeya Sub-Catchment"/>
    <n v="1261.44"/>
  </r>
  <r>
    <x v="3"/>
    <s v="MWANAMA"/>
    <s v="Public"/>
    <x v="0"/>
    <s v="Karongi"/>
    <s v="Gitesi"/>
    <s v="CKIV_2"/>
    <s v="Koko/Muregeya Sub-Catchment"/>
    <n v="0"/>
  </r>
  <r>
    <x v="3"/>
    <s v="SEDONGO"/>
    <s v="Public"/>
    <x v="0"/>
    <s v="Karongi"/>
    <s v="Gitesi"/>
    <s v="CKIV_2"/>
    <s v="Koko/Muregeya Sub-Catchment"/>
    <n v="788.40000000000009"/>
  </r>
  <r>
    <x v="3"/>
    <s v="KAJAGE"/>
    <s v="Public"/>
    <x v="0"/>
    <s v="Karongi"/>
    <s v="Gitesi"/>
    <s v="CKIV_2"/>
    <s v="Koko/Muregeya Sub-Catchment"/>
    <n v="551.88000000000011"/>
  </r>
  <r>
    <x v="3"/>
    <s v="MUGITUKU"/>
    <s v="Public"/>
    <x v="0"/>
    <s v="Karongi"/>
    <s v="Gitesi"/>
    <s v="CKIV_2"/>
    <s v="Koko/Muregeya Sub-Catchment"/>
    <n v="3153.6000000000004"/>
  </r>
  <r>
    <x v="3"/>
    <s v="SENGA"/>
    <s v="Public"/>
    <x v="0"/>
    <s v="Karongi"/>
    <s v="Gitesi"/>
    <s v="CKIV_2"/>
    <s v="Koko/Muregeya Sub-Catchment"/>
    <n v="315.36"/>
  </r>
  <r>
    <x v="3"/>
    <s v="CYAHAFI"/>
    <s v="Public"/>
    <x v="0"/>
    <s v="Karongi"/>
    <s v="Gitesi"/>
    <s v="CKIV_2"/>
    <s v="Koko/Muregeya Sub-Catchment"/>
    <n v="0"/>
  </r>
  <r>
    <x v="3"/>
    <s v="MUNGUGU"/>
    <s v="Public"/>
    <x v="0"/>
    <s v="Karongi"/>
    <s v="Gitesi"/>
    <s v="CKIV_2"/>
    <s v="Koko/Muregeya Sub-Catchment"/>
    <n v="1576.8000000000002"/>
  </r>
  <r>
    <x v="3"/>
    <s v="CYAHAFI"/>
    <s v="Public"/>
    <x v="0"/>
    <s v="Karongi"/>
    <s v="Gitesi"/>
    <s v="CKIV_2"/>
    <s v="Koko/Muregeya Sub-Catchment"/>
    <n v="0"/>
  </r>
  <r>
    <x v="3"/>
    <s v="MWANUTUMVA"/>
    <s v="Public"/>
    <x v="0"/>
    <s v="Karongi"/>
    <s v="Gitesi"/>
    <s v="CKIV_2"/>
    <s v="Koko/Muregeya Sub-Catchment"/>
    <n v="3311.2799999999997"/>
  </r>
  <r>
    <x v="3"/>
    <s v="KAMUKUNGWA"/>
    <s v="Public"/>
    <x v="0"/>
    <s v="Karongi"/>
    <s v="Gitesi"/>
    <s v="CKIV_2"/>
    <s v="Koko/Muregeya Sub-Catchment"/>
    <n v="0"/>
  </r>
  <r>
    <x v="3"/>
    <s v="MARYOHE"/>
    <s v="Public"/>
    <x v="0"/>
    <s v="Karongi"/>
    <s v="Gitesi"/>
    <s v="CKIV_2"/>
    <s v="Koko/Muregeya Sub-Catchment"/>
    <n v="2365.2000000000003"/>
  </r>
  <r>
    <x v="3"/>
    <s v="MUMUGARI"/>
    <s v="Public"/>
    <x v="0"/>
    <s v="Karongi"/>
    <s v="Gitesi"/>
    <s v="CKIV_2"/>
    <s v="Koko/Muregeya Sub-Catchment"/>
    <n v="1892.16"/>
  </r>
  <r>
    <x v="3"/>
    <s v="KUMUVUNYI"/>
    <s v="Public"/>
    <x v="0"/>
    <s v="Karongi"/>
    <s v="Gitesi"/>
    <s v="CKIV_2"/>
    <s v="Koko/Muregeya Sub-Catchment"/>
    <n v="0"/>
  </r>
  <r>
    <x v="3"/>
    <s v="MUKUMBA"/>
    <s v="Public"/>
    <x v="0"/>
    <s v="Karongi"/>
    <s v="Gitesi"/>
    <s v="CKIV_2"/>
    <s v="Koko/Muregeya Sub-Catchment"/>
    <n v="473.04"/>
  </r>
  <r>
    <x v="3"/>
    <s v="SAKAVU"/>
    <s v="Public"/>
    <x v="0"/>
    <s v="Karongi"/>
    <s v="Gitesi"/>
    <s v="CKIV_2"/>
    <s v="Koko/Muregeya Sub-Catchment"/>
    <n v="2365.2000000000003"/>
  </r>
  <r>
    <x v="3"/>
    <s v="KARAMBI"/>
    <s v="Public"/>
    <x v="0"/>
    <s v="Karongi"/>
    <s v="Gitesi"/>
    <s v="CKIV_2"/>
    <s v="Koko/Muregeya Sub-Catchment"/>
    <n v="1419.12"/>
  </r>
  <r>
    <x v="3"/>
    <s v="KIRARAMA"/>
    <s v="Public"/>
    <x v="0"/>
    <s v="Karongi"/>
    <s v="Gitesi"/>
    <s v="CKIV_2"/>
    <s v="Koko/Muregeya Sub-Catchment"/>
    <n v="4730.4000000000005"/>
  </r>
  <r>
    <x v="3"/>
    <s v="NYAKWIBEREKA"/>
    <s v="Public"/>
    <x v="0"/>
    <s v="Karongi"/>
    <s v="Gitesi"/>
    <s v="CKIV_2"/>
    <s v="Koko/Muregeya Sub-Catchment"/>
    <n v="1576.8000000000002"/>
  </r>
  <r>
    <x v="3"/>
    <s v="RUTUGUNGURU"/>
    <s v="Public"/>
    <x v="0"/>
    <s v="Karongi"/>
    <s v="Gitesi"/>
    <s v="CKIV_2"/>
    <s v="Koko/Muregeya Sub-Catchment"/>
    <n v="1419.12"/>
  </r>
  <r>
    <x v="3"/>
    <s v="MIKO"/>
    <s v="Public"/>
    <x v="0"/>
    <s v="Karongi"/>
    <s v="Gitesi"/>
    <s v="CKIV_2"/>
    <s v="Koko/Muregeya Sub-Catchment"/>
    <n v="1419.12"/>
  </r>
  <r>
    <x v="3"/>
    <s v="KAKIBUNGO"/>
    <s v="Public"/>
    <x v="0"/>
    <s v="Karongi"/>
    <s v="Gitesi"/>
    <s v="CKIV_2"/>
    <s v="Koko/Muregeya Sub-Catchment"/>
    <n v="1576.8000000000002"/>
  </r>
  <r>
    <x v="3"/>
    <s v="GISAYO"/>
    <s v="Public"/>
    <x v="0"/>
    <s v="Karongi"/>
    <s v="Gitesi"/>
    <s v="CKIV_2"/>
    <s v="Koko/Muregeya Sub-Catchment"/>
    <n v="236.52"/>
  </r>
  <r>
    <x v="3"/>
    <s v="NYIRABUGARAMA"/>
    <s v="Public"/>
    <x v="0"/>
    <s v="Karongi"/>
    <s v="Gitesi"/>
    <s v="CKIV_2"/>
    <s v="Koko/Muregeya Sub-Catchment"/>
    <n v="1261.44"/>
  </r>
  <r>
    <x v="3"/>
    <s v="GASUMA"/>
    <s v="Public"/>
    <x v="0"/>
    <s v="Karongi"/>
    <s v="Gitesi"/>
    <s v="CKIV_2"/>
    <s v="Koko/Muregeya Sub-Catchment"/>
    <n v="394.20000000000005"/>
  </r>
  <r>
    <x v="3"/>
    <s v="MARYOHE"/>
    <s v="Public"/>
    <x v="0"/>
    <s v="Karongi"/>
    <s v="Gitesi"/>
    <s v="CKIV_2"/>
    <s v="Koko/Muregeya Sub-Catchment"/>
    <n v="1419.12"/>
  </r>
  <r>
    <x v="3"/>
    <s v="GATARE"/>
    <s v="Public"/>
    <x v="0"/>
    <s v="Karongi"/>
    <s v="Gitesi"/>
    <s v="CKIV_2"/>
    <s v="Koko/Muregeya Sub-Catchment"/>
    <n v="1103.7600000000002"/>
  </r>
  <r>
    <x v="3"/>
    <s v="NYAGASHEGESHA"/>
    <s v="Public"/>
    <x v="0"/>
    <s v="Karongi"/>
    <s v="Gitesi"/>
    <s v="CKIV_2"/>
    <s v="Koko/Muregeya Sub-Catchment"/>
    <n v="1576.8000000000002"/>
  </r>
  <r>
    <x v="3"/>
    <s v="SIZA"/>
    <s v="Public"/>
    <x v="0"/>
    <s v="Karongi"/>
    <s v="Gitesi"/>
    <s v="CKIV_2"/>
    <s v="Koko/Muregeya Sub-Catchment"/>
    <n v="1261.44"/>
  </r>
  <r>
    <x v="3"/>
    <s v="RYAGAHINDA"/>
    <s v="Public"/>
    <x v="0"/>
    <s v="Karongi"/>
    <s v="Gitesi"/>
    <s v="CKIV_2"/>
    <s v="Koko/Muregeya Sub-Catchment"/>
    <n v="1419.12"/>
  </r>
  <r>
    <x v="3"/>
    <s v="RUBUYENGE"/>
    <s v="Public"/>
    <x v="0"/>
    <s v="Karongi"/>
    <s v="Gitesi"/>
    <s v="CKIV_2"/>
    <s v="Koko/Muregeya Sub-Catchment"/>
    <n v="2049.84"/>
  </r>
  <r>
    <x v="3"/>
    <s v="GITOYI"/>
    <s v="Public"/>
    <x v="0"/>
    <s v="Karongi"/>
    <s v="Gitesi"/>
    <s v="CKIV_2"/>
    <s v="Koko/Muregeya Sub-Catchment"/>
    <n v="2049.84"/>
  </r>
  <r>
    <x v="3"/>
    <s v="NYARUSENGESI"/>
    <s v="Public"/>
    <x v="0"/>
    <s v="Karongi"/>
    <s v="Gitesi"/>
    <s v="CKIV_2"/>
    <s v="Koko/Muregeya Sub-Catchment"/>
    <n v="315.36"/>
  </r>
  <r>
    <x v="3"/>
    <s v="MWUFE"/>
    <s v="Public"/>
    <x v="0"/>
    <s v="Karongi"/>
    <s v="Gitesi"/>
    <s v="CKIV_2"/>
    <s v="Koko/Muregeya Sub-Catchment"/>
    <n v="473.04"/>
  </r>
  <r>
    <x v="3"/>
    <s v="MWURA"/>
    <s v="Public"/>
    <x v="0"/>
    <s v="Karongi"/>
    <s v="Gitesi"/>
    <s v="CKIV_2"/>
    <s v="Koko/Muregeya Sub-Catchment"/>
    <n v="2838.24"/>
  </r>
  <r>
    <x v="3"/>
    <s v="GISAGARA"/>
    <s v="Public"/>
    <x v="0"/>
    <s v="Karongi"/>
    <s v="Gitesi"/>
    <s v="CKIV_2"/>
    <s v="Koko/Muregeya Sub-Catchment"/>
    <n v="4730.4000000000005"/>
  </r>
  <r>
    <x v="3"/>
    <s v="GASARABWAYI"/>
    <s v="Public"/>
    <x v="0"/>
    <s v="Karongi"/>
    <s v="Gitesi"/>
    <s v="CKIV_2"/>
    <s v="Koko/Muregeya Sub-Catchment"/>
    <n v="946.08"/>
  </r>
  <r>
    <x v="3"/>
    <s v="RUBUYENGE"/>
    <s v="Public"/>
    <x v="0"/>
    <s v="Karongi"/>
    <s v="Gitesi"/>
    <s v="CKIV_2"/>
    <s v="Koko/Muregeya Sub-Catchment"/>
    <n v="12614.400000000001"/>
  </r>
  <r>
    <x v="3"/>
    <s v="GAKONDO"/>
    <s v="Public"/>
    <x v="0"/>
    <s v="Karongi"/>
    <s v="Gitesi"/>
    <s v="CKIV_2"/>
    <s v="Koko/Muregeya Sub-Catchment"/>
    <n v="315.36"/>
  </r>
  <r>
    <x v="3"/>
    <s v="RUHONDO"/>
    <s v="Public"/>
    <x v="0"/>
    <s v="Karongi"/>
    <s v="Gitesi"/>
    <s v="CKIV_2"/>
    <s v="Koko/Muregeya Sub-Catchment"/>
    <n v="3626.64"/>
  </r>
  <r>
    <x v="3"/>
    <s v="KANYANKIMA"/>
    <s v="Public"/>
    <x v="0"/>
    <s v="Rutsiro"/>
    <s v="Manihira"/>
    <s v="CKIV_2"/>
    <s v="Koko/Muregeya Sub-Catchment"/>
    <n v="946.08"/>
  </r>
  <r>
    <x v="3"/>
    <s v="GATARE"/>
    <s v="Public"/>
    <x v="0"/>
    <s v="Rutsiro"/>
    <s v="Manihira"/>
    <s v="CKIV_2"/>
    <s v="Koko/Muregeya Sub-Catchment"/>
    <n v="1103.7600000000002"/>
  </r>
  <r>
    <x v="3"/>
    <s v="KANYANKIMA II"/>
    <s v="Public"/>
    <x v="0"/>
    <s v="Rutsiro"/>
    <s v="Manihira"/>
    <s v="CKIV_2"/>
    <s v="Koko/Muregeya Sub-Catchment"/>
    <n v="1419.12"/>
  </r>
  <r>
    <x v="3"/>
    <s v="KAMARASHAVU"/>
    <s v="Public"/>
    <x v="0"/>
    <s v="Rutsiro"/>
    <s v="Manihira"/>
    <s v="CKIV_2"/>
    <s v="Koko/Muregeya Sub-Catchment"/>
    <n v="1892.16"/>
  </r>
  <r>
    <x v="3"/>
    <s v="KINYANA"/>
    <s v="Public"/>
    <x v="0"/>
    <s v="Rutsiro"/>
    <s v="Manihira"/>
    <s v="CKIV_2"/>
    <s v="Koko/Muregeya Sub-Catchment"/>
    <n v="315.36"/>
  </r>
  <r>
    <x v="3"/>
    <s v="S RWAMIKO"/>
    <s v="Public"/>
    <x v="0"/>
    <s v="Rutsiro"/>
    <s v="Manihira"/>
    <s v="CKIV_2"/>
    <s v="Koko/Muregeya Sub-Catchment"/>
    <n v="4415.0400000000009"/>
  </r>
  <r>
    <x v="3"/>
    <s v="NYAKARAMBI"/>
    <s v="Public"/>
    <x v="0"/>
    <s v="Rutsiro"/>
    <s v="Manihira"/>
    <s v="CKIV_2"/>
    <s v="Koko/Muregeya Sub-Catchment"/>
    <n v="14506.56"/>
  </r>
  <r>
    <x v="3"/>
    <s v="MUGONO"/>
    <s v="Public"/>
    <x v="0"/>
    <s v="Rutsiro"/>
    <s v="Manihira"/>
    <s v="CKIV_2"/>
    <s v="Koko/Muregeya Sub-Catchment"/>
    <n v="315.36"/>
  </r>
  <r>
    <x v="3"/>
    <s v="NYAMUGARI"/>
    <s v="Public"/>
    <x v="0"/>
    <s v="Rutsiro"/>
    <s v="Manihira"/>
    <s v="CKIV_2"/>
    <s v="Koko/Muregeya Sub-Catchment"/>
    <n v="2522.88"/>
  </r>
  <r>
    <x v="3"/>
    <s v="KAZIRAMAHUNDA"/>
    <s v="Public"/>
    <x v="0"/>
    <s v="Rutsiro"/>
    <s v="Manihira"/>
    <s v="CKIV_2"/>
    <s v="Koko/Muregeya Sub-Catchment"/>
    <n v="1734.4800000000002"/>
  </r>
  <r>
    <x v="3"/>
    <s v="KUKABINGO"/>
    <s v="Public"/>
    <x v="0"/>
    <s v="Rutsiro"/>
    <s v="Manihira"/>
    <s v="CKIV_2"/>
    <s v="Koko/Muregeya Sub-Catchment"/>
    <n v="1419.12"/>
  </r>
  <r>
    <x v="3"/>
    <s v="BYINGWA"/>
    <s v="Public"/>
    <x v="0"/>
    <s v="Rutsiro"/>
    <s v="Manihira"/>
    <s v="CKIV_2"/>
    <s v="Koko/Muregeya Sub-Catchment"/>
    <n v="3153.6000000000004"/>
  </r>
  <r>
    <x v="3"/>
    <s v="RWANGAMWANDA"/>
    <s v="Public"/>
    <x v="0"/>
    <s v="Rutsiro"/>
    <s v="Manihira"/>
    <s v="CKIV_2"/>
    <s v="Koko/Muregeya Sub-Catchment"/>
    <n v="1576.8000000000002"/>
  </r>
  <r>
    <x v="3"/>
    <s v="KANAMA III"/>
    <s v="Public"/>
    <x v="0"/>
    <s v="Rutsiro"/>
    <s v="Manihira"/>
    <s v="CKIV_2"/>
    <s v="Koko/Muregeya Sub-Catchment"/>
    <n v="1261.44"/>
  </r>
  <r>
    <x v="3"/>
    <s v="RUTANGAZA"/>
    <s v="Public"/>
    <x v="0"/>
    <s v="Rutsiro"/>
    <s v="Manihira"/>
    <s v="CKIV_2"/>
    <s v="Koko/Muregeya Sub-Catchment"/>
    <n v="3153.6000000000004"/>
  </r>
  <r>
    <x v="3"/>
    <s v="RWABIRUME"/>
    <s v="Public"/>
    <x v="0"/>
    <s v="Rutsiro"/>
    <s v="Manihira"/>
    <s v="CKIV_2"/>
    <s v="Koko/Muregeya Sub-Catchment"/>
    <n v="3626.64"/>
  </r>
  <r>
    <x v="3"/>
    <s v="RWUBUTE"/>
    <s v="Public"/>
    <x v="0"/>
    <s v="Rutsiro"/>
    <s v="Manihira"/>
    <s v="CKIV_2"/>
    <s v="Koko/Muregeya Sub-Catchment"/>
    <n v="3153.6000000000004"/>
  </r>
  <r>
    <x v="3"/>
    <s v="KANAMA I"/>
    <s v="Public"/>
    <x v="0"/>
    <s v="Rutsiro"/>
    <s v="Manihira"/>
    <s v="CKIV_2"/>
    <s v="Koko/Muregeya Sub-Catchment"/>
    <n v="1261.44"/>
  </r>
  <r>
    <x v="3"/>
    <s v="KANAMA II"/>
    <s v="Public"/>
    <x v="0"/>
    <s v="Rutsiro"/>
    <s v="Manihira"/>
    <s v="CKIV_2"/>
    <s v="Koko/Muregeya Sub-Catchment"/>
    <n v="4415.0400000000009"/>
  </r>
  <r>
    <x v="3"/>
    <s v="BISESERO I"/>
    <s v="Public"/>
    <x v="0"/>
    <s v="Rutsiro"/>
    <s v="Manihira"/>
    <s v="CKIV_2"/>
    <s v="Koko/Muregeya Sub-Catchment"/>
    <n v="1892.16"/>
  </r>
  <r>
    <x v="3"/>
    <s v="BISESERO II"/>
    <s v="Public"/>
    <x v="0"/>
    <s v="Rutsiro"/>
    <s v="Manihira"/>
    <s v="CKIV_2"/>
    <s v="Koko/Muregeya Sub-Catchment"/>
    <n v="2838.24"/>
  </r>
  <r>
    <x v="3"/>
    <s v="NANGUMURIMBO"/>
    <s v="Public"/>
    <x v="0"/>
    <s v="Rutsiro"/>
    <s v="Mushonyi"/>
    <s v="CKIV_2"/>
    <s v="Koko/Muregeya Sub-Catchment"/>
    <n v="315.36"/>
  </r>
  <r>
    <x v="3"/>
    <s v="KABAGARE"/>
    <s v="Public"/>
    <x v="0"/>
    <s v="Rutsiro"/>
    <s v="Mushonyi"/>
    <s v="CKIV_2"/>
    <s v="Koko/Muregeya Sub-Catchment"/>
    <n v="1576.8000000000002"/>
  </r>
  <r>
    <x v="3"/>
    <s v="GAKOMEYE"/>
    <s v="Public"/>
    <x v="0"/>
    <s v="Rutsiro"/>
    <s v="Mushonyi"/>
    <s v="CKIV_2"/>
    <s v="Koko/Muregeya Sub-Catchment"/>
    <n v="1261.44"/>
  </r>
  <r>
    <x v="3"/>
    <s v="RUHINAMAVI I"/>
    <s v="Public"/>
    <x v="0"/>
    <s v="Rutsiro"/>
    <s v="Mushonyi"/>
    <s v="CKIV_2"/>
    <s v="Koko/Muregeya Sub-Catchment"/>
    <n v="1419.12"/>
  </r>
  <r>
    <x v="3"/>
    <s v="GASAVE"/>
    <s v="Public"/>
    <x v="0"/>
    <s v="Rutsiro"/>
    <s v="Mushonyi"/>
    <s v="CKIV_2"/>
    <s v="Koko/Muregeya Sub-Catchment"/>
    <n v="315.36"/>
  </r>
  <r>
    <x v="3"/>
    <s v="KAVOMO"/>
    <s v="Public"/>
    <x v="0"/>
    <s v="Rutsiro"/>
    <s v="Mushonyi"/>
    <s v="CKIV_2"/>
    <s v="Koko/Muregeya Sub-Catchment"/>
    <n v="1576.8000000000002"/>
  </r>
  <r>
    <x v="3"/>
    <s v="GIKARARANKA"/>
    <s v="Public"/>
    <x v="0"/>
    <s v="Rutsiro"/>
    <s v="Mushonyi"/>
    <s v="CKIV_2"/>
    <s v="Koko/Muregeya Sub-Catchment"/>
    <n v="473.04"/>
  </r>
  <r>
    <x v="3"/>
    <s v="KWA RAZARO"/>
    <s v="Public"/>
    <x v="0"/>
    <s v="Rutsiro"/>
    <s v="Mushonyi"/>
    <s v="CKIV_2"/>
    <s v="Koko/Muregeya Sub-Catchment"/>
    <n v="473.04"/>
  </r>
  <r>
    <x v="3"/>
    <s v="KAYABARAZA"/>
    <s v="Public"/>
    <x v="0"/>
    <s v="Rutsiro"/>
    <s v="Mushonyi"/>
    <s v="CKIV_2"/>
    <s v="Koko/Muregeya Sub-Catchment"/>
    <n v="788.40000000000009"/>
  </r>
  <r>
    <x v="3"/>
    <s v="NYAMBARAGASA"/>
    <s v="Public"/>
    <x v="0"/>
    <s v="Rutsiro"/>
    <s v="Mushonyi"/>
    <s v="CKIV_2"/>
    <s v="Koko/Muregeya Sub-Catchment"/>
    <n v="1103.7600000000002"/>
  </r>
  <r>
    <x v="3"/>
    <s v="NYAMURARAGIZA"/>
    <s v="Public"/>
    <x v="0"/>
    <s v="Rutsiro"/>
    <s v="Mushonyi"/>
    <s v="CKIV_2"/>
    <s v="Koko/Muregeya Sub-Catchment"/>
    <n v="1261.44"/>
  </r>
  <r>
    <x v="3"/>
    <s v="NYAMUNIRA"/>
    <s v="Public"/>
    <x v="0"/>
    <s v="Rutsiro"/>
    <s v="Mushonyi"/>
    <s v="CKIV_2"/>
    <s v="Koko/Muregeya Sub-Catchment"/>
    <n v="4730.4000000000005"/>
  </r>
  <r>
    <x v="3"/>
    <s v="RUMENANKONO"/>
    <s v="Public"/>
    <x v="0"/>
    <s v="Rutsiro"/>
    <s v="Mushubati"/>
    <s v="CKIV_2"/>
    <s v="Koko/Muregeya Sub-Catchment"/>
    <n v="1419.12"/>
  </r>
  <r>
    <x v="3"/>
    <s v="KARWIRI"/>
    <s v="Public"/>
    <x v="0"/>
    <s v="Rutsiro"/>
    <s v="Mushubati"/>
    <s v="CKIV_2"/>
    <s v="Koko/Muregeya Sub-Catchment"/>
    <n v="9460.8000000000011"/>
  </r>
  <r>
    <x v="3"/>
    <s v="MUGOTE"/>
    <s v="Public"/>
    <x v="0"/>
    <s v="Rutsiro"/>
    <s v="Mushubati"/>
    <s v="CKIV_2"/>
    <s v="Koko/Muregeya Sub-Catchment"/>
    <n v="1576.8000000000002"/>
  </r>
  <r>
    <x v="3"/>
    <s v="RUSYO"/>
    <s v="Public"/>
    <x v="0"/>
    <s v="Rutsiro"/>
    <s v="Mushubati"/>
    <s v="CKIV_2"/>
    <s v="Koko/Muregeya Sub-Catchment"/>
    <n v="2522.88"/>
  </r>
  <r>
    <x v="3"/>
    <s v="MURAMBI"/>
    <s v="Public"/>
    <x v="0"/>
    <s v="Rutsiro"/>
    <s v="Mushubati"/>
    <s v="CKIV_2"/>
    <s v="Koko/Muregeya Sub-Catchment"/>
    <n v="13560.48"/>
  </r>
  <r>
    <x v="3"/>
    <s v="KABINGO"/>
    <s v="Public"/>
    <x v="0"/>
    <s v="Rutsiro"/>
    <s v="Mushubati"/>
    <s v="CKIV_2"/>
    <s v="Koko/Muregeya Sub-Catchment"/>
    <n v="1261.44"/>
  </r>
  <r>
    <x v="3"/>
    <s v="KIRURI"/>
    <s v="Public"/>
    <x v="0"/>
    <s v="Rutsiro"/>
    <s v="Mushubati"/>
    <s v="CKIV_2"/>
    <s v="Koko/Muregeya Sub-Catchment"/>
    <n v="2049.84"/>
  </r>
  <r>
    <x v="3"/>
    <s v="GAKONGO"/>
    <s v="Public"/>
    <x v="0"/>
    <s v="Rutsiro"/>
    <s v="Mushubati"/>
    <s v="CKIV_2"/>
    <s v="Koko/Muregeya Sub-Catchment"/>
    <n v="3153.6000000000004"/>
  </r>
  <r>
    <x v="3"/>
    <s v="GAFUMBA"/>
    <s v="Public"/>
    <x v="0"/>
    <s v="Rutsiro"/>
    <s v="Mushubati"/>
    <s v="CKIV_2"/>
    <s v="Koko/Muregeya Sub-Catchment"/>
    <n v="3311.2799999999997"/>
  </r>
  <r>
    <x v="3"/>
    <s v="SOMYANUWO"/>
    <s v="Public"/>
    <x v="0"/>
    <s v="Rutsiro"/>
    <s v="Mushubati"/>
    <s v="CKIV_2"/>
    <s v="Koko/Muregeya Sub-Catchment"/>
    <n v="7884.0000000000009"/>
  </r>
  <r>
    <x v="3"/>
    <s v="KANYAMANZA  I"/>
    <s v="Public"/>
    <x v="0"/>
    <s v="Rutsiro"/>
    <s v="Mushubati"/>
    <s v="CKIV_2"/>
    <s v="Koko/Muregeya Sub-Catchment"/>
    <n v="12299.040000000003"/>
  </r>
  <r>
    <x v="3"/>
    <s v="KANYAMANZA  II"/>
    <s v="Public"/>
    <x v="0"/>
    <s v="Rutsiro"/>
    <s v="Mushubati"/>
    <s v="CKIV_2"/>
    <s v="Koko/Muregeya Sub-Catchment"/>
    <n v="8830.0800000000017"/>
  </r>
  <r>
    <x v="3"/>
    <s v="CYARUSERA"/>
    <s v="Public"/>
    <x v="0"/>
    <s v="Rutsiro"/>
    <s v="Mushubati"/>
    <s v="CKIV_2"/>
    <s v="Koko/Muregeya Sub-Catchment"/>
    <n v="946.08"/>
  </r>
  <r>
    <x v="3"/>
    <s v="KAJOGORORO"/>
    <s v="Public"/>
    <x v="0"/>
    <s v="Rutsiro"/>
    <s v="Mushubati"/>
    <s v="CKIV_2"/>
    <s v="Koko/Muregeya Sub-Catchment"/>
    <n v="157.68"/>
  </r>
  <r>
    <x v="3"/>
    <s v="NDARANKUBA"/>
    <s v="Public"/>
    <x v="0"/>
    <s v="Rutsiro"/>
    <s v="Mushubati"/>
    <s v="CKIV_2"/>
    <s v="Koko/Muregeya Sub-Catchment"/>
    <n v="1576.8000000000002"/>
  </r>
  <r>
    <x v="3"/>
    <s v="KAMUGARA"/>
    <s v="Public"/>
    <x v="0"/>
    <s v="Rutsiro"/>
    <s v="Mushubati"/>
    <s v="CKIV_2"/>
    <s v="Koko/Muregeya Sub-Catchment"/>
    <n v="1419.12"/>
  </r>
  <r>
    <x v="3"/>
    <s v="CYAHAFI"/>
    <s v="Public"/>
    <x v="0"/>
    <s v="Rutsiro"/>
    <s v="Mushubati"/>
    <s v="CKIV_2"/>
    <s v="Koko/Muregeya Sub-Catchment"/>
    <n v="1734.4800000000002"/>
  </r>
  <r>
    <x v="3"/>
    <s v="KIDAKAMA"/>
    <s v="Public"/>
    <x v="0"/>
    <s v="Rutsiro"/>
    <s v="Mushubati"/>
    <s v="CKIV_2"/>
    <s v="Koko/Muregeya Sub-Catchment"/>
    <n v="15925.680000000002"/>
  </r>
  <r>
    <x v="3"/>
    <s v="GATARE"/>
    <s v="Public"/>
    <x v="0"/>
    <s v="Rutsiro"/>
    <s v="Mushubati"/>
    <s v="CKIV_2"/>
    <s v="Koko/Muregeya Sub-Catchment"/>
    <n v="1419.12"/>
  </r>
  <r>
    <x v="3"/>
    <s v="RUSHANGARI"/>
    <s v="Public"/>
    <x v="0"/>
    <s v="Rutsiro"/>
    <s v="Mushubati"/>
    <s v="CKIV_2"/>
    <s v="Koko/Muregeya Sub-Catchment"/>
    <n v="5991.84"/>
  </r>
  <r>
    <x v="3"/>
    <s v="GASEKE"/>
    <s v="Public"/>
    <x v="0"/>
    <s v="Rutsiro"/>
    <s v="Mushubati"/>
    <s v="CKIV_2"/>
    <s v="Koko/Muregeya Sub-Catchment"/>
    <n v="3153.6000000000004"/>
  </r>
  <r>
    <x v="3"/>
    <s v="KAZIBAZIBA I"/>
    <s v="Public"/>
    <x v="0"/>
    <s v="Rutsiro"/>
    <s v="Mushubati"/>
    <s v="CKIV_2"/>
    <s v="Koko/Muregeya Sub-Catchment"/>
    <n v="2365.2000000000003"/>
  </r>
  <r>
    <x v="3"/>
    <s v="MUGAZO"/>
    <s v="Public"/>
    <x v="0"/>
    <s v="Rutsiro"/>
    <s v="Mushubati"/>
    <s v="CKIV_2"/>
    <s v="Koko/Muregeya Sub-Catchment"/>
    <n v="3311.2799999999997"/>
  </r>
  <r>
    <x v="3"/>
    <s v="KAZIBAZIBA II"/>
    <s v="Public"/>
    <x v="0"/>
    <s v="Rutsiro"/>
    <s v="Mushubati"/>
    <s v="CKIV_2"/>
    <s v="Koko/Muregeya Sub-Catchment"/>
    <n v="788.40000000000009"/>
  </r>
  <r>
    <x v="3"/>
    <s v="KARIBA"/>
    <s v="Public"/>
    <x v="0"/>
    <s v="Rutsiro"/>
    <s v="Mushubati"/>
    <s v="CKIV_2"/>
    <s v="Koko/Muregeya Sub-Catchment"/>
    <n v="2995.92"/>
  </r>
  <r>
    <x v="3"/>
    <s v="MUKONO"/>
    <s v="Public"/>
    <x v="0"/>
    <s v="Rutsiro"/>
    <s v="Mushubati"/>
    <s v="CKIV_2"/>
    <s v="Koko/Muregeya Sub-Catchment"/>
    <n v="1734.4800000000002"/>
  </r>
  <r>
    <x v="3"/>
    <s v="NYABAGABO"/>
    <s v="Public"/>
    <x v="0"/>
    <s v="Rutsiro"/>
    <s v="Mushubati"/>
    <s v="CKIV_2"/>
    <s v="Koko/Muregeya Sub-Catchment"/>
    <n v="473.04"/>
  </r>
  <r>
    <x v="3"/>
    <s v="MUGONO  II"/>
    <s v="Public"/>
    <x v="0"/>
    <s v="Rutsiro"/>
    <s v="Mushubati"/>
    <s v="CKIV_2"/>
    <s v="Koko/Muregeya Sub-Catchment"/>
    <n v="1103.7600000000002"/>
  </r>
  <r>
    <x v="3"/>
    <s v="BUTONDE"/>
    <s v="Public"/>
    <x v="0"/>
    <s v="Rutsiro"/>
    <s v="Mushubati"/>
    <s v="CKIV_2"/>
    <s v="Koko/Muregeya Sub-Catchment"/>
    <n v="4415.0400000000009"/>
  </r>
  <r>
    <x v="3"/>
    <s v="NYAGATARE"/>
    <s v="Public"/>
    <x v="0"/>
    <s v="Rutsiro"/>
    <s v="Mushubati"/>
    <s v="CKIV_2"/>
    <s v="Koko/Muregeya Sub-Catchment"/>
    <n v="4730.4000000000005"/>
  </r>
  <r>
    <x v="3"/>
    <s v="MUGAKIZA"/>
    <s v="Public"/>
    <x v="0"/>
    <s v="Rutsiro"/>
    <s v="Mushubati"/>
    <s v="CKIV_2"/>
    <s v="Koko/Muregeya Sub-Catchment"/>
    <n v="3942.0000000000005"/>
  </r>
  <r>
    <x v="3"/>
    <s v="MUBASHUGURI"/>
    <s v="Public"/>
    <x v="0"/>
    <s v="Rutsiro"/>
    <s v="Mushubati"/>
    <s v="CKIV_2"/>
    <s v="Koko/Muregeya Sub-Catchment"/>
    <n v="13402.8"/>
  </r>
  <r>
    <x v="3"/>
    <s v="NDABA"/>
    <s v="Public"/>
    <x v="0"/>
    <s v="Karongi"/>
    <s v="Rubengera"/>
    <s v="CKIV_2"/>
    <s v="Koko/Muregeya Sub-Catchment"/>
    <n v="315.36"/>
  </r>
  <r>
    <x v="3"/>
    <s v="KIRIBA"/>
    <s v="Public"/>
    <x v="0"/>
    <s v="Karongi"/>
    <s v="Rubengera"/>
    <s v="CKIV_2"/>
    <s v="Koko/Muregeya Sub-Catchment"/>
    <n v="1892.16"/>
  </r>
  <r>
    <x v="3"/>
    <s v="BWUFE"/>
    <s v="Public"/>
    <x v="0"/>
    <s v="Karongi"/>
    <s v="Rubengera"/>
    <s v="CKIV_2"/>
    <s v="Koko/Muregeya Sub-Catchment"/>
    <n v="3468.9600000000005"/>
  </r>
  <r>
    <x v="3"/>
    <s v="GATOBOTOBO"/>
    <s v="Public"/>
    <x v="0"/>
    <s v="Karongi"/>
    <s v="Rubengera"/>
    <s v="CKIV_2"/>
    <s v="Koko/Muregeya Sub-Catchment"/>
    <n v="1103.7600000000002"/>
  </r>
  <r>
    <x v="3"/>
    <s v="KARAMBO"/>
    <s v="Public"/>
    <x v="0"/>
    <s v="Karongi"/>
    <s v="Rubengera"/>
    <s v="CKIV_2"/>
    <s v="Koko/Muregeya Sub-Catchment"/>
    <n v="4415.0400000000009"/>
  </r>
  <r>
    <x v="3"/>
    <s v="BWASHIRANDE"/>
    <s v="Public"/>
    <x v="0"/>
    <s v="Karongi"/>
    <s v="Rubengera"/>
    <s v="CKIV_2"/>
    <s v="Koko/Muregeya Sub-Catchment"/>
    <n v="0"/>
  </r>
  <r>
    <x v="3"/>
    <s v="RUGOMERO"/>
    <s v="Public"/>
    <x v="0"/>
    <s v="Karongi"/>
    <s v="Rubengera"/>
    <s v="CKIV_2"/>
    <s v="Koko/Muregeya Sub-Catchment"/>
    <n v="1419.12"/>
  </r>
  <r>
    <x v="3"/>
    <s v="RWABAZURU"/>
    <s v="Public"/>
    <x v="0"/>
    <s v="Karongi"/>
    <s v="Rubengera"/>
    <s v="CKIV_2"/>
    <s v="Koko/Muregeya Sub-Catchment"/>
    <n v="3626.64"/>
  </r>
  <r>
    <x v="3"/>
    <s v="MIRENGE"/>
    <s v="Public"/>
    <x v="0"/>
    <s v="Karongi"/>
    <s v="Rubengera"/>
    <s v="CKIV_2"/>
    <s v="Koko/Muregeya Sub-Catchment"/>
    <n v="788.40000000000009"/>
  </r>
  <r>
    <x v="3"/>
    <s v="NYAMUGARI"/>
    <s v="Public"/>
    <x v="0"/>
    <s v="Karongi"/>
    <s v="Rubengera"/>
    <s v="CKIV_2"/>
    <s v="Koko/Muregeya Sub-Catchment"/>
    <n v="2522.88"/>
  </r>
  <r>
    <x v="3"/>
    <s v="KABUHORO"/>
    <s v="Public"/>
    <x v="0"/>
    <s v="Karongi"/>
    <s v="Rubengera"/>
    <s v="CKIV_2"/>
    <s v="Koko/Muregeya Sub-Catchment"/>
    <n v="946.08"/>
  </r>
  <r>
    <x v="3"/>
    <s v="KABENGA"/>
    <s v="Public"/>
    <x v="0"/>
    <s v="Karongi"/>
    <s v="Rubengera"/>
    <s v="CKIV_2"/>
    <s v="Koko/Muregeya Sub-Catchment"/>
    <n v="946.08"/>
  </r>
  <r>
    <x v="3"/>
    <s v="KIBANDE"/>
    <s v="Public"/>
    <x v="0"/>
    <s v="Karongi"/>
    <s v="Rubengera"/>
    <s v="CKIV_2"/>
    <s v="Koko/Muregeya Sub-Catchment"/>
    <n v="315.36"/>
  </r>
  <r>
    <x v="3"/>
    <s v="KIBANDE II"/>
    <s v="Public"/>
    <x v="0"/>
    <s v="Karongi"/>
    <s v="Rubengera"/>
    <s v="CKIV_2"/>
    <s v="Koko/Muregeya Sub-Catchment"/>
    <n v="1734.4800000000002"/>
  </r>
  <r>
    <x v="3"/>
    <s v="GATARE"/>
    <s v="Public"/>
    <x v="0"/>
    <s v="Karongi"/>
    <s v="Rubengera"/>
    <s v="CKIV_2"/>
    <s v="Koko/Muregeya Sub-Catchment"/>
    <n v="788.40000000000009"/>
  </r>
  <r>
    <x v="3"/>
    <s v="KIDAKAMA"/>
    <s v="Public"/>
    <x v="0"/>
    <s v="Karongi"/>
    <s v="Rubengera"/>
    <s v="CKIV_2"/>
    <s v="Koko/Muregeya Sub-Catchment"/>
    <n v="1419.12"/>
  </r>
  <r>
    <x v="3"/>
    <s v="GAKOMEYE"/>
    <s v="Public"/>
    <x v="0"/>
    <s v="Karongi"/>
    <s v="Rubengera"/>
    <s v="CKIV_2"/>
    <s v="Koko/Muregeya Sub-Catchment"/>
    <n v="157.68"/>
  </r>
  <r>
    <x v="3"/>
    <s v="KINONDWE"/>
    <s v="Public"/>
    <x v="0"/>
    <s v="Karongi"/>
    <s v="Rubengera"/>
    <s v="CKIV_2"/>
    <s v="Koko/Muregeya Sub-Catchment"/>
    <n v="315.36"/>
  </r>
  <r>
    <x v="3"/>
    <s v="NEGAMIYE"/>
    <s v="Public"/>
    <x v="0"/>
    <s v="Karongi"/>
    <s v="Rubengera"/>
    <s v="CKIV_2"/>
    <s v="Koko/Muregeya Sub-Catchment"/>
    <n v="473.04"/>
  </r>
  <r>
    <x v="3"/>
    <s v="MUGOMBA"/>
    <s v="Public"/>
    <x v="0"/>
    <s v="Karongi"/>
    <s v="Rubengera"/>
    <s v="CKIV_2"/>
    <s v="Koko/Muregeya Sub-Catchment"/>
    <n v="204.98400000000001"/>
  </r>
  <r>
    <x v="3"/>
    <s v="MUKEZI"/>
    <s v="Public"/>
    <x v="0"/>
    <s v="Karongi"/>
    <s v="Rubengera"/>
    <s v="CKIV_2"/>
    <s v="Koko/Muregeya Sub-Catchment"/>
    <n v="2838.24"/>
  </r>
  <r>
    <x v="3"/>
    <s v="NSHONOGO"/>
    <s v="Public"/>
    <x v="0"/>
    <s v="Karongi"/>
    <s v="Rubengera"/>
    <s v="CKIV_2"/>
    <s v="Koko/Muregeya Sub-Catchment"/>
    <n v="283.82400000000001"/>
  </r>
  <r>
    <x v="3"/>
    <s v="GASEKE"/>
    <s v="Public"/>
    <x v="0"/>
    <s v="Karongi"/>
    <s v="Rubengera"/>
    <s v="CKIV_2"/>
    <s v="Koko/Muregeya Sub-Catchment"/>
    <n v="473.04"/>
  </r>
  <r>
    <x v="3"/>
    <s v="GATARE"/>
    <s v="Public"/>
    <x v="0"/>
    <s v="Karongi"/>
    <s v="Rubengera"/>
    <s v="CKIV_2"/>
    <s v="Koko/Muregeya Sub-Catchment"/>
    <n v="2995.92"/>
  </r>
  <r>
    <x v="3"/>
    <s v="MARYOHE"/>
    <s v="Public"/>
    <x v="0"/>
    <s v="Karongi"/>
    <s v="Rubengera"/>
    <s v="CKIV_2"/>
    <s v="Koko/Muregeya Sub-Catchment"/>
    <n v="1576.8000000000002"/>
  </r>
  <r>
    <x v="3"/>
    <s v="RUGOMORO"/>
    <s v="Public"/>
    <x v="0"/>
    <s v="Karongi"/>
    <s v="Rubengera"/>
    <s v="CKIV_2"/>
    <s v="Koko/Muregeya Sub-Catchment"/>
    <n v="7884.0000000000009"/>
  </r>
  <r>
    <x v="3"/>
    <s v="KAJAGI I"/>
    <s v="Public"/>
    <x v="0"/>
    <s v="Karongi"/>
    <s v="Rubengera"/>
    <s v="CKIV_2"/>
    <s v="Koko/Muregeya Sub-Catchment"/>
    <n v="315.36"/>
  </r>
  <r>
    <x v="3"/>
    <s v="KARAMBO"/>
    <s v="Public"/>
    <x v="0"/>
    <s v="Karongi"/>
    <s v="Rubengera"/>
    <s v="CKIV_2"/>
    <s v="Koko/Muregeya Sub-Catchment"/>
    <n v="189.21599999999998"/>
  </r>
  <r>
    <x v="3"/>
    <s v="KAJE"/>
    <s v="Public"/>
    <x v="0"/>
    <s v="Karongi"/>
    <s v="Rubengera"/>
    <s v="CKIV_2"/>
    <s v="Koko/Muregeya Sub-Catchment"/>
    <n v="2049.84"/>
  </r>
  <r>
    <x v="3"/>
    <s v="KABEZA"/>
    <s v="Public"/>
    <x v="0"/>
    <s v="Karongi"/>
    <s v="Rubengera"/>
    <s v="CKIV_2"/>
    <s v="Koko/Muregeya Sub-Catchment"/>
    <n v="6149.5200000000013"/>
  </r>
  <r>
    <x v="3"/>
    <s v="NYAMIVO"/>
    <s v="Public"/>
    <x v="0"/>
    <s v="Karongi"/>
    <s v="Rubengera"/>
    <s v="CKIV_2"/>
    <s v="Koko/Muregeya Sub-Catchment"/>
    <n v="1419.12"/>
  </r>
  <r>
    <x v="3"/>
    <s v="KAJAGI II"/>
    <s v="Public"/>
    <x v="0"/>
    <s v="Karongi"/>
    <s v="Rubengera"/>
    <s v="CKIV_2"/>
    <s v="Koko/Muregeya Sub-Catchment"/>
    <n v="6307.2000000000007"/>
  </r>
  <r>
    <x v="3"/>
    <s v="KANINDA"/>
    <s v="Public"/>
    <x v="0"/>
    <s v="Karongi"/>
    <s v="Rubengera"/>
    <s v="CKIV_2"/>
    <s v="Koko/Muregeya Sub-Catchment"/>
    <n v="3626.64"/>
  </r>
  <r>
    <x v="3"/>
    <s v="KABEHO"/>
    <s v="Public"/>
    <x v="0"/>
    <s v="Karongi"/>
    <s v="Rubengera"/>
    <s v="CKIV_2"/>
    <s v="Koko/Muregeya Sub-Catchment"/>
    <n v="946.08"/>
  </r>
  <r>
    <x v="3"/>
    <s v="NYIRABUSABWA"/>
    <s v="Public"/>
    <x v="0"/>
    <s v="Karongi"/>
    <s v="Rubengera"/>
    <s v="CKIV_2"/>
    <s v="Koko/Muregeya Sub-Catchment"/>
    <n v="3942.0000000000005"/>
  </r>
  <r>
    <x v="3"/>
    <s v="RWINTARE"/>
    <s v="Public"/>
    <x v="0"/>
    <s v="Karongi"/>
    <s v="Rubengera"/>
    <s v="CKIV_2"/>
    <s v="Koko/Muregeya Sub-Catchment"/>
    <n v="2680.56"/>
  </r>
  <r>
    <x v="3"/>
    <s v="GAHAMA"/>
    <s v="Public"/>
    <x v="0"/>
    <s v="Karongi"/>
    <s v="Rubengera"/>
    <s v="CKIV_2"/>
    <s v="Koko/Muregeya Sub-Catchment"/>
    <n v="788.40000000000009"/>
  </r>
  <r>
    <x v="3"/>
    <s v="CYAHAFI"/>
    <s v="Public"/>
    <x v="0"/>
    <s v="Karongi"/>
    <s v="Rubengera"/>
    <s v="CKIV_2"/>
    <s v="Koko/Muregeya Sub-Catchment"/>
    <n v="1261.44"/>
  </r>
  <r>
    <x v="3"/>
    <s v="NYIRARANGE"/>
    <s v="Public"/>
    <x v="0"/>
    <s v="Karongi"/>
    <s v="Rubengera"/>
    <s v="CKIV_2"/>
    <s v="Koko/Muregeya Sub-Catchment"/>
    <n v="4099.68"/>
  </r>
  <r>
    <x v="3"/>
    <s v="MAKEGETE"/>
    <s v="Public"/>
    <x v="0"/>
    <s v="Karongi"/>
    <s v="Rubengera"/>
    <s v="CKIV_2"/>
    <s v="Koko/Muregeya Sub-Catchment"/>
    <n v="630.72"/>
  </r>
  <r>
    <x v="3"/>
    <s v="NYAMURUNDI"/>
    <s v="Public"/>
    <x v="0"/>
    <s v="Karongi"/>
    <s v="Rubengera"/>
    <s v="CKIV_2"/>
    <s v="Koko/Muregeya Sub-Catchment"/>
    <n v="3153.6000000000004"/>
  </r>
  <r>
    <x v="3"/>
    <s v="Nyarungu"/>
    <s v="Public"/>
    <x v="0"/>
    <s v="Rulindo"/>
    <s v="Base"/>
    <s v="NNYL_2"/>
    <s v="Mambu/Base Sub-Catchment"/>
    <n v="1103.7600000000002"/>
  </r>
  <r>
    <x v="3"/>
    <s v="Nyakagezi II"/>
    <s v="Public"/>
    <x v="0"/>
    <s v="Rulindo"/>
    <s v="Base"/>
    <s v="NNYL_2"/>
    <s v="Mambu/Base Sub-Catchment"/>
    <n v="315.36"/>
  </r>
  <r>
    <x v="3"/>
    <s v="Mukuro"/>
    <s v="Public"/>
    <x v="0"/>
    <s v="Rulindo"/>
    <s v="Base"/>
    <s v="NNYL_2"/>
    <s v="Mambu/Base Sub-Catchment"/>
    <n v="6307.2000000000007"/>
  </r>
  <r>
    <x v="3"/>
    <s v="Nyakagezi I"/>
    <s v="Public"/>
    <x v="0"/>
    <s v="Rulindo"/>
    <s v="Base"/>
    <s v="NNYL_2"/>
    <s v="Mambu/Base Sub-Catchment"/>
    <n v="6307.2000000000007"/>
  </r>
  <r>
    <x v="3"/>
    <s v="Nyirabuye"/>
    <s v="Public"/>
    <x v="0"/>
    <s v="Rulindo"/>
    <s v="Base"/>
    <s v="NNYL_2"/>
    <s v="Mambu/Base Sub-Catchment"/>
    <n v="946.08"/>
  </r>
  <r>
    <x v="3"/>
    <s v="Kizi"/>
    <s v="Public"/>
    <x v="0"/>
    <s v="Rulindo"/>
    <s v="Base"/>
    <s v="NNYL_2"/>
    <s v="Mambu/Base Sub-Catchment"/>
    <n v="1261.44"/>
  </r>
  <r>
    <x v="3"/>
    <s v="Nyiragatashya"/>
    <s v="Public"/>
    <x v="0"/>
    <s v="Rulindo"/>
    <s v="Base"/>
    <s v="NNYL_2"/>
    <s v="Mambu/Base Sub-Catchment"/>
    <n v="3153.6000000000004"/>
  </r>
  <r>
    <x v="3"/>
    <s v="Kirwa I"/>
    <s v="Public"/>
    <x v="0"/>
    <s v="Rulindo"/>
    <s v="Base"/>
    <s v="NNYL_2"/>
    <s v="Mambu/Base Sub-Catchment"/>
    <n v="2207.5200000000004"/>
  </r>
  <r>
    <x v="3"/>
    <s v="Kirwa II"/>
    <s v="Public"/>
    <x v="0"/>
    <s v="Rulindo"/>
    <s v="Base"/>
    <s v="NNYL_2"/>
    <s v="Mambu/Base Sub-Catchment"/>
    <n v="788.40000000000009"/>
  </r>
  <r>
    <x v="3"/>
    <s v="Nyiragashiru"/>
    <s v="Public"/>
    <x v="0"/>
    <s v="Rulindo"/>
    <s v="Base"/>
    <s v="NNYL_2"/>
    <s v="Mambu/Base Sub-Catchment"/>
    <n v="946.08"/>
  </r>
  <r>
    <x v="3"/>
    <s v="Mutoyi II"/>
    <s v="Public"/>
    <x v="0"/>
    <s v="Rulindo"/>
    <s v="Base"/>
    <s v="NNYL_2"/>
    <s v="Mambu/Base Sub-Catchment"/>
    <n v="946.08"/>
  </r>
  <r>
    <x v="3"/>
    <s v="Nyirakanyiginya"/>
    <s v="Public"/>
    <x v="0"/>
    <s v="Rulindo"/>
    <s v="Base"/>
    <s v="NNYL_2"/>
    <s v="Mambu/Base Sub-Catchment"/>
    <n v="2049.84"/>
  </r>
  <r>
    <x v="3"/>
    <s v="Mutoyi I"/>
    <s v="Public"/>
    <x v="0"/>
    <s v="Rulindo"/>
    <s v="Base"/>
    <s v="NNYL_2"/>
    <s v="Mambu/Base Sub-Catchment"/>
    <n v="2522.88"/>
  </r>
  <r>
    <x v="3"/>
    <s v="Mugomero"/>
    <s v="Public"/>
    <x v="0"/>
    <s v="Rulindo"/>
    <s v="Base"/>
    <s v="NNYL_2"/>
    <s v="Mambu/Base Sub-Catchment"/>
    <n v="2207.5200000000004"/>
  </r>
  <r>
    <x v="3"/>
    <s v="Ruhanga"/>
    <s v="Public"/>
    <x v="0"/>
    <s v="Rulindo"/>
    <s v="Base"/>
    <s v="NNYL_2"/>
    <s v="Mambu/Base Sub-Catchment"/>
    <n v="1103.7600000000002"/>
  </r>
  <r>
    <x v="3"/>
    <s v="Migogo"/>
    <s v="Public"/>
    <x v="0"/>
    <s v="Rulindo"/>
    <s v="Base"/>
    <s v="NNYL_2"/>
    <s v="Mambu/Base Sub-Catchment"/>
    <n v="6307.2000000000007"/>
  </r>
  <r>
    <x v="3"/>
    <s v="Kajagi"/>
    <s v="Public"/>
    <x v="0"/>
    <s v="Rulindo"/>
    <s v="Base"/>
    <s v="NNYL_2"/>
    <s v="Mambu/Base Sub-Catchment"/>
    <n v="2522.88"/>
  </r>
  <r>
    <x v="3"/>
    <s v="Matovu"/>
    <s v="Public"/>
    <x v="0"/>
    <s v="Rulindo"/>
    <s v="Base"/>
    <s v="NNYL_2"/>
    <s v="Mambu/Base Sub-Catchment"/>
    <n v="946.08"/>
  </r>
  <r>
    <x v="3"/>
    <s v="Nyiragatare"/>
    <s v="Public"/>
    <x v="0"/>
    <s v="Rulindo"/>
    <s v="Base"/>
    <s v="NNYL_2"/>
    <s v="Mambu/Base Sub-Catchment"/>
    <n v="946.08"/>
  </r>
  <r>
    <x v="3"/>
    <s v="Gicuzi"/>
    <s v="Public"/>
    <x v="0"/>
    <s v="Rulindo"/>
    <s v="Base"/>
    <s v="NNYL_2"/>
    <s v="Mambu/Base Sub-Catchment"/>
    <n v="2049.84"/>
  </r>
  <r>
    <x v="3"/>
    <s v="Nyirambura"/>
    <s v="Public"/>
    <x v="0"/>
    <s v="Rulindo"/>
    <s v="Base"/>
    <s v="NNYL_2"/>
    <s v="Mambu/Base Sub-Catchment"/>
    <n v="946.08"/>
  </r>
  <r>
    <x v="3"/>
    <s v="Kanyogo"/>
    <s v="Public"/>
    <x v="0"/>
    <s v="Rulindo"/>
    <s v="Base"/>
    <s v="NNYL_2"/>
    <s v="Mambu/Base Sub-Catchment"/>
    <n v="9460.8000000000011"/>
  </r>
  <r>
    <x v="3"/>
    <s v="Nyirakagezi"/>
    <s v="Public"/>
    <x v="0"/>
    <s v="Rulindo"/>
    <s v="Base"/>
    <s v="NNYL_2"/>
    <s v="Mambu/Base Sub-Catchment"/>
    <n v="1103.7600000000002"/>
  </r>
  <r>
    <x v="3"/>
    <s v="Nyakagezi I"/>
    <s v="Public"/>
    <x v="0"/>
    <s v="Rulindo"/>
    <s v="Base"/>
    <s v="NNYL_2"/>
    <s v="Mambu/Base Sub-Catchment"/>
    <n v="2207.5200000000004"/>
  </r>
  <r>
    <x v="3"/>
    <s v="Nyakagezi II"/>
    <s v="Public"/>
    <x v="0"/>
    <s v="Rulindo"/>
    <s v="Base"/>
    <s v="NNYL_2"/>
    <s v="Mambu/Base Sub-Catchment"/>
    <n v="946.08"/>
  </r>
  <r>
    <x v="3"/>
    <s v="Mayaga"/>
    <s v="Public"/>
    <x v="0"/>
    <s v="Rulindo"/>
    <s v="Base"/>
    <s v="NNYL_2"/>
    <s v="Mambu/Base Sub-Catchment"/>
    <n v="1734.4800000000002"/>
  </r>
  <r>
    <x v="3"/>
    <s v="Ruho"/>
    <s v="Public"/>
    <x v="0"/>
    <s v="Rulindo"/>
    <s v="Base"/>
    <s v="NNYL_2"/>
    <s v="Mambu/Base Sub-Catchment"/>
    <n v="788.40000000000009"/>
  </r>
  <r>
    <x v="3"/>
    <s v="Kanywogo"/>
    <s v="Public"/>
    <x v="0"/>
    <s v="Rulindo"/>
    <s v="Base"/>
    <s v="NNYL_2"/>
    <s v="Mambu/Base Sub-Catchment"/>
    <n v="788.40000000000009"/>
  </r>
  <r>
    <x v="3"/>
    <s v="Mukaka"/>
    <s v="Public"/>
    <x v="0"/>
    <s v="Rulindo"/>
    <s v="Bushoki"/>
    <s v="NNYL_2"/>
    <s v="Mambu/Base Sub-Catchment"/>
    <n v="7884.0000000000009"/>
  </r>
  <r>
    <x v="3"/>
    <s v="Nyamvura"/>
    <s v="Public"/>
    <x v="0"/>
    <s v="Rulindo"/>
    <s v="Bushoki"/>
    <s v="NNYL_2"/>
    <s v="Mambu/Base Sub-Catchment"/>
    <n v="5203.4400000000005"/>
  </r>
  <r>
    <x v="3"/>
    <s v="Kivugiza"/>
    <s v="Public"/>
    <x v="0"/>
    <s v="Rulindo"/>
    <s v="Bushoki"/>
    <s v="NNYL_2"/>
    <s v="Mambu/Base Sub-Catchment"/>
    <n v="2522.88"/>
  </r>
  <r>
    <x v="3"/>
    <s v="Karambo"/>
    <s v="Public"/>
    <x v="0"/>
    <s v="Rulindo"/>
    <s v="Bushoki"/>
    <s v="NNYL_2"/>
    <s v="Mambu/Base Sub-Catchment"/>
    <n v="946.08"/>
  </r>
  <r>
    <x v="3"/>
    <s v="Kivugiza"/>
    <s v="Public"/>
    <x v="0"/>
    <s v="Rulindo"/>
    <s v="Bushoki"/>
    <s v="NNYL_2"/>
    <s v="Mambu/Base Sub-Catchment"/>
    <n v="3784.32"/>
  </r>
  <r>
    <x v="3"/>
    <s v="Bapfaguheka"/>
    <s v="Public"/>
    <x v="0"/>
    <s v="Rulindo"/>
    <s v="Bushoki"/>
    <s v="NNYL_2"/>
    <s v="Mambu/Base Sub-Catchment"/>
    <n v="2838.24"/>
  </r>
  <r>
    <x v="3"/>
    <s v="Bujandi1"/>
    <s v="Public"/>
    <x v="0"/>
    <s v="Rulindo"/>
    <s v="Bushoki"/>
    <s v="NNYL_2"/>
    <s v="Mambu/Base Sub-Catchment"/>
    <n v="5361.12"/>
  </r>
  <r>
    <x v="3"/>
    <s v="Kiroha"/>
    <s v="Public"/>
    <x v="0"/>
    <s v="Rulindo"/>
    <s v="Bushoki"/>
    <s v="NNYL_2"/>
    <s v="Mambu/Base Sub-Catchment"/>
    <n v="5203.4400000000005"/>
  </r>
  <r>
    <x v="3"/>
    <s v="Gafuragiro"/>
    <s v="Public"/>
    <x v="0"/>
    <s v="Rulindo"/>
    <s v="Bushoki"/>
    <s v="NNYL_2"/>
    <s v="Mambu/Base Sub-Catchment"/>
    <n v="473.04"/>
  </r>
  <r>
    <x v="3"/>
    <s v="Bujandi2"/>
    <s v="Public"/>
    <x v="0"/>
    <s v="Rulindo"/>
    <s v="Bushoki"/>
    <s v="NNYL_2"/>
    <s v="Mambu/Base Sub-Catchment"/>
    <n v="2680.56"/>
  </r>
  <r>
    <x v="3"/>
    <s v="Rulindo"/>
    <s v="Public"/>
    <x v="0"/>
    <s v="Rulindo"/>
    <s v="Bushoki"/>
    <s v="NNYL_2"/>
    <s v="Mambu/Base Sub-Catchment"/>
    <n v="2522.88"/>
  </r>
  <r>
    <x v="3"/>
    <s v="Mucyamo"/>
    <s v="Public"/>
    <x v="0"/>
    <s v="Rulindo"/>
    <s v="Bushoki"/>
    <s v="NNYL_2"/>
    <s v="Mambu/Base Sub-Catchment"/>
    <n v="11037.6"/>
  </r>
  <r>
    <x v="3"/>
    <s v="Karambo"/>
    <s v="Public"/>
    <x v="0"/>
    <s v="Rulindo"/>
    <s v="Bushoki"/>
    <s v="NNYL_2"/>
    <s v="Mambu/Base Sub-Catchment"/>
    <n v="1103.7600000000002"/>
  </r>
  <r>
    <x v="3"/>
    <s v="Kivomo"/>
    <s v="Public"/>
    <x v="0"/>
    <s v="Rulindo"/>
    <s v="Bushoki"/>
    <s v="NNYL_2"/>
    <s v="Mambu/Base Sub-Catchment"/>
    <n v="1103.7600000000002"/>
  </r>
  <r>
    <x v="3"/>
    <s v="Nyakariba"/>
    <s v="Public"/>
    <x v="0"/>
    <s v="Rulindo"/>
    <s v="Bushoki"/>
    <s v="NNYL_2"/>
    <s v="Mambu/Base Sub-Catchment"/>
    <n v="788.40000000000009"/>
  </r>
  <r>
    <x v="3"/>
    <s v="Gasebeya"/>
    <s v="Public"/>
    <x v="0"/>
    <s v="Rulindo"/>
    <s v="Bushoki"/>
    <s v="NNYL_2"/>
    <s v="Mambu/Base Sub-Catchment"/>
    <n v="15768.000000000002"/>
  </r>
  <r>
    <x v="3"/>
    <s v="Gahama"/>
    <s v="Public"/>
    <x v="0"/>
    <s v="Rulindo"/>
    <s v="Bushoki"/>
    <s v="NNYL_2"/>
    <s v="Mambu/Base Sub-Catchment"/>
    <n v="2049.84"/>
  </r>
  <r>
    <x v="3"/>
    <s v="Ruhanga"/>
    <s v="Public"/>
    <x v="0"/>
    <s v="Rulindo"/>
    <s v="Bushoki"/>
    <s v="NNYL_2"/>
    <s v="Mambu/Base Sub-Catchment"/>
    <n v="7884.0000000000009"/>
  </r>
  <r>
    <x v="3"/>
    <s v="Rusumo I"/>
    <s v="Public"/>
    <x v="0"/>
    <s v="Rulindo"/>
    <s v="Bushoki"/>
    <s v="NNYL_2"/>
    <s v="Mambu/Base Sub-Catchment"/>
    <n v="3153.6000000000004"/>
  </r>
  <r>
    <x v="3"/>
    <s v="Nyamvura"/>
    <s v="Public"/>
    <x v="0"/>
    <s v="Rulindo"/>
    <s v="Bushoki"/>
    <s v="NNYL_2"/>
    <s v="Mambu/Base Sub-Catchment"/>
    <n v="11037.6"/>
  </r>
  <r>
    <x v="3"/>
    <s v="Gasiza"/>
    <s v="Public"/>
    <x v="0"/>
    <s v="Rulindo"/>
    <s v="Bushoki"/>
    <s v="NNYL_2"/>
    <s v="Mambu/Base Sub-Catchment"/>
    <n v="3468.9600000000005"/>
  </r>
  <r>
    <x v="3"/>
    <s v="Mpango"/>
    <s v="Public"/>
    <x v="0"/>
    <s v="Rulindo"/>
    <s v="Bushoki"/>
    <s v="NNYL_2"/>
    <s v="Mambu/Base Sub-Catchment"/>
    <n v="7884.0000000000009"/>
  </r>
  <r>
    <x v="3"/>
    <s v="Kabande2"/>
    <s v="Public"/>
    <x v="0"/>
    <s v="Rulindo"/>
    <s v="Bushoki"/>
    <s v="NNYL_2"/>
    <s v="Mambu/Base Sub-Catchment"/>
    <n v="2838.24"/>
  </r>
  <r>
    <x v="3"/>
    <s v="Kidahurira"/>
    <s v="Public"/>
    <x v="0"/>
    <s v="Rulindo"/>
    <s v="Bushoki"/>
    <s v="NNYL_2"/>
    <s v="Mambu/Base Sub-Catchment"/>
    <n v="1576.8000000000002"/>
  </r>
  <r>
    <x v="3"/>
    <s v="Ndago2"/>
    <s v="Public"/>
    <x v="0"/>
    <s v="Rulindo"/>
    <s v="Bushoki"/>
    <s v="NNYL_2"/>
    <s v="Mambu/Base Sub-Catchment"/>
    <n v="5203.4400000000005"/>
  </r>
  <r>
    <x v="3"/>
    <s v="Rutembe"/>
    <s v="Public"/>
    <x v="0"/>
    <s v="Rulindo"/>
    <s v="Bushoki"/>
    <s v="NNYL_2"/>
    <s v="Mambu/Base Sub-Catchment"/>
    <n v="9460.8000000000011"/>
  </r>
  <r>
    <x v="3"/>
    <s v="Rutembe2"/>
    <s v="Public"/>
    <x v="0"/>
    <s v="Rulindo"/>
    <s v="Bushoki"/>
    <s v="NNYL_2"/>
    <s v="Mambu/Base Sub-Catchment"/>
    <n v="2838.24"/>
  </r>
  <r>
    <x v="3"/>
    <s v="Rusumo II"/>
    <s v="Public"/>
    <x v="0"/>
    <s v="Rulindo"/>
    <s v="Bushoki"/>
    <s v="NNYL_2"/>
    <s v="Mambu/Base Sub-Catchment"/>
    <n v="946.08"/>
  </r>
  <r>
    <x v="3"/>
    <s v="Karambo"/>
    <s v="Public"/>
    <x v="0"/>
    <s v="Rulindo"/>
    <s v="Bushoki"/>
    <s v="NNYL_2"/>
    <s v="Mambu/Base Sub-Catchment"/>
    <n v="1419.12"/>
  </r>
  <r>
    <x v="3"/>
    <s v="Buvumo"/>
    <s v="Public"/>
    <x v="0"/>
    <s v="Rulindo"/>
    <s v="Bushoki"/>
    <s v="NNYL_2"/>
    <s v="Mambu/Base Sub-Catchment"/>
    <n v="788.40000000000009"/>
  </r>
  <r>
    <x v="3"/>
    <s v="Kadongo"/>
    <s v="Public"/>
    <x v="0"/>
    <s v="Rulindo"/>
    <s v="Bushoki"/>
    <s v="NNYL_2"/>
    <s v="Mambu/Base Sub-Catchment"/>
    <n v="1261.44"/>
  </r>
  <r>
    <x v="3"/>
    <s v="Buvumo"/>
    <s v="Public"/>
    <x v="0"/>
    <s v="Rulindo"/>
    <s v="Bushoki"/>
    <s v="NNYL_2"/>
    <s v="Mambu/Base Sub-Catchment"/>
    <n v="630.72"/>
  </r>
  <r>
    <x v="3"/>
    <s v="Kizi"/>
    <s v="Public"/>
    <x v="0"/>
    <s v="Rulindo"/>
    <s v="Bushoki"/>
    <s v="NNYL_2"/>
    <s v="Mambu/Base Sub-Catchment"/>
    <n v="3153.6000000000004"/>
  </r>
  <r>
    <x v="3"/>
    <s v="Nkombe"/>
    <s v="Public"/>
    <x v="0"/>
    <s v="Rulindo"/>
    <s v="Bushoki"/>
    <s v="NNYL_2"/>
    <s v="Mambu/Base Sub-Catchment"/>
    <n v="2522.88"/>
  </r>
  <r>
    <x v="3"/>
    <s v="Kabitumba"/>
    <s v="Public"/>
    <x v="0"/>
    <s v="Rulindo"/>
    <s v="Bushoki"/>
    <s v="NNYL_2"/>
    <s v="Mambu/Base Sub-Catchment"/>
    <n v="2522.88"/>
  </r>
  <r>
    <x v="3"/>
    <s v="Musayo"/>
    <s v="Public"/>
    <x v="0"/>
    <s v="Rulindo"/>
    <s v="Bushoki"/>
    <s v="NNYL_2"/>
    <s v="Mambu/Base Sub-Catchment"/>
    <n v="1576.8000000000002"/>
  </r>
  <r>
    <x v="3"/>
    <s v="Kabingo"/>
    <s v="Public"/>
    <x v="0"/>
    <s v="Rulindo"/>
    <s v="Bushoki"/>
    <s v="NNYL_2"/>
    <s v="Mambu/Base Sub-Catchment"/>
    <n v="1734.4800000000002"/>
  </r>
  <r>
    <x v="3"/>
    <s v="Kabere"/>
    <s v="Public"/>
    <x v="0"/>
    <s v="Rulindo"/>
    <s v="Bushoki"/>
    <s v="NNYL_2"/>
    <s v="Mambu/Base Sub-Catchment"/>
    <n v="15768.000000000002"/>
  </r>
  <r>
    <x v="3"/>
    <s v="Rwankure"/>
    <s v="Public"/>
    <x v="0"/>
    <s v="Rulindo"/>
    <s v="Bushoki"/>
    <s v="NNYL_2"/>
    <s v="Mambu/Base Sub-Catchment"/>
    <n v="2365.2000000000003"/>
  </r>
  <r>
    <x v="3"/>
    <s v="Maderena"/>
    <s v="Public"/>
    <x v="0"/>
    <s v="Rulindo"/>
    <s v="Bushoki"/>
    <s v="NNYL_2"/>
    <s v="Mambu/Base Sub-Catchment"/>
    <n v="2680.56"/>
  </r>
  <r>
    <x v="3"/>
    <s v="Kivure"/>
    <s v="Public"/>
    <x v="0"/>
    <s v="Rulindo"/>
    <s v="Bushoki"/>
    <s v="NNYL_2"/>
    <s v="Mambu/Base Sub-Catchment"/>
    <n v="2522.88"/>
  </r>
  <r>
    <x v="3"/>
    <s v="Mukangara"/>
    <s v="Public"/>
    <x v="0"/>
    <s v="Rulindo"/>
    <s v="Bushoki"/>
    <s v="NNYL_2"/>
    <s v="Mambu/Base Sub-Catchment"/>
    <n v="2522.88"/>
  </r>
  <r>
    <x v="3"/>
    <s v="Kaniga"/>
    <s v="Public"/>
    <x v="0"/>
    <s v="Rulindo"/>
    <s v="Bushoki"/>
    <s v="NNYL_2"/>
    <s v="Mambu/Base Sub-Catchment"/>
    <n v="2522.88"/>
  </r>
  <r>
    <x v="3"/>
    <s v="Rukeri"/>
    <s v="Public"/>
    <x v="0"/>
    <s v="Rulindo"/>
    <s v="Bushoki"/>
    <s v="NNYL_2"/>
    <s v="Mambu/Base Sub-Catchment"/>
    <n v="1419.12"/>
  </r>
  <r>
    <x v="3"/>
    <s v="Kinnyogo"/>
    <s v="Public"/>
    <x v="0"/>
    <s v="Rulindo"/>
    <s v="Bushoki"/>
    <s v="NNYL_2"/>
    <s v="Mambu/Base Sub-Catchment"/>
    <n v="6307.2000000000007"/>
  </r>
  <r>
    <x v="3"/>
    <s v="Rubeho"/>
    <s v="Public"/>
    <x v="0"/>
    <s v="Rulindo"/>
    <s v="Bushoki"/>
    <s v="NNYL_2"/>
    <s v="Mambu/Base Sub-Catchment"/>
    <n v="4730.4000000000005"/>
  </r>
  <r>
    <x v="3"/>
    <s v="Nyakibande"/>
    <s v="Public"/>
    <x v="0"/>
    <s v="Rulindo"/>
    <s v="Bushoki"/>
    <s v="NNYL_2"/>
    <s v="Mambu/Base Sub-Catchment"/>
    <n v="1576.8000000000002"/>
  </r>
  <r>
    <x v="3"/>
    <s v="Nyakagezi"/>
    <s v="Public"/>
    <x v="0"/>
    <s v="Rulindo"/>
    <s v="Bushoki"/>
    <s v="NNYL_2"/>
    <s v="Mambu/Base Sub-Catchment"/>
    <n v="1734.4800000000002"/>
  </r>
  <r>
    <x v="3"/>
    <s v="Umuhanga"/>
    <s v="Public"/>
    <x v="0"/>
    <s v="Rulindo"/>
    <s v="Bushoki"/>
    <s v="NNYL_2"/>
    <s v="Mambu/Base Sub-Catchment"/>
    <n v="1734.4800000000002"/>
  </r>
  <r>
    <x v="3"/>
    <s v="Gahama II"/>
    <s v="Public"/>
    <x v="0"/>
    <s v="Rulindo"/>
    <s v="Bushoki"/>
    <s v="NNYL_2"/>
    <s v="Mambu/Base Sub-Catchment"/>
    <n v="1419.12"/>
  </r>
  <r>
    <x v="3"/>
    <s v="Kazibaziba II"/>
    <s v="Public"/>
    <x v="0"/>
    <s v="Rulindo"/>
    <s v="Bushoki"/>
    <s v="NNYL_2"/>
    <s v="Mambu/Base Sub-Catchment"/>
    <n v="9460.8000000000011"/>
  </r>
  <r>
    <x v="3"/>
    <s v="Gahama I"/>
    <s v="Public"/>
    <x v="0"/>
    <s v="Rulindo"/>
    <s v="Bushoki"/>
    <s v="NNYL_2"/>
    <s v="Mambu/Base Sub-Catchment"/>
    <n v="1576.8000000000002"/>
  </r>
  <r>
    <x v="3"/>
    <s v="Rukungeri"/>
    <s v="Public"/>
    <x v="0"/>
    <s v="Rulindo"/>
    <s v="Bushoki"/>
    <s v="NNYL_2"/>
    <s v="Mambu/Base Sub-Catchment"/>
    <n v="9460.8000000000011"/>
  </r>
  <r>
    <x v="3"/>
    <s v="Gihora"/>
    <s v="Public"/>
    <x v="0"/>
    <s v="Rulindo"/>
    <s v="Bushoki"/>
    <s v="NNYL_2"/>
    <s v="Mambu/Base Sub-Catchment"/>
    <n v="473.04"/>
  </r>
  <r>
    <x v="3"/>
    <s v="Cyogo"/>
    <s v="Public"/>
    <x v="0"/>
    <s v="Rulindo"/>
    <s v="Bushoki"/>
    <s v="NNYL_2"/>
    <s v="Mambu/Base Sub-Catchment"/>
    <n v="946.08"/>
  </r>
  <r>
    <x v="3"/>
    <s v="Remera"/>
    <s v="Public"/>
    <x v="0"/>
    <s v="Rulindo"/>
    <s v="Bushoki"/>
    <s v="NNYL_2"/>
    <s v="Mambu/Base Sub-Catchment"/>
    <n v="946.08"/>
  </r>
  <r>
    <x v="3"/>
    <s v="Kazibaziba I"/>
    <s v="Public"/>
    <x v="0"/>
    <s v="Rulindo"/>
    <s v="Bushoki"/>
    <s v="NNYL_2"/>
    <s v="Mambu/Base Sub-Catchment"/>
    <n v="3153.6000000000004"/>
  </r>
  <r>
    <x v="3"/>
    <s v="Remera"/>
    <s v="Public"/>
    <x v="0"/>
    <s v="Rulindo"/>
    <s v="Bushoki"/>
    <s v="NNYL_2"/>
    <s v="Mambu/Base Sub-Catchment"/>
    <n v="1103.7600000000002"/>
  </r>
  <r>
    <x v="3"/>
    <s v="Gikopfu I"/>
    <s v="Public"/>
    <x v="0"/>
    <s v="Rulindo"/>
    <s v="Bushoki"/>
    <s v="NNYL_2"/>
    <s v="Mambu/Base Sub-Catchment"/>
    <n v="6307.2000000000007"/>
  </r>
  <r>
    <x v="3"/>
    <s v="Gahama III"/>
    <s v="Public"/>
    <x v="0"/>
    <s v="Rulindo"/>
    <s v="Bushoki"/>
    <s v="NNYL_2"/>
    <s v="Mambu/Base Sub-Catchment"/>
    <n v="1261.44"/>
  </r>
  <r>
    <x v="3"/>
    <s v="Gatenga"/>
    <s v="Public"/>
    <x v="0"/>
    <s v="Rulindo"/>
    <s v="Bushoki"/>
    <s v="NNYL_2"/>
    <s v="Mambu/Base Sub-Catchment"/>
    <n v="3153.6000000000004"/>
  </r>
  <r>
    <x v="3"/>
    <s v="Gikopfu II"/>
    <s v="Public"/>
    <x v="0"/>
    <s v="Rulindo"/>
    <s v="Bushoki"/>
    <s v="NNYL_2"/>
    <s v="Mambu/Base Sub-Catchment"/>
    <n v="2207.5200000000004"/>
  </r>
  <r>
    <x v="3"/>
    <s v="Nyakariba"/>
    <s v="Public"/>
    <x v="0"/>
    <s v="Rulindo"/>
    <s v="Bushoki"/>
    <s v="NNYL_2"/>
    <s v="Mambu/Base Sub-Catchment"/>
    <n v="1576.8000000000002"/>
  </r>
  <r>
    <x v="3"/>
    <s v="Kinyankera"/>
    <s v="Public"/>
    <x v="0"/>
    <s v="Rulindo"/>
    <s v="Bushoki"/>
    <s v="NNYL_2"/>
    <s v="Mambu/Base Sub-Catchment"/>
    <n v="15768.000000000002"/>
  </r>
  <r>
    <x v="3"/>
    <s v="Ruziku"/>
    <s v="Public"/>
    <x v="0"/>
    <s v="Rulindo"/>
    <s v="Buyoga"/>
    <s v="NNYL_2"/>
    <s v="Mambu/Base Sub-Catchment"/>
    <n v="1734.4800000000002"/>
  </r>
  <r>
    <x v="3"/>
    <s v="Magara"/>
    <s v="Public"/>
    <x v="0"/>
    <s v="Rulindo"/>
    <s v="Buyoga"/>
    <s v="NNYL_2"/>
    <s v="Mambu/Base Sub-Catchment"/>
    <n v="2838.24"/>
  </r>
  <r>
    <x v="3"/>
    <s v="Gihonga"/>
    <s v="Public"/>
    <x v="0"/>
    <s v="Rulindo"/>
    <s v="Buyoga"/>
    <s v="NNYL_2"/>
    <s v="Mambu/Base Sub-Catchment"/>
    <n v="2207.5200000000004"/>
  </r>
  <r>
    <x v="3"/>
    <s v="Gipfundo"/>
    <s v="Public"/>
    <x v="0"/>
    <s v="Rulindo"/>
    <s v="Buyoga"/>
    <s v="NNYL_2"/>
    <s v="Mambu/Base Sub-Catchment"/>
    <n v="1261.44"/>
  </r>
  <r>
    <x v="3"/>
    <s v="Gahama"/>
    <s v="Public"/>
    <x v="0"/>
    <s v="Rulindo"/>
    <s v="Buyoga"/>
    <s v="NNYL_2"/>
    <s v="Mambu/Base Sub-Catchment"/>
    <n v="4730.4000000000005"/>
  </r>
  <r>
    <x v="3"/>
    <s v="Kadogo"/>
    <s v="Public"/>
    <x v="0"/>
    <s v="Rulindo"/>
    <s v="Buyoga"/>
    <s v="NNYL_2"/>
    <s v="Mambu/Base Sub-Catchment"/>
    <n v="12614.400000000001"/>
  </r>
  <r>
    <x v="3"/>
    <s v="Birehe"/>
    <s v="Public"/>
    <x v="0"/>
    <s v="Rulindo"/>
    <s v="Buyoga"/>
    <s v="NNYL_2"/>
    <s v="Mambu/Base Sub-Catchment"/>
    <n v="946.08"/>
  </r>
  <r>
    <x v="3"/>
    <s v="Kajagi"/>
    <s v="Public"/>
    <x v="0"/>
    <s v="Rulindo"/>
    <s v="Buyoga"/>
    <s v="NNYL_2"/>
    <s v="Mambu/Base Sub-Catchment"/>
    <n v="3153.6000000000004"/>
  </r>
  <r>
    <x v="3"/>
    <s v="Ayideri"/>
    <s v="Public"/>
    <x v="0"/>
    <s v="Rulindo"/>
    <s v="Buyoga"/>
    <s v="NNYL_2"/>
    <s v="Mambu/Base Sub-Catchment"/>
    <n v="1576.8000000000002"/>
  </r>
  <r>
    <x v="3"/>
    <s v="Nyakagezi"/>
    <s v="Public"/>
    <x v="0"/>
    <s v="Rulindo"/>
    <s v="Buyoga"/>
    <s v="NNYL_2"/>
    <s v="Mambu/Base Sub-Catchment"/>
    <n v="2522.88"/>
  </r>
  <r>
    <x v="3"/>
    <s v="Gacenderi"/>
    <s v="Public"/>
    <x v="0"/>
    <s v="Rulindo"/>
    <s v="Buyoga"/>
    <s v="NNYL_2"/>
    <s v="Mambu/Base Sub-Catchment"/>
    <n v="1892.16"/>
  </r>
  <r>
    <x v="3"/>
    <s v="Nyakabizi"/>
    <s v="Public"/>
    <x v="0"/>
    <s v="Rulindo"/>
    <s v="Buyoga"/>
    <s v="NNYL_2"/>
    <s v="Mambu/Base Sub-Catchment"/>
    <n v="1576.8000000000002"/>
  </r>
  <r>
    <x v="3"/>
    <s v="Murambo"/>
    <s v="Public"/>
    <x v="0"/>
    <s v="Rulindo"/>
    <s v="Buyoga"/>
    <s v="NNYL_2"/>
    <s v="Mambu/Base Sub-Catchment"/>
    <n v="3153.6000000000004"/>
  </r>
  <r>
    <x v="3"/>
    <s v="Kazabazana"/>
    <s v="Public"/>
    <x v="0"/>
    <s v="Rulindo"/>
    <s v="Buyoga"/>
    <s v="NNYL_2"/>
    <s v="Mambu/Base Sub-Catchment"/>
    <n v="2522.88"/>
  </r>
  <r>
    <x v="3"/>
    <s v="Gahama"/>
    <s v="Public"/>
    <x v="0"/>
    <s v="Rulindo"/>
    <s v="Buyoga"/>
    <s v="NNYL_2"/>
    <s v="Mambu/Base Sub-Catchment"/>
    <n v="9460.8000000000011"/>
  </r>
  <r>
    <x v="3"/>
    <s v="Gako"/>
    <s v="Public"/>
    <x v="0"/>
    <s v="Rulindo"/>
    <s v="Buyoga"/>
    <s v="NNYL_2"/>
    <s v="Mambu/Base Sub-Catchment"/>
    <n v="1892.16"/>
  </r>
  <r>
    <x v="3"/>
    <s v="Nyamwiriri"/>
    <s v="Public"/>
    <x v="0"/>
    <s v="Rulindo"/>
    <s v="Buyoga"/>
    <s v="NNYL_2"/>
    <s v="Mambu/Base Sub-Catchment"/>
    <n v="1261.44"/>
  </r>
  <r>
    <x v="3"/>
    <s v="Bukavu"/>
    <s v="Public"/>
    <x v="0"/>
    <s v="Rulindo"/>
    <s v="Buyoga"/>
    <s v="NNYL_2"/>
    <s v="Mambu/Base Sub-Catchment"/>
    <n v="2995.92"/>
  </r>
  <r>
    <x v="3"/>
    <s v="Rugazi"/>
    <s v="Public"/>
    <x v="0"/>
    <s v="Rulindo"/>
    <s v="Buyoga"/>
    <s v="NNYL_2"/>
    <s v="Mambu/Base Sub-Catchment"/>
    <n v="946.08"/>
  </r>
  <r>
    <x v="3"/>
    <s v="Bigorogoro"/>
    <s v="Public"/>
    <x v="0"/>
    <s v="Rulindo"/>
    <s v="Buyoga"/>
    <s v="NNYL_2"/>
    <s v="Mambu/Base Sub-Catchment"/>
    <n v="3153.6000000000004"/>
  </r>
  <r>
    <x v="3"/>
    <s v="Kagarama"/>
    <s v="Public"/>
    <x v="0"/>
    <s v="Rulindo"/>
    <s v="Buyoga"/>
    <s v="NNYL_2"/>
    <s v="Mambu/Base Sub-Catchment"/>
    <n v="630.72"/>
  </r>
  <r>
    <x v="3"/>
    <s v="Gatiba"/>
    <s v="Public"/>
    <x v="0"/>
    <s v="Rulindo"/>
    <s v="Buyoga"/>
    <s v="NNYL_2"/>
    <s v="Mambu/Base Sub-Catchment"/>
    <n v="1576.8000000000002"/>
  </r>
  <r>
    <x v="3"/>
    <s v="Gahama II"/>
    <s v="Public"/>
    <x v="0"/>
    <s v="Rulindo"/>
    <s v="Buyoga"/>
    <s v="NNYL_2"/>
    <s v="Mambu/Base Sub-Catchment"/>
    <n v="1576.8000000000002"/>
  </r>
  <r>
    <x v="3"/>
    <s v="Gatare"/>
    <s v="Public"/>
    <x v="0"/>
    <s v="Rulindo"/>
    <s v="Buyoga"/>
    <s v="NNYL_2"/>
    <s v="Mambu/Base Sub-Catchment"/>
    <n v="1892.16"/>
  </r>
  <r>
    <x v="3"/>
    <s v="Gahama I"/>
    <s v="Public"/>
    <x v="0"/>
    <s v="Rulindo"/>
    <s v="Buyoga"/>
    <s v="NNYL_2"/>
    <s v="Mambu/Base Sub-Catchment"/>
    <n v="2049.84"/>
  </r>
  <r>
    <x v="3"/>
    <s v="Gakoma I"/>
    <s v="Public"/>
    <x v="0"/>
    <s v="Rulindo"/>
    <s v="Buyoga"/>
    <s v="NNYL_2"/>
    <s v="Mambu/Base Sub-Catchment"/>
    <n v="1892.16"/>
  </r>
  <r>
    <x v="3"/>
    <s v="Nyarubuye"/>
    <s v="Public"/>
    <x v="0"/>
    <s v="Rulindo"/>
    <s v="Buyoga"/>
    <s v="NNYL_2"/>
    <s v="Mambu/Base Sub-Catchment"/>
    <n v="2522.88"/>
  </r>
  <r>
    <x v="3"/>
    <s v="Rwagitanga"/>
    <s v="Public"/>
    <x v="0"/>
    <s v="Rulindo"/>
    <s v="Buyoga"/>
    <s v="NNYL_2"/>
    <s v="Mambu/Base Sub-Catchment"/>
    <n v="1892.16"/>
  </r>
  <r>
    <x v="3"/>
    <s v="Nyakagezi"/>
    <s v="Public"/>
    <x v="0"/>
    <s v="Rulindo"/>
    <s v="Buyoga"/>
    <s v="NNYL_2"/>
    <s v="Mambu/Base Sub-Catchment"/>
    <n v="1419.12"/>
  </r>
  <r>
    <x v="3"/>
    <s v="Nyakagezi"/>
    <s v="Public"/>
    <x v="0"/>
    <s v="Rulindo"/>
    <s v="Buyoga"/>
    <s v="NNYL_2"/>
    <s v="Mambu/Base Sub-Catchment"/>
    <n v="6307.2000000000007"/>
  </r>
  <r>
    <x v="3"/>
    <s v="Gashyana"/>
    <s v="Public"/>
    <x v="0"/>
    <s v="Rulindo"/>
    <s v="Buyoga"/>
    <s v="NNYL_2"/>
    <s v="Mambu/Base Sub-Catchment"/>
    <n v="1892.16"/>
  </r>
  <r>
    <x v="3"/>
    <s v="Gakoma II"/>
    <s v="Public"/>
    <x v="0"/>
    <s v="Rulindo"/>
    <s v="Buyoga"/>
    <s v="NNYL_2"/>
    <s v="Mambu/Base Sub-Catchment"/>
    <n v="1419.12"/>
  </r>
  <r>
    <x v="3"/>
    <s v="Nyirakibandi"/>
    <s v="Public"/>
    <x v="0"/>
    <s v="Rulindo"/>
    <s v="Buyoga"/>
    <s v="NNYL_2"/>
    <s v="Mambu/Base Sub-Catchment"/>
    <n v="3153.6000000000004"/>
  </r>
  <r>
    <x v="3"/>
    <s v="Kadogo"/>
    <s v="Public"/>
    <x v="0"/>
    <s v="Rulindo"/>
    <s v="Buyoga"/>
    <s v="NNYL_2"/>
    <s v="Mambu/Base Sub-Catchment"/>
    <n v="7884.0000000000009"/>
  </r>
  <r>
    <x v="3"/>
    <s v="Kabingo"/>
    <s v="Public"/>
    <x v="0"/>
    <s v="Rulindo"/>
    <s v="Buyoga"/>
    <s v="NNYL_2"/>
    <s v="Mambu/Base Sub-Catchment"/>
    <n v="3153.6000000000004"/>
  </r>
  <r>
    <x v="3"/>
    <s v="Ngugu"/>
    <s v="Public"/>
    <x v="0"/>
    <s v="Rulindo"/>
    <s v="Buyoga"/>
    <s v="NNYL_2"/>
    <s v="Mambu/Base Sub-Catchment"/>
    <n v="2365.2000000000003"/>
  </r>
  <r>
    <x v="3"/>
    <s v="Gaseke"/>
    <s v="Public"/>
    <x v="0"/>
    <s v="Rulindo"/>
    <s v="Buyoga"/>
    <s v="NNYL_2"/>
    <s v="Mambu/Base Sub-Catchment"/>
    <n v="1419.12"/>
  </r>
  <r>
    <x v="3"/>
    <s v="Nyacyonga"/>
    <s v="Public"/>
    <x v="0"/>
    <s v="Rulindo"/>
    <s v="Buyoga"/>
    <s v="NNYL_2"/>
    <s v="Mambu/Base Sub-Catchment"/>
    <n v="4730.4000000000005"/>
  </r>
  <r>
    <x v="3"/>
    <s v="Rusumo I"/>
    <s v="Public"/>
    <x v="0"/>
    <s v="Rulindo"/>
    <s v="Buyoga"/>
    <s v="NNYL_2"/>
    <s v="Mambu/Base Sub-Catchment"/>
    <n v="473.04"/>
  </r>
  <r>
    <x v="3"/>
    <s v="Mucyamo"/>
    <s v="Public"/>
    <x v="0"/>
    <s v="Rulindo"/>
    <s v="Buyoga"/>
    <s v="NNYL_2"/>
    <s v="Mambu/Base Sub-Catchment"/>
    <n v="1576.8000000000002"/>
  </r>
  <r>
    <x v="3"/>
    <s v="Kadogo"/>
    <s v="Public"/>
    <x v="0"/>
    <s v="Rulindo"/>
    <s v="Buyoga"/>
    <s v="NNYL_2"/>
    <s v="Mambu/Base Sub-Catchment"/>
    <n v="4730.4000000000005"/>
  </r>
  <r>
    <x v="3"/>
    <s v="Kazabagarura"/>
    <s v="Public"/>
    <x v="0"/>
    <s v="Rulindo"/>
    <s v="Buyoga"/>
    <s v="NNYL_2"/>
    <s v="Mambu/Base Sub-Catchment"/>
    <n v="2207.5200000000004"/>
  </r>
  <r>
    <x v="3"/>
    <s v="Kadogo"/>
    <s v="Public"/>
    <x v="0"/>
    <s v="Rulindo"/>
    <s v="Buyoga"/>
    <s v="NNYL_2"/>
    <s v="Mambu/Base Sub-Catchment"/>
    <n v="1419.12"/>
  </r>
  <r>
    <x v="3"/>
    <s v="Rusumo II"/>
    <s v="Public"/>
    <x v="0"/>
    <s v="Rulindo"/>
    <s v="Buyoga"/>
    <s v="NNYL_2"/>
    <s v="Mambu/Base Sub-Catchment"/>
    <n v="7884.0000000000009"/>
  </r>
  <r>
    <x v="3"/>
    <s v="Gihanga"/>
    <s v="Public"/>
    <x v="0"/>
    <s v="Rulindo"/>
    <s v="Buyoga"/>
    <s v="NNYL_2"/>
    <s v="Mambu/Base Sub-Catchment"/>
    <n v="1419.12"/>
  </r>
  <r>
    <x v="3"/>
    <s v="Kajeneni I"/>
    <s v="Public"/>
    <x v="0"/>
    <s v="Rulindo"/>
    <s v="Buyoga"/>
    <s v="NNYL_2"/>
    <s v="Mambu/Base Sub-Catchment"/>
    <n v="1103.7600000000002"/>
  </r>
  <r>
    <x v="3"/>
    <s v="Kajeneni II"/>
    <s v="Public"/>
    <x v="0"/>
    <s v="Rulindo"/>
    <s v="Buyoga"/>
    <s v="NNYL_2"/>
    <s v="Mambu/Base Sub-Catchment"/>
    <n v="2049.84"/>
  </r>
  <r>
    <x v="3"/>
    <s v="Rwankuba"/>
    <s v="Public"/>
    <x v="0"/>
    <s v="Rulindo"/>
    <s v="Buyoga"/>
    <s v="NNYL_2"/>
    <s v="Mambu/Base Sub-Catchment"/>
    <n v="2207.5200000000004"/>
  </r>
  <r>
    <x v="3"/>
    <s v="Gasyo"/>
    <s v="Public"/>
    <x v="0"/>
    <s v="Rulindo"/>
    <s v="Buyoga"/>
    <s v="NNYL_2"/>
    <s v="Mambu/Base Sub-Catchment"/>
    <n v="3153.6000000000004"/>
  </r>
  <r>
    <x v="3"/>
    <s v="Rusumo III"/>
    <s v="Public"/>
    <x v="0"/>
    <s v="Rulindo"/>
    <s v="Buyoga"/>
    <s v="NNYL_2"/>
    <s v="Mambu/Base Sub-Catchment"/>
    <n v="1419.12"/>
  </r>
  <r>
    <x v="3"/>
    <s v="Kagoma"/>
    <s v="Public"/>
    <x v="0"/>
    <s v="Rulindo"/>
    <s v="Cyungo"/>
    <s v="NNYL_2"/>
    <s v="Mambu/Base Sub-Catchment"/>
    <n v="3153.6000000000004"/>
  </r>
  <r>
    <x v="3"/>
    <s v="Kalingo"/>
    <s v="Public"/>
    <x v="0"/>
    <s v="Rulindo"/>
    <s v="Cyungo"/>
    <s v="NNYL_2"/>
    <s v="Mambu/Base Sub-Catchment"/>
    <n v="3153.6000000000004"/>
  </r>
  <r>
    <x v="3"/>
    <s v="Nyirabureme"/>
    <s v="Public"/>
    <x v="0"/>
    <s v="Rulindo"/>
    <s v="Cyungo"/>
    <s v="NNYL_2"/>
    <s v="Mambu/Base Sub-Catchment"/>
    <n v="3153.6000000000004"/>
  </r>
  <r>
    <x v="3"/>
    <s v="Nyirantengura"/>
    <s v="Public"/>
    <x v="0"/>
    <s v="Rulindo"/>
    <s v="Cyungo"/>
    <s v="NNYL_2"/>
    <s v="Mambu/Base Sub-Catchment"/>
    <n v="3153.6000000000004"/>
  </r>
  <r>
    <x v="3"/>
    <s v="Gahama"/>
    <s v="Public"/>
    <x v="0"/>
    <s v="Rulindo"/>
    <s v="Cyungo"/>
    <s v="NNYL_2"/>
    <s v="Mambu/Base Sub-Catchment"/>
    <n v="1892.16"/>
  </r>
  <r>
    <x v="3"/>
    <s v="Kanyereri I"/>
    <s v="Public"/>
    <x v="0"/>
    <s v="Rulindo"/>
    <s v="Cyungo"/>
    <s v="NNYL_2"/>
    <s v="Mambu/Base Sub-Catchment"/>
    <n v="6307.2000000000007"/>
  </r>
  <r>
    <x v="3"/>
    <s v="Cyonga"/>
    <s v="Public"/>
    <x v="0"/>
    <s v="Rulindo"/>
    <s v="Cyungo"/>
    <s v="NNYL_2"/>
    <s v="Mambu/Base Sub-Catchment"/>
    <n v="3153.6000000000004"/>
  </r>
  <r>
    <x v="3"/>
    <s v="Nyagatovu"/>
    <s v="Public"/>
    <x v="0"/>
    <s v="Rulindo"/>
    <s v="Cyungo"/>
    <s v="NNYL_2"/>
    <s v="Mambu/Base Sub-Catchment"/>
    <n v="3153.6000000000004"/>
  </r>
  <r>
    <x v="3"/>
    <s v="Mukapfu"/>
    <s v="Public"/>
    <x v="0"/>
    <s v="Rulindo"/>
    <s v="Cyungo"/>
    <s v="NNYL_2"/>
    <s v="Mambu/Base Sub-Catchment"/>
    <n v="6307.2000000000007"/>
  </r>
  <r>
    <x v="3"/>
    <s v="Kanyereri II"/>
    <s v="Public"/>
    <x v="0"/>
    <s v="Rulindo"/>
    <s v="Cyungo"/>
    <s v="NNYL_2"/>
    <s v="Mambu/Base Sub-Catchment"/>
    <n v="1892.16"/>
  </r>
  <r>
    <x v="3"/>
    <s v="Cyanya"/>
    <s v="Public"/>
    <x v="0"/>
    <s v="Rulindo"/>
    <s v="Cyungo"/>
    <s v="NNYL_2"/>
    <s v="Mambu/Base Sub-Catchment"/>
    <n v="3153.6000000000004"/>
  </r>
  <r>
    <x v="3"/>
    <s v="Bushokanyambo"/>
    <s v="Public"/>
    <x v="0"/>
    <s v="Rulindo"/>
    <s v="Cyungo"/>
    <s v="NNYL_2"/>
    <s v="Mambu/Base Sub-Catchment"/>
    <n v="630.72"/>
  </r>
  <r>
    <x v="3"/>
    <s v="Ruseke"/>
    <s v="Public"/>
    <x v="0"/>
    <s v="Rulindo"/>
    <s v="Cyungo"/>
    <s v="NNYL_2"/>
    <s v="Mambu/Base Sub-Catchment"/>
    <n v="1576.8000000000002"/>
  </r>
  <r>
    <x v="3"/>
    <s v="Rwili"/>
    <s v="Public"/>
    <x v="0"/>
    <s v="Rulindo"/>
    <s v="Cyungo"/>
    <s v="NNYL_2"/>
    <s v="Mambu/Base Sub-Catchment"/>
    <n v="3153.6000000000004"/>
  </r>
  <r>
    <x v="3"/>
    <s v="Ryaburere"/>
    <s v="Public"/>
    <x v="0"/>
    <s v="Rulindo"/>
    <s v="Cyungo"/>
    <s v="NNYL_2"/>
    <s v="Mambu/Base Sub-Catchment"/>
    <n v="3153.6000000000004"/>
  </r>
  <r>
    <x v="3"/>
    <s v="Mashyuza"/>
    <s v="Public"/>
    <x v="0"/>
    <s v="Rulindo"/>
    <s v="Cyungo"/>
    <s v="NNYL_2"/>
    <s v="Mambu/Base Sub-Catchment"/>
    <n v="7884.0000000000009"/>
  </r>
  <r>
    <x v="3"/>
    <s v="Gatobero"/>
    <s v="Public"/>
    <x v="0"/>
    <s v="Rulindo"/>
    <s v="Cyungo"/>
    <s v="NNYL_2"/>
    <s v="Mambu/Base Sub-Catchment"/>
    <n v="9460.8000000000011"/>
  </r>
  <r>
    <x v="3"/>
    <s v="Bitagata I"/>
    <s v="Public"/>
    <x v="0"/>
    <s v="Rulindo"/>
    <s v="Cyungo"/>
    <s v="NNYL_2"/>
    <s v="Mambu/Base Sub-Catchment"/>
    <n v="3153.6000000000004"/>
  </r>
  <r>
    <x v="3"/>
    <s v="Nyamugura"/>
    <s v="Public"/>
    <x v="0"/>
    <s v="Rulindo"/>
    <s v="Cyungo"/>
    <s v="NNYL_2"/>
    <s v="Mambu/Base Sub-Catchment"/>
    <n v="3942.0000000000005"/>
  </r>
  <r>
    <x v="3"/>
    <s v="Bitagata II"/>
    <s v="Public"/>
    <x v="0"/>
    <s v="Rulindo"/>
    <s v="Cyungo"/>
    <s v="NNYL_2"/>
    <s v="Mambu/Base Sub-Catchment"/>
    <n v="6307.2000000000007"/>
  </r>
  <r>
    <x v="3"/>
    <s v="nganzo"/>
    <s v="Public"/>
    <x v="0"/>
    <s v="Rulindo"/>
    <s v="Cyungo"/>
    <s v="NNYL_2"/>
    <s v="Mambu/Base Sub-Catchment"/>
    <n v="3153.6000000000004"/>
  </r>
  <r>
    <x v="3"/>
    <s v="Gafonogo"/>
    <s v="Public"/>
    <x v="0"/>
    <s v="Rulindo"/>
    <s v="Cyungo"/>
    <s v="NNYL_2"/>
    <s v="Mambu/Base Sub-Catchment"/>
    <n v="9460.8000000000011"/>
  </r>
  <r>
    <x v="3"/>
    <s v="Nyagafunzo"/>
    <s v="Public"/>
    <x v="0"/>
    <s v="Rulindo"/>
    <s v="Cyungo"/>
    <s v="NNYL_2"/>
    <s v="Mambu/Base Sub-Catchment"/>
    <n v="3942.0000000000005"/>
  </r>
  <r>
    <x v="3"/>
    <s v="Gaseke Rukando"/>
    <s v="Public"/>
    <x v="0"/>
    <s v="Rulindo"/>
    <s v="Cyungo"/>
    <s v="NNYL_2"/>
    <s v="Mambu/Base Sub-Catchment"/>
    <n v="3153.6000000000004"/>
  </r>
  <r>
    <x v="3"/>
    <s v="Nyabagugu"/>
    <s v="Public"/>
    <x v="0"/>
    <s v="Rulindo"/>
    <s v="Cyungo"/>
    <s v="NNYL_2"/>
    <s v="Mambu/Base Sub-Catchment"/>
    <n v="788.40000000000009"/>
  </r>
  <r>
    <x v="3"/>
    <s v="Murambo"/>
    <s v="Public"/>
    <x v="0"/>
    <s v="Rulindo"/>
    <s v="Cyungo"/>
    <s v="NNYL_2"/>
    <s v="Mambu/Base Sub-Catchment"/>
    <n v="3153.6000000000004"/>
  </r>
  <r>
    <x v="3"/>
    <s v="Muhahima"/>
    <s v="Public"/>
    <x v="0"/>
    <s v="Rulindo"/>
    <s v="Cyungo"/>
    <s v="NNYL_2"/>
    <s v="Mambu/Base Sub-Catchment"/>
    <n v="6307.2000000000007"/>
  </r>
  <r>
    <x v="3"/>
    <s v="Kazibaziba"/>
    <s v="Public"/>
    <x v="0"/>
    <s v="Rulindo"/>
    <s v="Cyungo"/>
    <s v="NNYL_2"/>
    <s v="Mambu/Base Sub-Catchment"/>
    <n v="6307.2000000000007"/>
  </r>
  <r>
    <x v="3"/>
    <s v="Rugarama"/>
    <s v="Public"/>
    <x v="0"/>
    <s v="Rulindo"/>
    <s v="Cyungo"/>
    <s v="NNYL_2"/>
    <s v="Mambu/Base Sub-Catchment"/>
    <n v="3153.6000000000004"/>
  </r>
  <r>
    <x v="3"/>
    <s v="Munyahondo"/>
    <s v="Public"/>
    <x v="0"/>
    <s v="Rulindo"/>
    <s v="Cyungo"/>
    <s v="NNYL_2"/>
    <s v="Mambu/Base Sub-Catchment"/>
    <n v="3153.6000000000004"/>
  </r>
  <r>
    <x v="3"/>
    <s v="Munyege"/>
    <s v="Public"/>
    <x v="0"/>
    <s v="Rulindo"/>
    <s v="Cyungo"/>
    <s v="NNYL_2"/>
    <s v="Mambu/Base Sub-Catchment"/>
    <n v="6307.2000000000007"/>
  </r>
  <r>
    <x v="3"/>
    <s v="Gatare"/>
    <s v="Public"/>
    <x v="0"/>
    <s v="Rulindo"/>
    <s v="Cyungo"/>
    <s v="NNYL_2"/>
    <s v="Mambu/Base Sub-Catchment"/>
    <n v="6307.2000000000007"/>
  </r>
  <r>
    <x v="3"/>
    <s v="kazabagarura"/>
    <s v="Public"/>
    <x v="0"/>
    <s v="Kamonyi"/>
    <s v="Gacurabwenge"/>
    <s v="NNYL_2"/>
    <s v="Mambu/Base Sub-Catchment"/>
    <n v="2049.84"/>
  </r>
  <r>
    <x v="3"/>
    <s v="RWABARINDA"/>
    <s v="Public"/>
    <x v="0"/>
    <s v="Kamonyi"/>
    <s v="Gacurabwenge"/>
    <s v="NNYL_2"/>
    <s v="Mambu/Base Sub-Catchment"/>
    <n v="4257.3600000000006"/>
  </r>
  <r>
    <x v="3"/>
    <s v="NYAKAGEZI"/>
    <s v="Public"/>
    <x v="0"/>
    <s v="Kamonyi"/>
    <s v="Gacurabwenge"/>
    <s v="NNYL_2"/>
    <s v="Mambu/Base Sub-Catchment"/>
    <n v="1182.6000000000001"/>
  </r>
  <r>
    <x v="3"/>
    <s v="SABUKOMA"/>
    <s v="Public"/>
    <x v="0"/>
    <s v="Kamonyi"/>
    <s v="Gacurabwenge"/>
    <s v="NNYL_2"/>
    <s v="Mambu/Base Sub-Catchment"/>
    <n v="3153.6000000000004"/>
  </r>
  <r>
    <x v="3"/>
    <s v="KAMPANGA"/>
    <s v="Public"/>
    <x v="0"/>
    <s v="Kamonyi"/>
    <s v="Gacurabwenge"/>
    <s v="NNYL_2"/>
    <s v="Mambu/Base Sub-Catchment"/>
    <n v="7884.0000000000009"/>
  </r>
  <r>
    <x v="3"/>
    <s v="RUGWA"/>
    <s v="Public"/>
    <x v="0"/>
    <s v="Kamonyi"/>
    <s v="Gacurabwenge"/>
    <s v="NNYL_2"/>
    <s v="Mambu/Base Sub-Catchment"/>
    <n v="6307.2000000000007"/>
  </r>
  <r>
    <x v="3"/>
    <s v="RWAMUYORA"/>
    <s v="Public"/>
    <x v="0"/>
    <s v="Kamonyi"/>
    <s v="Gacurabwenge"/>
    <s v="NNYL_2"/>
    <s v="Mambu/Base Sub-Catchment"/>
    <n v="1734.4800000000002"/>
  </r>
  <r>
    <x v="3"/>
    <s v="NYAGASENYI"/>
    <s v="Public"/>
    <x v="0"/>
    <s v="Kamonyi"/>
    <s v="Gacurabwenge"/>
    <s v="NNYL_2"/>
    <s v="Mambu/Base Sub-Catchment"/>
    <n v="15768.000000000002"/>
  </r>
  <r>
    <x v="3"/>
    <s v="rugina"/>
    <s v="Public"/>
    <x v="0"/>
    <s v="Kamonyi"/>
    <s v="Gacurabwenge"/>
    <s v="NNYL_2"/>
    <s v="Mambu/Base Sub-Catchment"/>
    <n v="7884.0000000000009"/>
  </r>
  <r>
    <x v="3"/>
    <s v="rubona"/>
    <s v="Public"/>
    <x v="0"/>
    <s v="Kamonyi"/>
    <s v="Gacurabwenge"/>
    <s v="NNYL_2"/>
    <s v="Mambu/Base Sub-Catchment"/>
    <n v="11037.6"/>
  </r>
  <r>
    <x v="3"/>
    <s v="kumugano"/>
    <s v="Public"/>
    <x v="0"/>
    <s v="Kamonyi"/>
    <s v="Gacurabwenge"/>
    <s v="NNYL_2"/>
    <s v="Mambu/Base Sub-Catchment"/>
    <n v="126.14400000000001"/>
  </r>
  <r>
    <x v="3"/>
    <s v="NYAGATOVU"/>
    <s v="Public"/>
    <x v="0"/>
    <s v="Kamonyi"/>
    <s v="Gacurabwenge"/>
    <s v="NNYL_2"/>
    <s v="Mambu/Base Sub-Catchment"/>
    <n v="473.04"/>
  </r>
  <r>
    <x v="3"/>
    <s v="gaseke"/>
    <s v="Public"/>
    <x v="0"/>
    <s v="Kamonyi"/>
    <s v="Gacurabwenge"/>
    <s v="NNYL_2"/>
    <s v="Mambu/Base Sub-Catchment"/>
    <n v="7884.0000000000009"/>
  </r>
  <r>
    <x v="3"/>
    <s v="KABAKENE"/>
    <s v="Public"/>
    <x v="0"/>
    <s v="Kamonyi"/>
    <s v="Gacurabwenge"/>
    <s v="NNYL_2"/>
    <s v="Mambu/Base Sub-Catchment"/>
    <n v="94.60799999999999"/>
  </r>
  <r>
    <x v="3"/>
    <s v="RWAMUTARA"/>
    <s v="Public"/>
    <x v="0"/>
    <s v="Kamonyi"/>
    <s v="Gacurabwenge"/>
    <s v="NNYL_2"/>
    <s v="Mambu/Base Sub-Catchment"/>
    <n v="9460.8000000000011"/>
  </r>
  <r>
    <x v="3"/>
    <s v="nyagashanga"/>
    <s v="Public"/>
    <x v="0"/>
    <s v="Kamonyi"/>
    <s v="Gacurabwenge"/>
    <s v="NNYL_2"/>
    <s v="Mambu/Base Sub-Catchment"/>
    <n v="6307.2000000000007"/>
  </r>
  <r>
    <x v="3"/>
    <s v="nangumurimbo"/>
    <s v="Public"/>
    <x v="0"/>
    <s v="Kamonyi"/>
    <s v="Gacurabwenge"/>
    <s v="NNYL_2"/>
    <s v="Mambu/Base Sub-Catchment"/>
    <n v="1103.7600000000002"/>
  </r>
  <r>
    <x v="3"/>
    <s v="kigarama"/>
    <s v="Public"/>
    <x v="0"/>
    <s v="Kamonyi"/>
    <s v="Gacurabwenge"/>
    <s v="NNYL_2"/>
    <s v="Mambu/Base Sub-Catchment"/>
    <n v="15768.000000000002"/>
  </r>
  <r>
    <x v="3"/>
    <s v="kigusa"/>
    <s v="Public"/>
    <x v="0"/>
    <s v="Kamonyi"/>
    <s v="Gacurabwenge"/>
    <s v="NNYL_2"/>
    <s v="Mambu/Base Sub-Catchment"/>
    <n v="788.40000000000009"/>
  </r>
  <r>
    <x v="3"/>
    <s v="nyamuko 2"/>
    <s v="Public"/>
    <x v="0"/>
    <s v="Kamonyi"/>
    <s v="Gacurabwenge"/>
    <s v="NNYL_2"/>
    <s v="Mambu/Base Sub-Catchment"/>
    <n v="630.72"/>
  </r>
  <r>
    <x v="3"/>
    <s v="kwa munanira"/>
    <s v="Public"/>
    <x v="0"/>
    <s v="Kamonyi"/>
    <s v="Gacurabwenge"/>
    <s v="NNYL_2"/>
    <s v="Mambu/Base Sub-Catchment"/>
    <n v="31536.000000000004"/>
  </r>
  <r>
    <x v="3"/>
    <s v="gaseke"/>
    <s v="Public"/>
    <x v="0"/>
    <s v="Kamonyi"/>
    <s v="Gacurabwenge"/>
    <s v="NNYL_2"/>
    <s v="Mambu/Base Sub-Catchment"/>
    <n v="12614.400000000001"/>
  </r>
  <r>
    <x v="3"/>
    <s v="birarama2"/>
    <s v="Public"/>
    <x v="0"/>
    <s v="Kamonyi"/>
    <s v="Gacurabwenge"/>
    <s v="NNYL_2"/>
    <s v="Mambu/Base Sub-Catchment"/>
    <n v="3942.0000000000005"/>
  </r>
  <r>
    <x v="3"/>
    <s v="NYARUTOVU"/>
    <s v="Public"/>
    <x v="0"/>
    <s v="Kamonyi"/>
    <s v="Gacurabwenge"/>
    <s v="NNYL_2"/>
    <s v="Mambu/Base Sub-Catchment"/>
    <n v="141.91200000000001"/>
  </r>
  <r>
    <x v="3"/>
    <s v="birarama"/>
    <s v="Public"/>
    <x v="0"/>
    <s v="Kamonyi"/>
    <s v="Gacurabwenge"/>
    <s v="NNYL_2"/>
    <s v="Mambu/Base Sub-Catchment"/>
    <n v="2049.84"/>
  </r>
  <r>
    <x v="3"/>
    <s v="kwafideli"/>
    <s v="Public"/>
    <x v="0"/>
    <s v="Kamonyi"/>
    <s v="Gacurabwenge"/>
    <s v="NNYL_2"/>
    <s v="Mambu/Base Sub-Catchment"/>
    <n v="1892.16"/>
  </r>
  <r>
    <x v="3"/>
    <s v="nyamuko i"/>
    <s v="Public"/>
    <x v="0"/>
    <s v="Kamonyi"/>
    <s v="Gacurabwenge"/>
    <s v="NNYL_2"/>
    <s v="Mambu/Base Sub-Catchment"/>
    <n v="946.08"/>
  </r>
  <r>
    <x v="3"/>
    <s v="KAYENZI"/>
    <s v="Public"/>
    <x v="0"/>
    <s v="Kamonyi"/>
    <s v="Gacurabwenge"/>
    <s v="NNYL_2"/>
    <s v="Mambu/Base Sub-Catchment"/>
    <n v="3468.9600000000005"/>
  </r>
  <r>
    <x v="3"/>
    <s v="BURERANYANA"/>
    <s v="Public"/>
    <x v="0"/>
    <s v="Kamonyi"/>
    <s v="Gacurabwenge"/>
    <s v="NNYL_2"/>
    <s v="Mambu/Base Sub-Catchment"/>
    <n v="5518.8"/>
  </r>
  <r>
    <x v="3"/>
    <s v="rubanguka"/>
    <s v="Public"/>
    <x v="0"/>
    <s v="Kamonyi"/>
    <s v="Kayenzi"/>
    <s v="NNYL_2"/>
    <s v="Mambu/Base Sub-Catchment"/>
    <n v="23.651999999999997"/>
  </r>
  <r>
    <x v="3"/>
    <s v="kwa munanira"/>
    <s v="Public"/>
    <x v="0"/>
    <s v="Kamonyi"/>
    <s v="Kayenzi"/>
    <s v="NNYL_2"/>
    <s v="Mambu/Base Sub-Catchment"/>
    <n v="157.68"/>
  </r>
  <r>
    <x v="3"/>
    <s v="bigaga"/>
    <s v="Public"/>
    <x v="0"/>
    <s v="Kamonyi"/>
    <s v="Kayenzi"/>
    <s v="NNYL_2"/>
    <s v="Mambu/Base Sub-Catchment"/>
    <n v="6307.2000000000007"/>
  </r>
  <r>
    <x v="3"/>
    <s v="ruburankono"/>
    <s v="Public"/>
    <x v="0"/>
    <s v="Kamonyi"/>
    <s v="Kayenzi"/>
    <s v="NNYL_2"/>
    <s v="Mambu/Base Sub-Catchment"/>
    <n v="141.91200000000001"/>
  </r>
  <r>
    <x v="3"/>
    <s v="rwagatambira"/>
    <s v="Public"/>
    <x v="0"/>
    <s v="Kamonyi"/>
    <s v="Kayenzi"/>
    <s v="NNYL_2"/>
    <s v="Mambu/Base Sub-Catchment"/>
    <n v="15.768000000000001"/>
  </r>
  <r>
    <x v="3"/>
    <s v="rwakinanura"/>
    <s v="Public"/>
    <x v="0"/>
    <s v="Kamonyi"/>
    <s v="Kayenzi"/>
    <s v="NNYL_2"/>
    <s v="Mambu/Base Sub-Catchment"/>
    <n v="23.651999999999997"/>
  </r>
  <r>
    <x v="3"/>
    <s v="kabande"/>
    <s v="Public"/>
    <x v="0"/>
    <s v="Kamonyi"/>
    <s v="Kayenzi"/>
    <s v="NNYL_2"/>
    <s v="Mambu/Base Sub-Catchment"/>
    <n v="141.91200000000001"/>
  </r>
  <r>
    <x v="3"/>
    <s v="kagimbu"/>
    <s v="Public"/>
    <x v="0"/>
    <s v="Kamonyi"/>
    <s v="Kayenzi"/>
    <s v="NNYL_2"/>
    <s v="Mambu/Base Sub-Catchment"/>
    <n v="236.52"/>
  </r>
  <r>
    <x v="3"/>
    <s v="nyakaliba"/>
    <s v="Public"/>
    <x v="0"/>
    <s v="Kamonyi"/>
    <s v="Kayenzi"/>
    <s v="NNYL_2"/>
    <s v="Mambu/Base Sub-Catchment"/>
    <n v="47.303999999999995"/>
  </r>
  <r>
    <x v="3"/>
    <s v="rubonobono"/>
    <s v="Public"/>
    <x v="0"/>
    <s v="Kamonyi"/>
    <s v="Kayenzi"/>
    <s v="NNYL_2"/>
    <s v="Mambu/Base Sub-Catchment"/>
    <n v="2522.88"/>
  </r>
  <r>
    <x v="3"/>
    <s v="bannyahe"/>
    <s v="Public"/>
    <x v="0"/>
    <s v="Kamonyi"/>
    <s v="Kayenzi"/>
    <s v="NNYL_2"/>
    <s v="Mambu/Base Sub-Catchment"/>
    <n v="189.21599999999998"/>
  </r>
  <r>
    <x v="3"/>
    <s v="cyangoma"/>
    <s v="Public"/>
    <x v="0"/>
    <s v="Kamonyi"/>
    <s v="Kayenzi"/>
    <s v="NNYL_2"/>
    <s v="Mambu/Base Sub-Catchment"/>
    <n v="39.42"/>
  </r>
  <r>
    <x v="3"/>
    <s v="kannyogo"/>
    <s v="Public"/>
    <x v="0"/>
    <s v="Kamonyi"/>
    <s v="Kayenzi"/>
    <s v="NNYL_2"/>
    <s v="Mambu/Base Sub-Catchment"/>
    <n v="788.40000000000009"/>
  </r>
  <r>
    <x v="3"/>
    <s v="karukuba"/>
    <s v="Public"/>
    <x v="0"/>
    <s v="Kamonyi"/>
    <s v="Kayenzi"/>
    <s v="NNYL_2"/>
    <s v="Mambu/Base Sub-Catchment"/>
    <n v="31.536000000000001"/>
  </r>
  <r>
    <x v="3"/>
    <s v="kurwibiraro"/>
    <s v="Public"/>
    <x v="0"/>
    <s v="Kamonyi"/>
    <s v="Kayenzi"/>
    <s v="NNYL_2"/>
    <s v="Mambu/Base Sub-Catchment"/>
    <n v="9460.8000000000011"/>
  </r>
  <r>
    <x v="3"/>
    <s v="rwangayinda"/>
    <s v="Public"/>
    <x v="0"/>
    <s v="Kamonyi"/>
    <s v="Kayenzi"/>
    <s v="NNYL_2"/>
    <s v="Mambu/Base Sub-Catchment"/>
    <n v="37.843199999999996"/>
  </r>
  <r>
    <x v="3"/>
    <s v="gaseke"/>
    <s v="Public"/>
    <x v="0"/>
    <s v="Kamonyi"/>
    <s v="Kayenzi"/>
    <s v="NNYL_2"/>
    <s v="Mambu/Base Sub-Catchment"/>
    <n v="7884.0000000000009"/>
  </r>
  <r>
    <x v="3"/>
    <s v="mu bikumba"/>
    <s v="Public"/>
    <x v="0"/>
    <s v="Kamonyi"/>
    <s v="Kayenzi"/>
    <s v="NNYL_2"/>
    <s v="Mambu/Base Sub-Catchment"/>
    <n v="1261.44"/>
  </r>
  <r>
    <x v="3"/>
    <s v="kabadende"/>
    <s v="Public"/>
    <x v="0"/>
    <s v="Kamonyi"/>
    <s v="Kayenzi"/>
    <s v="NNYL_2"/>
    <s v="Mambu/Base Sub-Catchment"/>
    <n v="788.40000000000009"/>
  </r>
  <r>
    <x v="3"/>
    <s v="gakoni"/>
    <s v="Public"/>
    <x v="0"/>
    <s v="Kamonyi"/>
    <s v="Kayenzi"/>
    <s v="NNYL_2"/>
    <s v="Mambu/Base Sub-Catchment"/>
    <n v="4730.4000000000005"/>
  </r>
  <r>
    <x v="3"/>
    <s v="gatare"/>
    <s v="Public"/>
    <x v="0"/>
    <s v="Kamonyi"/>
    <s v="Kayenzi"/>
    <s v="NNYL_2"/>
    <s v="Mambu/Base Sub-Catchment"/>
    <n v="94.60799999999999"/>
  </r>
  <r>
    <x v="3"/>
    <s v="gahondohondo"/>
    <s v="Public"/>
    <x v="0"/>
    <s v="Kamonyi"/>
    <s v="Kayenzi"/>
    <s v="NNYL_2"/>
    <s v="Mambu/Base Sub-Catchment"/>
    <n v="1103.7600000000002"/>
  </r>
  <r>
    <x v="3"/>
    <s v="migeli"/>
    <s v="Public"/>
    <x v="0"/>
    <s v="Kamonyi"/>
    <s v="Kayenzi"/>
    <s v="NNYL_2"/>
    <s v="Mambu/Base Sub-Catchment"/>
    <n v="157.68"/>
  </r>
  <r>
    <x v="3"/>
    <s v="mukilima"/>
    <s v="Public"/>
    <x v="0"/>
    <s v="Kamonyi"/>
    <s v="Kayenzi"/>
    <s v="NNYL_2"/>
    <s v="Mambu/Base Sub-Catchment"/>
    <n v="12614.400000000001"/>
  </r>
  <r>
    <x v="3"/>
    <s v="gikombe"/>
    <s v="Public"/>
    <x v="0"/>
    <s v="Kamonyi"/>
    <s v="Kayenzi"/>
    <s v="NNYL_2"/>
    <s v="Mambu/Base Sub-Catchment"/>
    <n v="189.21599999999998"/>
  </r>
  <r>
    <x v="3"/>
    <s v="kurutare"/>
    <s v="Public"/>
    <x v="0"/>
    <s v="Kamonyi"/>
    <s v="Kayenzi"/>
    <s v="NNYL_2"/>
    <s v="Mambu/Base Sub-Catchment"/>
    <n v="110.376"/>
  </r>
  <r>
    <x v="3"/>
    <s v="kivuruga"/>
    <s v="Public"/>
    <x v="0"/>
    <s v="Kamonyi"/>
    <s v="Kayenzi"/>
    <s v="NNYL_2"/>
    <s v="Mambu/Base Sub-Catchment"/>
    <n v="15.768000000000001"/>
  </r>
  <r>
    <x v="3"/>
    <s v="nyamuko"/>
    <s v="Public"/>
    <x v="0"/>
    <s v="Kamonyi"/>
    <s v="Kayenzi"/>
    <s v="NNYL_2"/>
    <s v="Mambu/Base Sub-Catchment"/>
    <n v="9460.8000000000011"/>
  </r>
  <r>
    <x v="3"/>
    <s v="iriba ryumwami"/>
    <s v="Public"/>
    <x v="0"/>
    <s v="Kamonyi"/>
    <s v="Kayenzi"/>
    <s v="NNYL_2"/>
    <s v="Mambu/Base Sub-Catchment"/>
    <n v="7884.0000000000009"/>
  </r>
  <r>
    <x v="3"/>
    <s v="Adorobate"/>
    <s v="Public"/>
    <x v="0"/>
    <s v="Kamonyi"/>
    <s v="Kayenzi"/>
    <s v="NNYL_2"/>
    <s v="Mambu/Base Sub-Catchment"/>
    <n v="236.52"/>
  </r>
  <r>
    <x v="3"/>
    <s v="kajagi"/>
    <s v="Public"/>
    <x v="0"/>
    <s v="Kamonyi"/>
    <s v="Kayenzi"/>
    <s v="NNYL_2"/>
    <s v="Mambu/Base Sub-Catchment"/>
    <n v="394.20000000000005"/>
  </r>
  <r>
    <x v="3"/>
    <s v="mumusenyi"/>
    <s v="Public"/>
    <x v="0"/>
    <s v="Kamonyi"/>
    <s v="Kayenzi"/>
    <s v="NNYL_2"/>
    <s v="Mambu/Base Sub-Catchment"/>
    <n v="1261.44"/>
  </r>
  <r>
    <x v="3"/>
    <s v="nyabitare"/>
    <s v="Public"/>
    <x v="0"/>
    <s v="Kamonyi"/>
    <s v="Kayenzi"/>
    <s v="NNYL_2"/>
    <s v="Mambu/Base Sub-Catchment"/>
    <n v="110.376"/>
  </r>
  <r>
    <x v="3"/>
    <s v="NTAKINYURUMWANZI"/>
    <s v="Public"/>
    <x v="0"/>
    <s v="Kamonyi"/>
    <s v="Kayenzi"/>
    <s v="NNYL_2"/>
    <s v="Mambu/Base Sub-Catchment"/>
    <n v="2365.2000000000003"/>
  </r>
  <r>
    <x v="3"/>
    <s v="kavumu"/>
    <s v="Public"/>
    <x v="0"/>
    <s v="Kamonyi"/>
    <s v="Kayenzi"/>
    <s v="NNYL_2"/>
    <s v="Mambu/Base Sub-Catchment"/>
    <n v="946.08"/>
  </r>
  <r>
    <x v="3"/>
    <s v="nyiraguruguru"/>
    <s v="Public"/>
    <x v="0"/>
    <s v="Kamonyi"/>
    <s v="Kayenzi"/>
    <s v="NNYL_2"/>
    <s v="Mambu/Base Sub-Catchment"/>
    <n v="78.84"/>
  </r>
  <r>
    <x v="3"/>
    <s v="gatare"/>
    <s v="Public"/>
    <x v="0"/>
    <s v="Kamonyi"/>
    <s v="Kayenzi"/>
    <s v="NNYL_2"/>
    <s v="Mambu/Base Sub-Catchment"/>
    <n v="630.72"/>
  </r>
  <r>
    <x v="3"/>
    <s v="gicumba"/>
    <s v="Public"/>
    <x v="0"/>
    <s v="Kamonyi"/>
    <s v="Kayenzi"/>
    <s v="NNYL_2"/>
    <s v="Mambu/Base Sub-Catchment"/>
    <n v="9460.8000000000011"/>
  </r>
  <r>
    <x v="3"/>
    <s v="rubona"/>
    <s v="Public"/>
    <x v="0"/>
    <s v="Kamonyi"/>
    <s v="Kayenzi"/>
    <s v="NNYL_2"/>
    <s v="Mambu/Base Sub-Catchment"/>
    <n v="946.08"/>
  </r>
  <r>
    <x v="3"/>
    <s v="kagorogoro"/>
    <s v="Public"/>
    <x v="0"/>
    <s v="Kamonyi"/>
    <s v="Kayenzi"/>
    <s v="NNYL_2"/>
    <s v="Mambu/Base Sub-Catchment"/>
    <n v="1103.7600000000002"/>
  </r>
  <r>
    <x v="3"/>
    <s v="gaseke"/>
    <s v="Public"/>
    <x v="0"/>
    <s v="Kamonyi"/>
    <s v="Kayenzi"/>
    <s v="NNYL_2"/>
    <s v="Mambu/Base Sub-Catchment"/>
    <n v="126.14400000000001"/>
  </r>
  <r>
    <x v="3"/>
    <s v="kimigenge"/>
    <s v="Public"/>
    <x v="0"/>
    <s v="Kamonyi"/>
    <s v="Kayenzi"/>
    <s v="NNYL_2"/>
    <s v="Mambu/Base Sub-Catchment"/>
    <n v="236.52"/>
  </r>
  <r>
    <x v="3"/>
    <s v="nyakoro"/>
    <s v="Public"/>
    <x v="0"/>
    <s v="Kamonyi"/>
    <s v="Kayenzi"/>
    <s v="NNYL_2"/>
    <s v="Mambu/Base Sub-Catchment"/>
    <n v="6307.2000000000007"/>
  </r>
  <r>
    <x v="3"/>
    <s v="nyakagezi"/>
    <s v="Public"/>
    <x v="0"/>
    <s v="Kamonyi"/>
    <s v="Kayenzi"/>
    <s v="NNYL_2"/>
    <s v="Mambu/Base Sub-Catchment"/>
    <n v="473.04"/>
  </r>
  <r>
    <x v="3"/>
    <s v="KIVUGANGOMA"/>
    <s v="Public"/>
    <x v="0"/>
    <s v="Kamonyi"/>
    <s v="Kayenzi"/>
    <s v="NNYL_2"/>
    <s v="Mambu/Base Sub-Catchment"/>
    <n v="141.91200000000001"/>
  </r>
  <r>
    <x v="3"/>
    <s v="RUKORE"/>
    <s v="Public"/>
    <x v="0"/>
    <s v="Kamonyi"/>
    <s v="Kayenzi"/>
    <s v="NNYL_2"/>
    <s v="Mambu/Base Sub-Catchment"/>
    <n v="473.04"/>
  </r>
  <r>
    <x v="3"/>
    <s v="karambo"/>
    <s v="Public"/>
    <x v="0"/>
    <s v="Kamonyi"/>
    <s v="Kayenzi"/>
    <s v="NNYL_2"/>
    <s v="Mambu/Base Sub-Catchment"/>
    <n v="189.21599999999998"/>
  </r>
  <r>
    <x v="3"/>
    <s v="ruzibaziba"/>
    <s v="Public"/>
    <x v="0"/>
    <s v="Kamonyi"/>
    <s v="Kayenzi"/>
    <s v="NNYL_2"/>
    <s v="Mambu/Base Sub-Catchment"/>
    <n v="78.84"/>
  </r>
  <r>
    <x v="3"/>
    <s v="rubiro"/>
    <s v="Public"/>
    <x v="0"/>
    <s v="Kamonyi"/>
    <s v="Kayenzi"/>
    <s v="NNYL_2"/>
    <s v="Mambu/Base Sub-Catchment"/>
    <n v="0"/>
  </r>
  <r>
    <x v="3"/>
    <s v="RWAMIKO II"/>
    <s v="Public"/>
    <x v="0"/>
    <s v="Kamonyi"/>
    <s v="Kayenzi"/>
    <s v="NNYL_2"/>
    <s v="Mambu/Base Sub-Catchment"/>
    <n v="157.68"/>
  </r>
  <r>
    <x v="3"/>
    <s v="RWAMIKO I"/>
    <s v="Public"/>
    <x v="0"/>
    <s v="Kamonyi"/>
    <s v="Kayenzi"/>
    <s v="NNYL_2"/>
    <s v="Mambu/Base Sub-Catchment"/>
    <n v="126.14400000000001"/>
  </r>
  <r>
    <x v="3"/>
    <s v="namba"/>
    <s v="Public"/>
    <x v="0"/>
    <s v="Kamonyi"/>
    <s v="Kayenzi"/>
    <s v="NNYL_2"/>
    <s v="Mambu/Base Sub-Catchment"/>
    <n v="7884.0000000000009"/>
  </r>
  <r>
    <x v="3"/>
    <s v="rwasave"/>
    <s v="Public"/>
    <x v="0"/>
    <s v="Kamonyi"/>
    <s v="Kayenzi"/>
    <s v="NNYL_2"/>
    <s v="Mambu/Base Sub-Catchment"/>
    <n v="2522.88"/>
  </r>
  <r>
    <x v="3"/>
    <s v="malyoha"/>
    <s v="Public"/>
    <x v="0"/>
    <s v="Kamonyi"/>
    <s v="Kayenzi"/>
    <s v="NNYL_2"/>
    <s v="Mambu/Base Sub-Catchment"/>
    <n v="788.40000000000009"/>
  </r>
  <r>
    <x v="3"/>
    <s v="KIBAHIMA"/>
    <s v="Public"/>
    <x v="0"/>
    <s v="Kamonyi"/>
    <s v="Kayenzi"/>
    <s v="NNYL_2"/>
    <s v="Mambu/Base Sub-Catchment"/>
    <n v="31.536000000000001"/>
  </r>
  <r>
    <x v="3"/>
    <s v="nganda"/>
    <s v="Public"/>
    <x v="0"/>
    <s v="Kamonyi"/>
    <s v="Kayenzi"/>
    <s v="NNYL_2"/>
    <s v="Mambu/Base Sub-Catchment"/>
    <n v="473.04"/>
  </r>
  <r>
    <x v="3"/>
    <s v="cyombo"/>
    <s v="Public"/>
    <x v="0"/>
    <s v="Kamonyi"/>
    <s v="Kayenzi"/>
    <s v="NNYL_2"/>
    <s v="Mambu/Base Sub-Catchment"/>
    <n v="9460.8000000000011"/>
  </r>
  <r>
    <x v="3"/>
    <s v="kijogoto"/>
    <s v="Public"/>
    <x v="0"/>
    <s v="Kamonyi"/>
    <s v="Kayenzi"/>
    <s v="NNYL_2"/>
    <s v="Mambu/Base Sub-Catchment"/>
    <n v="7884.0000000000009"/>
  </r>
  <r>
    <x v="3"/>
    <s v="kibingo"/>
    <s v="Public"/>
    <x v="0"/>
    <s v="Kamonyi"/>
    <s v="Kayenzi"/>
    <s v="NNYL_2"/>
    <s v="Mambu/Base Sub-Catchment"/>
    <n v="1576.8000000000002"/>
  </r>
  <r>
    <x v="3"/>
    <s v="kajagi"/>
    <s v="Public"/>
    <x v="0"/>
    <s v="Kamonyi"/>
    <s v="Kayenzi"/>
    <s v="NNYL_2"/>
    <s v="Mambu/Base Sub-Catchment"/>
    <n v="14191.2"/>
  </r>
  <r>
    <x v="3"/>
    <s v="gaseke ii"/>
    <s v="Public"/>
    <x v="0"/>
    <s v="Kamonyi"/>
    <s v="Kayenzi"/>
    <s v="NNYL_2"/>
    <s v="Mambu/Base Sub-Catchment"/>
    <n v="94.60799999999999"/>
  </r>
  <r>
    <x v="3"/>
    <s v="ruvuzo"/>
    <s v="Public"/>
    <x v="0"/>
    <s v="Kamonyi"/>
    <s v="Kayenzi"/>
    <s v="NNYL_2"/>
    <s v="Mambu/Base Sub-Catchment"/>
    <n v="2995.92"/>
  </r>
  <r>
    <x v="3"/>
    <s v="gaseke"/>
    <s v="Public"/>
    <x v="0"/>
    <s v="Kamonyi"/>
    <s v="Kayenzi"/>
    <s v="NNYL_2"/>
    <s v="Mambu/Base Sub-Catchment"/>
    <n v="1576.8000000000002"/>
  </r>
  <r>
    <x v="3"/>
    <s v="kamimfu"/>
    <s v="Public"/>
    <x v="0"/>
    <s v="Kamonyi"/>
    <s v="Kayenzi"/>
    <s v="NNYL_2"/>
    <s v="Mambu/Base Sub-Catchment"/>
    <n v="3311.2799999999997"/>
  </r>
  <r>
    <x v="3"/>
    <s v="nyamugali ii"/>
    <s v="Public"/>
    <x v="0"/>
    <s v="Kamonyi"/>
    <s v="Kayenzi"/>
    <s v="NNYL_2"/>
    <s v="Mambu/Base Sub-Catchment"/>
    <n v="15768.000000000002"/>
  </r>
  <r>
    <x v="3"/>
    <s v="rugina ii"/>
    <s v="Public"/>
    <x v="0"/>
    <s v="Kamonyi"/>
    <s v="Kayenzi"/>
    <s v="NNYL_2"/>
    <s v="Mambu/Base Sub-Catchment"/>
    <n v="11668.320000000002"/>
  </r>
  <r>
    <x v="3"/>
    <s v="nyamugali ii"/>
    <s v="Public"/>
    <x v="0"/>
    <s v="Kamonyi"/>
    <s v="Kayenzi"/>
    <s v="NNYL_2"/>
    <s v="Mambu/Base Sub-Catchment"/>
    <n v="1734.4800000000002"/>
  </r>
  <r>
    <x v="3"/>
    <s v="nyamugali II"/>
    <s v="Public"/>
    <x v="0"/>
    <s v="Kamonyi"/>
    <s v="Kayenzi"/>
    <s v="NNYL_2"/>
    <s v="Mambu/Base Sub-Catchment"/>
    <n v="4730.4000000000005"/>
  </r>
  <r>
    <x v="3"/>
    <s v="kinogi"/>
    <s v="Public"/>
    <x v="0"/>
    <s v="Kamonyi"/>
    <s v="Kayenzi"/>
    <s v="NNYL_2"/>
    <s v="Mambu/Base Sub-Catchment"/>
    <n v="5361.12"/>
  </r>
  <r>
    <x v="3"/>
    <s v="karabindi"/>
    <s v="Public"/>
    <x v="0"/>
    <s v="Kamonyi"/>
    <s v="Kayenzi"/>
    <s v="NNYL_2"/>
    <s v="Mambu/Base Sub-Catchment"/>
    <n v="1103.7600000000002"/>
  </r>
  <r>
    <x v="3"/>
    <s v="karengo"/>
    <s v="Public"/>
    <x v="0"/>
    <s v="Kamonyi"/>
    <s v="Kayenzi"/>
    <s v="NNYL_2"/>
    <s v="Mambu/Base Sub-Catchment"/>
    <n v="4572.72"/>
  </r>
  <r>
    <x v="3"/>
    <s v="rwagitama"/>
    <s v="Public"/>
    <x v="0"/>
    <s v="Kamonyi"/>
    <s v="Kayenzi"/>
    <s v="NNYL_2"/>
    <s v="Mambu/Base Sub-Catchment"/>
    <n v="1576.8000000000002"/>
  </r>
  <r>
    <x v="3"/>
    <s v="RUKONI"/>
    <s v="Public"/>
    <x v="0"/>
    <s v="Kamonyi"/>
    <s v="Kayenzi"/>
    <s v="NNYL_2"/>
    <s v="Mambu/Base Sub-Catchment"/>
    <n v="315.36"/>
  </r>
  <r>
    <x v="3"/>
    <s v="kabingo"/>
    <s v="Public"/>
    <x v="0"/>
    <s v="Kamonyi"/>
    <s v="Kayenzi"/>
    <s v="NNYL_2"/>
    <s v="Mambu/Base Sub-Catchment"/>
    <n v="23652.000000000004"/>
  </r>
  <r>
    <x v="3"/>
    <s v="karyango"/>
    <s v="Public"/>
    <x v="0"/>
    <s v="Kamonyi"/>
    <s v="Kayenzi"/>
    <s v="NNYL_2"/>
    <s v="Mambu/Base Sub-Catchment"/>
    <n v="1576.8000000000002"/>
  </r>
  <r>
    <x v="3"/>
    <s v="KIMPONDWE"/>
    <s v="Public"/>
    <x v="0"/>
    <s v="Kamonyi"/>
    <s v="Kayenzi"/>
    <s v="NNYL_2"/>
    <s v="Mambu/Base Sub-Catchment"/>
    <n v="630.72"/>
  </r>
  <r>
    <x v="3"/>
    <s v="KARUMBa"/>
    <s v="Public"/>
    <x v="0"/>
    <s v="Kamonyi"/>
    <s v="Kayumbu"/>
    <s v="NNYL_2"/>
    <s v="Mambu/Base Sub-Catchment"/>
    <n v="141.91200000000001"/>
  </r>
  <r>
    <x v="3"/>
    <s v="GASEKE I"/>
    <s v="Public"/>
    <x v="0"/>
    <s v="Kamonyi"/>
    <s v="Kayumbu"/>
    <s v="NNYL_2"/>
    <s v="Mambu/Base Sub-Catchment"/>
    <n v="946.08"/>
  </r>
  <r>
    <x v="3"/>
    <s v="kamashashi"/>
    <s v="Public"/>
    <x v="0"/>
    <s v="Kamonyi"/>
    <s v="Kayumbu"/>
    <s v="NNYL_2"/>
    <s v="Mambu/Base Sub-Catchment"/>
    <n v="0"/>
  </r>
  <r>
    <x v="3"/>
    <s v="KAVOMO"/>
    <s v="Public"/>
    <x v="0"/>
    <s v="Kamonyi"/>
    <s v="Kayumbu"/>
    <s v="NNYL_2"/>
    <s v="Mambu/Base Sub-Catchment"/>
    <n v="299.59199999999993"/>
  </r>
  <r>
    <x v="3"/>
    <s v="MUGATARE"/>
    <s v="Public"/>
    <x v="0"/>
    <s v="Kamonyi"/>
    <s v="Kayumbu"/>
    <s v="NNYL_2"/>
    <s v="Mambu/Base Sub-Catchment"/>
    <n v="7884.0000000000009"/>
  </r>
  <r>
    <x v="3"/>
    <s v="nyakabingo"/>
    <s v="Public"/>
    <x v="0"/>
    <s v="Kamonyi"/>
    <s v="Kayumbu"/>
    <s v="NNYL_2"/>
    <s v="Mambu/Base Sub-Catchment"/>
    <n v="14191.2"/>
  </r>
  <r>
    <x v="3"/>
    <s v="biganga"/>
    <s v="Public"/>
    <x v="0"/>
    <s v="Kamonyi"/>
    <s v="Kayumbu"/>
    <s v="NNYL_2"/>
    <s v="Mambu/Base Sub-Catchment"/>
    <n v="11826.000000000002"/>
  </r>
  <r>
    <x v="3"/>
    <s v="mugafuku"/>
    <s v="Public"/>
    <x v="0"/>
    <s v="Kamonyi"/>
    <s v="Kayumbu"/>
    <s v="NNYL_2"/>
    <s v="Mambu/Base Sub-Catchment"/>
    <n v="173.44799999999998"/>
  </r>
  <r>
    <x v="3"/>
    <s v="MANYANA"/>
    <s v="Public"/>
    <x v="0"/>
    <s v="Kamonyi"/>
    <s v="Kayumbu"/>
    <s v="NNYL_2"/>
    <s v="Mambu/Base Sub-Catchment"/>
    <n v="1261.44"/>
  </r>
  <r>
    <x v="3"/>
    <s v="rwonga"/>
    <s v="Public"/>
    <x v="0"/>
    <s v="Kamonyi"/>
    <s v="Kayumbu"/>
    <s v="NNYL_2"/>
    <s v="Mambu/Base Sub-Catchment"/>
    <n v="236.52"/>
  </r>
  <r>
    <x v="3"/>
    <s v="GASEKE II"/>
    <s v="Public"/>
    <x v="0"/>
    <s v="Kamonyi"/>
    <s v="Kayumbu"/>
    <s v="NNYL_2"/>
    <s v="Mambu/Base Sub-Catchment"/>
    <n v="11037.6"/>
  </r>
  <r>
    <x v="3"/>
    <s v="RWAKADAHIZI"/>
    <s v="Public"/>
    <x v="0"/>
    <s v="Kamonyi"/>
    <s v="Kayumbu"/>
    <s v="NNYL_2"/>
    <s v="Mambu/Base Sub-Catchment"/>
    <n v="1892.16"/>
  </r>
  <r>
    <x v="3"/>
    <s v="kwa saveri"/>
    <s v="Public"/>
    <x v="0"/>
    <s v="Kamonyi"/>
    <s v="Kayumbu"/>
    <s v="NNYL_2"/>
    <s v="Mambu/Base Sub-Catchment"/>
    <n v="1419.12"/>
  </r>
  <r>
    <x v="3"/>
    <s v="kazabagarura"/>
    <s v="Public"/>
    <x v="0"/>
    <s v="Kamonyi"/>
    <s v="Kayumbu"/>
    <s v="NNYL_2"/>
    <s v="Mambu/Base Sub-Catchment"/>
    <n v="0"/>
  </r>
  <r>
    <x v="3"/>
    <s v="kumukokwe"/>
    <s v="Public"/>
    <x v="0"/>
    <s v="Kamonyi"/>
    <s v="Kayumbu"/>
    <s v="NNYL_2"/>
    <s v="Mambu/Base Sub-Catchment"/>
    <n v="204.98400000000001"/>
  </r>
  <r>
    <x v="3"/>
    <s v="MAGURI"/>
    <s v="Public"/>
    <x v="0"/>
    <s v="Kamonyi"/>
    <s v="Kayumbu"/>
    <s v="NNYL_2"/>
    <s v="Mambu/Base Sub-Catchment"/>
    <n v="473.04"/>
  </r>
  <r>
    <x v="3"/>
    <s v="kukamanga"/>
    <s v="Public"/>
    <x v="0"/>
    <s v="Kamonyi"/>
    <s v="Kayumbu"/>
    <s v="NNYL_2"/>
    <s v="Mambu/Base Sub-Catchment"/>
    <n v="2680.56"/>
  </r>
  <r>
    <x v="3"/>
    <s v="KIRENGE"/>
    <s v="Public"/>
    <x v="0"/>
    <s v="Kamonyi"/>
    <s v="Kayumbu"/>
    <s v="NNYL_2"/>
    <s v="Mambu/Base Sub-Catchment"/>
    <n v="5361.12"/>
  </r>
  <r>
    <x v="3"/>
    <s v="KAZIBAZIBA"/>
    <s v="Public"/>
    <x v="0"/>
    <s v="Kamonyi"/>
    <s v="Kayumbu"/>
    <s v="NNYL_2"/>
    <s v="Mambu/Base Sub-Catchment"/>
    <n v="7884.0000000000009"/>
  </r>
  <r>
    <x v="3"/>
    <s v="rutembampiri"/>
    <s v="Public"/>
    <x v="0"/>
    <s v="Kamonyi"/>
    <s v="Kayumbu"/>
    <s v="NNYL_2"/>
    <s v="Mambu/Base Sub-Catchment"/>
    <n v="1103.7600000000002"/>
  </r>
  <r>
    <x v="3"/>
    <s v="rubayi"/>
    <s v="Public"/>
    <x v="0"/>
    <s v="Kamonyi"/>
    <s v="Kayumbu"/>
    <s v="NNYL_2"/>
    <s v="Mambu/Base Sub-Catchment"/>
    <n v="1419.12"/>
  </r>
  <r>
    <x v="3"/>
    <s v="kukibumbiro"/>
    <s v="Public"/>
    <x v="0"/>
    <s v="Kamonyi"/>
    <s v="Kayumbu"/>
    <s v="NNYL_2"/>
    <s v="Mambu/Base Sub-Catchment"/>
    <n v="236.52"/>
  </r>
  <r>
    <x v="3"/>
    <s v="burindi"/>
    <s v="Public"/>
    <x v="0"/>
    <s v="Kamonyi"/>
    <s v="Kayumbu"/>
    <s v="NNYL_2"/>
    <s v="Mambu/Base Sub-Catchment"/>
    <n v="11037.6"/>
  </r>
  <r>
    <x v="3"/>
    <s v="GATARE 2"/>
    <s v="Public"/>
    <x v="0"/>
    <s v="Kamonyi"/>
    <s v="Kayumbu"/>
    <s v="NNYL_2"/>
    <s v="Mambu/Base Sub-Catchment"/>
    <n v="788.40000000000009"/>
  </r>
  <r>
    <x v="3"/>
    <s v="kaziba"/>
    <s v="Public"/>
    <x v="0"/>
    <s v="Kamonyi"/>
    <s v="Kayumbu"/>
    <s v="NNYL_2"/>
    <s v="Mambu/Base Sub-Catchment"/>
    <n v="3311.2799999999997"/>
  </r>
  <r>
    <x v="3"/>
    <s v="runyurankebyo"/>
    <s v="Public"/>
    <x v="0"/>
    <s v="Kamonyi"/>
    <s v="Kayumbu"/>
    <s v="NNYL_2"/>
    <s v="Mambu/Base Sub-Catchment"/>
    <n v="283.82400000000001"/>
  </r>
  <r>
    <x v="3"/>
    <s v="KABIRIZI"/>
    <s v="Public"/>
    <x v="0"/>
    <s v="Kamonyi"/>
    <s v="Kayumbu"/>
    <s v="NNYL_2"/>
    <s v="Mambu/Base Sub-Catchment"/>
    <n v="31.536000000000001"/>
  </r>
  <r>
    <x v="3"/>
    <s v="kajindiri"/>
    <s v="Public"/>
    <x v="0"/>
    <s v="Kamonyi"/>
    <s v="Kayumbu"/>
    <s v="NNYL_2"/>
    <s v="Mambu/Base Sub-Catchment"/>
    <n v="157.68"/>
  </r>
  <r>
    <x v="3"/>
    <s v="gatare 1"/>
    <s v="Public"/>
    <x v="0"/>
    <s v="Kamonyi"/>
    <s v="Kayumbu"/>
    <s v="NNYL_2"/>
    <s v="Mambu/Base Sub-Catchment"/>
    <n v="4572.72"/>
  </r>
  <r>
    <x v="3"/>
    <s v="SEMISURE"/>
    <s v="Public"/>
    <x v="0"/>
    <s v="Kamonyi"/>
    <s v="Kayumbu"/>
    <s v="NNYL_2"/>
    <s v="Mambu/Base Sub-Catchment"/>
    <n v="11195.28"/>
  </r>
  <r>
    <x v="3"/>
    <s v="nyagatovu"/>
    <s v="Public"/>
    <x v="0"/>
    <s v="Kamonyi"/>
    <s v="Kayumbu"/>
    <s v="NNYL_2"/>
    <s v="Mambu/Base Sub-Catchment"/>
    <n v="2522.88"/>
  </r>
  <r>
    <x v="3"/>
    <s v="gaseke"/>
    <s v="Public"/>
    <x v="0"/>
    <s v="Kamonyi"/>
    <s v="Kayumbu"/>
    <s v="NNYL_2"/>
    <s v="Mambu/Base Sub-Catchment"/>
    <n v="63.072000000000003"/>
  </r>
  <r>
    <x v="3"/>
    <s v="bankangishiki"/>
    <s v="Public"/>
    <x v="0"/>
    <s v="Kamonyi"/>
    <s v="Kayumbu"/>
    <s v="NNYL_2"/>
    <s v="Mambu/Base Sub-Catchment"/>
    <n v="2049.84"/>
  </r>
  <r>
    <x v="3"/>
    <s v="kabyuko"/>
    <s v="Public"/>
    <x v="0"/>
    <s v="Kamonyi"/>
    <s v="Kayumbu"/>
    <s v="NNYL_2"/>
    <s v="Mambu/Base Sub-Catchment"/>
    <n v="7884.0000000000009"/>
  </r>
  <r>
    <x v="3"/>
    <s v="CYAHAFI"/>
    <s v="Public"/>
    <x v="0"/>
    <s v="Kamonyi"/>
    <s v="Kayumbu"/>
    <s v="NNYL_2"/>
    <s v="Mambu/Base Sub-Catchment"/>
    <n v="15.768000000000001"/>
  </r>
  <r>
    <x v="3"/>
    <s v="mugenzi"/>
    <s v="Public"/>
    <x v="0"/>
    <s v="Kamonyi"/>
    <s v="Kayumbu"/>
    <s v="NNYL_2"/>
    <s v="Mambu/Base Sub-Catchment"/>
    <n v="630.72"/>
  </r>
  <r>
    <x v="3"/>
    <s v="nyirababirigi"/>
    <s v="Public"/>
    <x v="0"/>
    <s v="Kamonyi"/>
    <s v="Kayumbu"/>
    <s v="NNYL_2"/>
    <s v="Mambu/Base Sub-Catchment"/>
    <n v="315.36"/>
  </r>
  <r>
    <x v="3"/>
    <s v="ryabahunde"/>
    <s v="Public"/>
    <x v="0"/>
    <s v="Kamonyi"/>
    <s v="Kayumbu"/>
    <s v="NNYL_2"/>
    <s v="Mambu/Base Sub-Catchment"/>
    <n v="3942.0000000000005"/>
  </r>
  <r>
    <x v="3"/>
    <s v="nyarugenge"/>
    <s v="Public"/>
    <x v="0"/>
    <s v="Kamonyi"/>
    <s v="Kayumbu"/>
    <s v="NNYL_2"/>
    <s v="Mambu/Base Sub-Catchment"/>
    <n v="2838.24"/>
  </r>
  <r>
    <x v="3"/>
    <s v="mugapfura"/>
    <s v="Public"/>
    <x v="0"/>
    <s v="Kamonyi"/>
    <s v="Kayumbu"/>
    <s v="NNYL_2"/>
    <s v="Mambu/Base Sub-Catchment"/>
    <n v="2049.84"/>
  </r>
  <r>
    <x v="3"/>
    <s v="mirehe"/>
    <s v="Public"/>
    <x v="0"/>
    <s v="Kamonyi"/>
    <s v="Kayumbu"/>
    <s v="NNYL_2"/>
    <s v="Mambu/Base Sub-Catchment"/>
    <n v="2365.2000000000003"/>
  </r>
  <r>
    <x v="3"/>
    <s v="gatare"/>
    <s v="Public"/>
    <x v="0"/>
    <s v="Kamonyi"/>
    <s v="Kayumbu"/>
    <s v="NNYL_2"/>
    <s v="Mambu/Base Sub-Catchment"/>
    <n v="946.08"/>
  </r>
  <r>
    <x v="3"/>
    <s v="ndabarishye"/>
    <s v="Public"/>
    <x v="0"/>
    <s v="Kamonyi"/>
    <s v="Kayumbu"/>
    <s v="NNYL_2"/>
    <s v="Mambu/Base Sub-Catchment"/>
    <n v="11826.000000000002"/>
  </r>
  <r>
    <x v="3"/>
    <s v="kinani"/>
    <s v="Public"/>
    <x v="0"/>
    <s v="Kamonyi"/>
    <s v="Kayumbu"/>
    <s v="NNYL_2"/>
    <s v="Mambu/Base Sub-Catchment"/>
    <n v="5518.8"/>
  </r>
  <r>
    <x v="3"/>
    <s v="kagusa"/>
    <s v="Public"/>
    <x v="0"/>
    <s v="Kamonyi"/>
    <s v="Kayumbu"/>
    <s v="NNYL_2"/>
    <s v="Mambu/Base Sub-Catchment"/>
    <n v="283.82400000000001"/>
  </r>
  <r>
    <x v="3"/>
    <s v="MUHONGORI"/>
    <s v="Public"/>
    <x v="0"/>
    <s v="Muhanga"/>
    <s v="Kibangu"/>
    <s v="NNYL_2"/>
    <s v="Mambu/Base Sub-Catchment"/>
    <n v="788.40000000000009"/>
  </r>
  <r>
    <x v="3"/>
    <s v="KAZABAGARURA"/>
    <s v="Public"/>
    <x v="0"/>
    <s v="Muhanga"/>
    <s v="Kibangu"/>
    <s v="NNYL_2"/>
    <s v="Mambu/Base Sub-Catchment"/>
    <n v="315.36"/>
  </r>
  <r>
    <x v="3"/>
    <s v="NZARWE"/>
    <s v="Public"/>
    <x v="0"/>
    <s v="Muhanga"/>
    <s v="Kibangu"/>
    <s v="NNYL_2"/>
    <s v="Mambu/Base Sub-Catchment"/>
    <n v="12614.400000000001"/>
  </r>
  <r>
    <x v="3"/>
    <s v="KIROHERO"/>
    <s v="Public"/>
    <x v="0"/>
    <s v="Muhanga"/>
    <s v="Kibangu"/>
    <s v="NNYL_2"/>
    <s v="Mambu/Base Sub-Catchment"/>
    <n v="630.72"/>
  </r>
  <r>
    <x v="3"/>
    <s v="KABUGA"/>
    <s v="Public"/>
    <x v="0"/>
    <s v="Muhanga"/>
    <s v="Kibangu"/>
    <s v="NNYL_2"/>
    <s v="Mambu/Base Sub-Catchment"/>
    <n v="473.04"/>
  </r>
  <r>
    <x v="3"/>
    <s v="NYAKAGEZI"/>
    <s v="Public"/>
    <x v="0"/>
    <s v="Muhanga"/>
    <s v="Kibangu"/>
    <s v="NNYL_2"/>
    <s v="Mambu/Base Sub-Catchment"/>
    <n v="1103.7600000000002"/>
  </r>
  <r>
    <x v="3"/>
    <s v="RUBONA"/>
    <s v="Public"/>
    <x v="0"/>
    <s v="Muhanga"/>
    <s v="Kibangu"/>
    <s v="NNYL_2"/>
    <s v="Mambu/Base Sub-Catchment"/>
    <n v="630.72"/>
  </r>
  <r>
    <x v="3"/>
    <s v="JARAMA II"/>
    <s v="Public"/>
    <x v="0"/>
    <s v="Muhanga"/>
    <s v="Kibangu"/>
    <s v="NNYL_2"/>
    <s v="Mambu/Base Sub-Catchment"/>
    <n v="946.08"/>
  </r>
  <r>
    <x v="3"/>
    <s v="RWANKUBA"/>
    <s v="Public"/>
    <x v="0"/>
    <s v="Muhanga"/>
    <s v="Kibangu"/>
    <s v="NNYL_2"/>
    <s v="Mambu/Base Sub-Catchment"/>
    <n v="1103.7600000000002"/>
  </r>
  <r>
    <x v="3"/>
    <s v="KAZABAGARURA"/>
    <s v="Public"/>
    <x v="0"/>
    <s v="Muhanga"/>
    <s v="Kibangu"/>
    <s v="NNYL_2"/>
    <s v="Mambu/Base Sub-Catchment"/>
    <n v="3153.6000000000004"/>
  </r>
  <r>
    <x v="3"/>
    <s v="KIMISAMBI"/>
    <s v="Public"/>
    <x v="0"/>
    <s v="Muhanga"/>
    <s v="Kibangu"/>
    <s v="NNYL_2"/>
    <s v="Mambu/Base Sub-Catchment"/>
    <n v="4730.4000000000005"/>
  </r>
  <r>
    <x v="3"/>
    <s v="JARAMA I"/>
    <s v="Public"/>
    <x v="0"/>
    <s v="Muhanga"/>
    <s v="Kibangu"/>
    <s v="NNYL_2"/>
    <s v="Mambu/Base Sub-Catchment"/>
    <n v="630.72"/>
  </r>
  <r>
    <x v="3"/>
    <s v="MUGOMBERO"/>
    <s v="Public"/>
    <x v="0"/>
    <s v="Muhanga"/>
    <s v="Kibangu"/>
    <s v="NNYL_2"/>
    <s v="Mambu/Base Sub-Catchment"/>
    <n v="3153.6000000000004"/>
  </r>
  <r>
    <x v="3"/>
    <s v="NYAKIRAMBO I"/>
    <s v="Public"/>
    <x v="0"/>
    <s v="Muhanga"/>
    <s v="Kibangu"/>
    <s v="NNYL_2"/>
    <s v="Mambu/Base Sub-Catchment"/>
    <n v="14191.2"/>
  </r>
  <r>
    <x v="3"/>
    <s v="RUSASA"/>
    <s v="Public"/>
    <x v="0"/>
    <s v="Muhanga"/>
    <s v="Kibangu"/>
    <s v="NNYL_2"/>
    <s v="Mambu/Base Sub-Catchment"/>
    <n v="31.536000000000001"/>
  </r>
  <r>
    <x v="3"/>
    <s v="RWAMINYORO"/>
    <s v="Public"/>
    <x v="0"/>
    <s v="Muhanga"/>
    <s v="Kibangu"/>
    <s v="NNYL_2"/>
    <s v="Mambu/Base Sub-Catchment"/>
    <n v="473.04"/>
  </r>
  <r>
    <x v="3"/>
    <s v="MUKUYU"/>
    <s v="Public"/>
    <x v="0"/>
    <s v="Muhanga"/>
    <s v="Kibangu"/>
    <s v="NNYL_2"/>
    <s v="Mambu/Base Sub-Catchment"/>
    <n v="473.04"/>
  </r>
  <r>
    <x v="3"/>
    <s v="RUNGU"/>
    <s v="Public"/>
    <x v="0"/>
    <s v="Muhanga"/>
    <s v="Kibangu"/>
    <s v="NNYL_2"/>
    <s v="Mambu/Base Sub-Catchment"/>
    <n v="7884.0000000000009"/>
  </r>
  <r>
    <x v="3"/>
    <s v="KAGOMBERO"/>
    <s v="Public"/>
    <x v="0"/>
    <s v="Muhanga"/>
    <s v="Kibangu"/>
    <s v="NNYL_2"/>
    <s v="Mambu/Base Sub-Catchment"/>
    <n v="473.04"/>
  </r>
  <r>
    <x v="3"/>
    <s v="KABAHINDA"/>
    <s v="Public"/>
    <x v="0"/>
    <s v="Muhanga"/>
    <s v="Kibangu"/>
    <s v="NNYL_2"/>
    <s v="Mambu/Base Sub-Catchment"/>
    <n v="47.303999999999995"/>
  </r>
  <r>
    <x v="3"/>
    <s v="MURUNDI II"/>
    <s v="Public"/>
    <x v="0"/>
    <s v="Muhanga"/>
    <s v="Kibangu"/>
    <s v="NNYL_2"/>
    <s v="Mambu/Base Sub-Catchment"/>
    <n v="4730.4000000000005"/>
  </r>
  <r>
    <x v="3"/>
    <s v="MIKOMBYA II"/>
    <s v="Public"/>
    <x v="0"/>
    <s v="Muhanga"/>
    <s v="Kibangu"/>
    <s v="NNYL_2"/>
    <s v="Mambu/Base Sub-Catchment"/>
    <n v="473.04"/>
  </r>
  <r>
    <x v="3"/>
    <s v="RUSASA"/>
    <s v="Public"/>
    <x v="0"/>
    <s v="Muhanga"/>
    <s v="Kibangu"/>
    <s v="NNYL_2"/>
    <s v="Mambu/Base Sub-Catchment"/>
    <n v="630.72"/>
  </r>
  <r>
    <x v="3"/>
    <s v="BUGANDA"/>
    <s v="Public"/>
    <x v="0"/>
    <s v="Muhanga"/>
    <s v="Kibangu"/>
    <s v="NNYL_2"/>
    <s v="Mambu/Base Sub-Catchment"/>
    <n v="157.68"/>
  </r>
  <r>
    <x v="3"/>
    <s v="KADATEMERWA"/>
    <s v="Public"/>
    <x v="0"/>
    <s v="Muhanga"/>
    <s v="Kibangu"/>
    <s v="NNYL_2"/>
    <s v="Mambu/Base Sub-Catchment"/>
    <n v="630.72"/>
  </r>
  <r>
    <x v="3"/>
    <s v="GASEKE"/>
    <s v="Public"/>
    <x v="0"/>
    <s v="Muhanga"/>
    <s v="Kibangu"/>
    <s v="NNYL_2"/>
    <s v="Mambu/Base Sub-Catchment"/>
    <n v="63.072000000000003"/>
  </r>
  <r>
    <x v="3"/>
    <s v="RUKORE"/>
    <s v="Public"/>
    <x v="0"/>
    <s v="Muhanga"/>
    <s v="Kibangu"/>
    <s v="NNYL_2"/>
    <s v="Mambu/Base Sub-Catchment"/>
    <n v="946.08"/>
  </r>
  <r>
    <x v="3"/>
    <s v="JURU"/>
    <s v="Public"/>
    <x v="0"/>
    <s v="Muhanga"/>
    <s v="Kibangu"/>
    <s v="NNYL_2"/>
    <s v="Mambu/Base Sub-Catchment"/>
    <n v="473.04"/>
  </r>
  <r>
    <x v="3"/>
    <s v="RUMAGA"/>
    <s v="Public"/>
    <x v="0"/>
    <s v="Muhanga"/>
    <s v="Kibangu"/>
    <s v="NNYL_2"/>
    <s v="Mambu/Base Sub-Catchment"/>
    <n v="473.04"/>
  </r>
  <r>
    <x v="3"/>
    <s v="MIKOMBYA I"/>
    <s v="Public"/>
    <x v="0"/>
    <s v="Muhanga"/>
    <s v="Kibangu"/>
    <s v="NNYL_2"/>
    <s v="Mambu/Base Sub-Catchment"/>
    <n v="1261.44"/>
  </r>
  <r>
    <x v="3"/>
    <s v="RWAMINYORO II"/>
    <s v="Public"/>
    <x v="0"/>
    <s v="Muhanga"/>
    <s v="Kibangu"/>
    <s v="NNYL_2"/>
    <s v="Mambu/Base Sub-Catchment"/>
    <n v="630.72"/>
  </r>
  <r>
    <x v="3"/>
    <s v="NYAKIRAMBA I"/>
    <s v="Public"/>
    <x v="0"/>
    <s v="Muhanga"/>
    <s v="Kibangu"/>
    <s v="NNYL_2"/>
    <s v="Mambu/Base Sub-Catchment"/>
    <n v="6307.2000000000007"/>
  </r>
  <r>
    <x v="3"/>
    <s v="NYAKABARE I"/>
    <s v="Public"/>
    <x v="0"/>
    <s v="Muhanga"/>
    <s v="Kibangu"/>
    <s v="NNYL_2"/>
    <s v="Mambu/Base Sub-Catchment"/>
    <n v="94.60799999999999"/>
  </r>
  <r>
    <x v="3"/>
    <s v="NANGA II"/>
    <s v="Public"/>
    <x v="0"/>
    <s v="Muhanga"/>
    <s v="Kibangu"/>
    <s v="NNYL_2"/>
    <s v="Mambu/Base Sub-Catchment"/>
    <n v="3153.6000000000004"/>
  </r>
  <r>
    <x v="3"/>
    <s v="KADOBOGO"/>
    <s v="Public"/>
    <x v="0"/>
    <s v="Muhanga"/>
    <s v="Kibangu"/>
    <s v="NNYL_2"/>
    <s v="Mambu/Base Sub-Catchment"/>
    <n v="1103.7600000000002"/>
  </r>
  <r>
    <x v="3"/>
    <s v="BIGAGA"/>
    <s v="Public"/>
    <x v="0"/>
    <s v="Muhanga"/>
    <s v="Kibangu"/>
    <s v="NNYL_2"/>
    <s v="Mambu/Base Sub-Catchment"/>
    <n v="788.40000000000009"/>
  </r>
  <r>
    <x v="3"/>
    <s v="KANYAMUJYANA"/>
    <s v="Public"/>
    <x v="0"/>
    <s v="Muhanga"/>
    <s v="Kibangu"/>
    <s v="NNYL_2"/>
    <s v="Mambu/Base Sub-Catchment"/>
    <n v="946.08"/>
  </r>
  <r>
    <x v="3"/>
    <s v="NYAKABARE II"/>
    <s v="Public"/>
    <x v="0"/>
    <s v="Muhanga"/>
    <s v="Kibangu"/>
    <s v="NNYL_2"/>
    <s v="Mambu/Base Sub-Catchment"/>
    <n v="315.36"/>
  </r>
  <r>
    <x v="3"/>
    <s v="AGATAGARA"/>
    <s v="Public"/>
    <x v="0"/>
    <s v="Muhanga"/>
    <s v="Kibangu"/>
    <s v="NNYL_2"/>
    <s v="Mambu/Base Sub-Catchment"/>
    <n v="946.08"/>
  </r>
  <r>
    <x v="3"/>
    <s v="KABATOBO I"/>
    <s v="Public"/>
    <x v="0"/>
    <s v="Muhanga"/>
    <s v="Kibangu"/>
    <s v="NNYL_2"/>
    <s v="Mambu/Base Sub-Catchment"/>
    <n v="47304.000000000007"/>
  </r>
  <r>
    <x v="3"/>
    <s v="GATARAGA"/>
    <s v="Public"/>
    <x v="0"/>
    <s v="Muhanga"/>
    <s v="Kibangu"/>
    <s v="NNYL_2"/>
    <s v="Mambu/Base Sub-Catchment"/>
    <n v="1103.7600000000002"/>
  </r>
  <r>
    <x v="3"/>
    <s v="NANGA I"/>
    <s v="Public"/>
    <x v="0"/>
    <s v="Muhanga"/>
    <s v="Kibangu"/>
    <s v="NNYL_2"/>
    <s v="Mambu/Base Sub-Catchment"/>
    <n v="315.36"/>
  </r>
  <r>
    <x v="3"/>
    <s v="GISUMA"/>
    <s v="Public"/>
    <x v="0"/>
    <s v="Muhanga"/>
    <s v="Kibangu"/>
    <s v="NNYL_2"/>
    <s v="Mambu/Base Sub-Catchment"/>
    <n v="1103.7600000000002"/>
  </r>
  <r>
    <x v="3"/>
    <s v="KAVOVO"/>
    <s v="Public"/>
    <x v="0"/>
    <s v="Muhanga"/>
    <s v="Kibangu"/>
    <s v="NNYL_2"/>
    <s v="Mambu/Base Sub-Catchment"/>
    <n v="946.08"/>
  </r>
  <r>
    <x v="3"/>
    <s v="NYAKIRAMBO III"/>
    <s v="Public"/>
    <x v="0"/>
    <s v="Muhanga"/>
    <s v="Kibangu"/>
    <s v="NNYL_2"/>
    <s v="Mambu/Base Sub-Catchment"/>
    <n v="9460.8000000000011"/>
  </r>
  <r>
    <x v="3"/>
    <s v="NYAKIBYEYI I"/>
    <s v="Public"/>
    <x v="0"/>
    <s v="Muhanga"/>
    <s v="Kibangu"/>
    <s v="NNYL_2"/>
    <s v="Mambu/Base Sub-Catchment"/>
    <n v="473.04"/>
  </r>
  <r>
    <x v="3"/>
    <s v="NYAKABANDA"/>
    <s v="Public"/>
    <x v="0"/>
    <s v="Muhanga"/>
    <s v="Kibangu"/>
    <s v="NNYL_2"/>
    <s v="Mambu/Base Sub-Catchment"/>
    <n v="788.40000000000009"/>
  </r>
  <r>
    <x v="3"/>
    <s v="BUSESA II"/>
    <s v="Public"/>
    <x v="0"/>
    <s v="Muhanga"/>
    <s v="Kibangu"/>
    <s v="NNYL_2"/>
    <s v="Mambu/Base Sub-Catchment"/>
    <n v="3153.6000000000004"/>
  </r>
  <r>
    <x v="3"/>
    <s v="UWABAZANA II"/>
    <s v="Public"/>
    <x v="0"/>
    <s v="Muhanga"/>
    <s v="Kibangu"/>
    <s v="NNYL_2"/>
    <s v="Mambu/Base Sub-Catchment"/>
    <n v="12614.400000000001"/>
  </r>
  <r>
    <x v="3"/>
    <s v="AGAKOMEYE II"/>
    <s v="Public"/>
    <x v="0"/>
    <s v="Muhanga"/>
    <s v="Kibangu"/>
    <s v="NNYL_2"/>
    <s v="Mambu/Base Sub-Catchment"/>
    <n v="15768.000000000002"/>
  </r>
  <r>
    <x v="3"/>
    <s v="MURUNDI"/>
    <s v="Public"/>
    <x v="0"/>
    <s v="Muhanga"/>
    <s v="Kibangu"/>
    <s v="NNYL_2"/>
    <s v="Mambu/Base Sub-Catchment"/>
    <n v="1576.8000000000002"/>
  </r>
  <r>
    <x v="3"/>
    <s v="GAHAGA"/>
    <s v="Public"/>
    <x v="0"/>
    <s v="Muhanga"/>
    <s v="Kibangu"/>
    <s v="NNYL_2"/>
    <s v="Mambu/Base Sub-Catchment"/>
    <n v="473.04"/>
  </r>
  <r>
    <x v="3"/>
    <s v="NYAGACYAMO"/>
    <s v="Public"/>
    <x v="0"/>
    <s v="Muhanga"/>
    <s v="Kibangu"/>
    <s v="NNYL_2"/>
    <s v="Mambu/Base Sub-Catchment"/>
    <n v="4730.4000000000005"/>
  </r>
  <r>
    <x v="3"/>
    <s v="NYAKIBYEYI III"/>
    <s v="Public"/>
    <x v="0"/>
    <s v="Muhanga"/>
    <s v="Kibangu"/>
    <s v="NNYL_2"/>
    <s v="Mambu/Base Sub-Catchment"/>
    <n v="630.72"/>
  </r>
  <r>
    <x v="3"/>
    <s v="NDURUMA"/>
    <s v="Public"/>
    <x v="0"/>
    <s v="Muhanga"/>
    <s v="Kibangu"/>
    <s v="NNYL_2"/>
    <s v="Mambu/Base Sub-Catchment"/>
    <n v="315.36"/>
  </r>
  <r>
    <x v="3"/>
    <s v="KABERE"/>
    <s v="Public"/>
    <x v="0"/>
    <s v="Muhanga"/>
    <s v="Kibangu"/>
    <s v="NNYL_2"/>
    <s v="Mambu/Base Sub-Catchment"/>
    <n v="473.04"/>
  </r>
  <r>
    <x v="3"/>
    <s v="RUHANGIRO"/>
    <s v="Public"/>
    <x v="0"/>
    <s v="Muhanga"/>
    <s v="Kibangu"/>
    <s v="NNYL_2"/>
    <s v="Mambu/Base Sub-Catchment"/>
    <n v="3153.6000000000004"/>
  </r>
  <r>
    <x v="3"/>
    <s v="AKABAHIMBA"/>
    <s v="Public"/>
    <x v="0"/>
    <s v="Muhanga"/>
    <s v="Kibangu"/>
    <s v="NNYL_2"/>
    <s v="Mambu/Base Sub-Catchment"/>
    <n v="6307.2000000000007"/>
  </r>
  <r>
    <x v="3"/>
    <s v="RWANYEGE"/>
    <s v="Public"/>
    <x v="0"/>
    <s v="Muhanga"/>
    <s v="Kibangu"/>
    <s v="NNYL_2"/>
    <s v="Mambu/Base Sub-Catchment"/>
    <n v="630.72"/>
  </r>
  <r>
    <x v="3"/>
    <s v="KABAGUME"/>
    <s v="Public"/>
    <x v="0"/>
    <s v="Muhanga"/>
    <s v="Kibangu"/>
    <s v="NNYL_2"/>
    <s v="Mambu/Base Sub-Catchment"/>
    <n v="788.40000000000009"/>
  </r>
  <r>
    <x v="3"/>
    <s v="AGAKOMEYE III"/>
    <s v="Public"/>
    <x v="0"/>
    <s v="Muhanga"/>
    <s v="Kibangu"/>
    <s v="NNYL_2"/>
    <s v="Mambu/Base Sub-Catchment"/>
    <n v="473.04"/>
  </r>
  <r>
    <x v="3"/>
    <s v="KARAMBO"/>
    <s v="Public"/>
    <x v="0"/>
    <s v="Muhanga"/>
    <s v="Kibangu"/>
    <s v="NNYL_2"/>
    <s v="Mambu/Base Sub-Catchment"/>
    <n v="4730.4000000000005"/>
  </r>
  <r>
    <x v="3"/>
    <s v="KINIHIRA"/>
    <s v="Public"/>
    <x v="0"/>
    <s v="Muhanga"/>
    <s v="Kibangu"/>
    <s v="NNYL_2"/>
    <s v="Mambu/Base Sub-Catchment"/>
    <n v="473.04"/>
  </r>
  <r>
    <x v="3"/>
    <s v="NYIRARIBABA"/>
    <s v="Public"/>
    <x v="0"/>
    <s v="Muhanga"/>
    <s v="Kibangu"/>
    <s v="NNYL_2"/>
    <s v="Mambu/Base Sub-Catchment"/>
    <n v="0"/>
  </r>
  <r>
    <x v="3"/>
    <s v="NYAKIBYEYI II"/>
    <s v="Public"/>
    <x v="0"/>
    <s v="Muhanga"/>
    <s v="Kibangu"/>
    <s v="NNYL_2"/>
    <s v="Mambu/Base Sub-Catchment"/>
    <n v="3153.6000000000004"/>
  </r>
  <r>
    <x v="3"/>
    <s v="KABINGO"/>
    <s v="Public"/>
    <x v="0"/>
    <s v="Muhanga"/>
    <s v="Kibangu"/>
    <s v="NNYL_2"/>
    <s v="Mambu/Base Sub-Catchment"/>
    <n v="315.36"/>
  </r>
  <r>
    <x v="3"/>
    <s v="KAZIBAZIBA"/>
    <s v="Public"/>
    <x v="0"/>
    <s v="Muhanga"/>
    <s v="Kibangu"/>
    <s v="NNYL_2"/>
    <s v="Mambu/Base Sub-Catchment"/>
    <n v="473.04"/>
  </r>
  <r>
    <x v="3"/>
    <s v="GISYA III"/>
    <s v="Public"/>
    <x v="0"/>
    <s v="Muhanga"/>
    <s v="Kibangu"/>
    <s v="NNYL_2"/>
    <s v="Mambu/Base Sub-Catchment"/>
    <n v="6307.2000000000007"/>
  </r>
  <r>
    <x v="3"/>
    <s v="KAGOMBERO"/>
    <s v="Public"/>
    <x v="0"/>
    <s v="Muhanga"/>
    <s v="Kibangu"/>
    <s v="NNYL_2"/>
    <s v="Mambu/Base Sub-Catchment"/>
    <n v="315.36"/>
  </r>
  <r>
    <x v="3"/>
    <s v="MUSAMBIRA"/>
    <s v="Public"/>
    <x v="0"/>
    <s v="Muhanga"/>
    <s v="Kibangu"/>
    <s v="NNYL_2"/>
    <s v="Mambu/Base Sub-Catchment"/>
    <n v="630.72"/>
  </r>
  <r>
    <x v="3"/>
    <s v="KARAMBO"/>
    <s v="Public"/>
    <x v="0"/>
    <s v="Muhanga"/>
    <s v="Kibangu"/>
    <s v="NNYL_2"/>
    <s v="Mambu/Base Sub-Catchment"/>
    <n v="7884.0000000000009"/>
  </r>
  <r>
    <x v="3"/>
    <s v="KANNYOGO"/>
    <s v="Public"/>
    <x v="0"/>
    <s v="Muhanga"/>
    <s v="Kibangu"/>
    <s v="NNYL_2"/>
    <s v="Mambu/Base Sub-Catchment"/>
    <n v="473.04"/>
  </r>
  <r>
    <x v="3"/>
    <s v="GASHAMWENYA"/>
    <s v="Public"/>
    <x v="0"/>
    <s v="Muhanga"/>
    <s v="Kibangu"/>
    <s v="NNYL_2"/>
    <s v="Mambu/Base Sub-Catchment"/>
    <n v="31536.000000000004"/>
  </r>
  <r>
    <x v="3"/>
    <s v="RUVUGO II"/>
    <s v="Public"/>
    <x v="0"/>
    <s v="Muhanga"/>
    <s v="Kibangu"/>
    <s v="NNYL_2"/>
    <s v="Mambu/Base Sub-Catchment"/>
    <n v="4730.4000000000005"/>
  </r>
  <r>
    <x v="3"/>
    <s v="KABIRA"/>
    <s v="Public"/>
    <x v="0"/>
    <s v="Muhanga"/>
    <s v="Kibangu"/>
    <s v="NNYL_2"/>
    <s v="Mambu/Base Sub-Catchment"/>
    <n v="788.40000000000009"/>
  </r>
  <r>
    <x v="3"/>
    <s v="RWAMIKOMBYA"/>
    <s v="Public"/>
    <x v="0"/>
    <s v="Muhanga"/>
    <s v="Kibangu"/>
    <s v="NNYL_2"/>
    <s v="Mambu/Base Sub-Catchment"/>
    <n v="315.36"/>
  </r>
  <r>
    <x v="3"/>
    <s v="NYAGAHONDO"/>
    <s v="Public"/>
    <x v="0"/>
    <s v="Muhanga"/>
    <s v="Kibangu"/>
    <s v="NNYL_2"/>
    <s v="Mambu/Base Sub-Catchment"/>
    <n v="0"/>
  </r>
  <r>
    <x v="3"/>
    <s v="NYIRAMUKURU"/>
    <s v="Public"/>
    <x v="0"/>
    <s v="Muhanga"/>
    <s v="Kibangu"/>
    <s v="NNYL_2"/>
    <s v="Mambu/Base Sub-Catchment"/>
    <n v="63.072000000000003"/>
  </r>
  <r>
    <x v="3"/>
    <s v="NYIRARUGORI"/>
    <s v="Public"/>
    <x v="0"/>
    <s v="Muhanga"/>
    <s v="Kibangu"/>
    <s v="NNYL_2"/>
    <s v="Mambu/Base Sub-Catchment"/>
    <n v="630.72"/>
  </r>
  <r>
    <x v="3"/>
    <s v="KABATOBO II"/>
    <s v="Public"/>
    <x v="0"/>
    <s v="Muhanga"/>
    <s v="Kibangu"/>
    <s v="NNYL_2"/>
    <s v="Mambu/Base Sub-Catchment"/>
    <n v="630.72"/>
  </r>
  <r>
    <x v="3"/>
    <s v="NYIRAMIRIMO"/>
    <s v="Public"/>
    <x v="0"/>
    <s v="Muhanga"/>
    <s v="Kibangu"/>
    <s v="NNYL_2"/>
    <s v="Mambu/Base Sub-Catchment"/>
    <n v="946.08"/>
  </r>
  <r>
    <x v="3"/>
    <s v="AKAMBANJINKA"/>
    <s v="Public"/>
    <x v="0"/>
    <s v="Muhanga"/>
    <s v="Kibangu"/>
    <s v="NNYL_2"/>
    <s v="Mambu/Base Sub-Catchment"/>
    <n v="630.72"/>
  </r>
  <r>
    <x v="3"/>
    <s v="KINJAGALI I"/>
    <s v="Public"/>
    <x v="0"/>
    <s v="Muhanga"/>
    <s v="Kibangu"/>
    <s v="NNYL_2"/>
    <s v="Mambu/Base Sub-Catchment"/>
    <n v="1576.8000000000002"/>
  </r>
  <r>
    <x v="3"/>
    <s v="GAHAMAI"/>
    <s v="Public"/>
    <x v="0"/>
    <s v="Muhanga"/>
    <s v="Kibangu"/>
    <s v="NNYL_2"/>
    <s v="Mambu/Base Sub-Catchment"/>
    <n v="946.08"/>
  </r>
  <r>
    <x v="3"/>
    <s v="GISYA II"/>
    <s v="Public"/>
    <x v="0"/>
    <s v="Muhanga"/>
    <s v="Kibangu"/>
    <s v="NNYL_2"/>
    <s v="Mambu/Base Sub-Catchment"/>
    <n v="7884.0000000000009"/>
  </r>
  <r>
    <x v="3"/>
    <s v="RUVUGO"/>
    <s v="Public"/>
    <x v="0"/>
    <s v="Muhanga"/>
    <s v="Kibangu"/>
    <s v="NNYL_2"/>
    <s v="Mambu/Base Sub-Catchment"/>
    <n v="315.36"/>
  </r>
  <r>
    <x v="3"/>
    <s v="GISYA I"/>
    <s v="Public"/>
    <x v="0"/>
    <s v="Muhanga"/>
    <s v="Kibangu"/>
    <s v="NNYL_2"/>
    <s v="Mambu/Base Sub-Catchment"/>
    <n v="630.72"/>
  </r>
  <r>
    <x v="3"/>
    <s v="GATARE II"/>
    <s v="Public"/>
    <x v="0"/>
    <s v="Muhanga"/>
    <s v="Kibangu"/>
    <s v="NNYL_2"/>
    <s v="Mambu/Base Sub-Catchment"/>
    <n v="47.303999999999995"/>
  </r>
  <r>
    <x v="3"/>
    <s v="KAMIRABIBINDI"/>
    <s v="Public"/>
    <x v="0"/>
    <s v="Muhanga"/>
    <s v="Kibangu"/>
    <s v="NNYL_2"/>
    <s v="Mambu/Base Sub-Catchment"/>
    <n v="630.72"/>
  </r>
  <r>
    <x v="3"/>
    <s v="GATOVU"/>
    <s v="Public"/>
    <x v="0"/>
    <s v="Muhanga"/>
    <s v="Kibangu"/>
    <s v="NNYL_2"/>
    <s v="Mambu/Base Sub-Catchment"/>
    <n v="1103.7600000000002"/>
  </r>
  <r>
    <x v="3"/>
    <s v="KINJAGALI II"/>
    <s v="Public"/>
    <x v="0"/>
    <s v="Muhanga"/>
    <s v="Kibangu"/>
    <s v="NNYL_2"/>
    <s v="Mambu/Base Sub-Catchment"/>
    <n v="630.72"/>
  </r>
  <r>
    <x v="3"/>
    <s v="GAHAMAII"/>
    <s v="Public"/>
    <x v="0"/>
    <s v="Muhanga"/>
    <s v="Kibangu"/>
    <s v="NNYL_2"/>
    <s v="Mambu/Base Sub-Catchment"/>
    <n v="157.68"/>
  </r>
  <r>
    <x v="3"/>
    <s v="GATARE I"/>
    <s v="Public"/>
    <x v="0"/>
    <s v="Muhanga"/>
    <s v="Kibangu"/>
    <s v="NNYL_2"/>
    <s v="Mambu/Base Sub-Catchment"/>
    <n v="157.68"/>
  </r>
  <r>
    <x v="3"/>
    <s v="GATARE III"/>
    <s v="Public"/>
    <x v="0"/>
    <s v="Muhanga"/>
    <s v="Kibangu"/>
    <s v="NNYL_2"/>
    <s v="Mambu/Base Sub-Catchment"/>
    <n v="473.04"/>
  </r>
  <r>
    <x v="3"/>
    <s v="GAHONDO I"/>
    <s v="Public"/>
    <x v="0"/>
    <s v="Muhanga"/>
    <s v="Kibangu"/>
    <s v="NNYL_2"/>
    <s v="Mambu/Base Sub-Catchment"/>
    <n v="4730.4000000000005"/>
  </r>
  <r>
    <x v="3"/>
    <s v="RUBURANKONO"/>
    <s v="Public"/>
    <x v="0"/>
    <s v="Muhanga"/>
    <s v="Kibangu"/>
    <s v="NNYL_2"/>
    <s v="Mambu/Base Sub-Catchment"/>
    <n v="946.08"/>
  </r>
  <r>
    <x v="3"/>
    <s v="GATARE II"/>
    <s v="Public"/>
    <x v="0"/>
    <s v="Muhanga"/>
    <s v="Kibangu"/>
    <s v="NNYL_2"/>
    <s v="Mambu/Base Sub-Catchment"/>
    <n v="473.04"/>
  </r>
  <r>
    <x v="3"/>
    <s v="GAHONDO II"/>
    <s v="Public"/>
    <x v="0"/>
    <s v="Muhanga"/>
    <s v="Kibangu"/>
    <s v="NNYL_2"/>
    <s v="Mambu/Base Sub-Catchment"/>
    <n v="0"/>
  </r>
  <r>
    <x v="3"/>
    <s v="KUGASHINGE"/>
    <s v="Public"/>
    <x v="0"/>
    <s v="Muhanga"/>
    <s v="Kibangu"/>
    <s v="NNYL_2"/>
    <s v="Mambu/Base Sub-Catchment"/>
    <n v="157.68"/>
  </r>
  <r>
    <x v="3"/>
    <s v="KAMIRANZOVU"/>
    <s v="Public"/>
    <x v="0"/>
    <s v="Muhanga"/>
    <s v="Kibangu"/>
    <s v="NNYL_2"/>
    <s v="Mambu/Base Sub-Catchment"/>
    <n v="315.36"/>
  </r>
  <r>
    <x v="3"/>
    <s v="MUSARARA"/>
    <s v="Public"/>
    <x v="0"/>
    <s v="Muhanga"/>
    <s v="Kibangu"/>
    <s v="NNYL_2"/>
    <s v="Mambu/Base Sub-Catchment"/>
    <n v="4730.4000000000005"/>
  </r>
  <r>
    <x v="3"/>
    <s v="KABASARE"/>
    <s v="Public"/>
    <x v="0"/>
    <s v="Muhanga"/>
    <s v="Kibangu"/>
    <s v="NNYL_2"/>
    <s v="Mambu/Base Sub-Catchment"/>
    <n v="315.36"/>
  </r>
  <r>
    <x v="3"/>
    <s v="NTERANYA"/>
    <s v="Public"/>
    <x v="0"/>
    <s v="Muhanga"/>
    <s v="Kibangu"/>
    <s v="NNYL_2"/>
    <s v="Mambu/Base Sub-Catchment"/>
    <n v="9460.8000000000011"/>
  </r>
  <r>
    <x v="3"/>
    <s v="AK  ANZARWA I"/>
    <s v="Public"/>
    <x v="0"/>
    <s v="Muhanga"/>
    <s v="Kibangu"/>
    <s v="NNYL_2"/>
    <s v="Mambu/Base Sub-Catchment"/>
    <n v="630.72"/>
  </r>
  <r>
    <x v="3"/>
    <s v="KABAGONGO"/>
    <s v="Public"/>
    <x v="0"/>
    <s v="Muhanga"/>
    <s v="Kibangu"/>
    <s v="NNYL_2"/>
    <s v="Mambu/Base Sub-Catchment"/>
    <n v="3153.6000000000004"/>
  </r>
  <r>
    <x v="3"/>
    <s v="GATARE"/>
    <s v="Public"/>
    <x v="0"/>
    <s v="Muhanga"/>
    <s v="Kibangu"/>
    <s v="NNYL_2"/>
    <s v="Mambu/Base Sub-Catchment"/>
    <n v="315.36"/>
  </r>
  <r>
    <x v="3"/>
    <s v="NYARUKOMBE"/>
    <s v="Public"/>
    <x v="0"/>
    <s v="Muhanga"/>
    <s v="Kibangu"/>
    <s v="NNYL_2"/>
    <s v="Mambu/Base Sub-Catchment"/>
    <n v="1261.44"/>
  </r>
  <r>
    <x v="3"/>
    <s v="AKANZARWA II"/>
    <s v="Public"/>
    <x v="0"/>
    <s v="Muhanga"/>
    <s v="Kibangu"/>
    <s v="NNYL_2"/>
    <s v="Mambu/Base Sub-Catchment"/>
    <n v="473.04"/>
  </r>
  <r>
    <x v="3"/>
    <s v="GAHONDO III"/>
    <s v="Public"/>
    <x v="0"/>
    <s v="Muhanga"/>
    <s v="Kibangu"/>
    <s v="NNYL_2"/>
    <s v="Mambu/Base Sub-Catchment"/>
    <n v="47.303999999999995"/>
  </r>
  <r>
    <x v="3"/>
    <s v="BUNOGO"/>
    <s v="Public"/>
    <x v="0"/>
    <s v="Muhanga"/>
    <s v="Kibangu"/>
    <s v="NNYL_2"/>
    <s v="Mambu/Base Sub-Catchment"/>
    <n v="473.04"/>
  </r>
  <r>
    <x v="3"/>
    <s v="NYAMAGANA II"/>
    <s v="Public"/>
    <x v="0"/>
    <s v="Muhanga"/>
    <s v="Kibangu"/>
    <s v="NNYL_2"/>
    <s v="Mambu/Base Sub-Catchment"/>
    <n v="157.68"/>
  </r>
  <r>
    <x v="3"/>
    <s v="KAJENJEGERI"/>
    <s v="Public"/>
    <x v="0"/>
    <s v="Muhanga"/>
    <s v="Kibangu"/>
    <s v="NNYL_2"/>
    <s v="Mambu/Base Sub-Catchment"/>
    <n v="473.04"/>
  </r>
  <r>
    <x v="3"/>
    <s v="KAGOMBERO"/>
    <s v="Public"/>
    <x v="0"/>
    <s v="Muhanga"/>
    <s v="Kibangu"/>
    <s v="NNYL_2"/>
    <s v="Mambu/Base Sub-Catchment"/>
    <n v="15768.000000000002"/>
  </r>
  <r>
    <x v="3"/>
    <s v="KANYONYOMBYA"/>
    <s v="Public"/>
    <x v="0"/>
    <s v="Muhanga"/>
    <s v="Kibangu"/>
    <s v="NNYL_2"/>
    <s v="Mambu/Base Sub-Catchment"/>
    <n v="157.68"/>
  </r>
  <r>
    <x v="3"/>
    <s v="KAZIBAZIBA"/>
    <s v="Public"/>
    <x v="0"/>
    <s v="Muhanga"/>
    <s v="Kibangu"/>
    <s v="NNYL_2"/>
    <s v="Mambu/Base Sub-Catchment"/>
    <n v="3153.6000000000004"/>
  </r>
  <r>
    <x v="3"/>
    <s v="NYAMAGANA I"/>
    <s v="Public"/>
    <x v="0"/>
    <s v="Muhanga"/>
    <s v="Kibangu"/>
    <s v="NNYL_2"/>
    <s v="Mambu/Base Sub-Catchment"/>
    <n v="315.36"/>
  </r>
  <r>
    <x v="3"/>
    <s v="NYABITARE"/>
    <s v="Public"/>
    <x v="0"/>
    <s v="Muhanga"/>
    <s v="Kibangu"/>
    <s v="NNYL_2"/>
    <s v="Mambu/Base Sub-Catchment"/>
    <n v="315.36"/>
  </r>
  <r>
    <x v="3"/>
    <s v="KIREHE"/>
    <s v="Public"/>
    <x v="0"/>
    <s v="Muhanga"/>
    <s v="Kibangu"/>
    <s v="NNYL_2"/>
    <s v="Mambu/Base Sub-Catchment"/>
    <n v="1576.8000000000002"/>
  </r>
  <r>
    <x v="3"/>
    <s v="KAZABAGARURA"/>
    <s v="Public"/>
    <x v="0"/>
    <s v="Muhanga"/>
    <s v="Kibangu"/>
    <s v="NNYL_2"/>
    <s v="Mambu/Base Sub-Catchment"/>
    <n v="473.04"/>
  </r>
  <r>
    <x v="3"/>
    <s v="GATOBANDURWE"/>
    <s v="Public"/>
    <x v="0"/>
    <s v="Muhanga"/>
    <s v="Kibangu"/>
    <s v="NNYL_2"/>
    <s v="Mambu/Base Sub-Catchment"/>
    <n v="315.36"/>
  </r>
  <r>
    <x v="3"/>
    <s v="GATARE"/>
    <s v="Public"/>
    <x v="0"/>
    <s v="Muhanga"/>
    <s v="Kibangu"/>
    <s v="NNYL_2"/>
    <s v="Mambu/Base Sub-Catchment"/>
    <n v="315.36"/>
  </r>
  <r>
    <x v="3"/>
    <s v="KAZABAGARURA"/>
    <s v="Public"/>
    <x v="0"/>
    <s v="Muhanga"/>
    <s v="Kibangu"/>
    <s v="NNYL_2"/>
    <s v="Mambu/Base Sub-Catchment"/>
    <n v="157.68"/>
  </r>
  <r>
    <x v="3"/>
    <s v="BIKAMIRO"/>
    <s v="Public"/>
    <x v="0"/>
    <s v="Muhanga"/>
    <s v="Kibangu"/>
    <s v="NNYL_2"/>
    <s v="Mambu/Base Sub-Catchment"/>
    <n v="473.04"/>
  </r>
  <r>
    <x v="3"/>
    <s v="KABERE"/>
    <s v="Public"/>
    <x v="0"/>
    <s v="Muhanga"/>
    <s v="Kibangu"/>
    <s v="NNYL_2"/>
    <s v="Mambu/Base Sub-Catchment"/>
    <n v="630.72"/>
  </r>
  <r>
    <x v="3"/>
    <s v="BUNTU"/>
    <s v="Public"/>
    <x v="0"/>
    <s v="Muhanga"/>
    <s v="Kibangu"/>
    <s v="NNYL_2"/>
    <s v="Mambu/Base Sub-Catchment"/>
    <n v="946.08"/>
  </r>
  <r>
    <x v="3"/>
    <s v="RWAMITWERO"/>
    <s v="Public"/>
    <x v="0"/>
    <s v="Muhanga"/>
    <s v="Kibangu"/>
    <s v="NNYL_2"/>
    <s v="Mambu/Base Sub-Catchment"/>
    <n v="473.04"/>
  </r>
  <r>
    <x v="3"/>
    <s v="RWAMUNAGA"/>
    <s v="Public"/>
    <x v="0"/>
    <s v="Muhanga"/>
    <s v="Kibangu"/>
    <s v="NNYL_2"/>
    <s v="Mambu/Base Sub-Catchment"/>
    <n v="157.68"/>
  </r>
  <r>
    <x v="3"/>
    <s v="RUZIBAZIBA"/>
    <s v="Public"/>
    <x v="0"/>
    <s v="Muhanga"/>
    <s v="Kibangu"/>
    <s v="NNYL_2"/>
    <s v="Mambu/Base Sub-Catchment"/>
    <n v="63.072000000000003"/>
  </r>
  <r>
    <x v="3"/>
    <s v="CANON GITIKINYONI"/>
    <s v="Public"/>
    <x v="0"/>
    <s v="Nyarugenge"/>
    <s v="Kigali"/>
    <s v="NNYL_2"/>
    <s v="Mambu/Base Sub-Catchment"/>
    <n v="6307.2000000000007"/>
  </r>
  <r>
    <x v="3"/>
    <s v="Kagorogoro"/>
    <s v="Public"/>
    <x v="0"/>
    <s v="Gicumbi"/>
    <s v="Miyove"/>
    <s v="NNYL_2"/>
    <s v="Mambu/Base Sub-Catchment"/>
    <n v="2365.2000000000003"/>
  </r>
  <r>
    <x v="3"/>
    <s v="Kabuga"/>
    <s v="Public"/>
    <x v="0"/>
    <s v="Gicumbi"/>
    <s v="Miyove"/>
    <s v="NNYL_2"/>
    <s v="Mambu/Base Sub-Catchment"/>
    <n v="2365.2000000000003"/>
  </r>
  <r>
    <x v="3"/>
    <s v="Rutukana"/>
    <s v="Public"/>
    <x v="0"/>
    <s v="Gicumbi"/>
    <s v="Miyove"/>
    <s v="NNYL_2"/>
    <s v="Mambu/Base Sub-Catchment"/>
    <n v="2365.2000000000003"/>
  </r>
  <r>
    <x v="3"/>
    <s v="Riyane"/>
    <s v="Public"/>
    <x v="0"/>
    <s v="Gicumbi"/>
    <s v="Miyove"/>
    <s v="NNYL_2"/>
    <s v="Mambu/Base Sub-Catchment"/>
    <n v="3626.64"/>
  </r>
  <r>
    <x v="3"/>
    <s v="Gashyekero"/>
    <s v="Public"/>
    <x v="0"/>
    <s v="Gicumbi"/>
    <s v="Miyove"/>
    <s v="NNYL_2"/>
    <s v="Mambu/Base Sub-Catchment"/>
    <n v="3153.6000000000004"/>
  </r>
  <r>
    <x v="3"/>
    <s v="Nyarubuye"/>
    <s v="Public"/>
    <x v="0"/>
    <s v="Gicumbi"/>
    <s v="Miyove"/>
    <s v="NNYL_2"/>
    <s v="Mambu/Base Sub-Catchment"/>
    <n v="1576.8000000000002"/>
  </r>
  <r>
    <x v="3"/>
    <s v="Kivomo"/>
    <s v="Public"/>
    <x v="0"/>
    <s v="Gicumbi"/>
    <s v="Miyove"/>
    <s v="NNYL_2"/>
    <s v="Mambu/Base Sub-Catchment"/>
    <n v="2680.56"/>
  </r>
  <r>
    <x v="3"/>
    <s v="Nyirangoboka"/>
    <s v="Public"/>
    <x v="0"/>
    <s v="Gicumbi"/>
    <s v="Miyove"/>
    <s v="NNYL_2"/>
    <s v="Mambu/Base Sub-Catchment"/>
    <n v="2838.24"/>
  </r>
  <r>
    <x v="3"/>
    <s v="Nyakagezi I"/>
    <s v="Public"/>
    <x v="0"/>
    <s v="Gicumbi"/>
    <s v="Miyove"/>
    <s v="NNYL_2"/>
    <s v="Mambu/Base Sub-Catchment"/>
    <n v="1576.8000000000002"/>
  </r>
  <r>
    <x v="3"/>
    <s v="Nyarubande"/>
    <s v="Public"/>
    <x v="0"/>
    <s v="Gicumbi"/>
    <s v="Miyove"/>
    <s v="NNYL_2"/>
    <s v="Mambu/Base Sub-Catchment"/>
    <n v="4415.0400000000009"/>
  </r>
  <r>
    <x v="3"/>
    <s v="Gatembagara"/>
    <s v="Public"/>
    <x v="0"/>
    <s v="Gicumbi"/>
    <s v="Miyove"/>
    <s v="NNYL_2"/>
    <s v="Mambu/Base Sub-Catchment"/>
    <n v="1576.8000000000002"/>
  </r>
  <r>
    <x v="3"/>
    <s v="Nyagahama"/>
    <s v="Public"/>
    <x v="0"/>
    <s v="Gicumbi"/>
    <s v="Miyove"/>
    <s v="NNYL_2"/>
    <s v="Mambu/Base Sub-Catchment"/>
    <n v="3153.6000000000004"/>
  </r>
  <r>
    <x v="3"/>
    <s v="Mubunyankonko"/>
    <s v="Public"/>
    <x v="0"/>
    <s v="Gicumbi"/>
    <s v="Miyove"/>
    <s v="NNYL_2"/>
    <s v="Mambu/Base Sub-Catchment"/>
    <n v="4730.4000000000005"/>
  </r>
  <r>
    <x v="3"/>
    <s v="Rwamanyege II"/>
    <s v="Public"/>
    <x v="0"/>
    <s v="Gicumbi"/>
    <s v="Miyove"/>
    <s v="NNYL_2"/>
    <s v="Mambu/Base Sub-Catchment"/>
    <n v="1103.7600000000002"/>
  </r>
  <r>
    <x v="3"/>
    <s v="Kagote"/>
    <s v="Public"/>
    <x v="0"/>
    <s v="Gicumbi"/>
    <s v="Miyove"/>
    <s v="NNYL_2"/>
    <s v="Mambu/Base Sub-Catchment"/>
    <n v="1576.8000000000002"/>
  </r>
  <r>
    <x v="3"/>
    <s v="Nyarukonjo I"/>
    <s v="Public"/>
    <x v="0"/>
    <s v="Gicumbi"/>
    <s v="Miyove"/>
    <s v="NNYL_2"/>
    <s v="Mambu/Base Sub-Catchment"/>
    <n v="1576.8000000000002"/>
  </r>
  <r>
    <x v="3"/>
    <s v="Kadogo"/>
    <s v="Public"/>
    <x v="0"/>
    <s v="Gicumbi"/>
    <s v="Miyove"/>
    <s v="NNYL_2"/>
    <s v="Mambu/Base Sub-Catchment"/>
    <n v="3626.64"/>
  </r>
  <r>
    <x v="3"/>
    <s v="Nyabiyonga"/>
    <s v="Public"/>
    <x v="0"/>
    <s v="Gicumbi"/>
    <s v="Miyove"/>
    <s v="NNYL_2"/>
    <s v="Mambu/Base Sub-Catchment"/>
    <n v="1103.7600000000002"/>
  </r>
  <r>
    <x v="3"/>
    <s v="Nyarubuye"/>
    <s v="Public"/>
    <x v="0"/>
    <s v="Gicumbi"/>
    <s v="Miyove"/>
    <s v="NNYL_2"/>
    <s v="Mambu/Base Sub-Catchment"/>
    <n v="1576.8000000000002"/>
  </r>
  <r>
    <x v="3"/>
    <s v="Mu Cyogo"/>
    <s v="Public"/>
    <x v="0"/>
    <s v="Gicumbi"/>
    <s v="Miyove"/>
    <s v="NNYL_2"/>
    <s v="Mambu/Base Sub-Catchment"/>
    <n v="473.04"/>
  </r>
  <r>
    <x v="3"/>
    <s v="Mureko II"/>
    <s v="Public"/>
    <x v="0"/>
    <s v="Gicumbi"/>
    <s v="Miyove"/>
    <s v="NNYL_2"/>
    <s v="Mambu/Base Sub-Catchment"/>
    <n v="6149.5200000000013"/>
  </r>
  <r>
    <x v="3"/>
    <s v="Mureko I"/>
    <s v="Public"/>
    <x v="0"/>
    <s v="Gicumbi"/>
    <s v="Miyove"/>
    <s v="NNYL_2"/>
    <s v="Mambu/Base Sub-Catchment"/>
    <n v="1261.44"/>
  </r>
  <r>
    <x v="3"/>
    <s v="Baradega"/>
    <s v="Public"/>
    <x v="0"/>
    <s v="Gicumbi"/>
    <s v="Miyove"/>
    <s v="NNYL_2"/>
    <s v="Mambu/Base Sub-Catchment"/>
    <n v="1892.16"/>
  </r>
  <r>
    <x v="3"/>
    <s v="Rutovu"/>
    <s v="Public"/>
    <x v="0"/>
    <s v="Gicumbi"/>
    <s v="Miyove"/>
    <s v="NNYL_2"/>
    <s v="Mambu/Base Sub-Catchment"/>
    <n v="630.72"/>
  </r>
  <r>
    <x v="3"/>
    <s v="Gatare"/>
    <s v="Public"/>
    <x v="0"/>
    <s v="Gicumbi"/>
    <s v="Miyove"/>
    <s v="NNYL_2"/>
    <s v="Mambu/Base Sub-Catchment"/>
    <n v="7095.6"/>
  </r>
  <r>
    <x v="3"/>
    <s v="Rwamanyege I"/>
    <s v="Public"/>
    <x v="0"/>
    <s v="Gicumbi"/>
    <s v="Miyove"/>
    <s v="NNYL_2"/>
    <s v="Mambu/Base Sub-Catchment"/>
    <n v="630.72"/>
  </r>
  <r>
    <x v="3"/>
    <s v="Nyirakiramba"/>
    <s v="Public"/>
    <x v="0"/>
    <s v="Gicumbi"/>
    <s v="Miyove"/>
    <s v="NNYL_2"/>
    <s v="Mambu/Base Sub-Catchment"/>
    <n v="3942.0000000000005"/>
  </r>
  <r>
    <x v="3"/>
    <s v="kavumu"/>
    <s v="Public"/>
    <x v="0"/>
    <s v="Kamonyi"/>
    <s v="Musambira"/>
    <s v="NNYL_2"/>
    <s v="Mambu/Base Sub-Catchment"/>
    <n v="204.98400000000001"/>
  </r>
  <r>
    <x v="3"/>
    <s v="SEBURIKOKO"/>
    <s v="Public"/>
    <x v="0"/>
    <s v="Kamonyi"/>
    <s v="Musambira"/>
    <s v="NNYL_2"/>
    <s v="Mambu/Base Sub-Catchment"/>
    <n v="946.08"/>
  </r>
  <r>
    <x v="3"/>
    <s v="NYAMUKO"/>
    <s v="Public"/>
    <x v="0"/>
    <s v="Kamonyi"/>
    <s v="Musambira"/>
    <s v="NNYL_2"/>
    <s v="Mambu/Base Sub-Catchment"/>
    <n v="315.36"/>
  </r>
  <r>
    <x v="3"/>
    <s v="nyamuko"/>
    <s v="Public"/>
    <x v="0"/>
    <s v="Kamonyi"/>
    <s v="Musambira"/>
    <s v="NNYL_2"/>
    <s v="Mambu/Base Sub-Catchment"/>
    <n v="315.36"/>
  </r>
  <r>
    <x v="3"/>
    <s v="KANTASHYA"/>
    <s v="Public"/>
    <x v="0"/>
    <s v="Kamonyi"/>
    <s v="Musambira"/>
    <s v="NNYL_2"/>
    <s v="Mambu/Base Sub-Catchment"/>
    <n v="630.72"/>
  </r>
  <r>
    <x v="3"/>
    <s v="KAMUNANUYE"/>
    <s v="Public"/>
    <x v="0"/>
    <s v="Kamonyi"/>
    <s v="Musambira"/>
    <s v="NNYL_2"/>
    <s v="Mambu/Base Sub-Catchment"/>
    <n v="473.04"/>
  </r>
  <r>
    <x v="3"/>
    <s v="KWA NTAGANIRA"/>
    <s v="Public"/>
    <x v="0"/>
    <s v="Kamonyi"/>
    <s v="Musambira"/>
    <s v="NNYL_2"/>
    <s v="Mambu/Base Sub-Catchment"/>
    <n v="15.768000000000001"/>
  </r>
  <r>
    <x v="3"/>
    <s v="SHAKA"/>
    <s v="Public"/>
    <x v="0"/>
    <s v="Kamonyi"/>
    <s v="Musambira"/>
    <s v="NNYL_2"/>
    <s v="Mambu/Base Sub-Catchment"/>
    <n v="110.376"/>
  </r>
  <r>
    <x v="3"/>
    <s v="KAMAREBE"/>
    <s v="Public"/>
    <x v="0"/>
    <s v="Kamonyi"/>
    <s v="Musambira"/>
    <s v="NNYL_2"/>
    <s v="Mambu/Base Sub-Catchment"/>
    <n v="15.768000000000001"/>
  </r>
  <r>
    <x v="3"/>
    <s v="NYAKALIBA"/>
    <s v="Public"/>
    <x v="0"/>
    <s v="Kamonyi"/>
    <s v="Musambira"/>
    <s v="NNYL_2"/>
    <s v="Mambu/Base Sub-Catchment"/>
    <n v="788.40000000000009"/>
  </r>
  <r>
    <x v="3"/>
    <s v="RUBANGA"/>
    <s v="Public"/>
    <x v="0"/>
    <s v="Kamonyi"/>
    <s v="Musambira"/>
    <s v="NNYL_2"/>
    <s v="Mambu/Base Sub-Catchment"/>
    <n v="788.40000000000009"/>
  </r>
  <r>
    <x v="3"/>
    <s v="NYAMIVU"/>
    <s v="Public"/>
    <x v="0"/>
    <s v="Kamonyi"/>
    <s v="Musambira"/>
    <s v="NNYL_2"/>
    <s v="Mambu/Base Sub-Catchment"/>
    <n v="63.072000000000003"/>
  </r>
  <r>
    <x v="3"/>
    <s v="RWAKIBYEYI"/>
    <s v="Public"/>
    <x v="0"/>
    <s v="Kamonyi"/>
    <s v="Musambira"/>
    <s v="NNYL_2"/>
    <s v="Mambu/Base Sub-Catchment"/>
    <n v="788.40000000000009"/>
  </r>
  <r>
    <x v="3"/>
    <s v="SEKABAZI"/>
    <s v="Public"/>
    <x v="0"/>
    <s v="Kamonyi"/>
    <s v="Musambira"/>
    <s v="NNYL_2"/>
    <s v="Mambu/Base Sub-Catchment"/>
    <n v="11037.6"/>
  </r>
  <r>
    <x v="3"/>
    <s v="KUMUYENZI"/>
    <s v="Public"/>
    <x v="0"/>
    <s v="Kamonyi"/>
    <s v="Musambira"/>
    <s v="NNYL_2"/>
    <s v="Mambu/Base Sub-Catchment"/>
    <n v="315.36"/>
  </r>
  <r>
    <x v="3"/>
    <s v="NYAKABINGO"/>
    <s v="Public"/>
    <x v="0"/>
    <s v="Kamonyi"/>
    <s v="Musambira"/>
    <s v="NNYL_2"/>
    <s v="Mambu/Base Sub-Catchment"/>
    <n v="473.04"/>
  </r>
  <r>
    <x v="3"/>
    <s v="GATARE"/>
    <s v="Public"/>
    <x v="0"/>
    <s v="Kamonyi"/>
    <s v="Musambira"/>
    <s v="NNYL_2"/>
    <s v="Mambu/Base Sub-Catchment"/>
    <n v="4572.72"/>
  </r>
  <r>
    <x v="3"/>
    <s v="NYAKERA"/>
    <s v="Public"/>
    <x v="0"/>
    <s v="Kamonyi"/>
    <s v="Musambira"/>
    <s v="NNYL_2"/>
    <s v="Mambu/Base Sub-Catchment"/>
    <n v="15.768000000000001"/>
  </r>
  <r>
    <x v="3"/>
    <s v="NYAGAHANDAGAZA"/>
    <s v="Public"/>
    <x v="0"/>
    <s v="Kamonyi"/>
    <s v="Musambira"/>
    <s v="NNYL_2"/>
    <s v="Mambu/Base Sub-Catchment"/>
    <n v="236.52"/>
  </r>
  <r>
    <x v="3"/>
    <s v="KWA KABERUKA"/>
    <s v="Public"/>
    <x v="0"/>
    <s v="Kamonyi"/>
    <s v="Musambira"/>
    <s v="NNYL_2"/>
    <s v="Mambu/Base Sub-Catchment"/>
    <n v="1419.12"/>
  </r>
  <r>
    <x v="3"/>
    <s v="muruduha"/>
    <s v="Public"/>
    <x v="0"/>
    <s v="Kamonyi"/>
    <s v="Musambira"/>
    <s v="NNYL_2"/>
    <s v="Mambu/Base Sub-Catchment"/>
    <n v="283.82400000000001"/>
  </r>
  <r>
    <x v="3"/>
    <s v="NYAMUKO"/>
    <s v="Public"/>
    <x v="0"/>
    <s v="Kamonyi"/>
    <s v="Musambira"/>
    <s v="NNYL_2"/>
    <s v="Mambu/Base Sub-Catchment"/>
    <n v="788.40000000000009"/>
  </r>
  <r>
    <x v="3"/>
    <s v="nyakaliba"/>
    <s v="Public"/>
    <x v="0"/>
    <s v="Kamonyi"/>
    <s v="Musambira"/>
    <s v="NNYL_2"/>
    <s v="Mambu/Base Sub-Catchment"/>
    <n v="0"/>
  </r>
  <r>
    <x v="3"/>
    <s v="RUSAKE"/>
    <s v="Public"/>
    <x v="0"/>
    <s v="Kamonyi"/>
    <s v="Musambira"/>
    <s v="NNYL_2"/>
    <s v="Mambu/Base Sub-Catchment"/>
    <n v="394.20000000000005"/>
  </r>
  <r>
    <x v="3"/>
    <s v="NYAMIREMBE"/>
    <s v="Public"/>
    <x v="0"/>
    <s v="Kamonyi"/>
    <s v="Musambira"/>
    <s v="NNYL_2"/>
    <s v="Mambu/Base Sub-Catchment"/>
    <n v="630.72"/>
  </r>
  <r>
    <x v="3"/>
    <s v="rwabyiyoni"/>
    <s v="Public"/>
    <x v="0"/>
    <s v="Kamonyi"/>
    <s v="Musambira"/>
    <s v="NNYL_2"/>
    <s v="Mambu/Base Sub-Catchment"/>
    <n v="157.68"/>
  </r>
  <r>
    <x v="3"/>
    <s v="mugasasa"/>
    <s v="Public"/>
    <x v="0"/>
    <s v="Kamonyi"/>
    <s v="Musambira"/>
    <s v="NNYL_2"/>
    <s v="Mambu/Base Sub-Catchment"/>
    <n v="3942.0000000000005"/>
  </r>
  <r>
    <x v="3"/>
    <s v="MWENDANGABO"/>
    <s v="Public"/>
    <x v="0"/>
    <s v="Kamonyi"/>
    <s v="Musambira"/>
    <s v="NNYL_2"/>
    <s v="Mambu/Base Sub-Catchment"/>
    <n v="11195.28"/>
  </r>
  <r>
    <x v="3"/>
    <s v="RWASENTAMA"/>
    <s v="Public"/>
    <x v="0"/>
    <s v="Kamonyi"/>
    <s v="Musambira"/>
    <s v="NNYL_2"/>
    <s v="Mambu/Base Sub-Catchment"/>
    <n v="173.44799999999998"/>
  </r>
  <r>
    <x v="3"/>
    <s v="baryama"/>
    <s v="Public"/>
    <x v="0"/>
    <s v="Kamonyi"/>
    <s v="Musambira"/>
    <s v="NNYL_2"/>
    <s v="Mambu/Base Sub-Catchment"/>
    <n v="2838.24"/>
  </r>
  <r>
    <x v="3"/>
    <s v="GASEKE"/>
    <s v="Public"/>
    <x v="0"/>
    <s v="Kamonyi"/>
    <s v="Musambira"/>
    <s v="NNYL_2"/>
    <s v="Mambu/Base Sub-Catchment"/>
    <n v="31.536000000000001"/>
  </r>
  <r>
    <x v="3"/>
    <s v="NYARUCYAMO"/>
    <s v="Public"/>
    <x v="0"/>
    <s v="Kamonyi"/>
    <s v="Musambira"/>
    <s v="NNYL_2"/>
    <s v="Mambu/Base Sub-Catchment"/>
    <n v="2522.88"/>
  </r>
  <r>
    <x v="3"/>
    <s v="NYAGATOVU"/>
    <s v="Public"/>
    <x v="0"/>
    <s v="Kamonyi"/>
    <s v="Musambira"/>
    <s v="NNYL_2"/>
    <s v="Mambu/Base Sub-Catchment"/>
    <n v="11037.6"/>
  </r>
  <r>
    <x v="3"/>
    <s v="GASEKE"/>
    <s v="Public"/>
    <x v="0"/>
    <s v="Kamonyi"/>
    <s v="Musambira"/>
    <s v="NNYL_2"/>
    <s v="Mambu/Base Sub-Catchment"/>
    <n v="473.04"/>
  </r>
  <r>
    <x v="3"/>
    <s v="NYAGAFUNZO"/>
    <s v="Public"/>
    <x v="0"/>
    <s v="Kamonyi"/>
    <s v="Musambira"/>
    <s v="NNYL_2"/>
    <s v="Mambu/Base Sub-Catchment"/>
    <n v="11826.000000000002"/>
  </r>
  <r>
    <x v="3"/>
    <s v="RUGARAMA"/>
    <s v="Public"/>
    <x v="0"/>
    <s v="Kamonyi"/>
    <s v="Musambira"/>
    <s v="NNYL_2"/>
    <s v="Mambu/Base Sub-Catchment"/>
    <n v="1103.7600000000002"/>
  </r>
  <r>
    <x v="3"/>
    <s v="NYAKALIBA"/>
    <s v="Public"/>
    <x v="0"/>
    <s v="Kamonyi"/>
    <s v="Musambira"/>
    <s v="NNYL_2"/>
    <s v="Mambu/Base Sub-Catchment"/>
    <n v="9460.8000000000011"/>
  </r>
  <r>
    <x v="3"/>
    <s v="KAMABUYE"/>
    <s v="Public"/>
    <x v="0"/>
    <s v="Kamonyi"/>
    <s v="Musambira"/>
    <s v="NNYL_2"/>
    <s v="Mambu/Base Sub-Catchment"/>
    <n v="31.536000000000001"/>
  </r>
  <r>
    <x v="3"/>
    <s v="KABINGO"/>
    <s v="Public"/>
    <x v="0"/>
    <s v="Kamonyi"/>
    <s v="Musambira"/>
    <s v="NNYL_2"/>
    <s v="Mambu/Base Sub-Catchment"/>
    <n v="2365.2000000000003"/>
  </r>
  <r>
    <x v="3"/>
    <s v="makuza"/>
    <s v="Public"/>
    <x v="0"/>
    <s v="Kamonyi"/>
    <s v="Musambira"/>
    <s v="NNYL_2"/>
    <s v="Mambu/Base Sub-Catchment"/>
    <n v="1734.4800000000002"/>
  </r>
  <r>
    <x v="3"/>
    <s v="RWAMWENDO"/>
    <s v="Public"/>
    <x v="0"/>
    <s v="Kamonyi"/>
    <s v="Musambira"/>
    <s v="NNYL_2"/>
    <s v="Mambu/Base Sub-Catchment"/>
    <n v="946.08"/>
  </r>
  <r>
    <x v="3"/>
    <s v="MUKIRWANGE"/>
    <s v="Public"/>
    <x v="0"/>
    <s v="Kamonyi"/>
    <s v="Ngamba"/>
    <s v="NNYL_2"/>
    <s v="Mambu/Base Sub-Catchment"/>
    <n v="4572.72"/>
  </r>
  <r>
    <x v="3"/>
    <s v="KAREKO"/>
    <s v="Public"/>
    <x v="0"/>
    <s v="Kamonyi"/>
    <s v="Ngamba"/>
    <s v="NNYL_2"/>
    <s v="Mambu/Base Sub-Catchment"/>
    <n v="6307.2000000000007"/>
  </r>
  <r>
    <x v="3"/>
    <s v="KANDA III KIGINA KIGWEGWER"/>
    <s v="Public"/>
    <x v="0"/>
    <s v="Kamonyi"/>
    <s v="Ngamba"/>
    <s v="NNYL_2"/>
    <s v="Mambu/Base Sub-Catchment"/>
    <n v="788.40000000000009"/>
  </r>
  <r>
    <x v="3"/>
    <s v="KANDA II"/>
    <s v="Public"/>
    <x v="0"/>
    <s v="Kamonyi"/>
    <s v="Ngamba"/>
    <s v="NNYL_2"/>
    <s v="Mambu/Base Sub-Catchment"/>
    <n v="1971.0000000000002"/>
  </r>
  <r>
    <x v="3"/>
    <s v="KANDA I"/>
    <s v="Public"/>
    <x v="0"/>
    <s v="Kamonyi"/>
    <s v="Ngamba"/>
    <s v="NNYL_2"/>
    <s v="Mambu/Base Sub-Catchment"/>
    <n v="4730.4000000000005"/>
  </r>
  <r>
    <x v="3"/>
    <s v="NYAGATOKI"/>
    <s v="Public"/>
    <x v="0"/>
    <s v="Kamonyi"/>
    <s v="Ngamba"/>
    <s v="NNYL_2"/>
    <s v="Mambu/Base Sub-Catchment"/>
    <n v="9460.8000000000011"/>
  </r>
  <r>
    <x v="3"/>
    <s v="NTUNDUGURU"/>
    <s v="Public"/>
    <x v="0"/>
    <s v="Kamonyi"/>
    <s v="Ngamba"/>
    <s v="NNYL_2"/>
    <s v="Mambu/Base Sub-Catchment"/>
    <n v="6307.2000000000007"/>
  </r>
  <r>
    <x v="3"/>
    <s v="KABAKONJO"/>
    <s v="Public"/>
    <x v="0"/>
    <s v="Kamonyi"/>
    <s v="Ngamba"/>
    <s v="NNYL_2"/>
    <s v="Mambu/Base Sub-Catchment"/>
    <n v="788.40000000000009"/>
  </r>
  <r>
    <x v="3"/>
    <s v="NYWAMAKE"/>
    <s v="Public"/>
    <x v="0"/>
    <s v="Kamonyi"/>
    <s v="Ngamba"/>
    <s v="NNYL_2"/>
    <s v="Mambu/Base Sub-Catchment"/>
    <n v="12614.400000000001"/>
  </r>
  <r>
    <x v="3"/>
    <s v="RUGENDABARI"/>
    <s v="Public"/>
    <x v="0"/>
    <s v="Muhanga"/>
    <s v="Rugendabari"/>
    <s v="NNYL_2"/>
    <s v="Mambu/Base Sub-Catchment"/>
    <n v="946.08"/>
  </r>
  <r>
    <x v="3"/>
    <s v="NYAGISOZI"/>
    <s v="Public"/>
    <x v="0"/>
    <s v="Muhanga"/>
    <s v="Rugendabari"/>
    <s v="NNYL_2"/>
    <s v="Mambu/Base Sub-Catchment"/>
    <n v="9460.8000000000011"/>
  </r>
  <r>
    <x v="3"/>
    <s v="BISIKA"/>
    <s v="Public"/>
    <x v="0"/>
    <s v="Muhanga"/>
    <s v="Rugendabari"/>
    <s v="NNYL_2"/>
    <s v="Mambu/Base Sub-Catchment"/>
    <n v="6307.2000000000007"/>
  </r>
  <r>
    <x v="3"/>
    <s v="KINIHA"/>
    <s v="Public"/>
    <x v="0"/>
    <s v="Muhanga"/>
    <s v="Rugendabari"/>
    <s v="NNYL_2"/>
    <s v="Mambu/Base Sub-Catchment"/>
    <n v="11037.6"/>
  </r>
  <r>
    <x v="3"/>
    <s v="KARAMBI"/>
    <s v="Public"/>
    <x v="0"/>
    <s v="Muhanga"/>
    <s v="Rugendabari"/>
    <s v="NNYL_2"/>
    <s v="Mambu/Base Sub-Catchment"/>
    <n v="788.40000000000009"/>
  </r>
  <r>
    <x v="3"/>
    <s v="KANGABO"/>
    <s v="Public"/>
    <x v="0"/>
    <s v="Muhanga"/>
    <s v="Rugendabari"/>
    <s v="NNYL_2"/>
    <s v="Mambu/Base Sub-Catchment"/>
    <n v="4730.4000000000005"/>
  </r>
  <r>
    <x v="3"/>
    <s v="KABIRIZI I"/>
    <s v="Public"/>
    <x v="0"/>
    <s v="Muhanga"/>
    <s v="Rugendabari"/>
    <s v="NNYL_2"/>
    <s v="Mambu/Base Sub-Catchment"/>
    <n v="4730.4000000000005"/>
  </r>
  <r>
    <x v="3"/>
    <s v="KABIRIZI II"/>
    <s v="Public"/>
    <x v="0"/>
    <s v="Muhanga"/>
    <s v="Rugendabari"/>
    <s v="NNYL_2"/>
    <s v="Mambu/Base Sub-Catchment"/>
    <n v="6307.2000000000007"/>
  </r>
  <r>
    <x v="3"/>
    <s v="MUGALI II"/>
    <s v="Public"/>
    <x v="0"/>
    <s v="Muhanga"/>
    <s v="Rugendabari"/>
    <s v="NNYL_2"/>
    <s v="Mambu/Base Sub-Catchment"/>
    <n v="4730.4000000000005"/>
  </r>
  <r>
    <x v="3"/>
    <s v="KABACUZI"/>
    <s v="Public"/>
    <x v="0"/>
    <s v="Muhanga"/>
    <s v="Rugendabari"/>
    <s v="NNYL_2"/>
    <s v="Mambu/Base Sub-Catchment"/>
    <n v="3153.6000000000004"/>
  </r>
  <r>
    <x v="3"/>
    <s v="MUGANZA"/>
    <s v="Public"/>
    <x v="0"/>
    <s v="Muhanga"/>
    <s v="Rugendabari"/>
    <s v="NNYL_2"/>
    <s v="Mambu/Base Sub-Catchment"/>
    <n v="3153.6000000000004"/>
  </r>
  <r>
    <x v="3"/>
    <s v="MUGALI I"/>
    <s v="Public"/>
    <x v="0"/>
    <s v="Muhanga"/>
    <s v="Rugendabari"/>
    <s v="NNYL_2"/>
    <s v="Mambu/Base Sub-Catchment"/>
    <n v="4730.4000000000005"/>
  </r>
  <r>
    <x v="3"/>
    <s v="KABERE"/>
    <s v="Public"/>
    <x v="0"/>
    <s v="Muhanga"/>
    <s v="Rugendabari"/>
    <s v="NNYL_2"/>
    <s v="Mambu/Base Sub-Catchment"/>
    <n v="31.536000000000001"/>
  </r>
  <r>
    <x v="3"/>
    <s v="NYAMYUMBIRIZA"/>
    <s v="Public"/>
    <x v="0"/>
    <s v="Muhanga"/>
    <s v="Rugendabari"/>
    <s v="NNYL_2"/>
    <s v="Mambu/Base Sub-Catchment"/>
    <n v="15768.000000000002"/>
  </r>
  <r>
    <x v="3"/>
    <s v="GASHARU"/>
    <s v="Public"/>
    <x v="0"/>
    <s v="Muhanga"/>
    <s v="Rugendabari"/>
    <s v="NNYL_2"/>
    <s v="Mambu/Base Sub-Catchment"/>
    <n v="1576.8000000000002"/>
  </r>
  <r>
    <x v="3"/>
    <s v="KAGIRANEZA"/>
    <s v="Public"/>
    <x v="0"/>
    <s v="Muhanga"/>
    <s v="Rugendabari"/>
    <s v="NNYL_2"/>
    <s v="Mambu/Base Sub-Catchment"/>
    <n v="4730.4000000000005"/>
  </r>
  <r>
    <x v="3"/>
    <s v="MURAMBI"/>
    <s v="Public"/>
    <x v="0"/>
    <s v="Muhanga"/>
    <s v="Rugendabari"/>
    <s v="NNYL_2"/>
    <s v="Mambu/Base Sub-Catchment"/>
    <n v="15768.000000000002"/>
  </r>
  <r>
    <x v="3"/>
    <s v="RUBURANKONO II"/>
    <s v="Public"/>
    <x v="0"/>
    <s v="Muhanga"/>
    <s v="Rugendabari"/>
    <s v="NNYL_2"/>
    <s v="Mambu/Base Sub-Catchment"/>
    <n v="1892.16"/>
  </r>
  <r>
    <x v="3"/>
    <s v="GAHORORO I"/>
    <s v="Public"/>
    <x v="0"/>
    <s v="Muhanga"/>
    <s v="Rugendabari"/>
    <s v="NNYL_2"/>
    <s v="Mambu/Base Sub-Catchment"/>
    <n v="0"/>
  </r>
  <r>
    <x v="3"/>
    <s v="NYANTOKI"/>
    <s v="Public"/>
    <x v="0"/>
    <s v="Muhanga"/>
    <s v="Rugendabari"/>
    <s v="NNYL_2"/>
    <s v="Mambu/Base Sub-Catchment"/>
    <n v="0"/>
  </r>
  <r>
    <x v="3"/>
    <s v="NDAGO"/>
    <s v="Public"/>
    <x v="0"/>
    <s v="Muhanga"/>
    <s v="Rugendabari"/>
    <s v="NNYL_2"/>
    <s v="Mambu/Base Sub-Catchment"/>
    <n v="7884.0000000000009"/>
  </r>
  <r>
    <x v="3"/>
    <s v="GAHORORO II"/>
    <s v="Public"/>
    <x v="0"/>
    <s v="Muhanga"/>
    <s v="Rugendabari"/>
    <s v="NNYL_2"/>
    <s v="Mambu/Base Sub-Catchment"/>
    <n v="7884.0000000000009"/>
  </r>
  <r>
    <x v="3"/>
    <s v="RUSEKE"/>
    <s v="Public"/>
    <x v="0"/>
    <s v="Muhanga"/>
    <s v="Rugendabari"/>
    <s v="NNYL_2"/>
    <s v="Mambu/Base Sub-Catchment"/>
    <n v="6307.2000000000007"/>
  </r>
  <r>
    <x v="3"/>
    <s v="GATARE III"/>
    <s v="Public"/>
    <x v="0"/>
    <s v="Muhanga"/>
    <s v="Rugendabari"/>
    <s v="NNYL_2"/>
    <s v="Mambu/Base Sub-Catchment"/>
    <n v="3153.6000000000004"/>
  </r>
  <r>
    <x v="3"/>
    <s v="GATARE II"/>
    <s v="Public"/>
    <x v="0"/>
    <s v="Muhanga"/>
    <s v="Rugendabari"/>
    <s v="NNYL_2"/>
    <s v="Mambu/Base Sub-Catchment"/>
    <n v="4730.4000000000005"/>
  </r>
  <r>
    <x v="3"/>
    <s v="RUBURANKONOI"/>
    <s v="Public"/>
    <x v="0"/>
    <s v="Muhanga"/>
    <s v="Rugendabari"/>
    <s v="NNYL_2"/>
    <s v="Mambu/Base Sub-Catchment"/>
    <n v="6307.2000000000007"/>
  </r>
  <r>
    <x v="3"/>
    <s v="GATARE III"/>
    <s v="Public"/>
    <x v="0"/>
    <s v="Muhanga"/>
    <s v="Rugendabari"/>
    <s v="NNYL_2"/>
    <s v="Mambu/Base Sub-Catchment"/>
    <n v="31.536000000000001"/>
  </r>
  <r>
    <x v="3"/>
    <s v="GATARE"/>
    <s v="Public"/>
    <x v="0"/>
    <s v="Muhanga"/>
    <s v="Rugendabari"/>
    <s v="NNYL_2"/>
    <s v="Mambu/Base Sub-Catchment"/>
    <n v="0"/>
  </r>
  <r>
    <x v="3"/>
    <s v="GATARE"/>
    <s v="Public"/>
    <x v="0"/>
    <s v="Muhanga"/>
    <s v="Rugendabari"/>
    <s v="NNYL_2"/>
    <s v="Mambu/Base Sub-Catchment"/>
    <n v="1576.8000000000002"/>
  </r>
  <r>
    <x v="3"/>
    <s v="KAGUSA"/>
    <s v="Public"/>
    <x v="0"/>
    <s v="Muhanga"/>
    <s v="Rugendabari"/>
    <s v="NNYL_2"/>
    <s v="Mambu/Base Sub-Catchment"/>
    <n v="6307.2000000000007"/>
  </r>
  <r>
    <x v="3"/>
    <s v="GAHORORO III"/>
    <s v="Public"/>
    <x v="0"/>
    <s v="Muhanga"/>
    <s v="Rugendabari"/>
    <s v="NNYL_2"/>
    <s v="Mambu/Base Sub-Catchment"/>
    <n v="0"/>
  </r>
  <r>
    <x v="3"/>
    <s v="GAHONDO"/>
    <s v="Public"/>
    <x v="0"/>
    <s v="Muhanga"/>
    <s v="Rugendabari"/>
    <s v="NNYL_2"/>
    <s v="Mambu/Base Sub-Catchment"/>
    <n v="4730.4000000000005"/>
  </r>
  <r>
    <x v="3"/>
    <s v="GISUMO"/>
    <s v="Public"/>
    <x v="0"/>
    <s v="Muhanga"/>
    <s v="Rugendabari"/>
    <s v="NNYL_2"/>
    <s v="Mambu/Base Sub-Catchment"/>
    <n v="0"/>
  </r>
  <r>
    <x v="3"/>
    <s v="MUTUKURA"/>
    <s v="Public"/>
    <x v="0"/>
    <s v="Muhanga"/>
    <s v="Rugendabari"/>
    <s v="NNYL_2"/>
    <s v="Mambu/Base Sub-Catchment"/>
    <n v="0"/>
  </r>
  <r>
    <x v="3"/>
    <s v="NYAKAGEZI"/>
    <s v="Public"/>
    <x v="0"/>
    <s v="Muhanga"/>
    <s v="Rugendabari"/>
    <s v="NNYL_2"/>
    <s v="Mambu/Base Sub-Catchment"/>
    <n v="473.04"/>
  </r>
  <r>
    <x v="3"/>
    <s v="AKANNYOGO"/>
    <s v="Public"/>
    <x v="0"/>
    <s v="Muhanga"/>
    <s v="Rugendabari"/>
    <s v="NNYL_2"/>
    <s v="Mambu/Base Sub-Catchment"/>
    <n v="1576.8000000000002"/>
  </r>
  <r>
    <x v="3"/>
    <s v="NYAKAGEZI"/>
    <s v="Public"/>
    <x v="0"/>
    <s v="Muhanga"/>
    <s v="Rugendabari"/>
    <s v="NNYL_2"/>
    <s v="Mambu/Base Sub-Catchment"/>
    <n v="4730.4000000000005"/>
  </r>
  <r>
    <x v="3"/>
    <s v="SINANGABAJE"/>
    <s v="Public"/>
    <x v="0"/>
    <s v="Muhanga"/>
    <s v="Rugendabari"/>
    <s v="NNYL_2"/>
    <s v="Mambu/Base Sub-Catchment"/>
    <n v="946.08"/>
  </r>
  <r>
    <x v="3"/>
    <s v="GISAYO II"/>
    <s v="Public"/>
    <x v="0"/>
    <s v="Muhanga"/>
    <s v="Rugendabari"/>
    <s v="NNYL_2"/>
    <s v="Mambu/Base Sub-Catchment"/>
    <n v="4730.4000000000005"/>
  </r>
  <r>
    <x v="3"/>
    <s v="GISAYO I"/>
    <s v="Public"/>
    <x v="0"/>
    <s v="Muhanga"/>
    <s v="Rugendabari"/>
    <s v="NNYL_2"/>
    <s v="Mambu/Base Sub-Catchment"/>
    <n v="0"/>
  </r>
  <r>
    <x v="3"/>
    <s v="KAZABAGARURA"/>
    <s v="Public"/>
    <x v="0"/>
    <s v="Muhanga"/>
    <s v="Rugendabari"/>
    <s v="NNYL_2"/>
    <s v="Mambu/Base Sub-Catchment"/>
    <n v="315.36"/>
  </r>
  <r>
    <x v="3"/>
    <s v="BIRIKANA"/>
    <s v="Public"/>
    <x v="0"/>
    <s v="Muhanga"/>
    <s v="Rugendabari"/>
    <s v="NNYL_2"/>
    <s v="Mambu/Base Sub-Catchment"/>
    <n v="0"/>
  </r>
  <r>
    <x v="3"/>
    <s v="NYAKAGEZI"/>
    <s v="Public"/>
    <x v="0"/>
    <s v="Muhanga"/>
    <s v="Rugendabari"/>
    <s v="NNYL_2"/>
    <s v="Mambu/Base Sub-Catchment"/>
    <n v="946.08"/>
  </r>
  <r>
    <x v="3"/>
    <s v="GAHAMA"/>
    <s v="Public"/>
    <x v="0"/>
    <s v="Muhanga"/>
    <s v="Rugendabari"/>
    <s v="NNYL_2"/>
    <s v="Mambu/Base Sub-Catchment"/>
    <n v="0"/>
  </r>
  <r>
    <x v="3"/>
    <s v="NYABYUNYU"/>
    <s v="Public"/>
    <x v="0"/>
    <s v="Muhanga"/>
    <s v="Rugendabari"/>
    <s v="NNYL_2"/>
    <s v="Mambu/Base Sub-Catchment"/>
    <n v="0"/>
  </r>
  <r>
    <x v="3"/>
    <s v="RWAMIGOZI"/>
    <s v="Public"/>
    <x v="0"/>
    <s v="Kamonyi"/>
    <s v="Rukoma"/>
    <s v="NNYL_2"/>
    <s v="Mambu/Base Sub-Catchment"/>
    <n v="7884.0000000000009"/>
  </r>
  <r>
    <x v="3"/>
    <s v="BUHOGORE"/>
    <s v="Public"/>
    <x v="0"/>
    <s v="Kamonyi"/>
    <s v="Rukoma"/>
    <s v="NNYL_2"/>
    <s v="Mambu/Base Sub-Catchment"/>
    <n v="6307.2000000000007"/>
  </r>
  <r>
    <x v="3"/>
    <s v="GASHONGONOKA"/>
    <s v="Public"/>
    <x v="0"/>
    <s v="Kamonyi"/>
    <s v="Rukoma"/>
    <s v="NNYL_2"/>
    <s v="Mambu/Base Sub-Catchment"/>
    <n v="9460.8000000000011"/>
  </r>
  <r>
    <x v="3"/>
    <s v="RWAMUTARA"/>
    <s v="Public"/>
    <x v="0"/>
    <s v="Kamonyi"/>
    <s v="Rukoma"/>
    <s v="NNYL_2"/>
    <s v="Mambu/Base Sub-Catchment"/>
    <n v="11037.6"/>
  </r>
  <r>
    <x v="3"/>
    <s v="BUKOKORA"/>
    <s v="Public"/>
    <x v="0"/>
    <s v="Kamonyi"/>
    <s v="Rukoma"/>
    <s v="NNYL_2"/>
    <s v="Mambu/Base Sub-Catchment"/>
    <n v="630.72"/>
  </r>
  <r>
    <x v="3"/>
    <s v="SHYIRINDUGA KAVOGO"/>
    <s v="Public"/>
    <x v="0"/>
    <s v="Kamonyi"/>
    <s v="Rukoma"/>
    <s v="NNYL_2"/>
    <s v="Mambu/Base Sub-Catchment"/>
    <n v="315.36"/>
  </r>
  <r>
    <x v="3"/>
    <s v="KAGANGA"/>
    <s v="Public"/>
    <x v="0"/>
    <s v="Kamonyi"/>
    <s v="Rukoma"/>
    <s v="NNYL_2"/>
    <s v="Mambu/Base Sub-Catchment"/>
    <n v="4730.4000000000005"/>
  </r>
  <r>
    <x v="3"/>
    <s v="RWINGWE"/>
    <s v="Public"/>
    <x v="0"/>
    <s v="Kamonyi"/>
    <s v="Rukoma"/>
    <s v="NNYL_2"/>
    <s v="Mambu/Base Sub-Catchment"/>
    <n v="7884.0000000000009"/>
  </r>
  <r>
    <x v="3"/>
    <s v="MUKAGANGA"/>
    <s v="Public"/>
    <x v="0"/>
    <s v="Kamonyi"/>
    <s v="Rukoma"/>
    <s v="NNYL_2"/>
    <s v="Mambu/Base Sub-Catchment"/>
    <n v="7884.0000000000009"/>
  </r>
  <r>
    <x v="3"/>
    <s v="NTAMASHAKIRO"/>
    <s v="Public"/>
    <x v="0"/>
    <s v="Kamonyi"/>
    <s v="Rukoma"/>
    <s v="NNYL_2"/>
    <s v="Mambu/Base Sub-Catchment"/>
    <n v="9460.8000000000011"/>
  </r>
  <r>
    <x v="3"/>
    <s v="GASEKE"/>
    <s v="Public"/>
    <x v="0"/>
    <s v="Kamonyi"/>
    <s v="Rukoma"/>
    <s v="NNYL_2"/>
    <s v="Mambu/Base Sub-Catchment"/>
    <n v="126.14400000000001"/>
  </r>
  <r>
    <x v="3"/>
    <s v="GASHUBI"/>
    <s v="Public"/>
    <x v="0"/>
    <s v="Kamonyi"/>
    <s v="Rukoma"/>
    <s v="NNYL_2"/>
    <s v="Mambu/Base Sub-Catchment"/>
    <n v="9460.8000000000011"/>
  </r>
  <r>
    <x v="3"/>
    <s v="GACUNDURA"/>
    <s v="Public"/>
    <x v="0"/>
    <s v="Kamonyi"/>
    <s v="Rukoma"/>
    <s v="NNYL_2"/>
    <s v="Mambu/Base Sub-Catchment"/>
    <n v="315.36"/>
  </r>
  <r>
    <x v="3"/>
    <s v="MBIZI"/>
    <s v="Public"/>
    <x v="0"/>
    <s v="Kamonyi"/>
    <s v="Rukoma"/>
    <s v="NNYL_2"/>
    <s v="Mambu/Base Sub-Catchment"/>
    <n v="15768.000000000002"/>
  </r>
  <r>
    <x v="3"/>
    <s v="KABUYENGE"/>
    <s v="Public"/>
    <x v="0"/>
    <s v="Kamonyi"/>
    <s v="Rukoma"/>
    <s v="NNYL_2"/>
    <s v="Mambu/Base Sub-Catchment"/>
    <n v="473.04"/>
  </r>
  <r>
    <x v="3"/>
    <s v="RUBARE"/>
    <s v="Public"/>
    <x v="0"/>
    <s v="Kamonyi"/>
    <s v="Rukoma"/>
    <s v="NNYL_2"/>
    <s v="Mambu/Base Sub-Catchment"/>
    <n v="6307.2000000000007"/>
  </r>
  <r>
    <x v="3"/>
    <s v="NYAKAGEZI"/>
    <s v="Public"/>
    <x v="0"/>
    <s v="Kamonyi"/>
    <s v="Rukoma"/>
    <s v="NNYL_2"/>
    <s v="Mambu/Base Sub-Catchment"/>
    <n v="7884.0000000000009"/>
  </r>
  <r>
    <x v="3"/>
    <s v="GACUNCU"/>
    <s v="Public"/>
    <x v="0"/>
    <s v="Kamonyi"/>
    <s v="Rukoma"/>
    <s v="NNYL_2"/>
    <s v="Mambu/Base Sub-Catchment"/>
    <n v="15768.000000000002"/>
  </r>
  <r>
    <x v="3"/>
    <s v="RUDOVIKO"/>
    <s v="Public"/>
    <x v="0"/>
    <s v="Kamonyi"/>
    <s v="Rukoma"/>
    <s v="NNYL_2"/>
    <s v="Mambu/Base Sub-Catchment"/>
    <n v="141.91200000000001"/>
  </r>
  <r>
    <x v="3"/>
    <s v="NYAKAGEZI"/>
    <s v="Public"/>
    <x v="0"/>
    <s v="Kamonyi"/>
    <s v="Rukoma"/>
    <s v="NNYL_2"/>
    <s v="Mambu/Base Sub-Catchment"/>
    <n v="23652.000000000004"/>
  </r>
  <r>
    <x v="3"/>
    <s v="Kabwayi"/>
    <s v="Public"/>
    <x v="0"/>
    <s v="Rulindo"/>
    <s v="Rukozo"/>
    <s v="NNYL_2"/>
    <s v="Mambu/Base Sub-Catchment"/>
    <n v="946.08"/>
  </r>
  <r>
    <x v="3"/>
    <s v="Ncunguyinka"/>
    <s v="Public"/>
    <x v="0"/>
    <s v="Rulindo"/>
    <s v="Rukozo"/>
    <s v="NNYL_2"/>
    <s v="Mambu/Base Sub-Catchment"/>
    <n v="1892.16"/>
  </r>
  <r>
    <x v="3"/>
    <s v="Rwamanyege"/>
    <s v="Public"/>
    <x v="0"/>
    <s v="Rulindo"/>
    <s v="Rukozo"/>
    <s v="NNYL_2"/>
    <s v="Mambu/Base Sub-Catchment"/>
    <n v="2049.84"/>
  </r>
  <r>
    <x v="3"/>
    <s v="Ruzibaziba"/>
    <s v="Public"/>
    <x v="0"/>
    <s v="Rulindo"/>
    <s v="Rukozo"/>
    <s v="NNYL_2"/>
    <s v="Mambu/Base Sub-Catchment"/>
    <n v="1892.16"/>
  </r>
  <r>
    <x v="3"/>
    <s v="Kabukayire"/>
    <s v="Public"/>
    <x v="0"/>
    <s v="Rulindo"/>
    <s v="Rukozo"/>
    <s v="NNYL_2"/>
    <s v="Mambu/Base Sub-Catchment"/>
    <n v="1419.12"/>
  </r>
  <r>
    <x v="3"/>
    <s v="Rubagara"/>
    <s v="Public"/>
    <x v="0"/>
    <s v="Rulindo"/>
    <s v="Rukozo"/>
    <s v="NNYL_2"/>
    <s v="Mambu/Base Sub-Catchment"/>
    <n v="630.72"/>
  </r>
  <r>
    <x v="3"/>
    <s v="Ngendonziza"/>
    <s v="Public"/>
    <x v="0"/>
    <s v="Rulindo"/>
    <s v="Rukozo"/>
    <s v="NNYL_2"/>
    <s v="Mambu/Base Sub-Catchment"/>
    <n v="3153.6000000000004"/>
  </r>
  <r>
    <x v="3"/>
    <s v="kadogo"/>
    <s v="Public"/>
    <x v="0"/>
    <s v="Rulindo"/>
    <s v="Rukozo"/>
    <s v="NNYL_2"/>
    <s v="Mambu/Base Sub-Catchment"/>
    <n v="1103.7600000000002"/>
  </r>
  <r>
    <x v="3"/>
    <s v="Buraro"/>
    <s v="Public"/>
    <x v="0"/>
    <s v="Rulindo"/>
    <s v="Rukozo"/>
    <s v="NNYL_2"/>
    <s v="Mambu/Base Sub-Catchment"/>
    <n v="3153.6000000000004"/>
  </r>
  <r>
    <x v="3"/>
    <s v="Nyagahondo"/>
    <s v="Public"/>
    <x v="0"/>
    <s v="Rulindo"/>
    <s v="Rukozo"/>
    <s v="NNYL_2"/>
    <s v="Mambu/Base Sub-Catchment"/>
    <n v="3153.6000000000004"/>
  </r>
  <r>
    <x v="3"/>
    <s v="Kibareya I"/>
    <s v="Public"/>
    <x v="0"/>
    <s v="Rulindo"/>
    <s v="Rukozo"/>
    <s v="NNYL_2"/>
    <s v="Mambu/Base Sub-Catchment"/>
    <n v="788.40000000000009"/>
  </r>
  <r>
    <x v="3"/>
    <s v="Nyarutovu"/>
    <s v="Public"/>
    <x v="0"/>
    <s v="Rulindo"/>
    <s v="Rukozo"/>
    <s v="NNYL_2"/>
    <s v="Mambu/Base Sub-Catchment"/>
    <n v="7884.0000000000009"/>
  </r>
  <r>
    <x v="3"/>
    <s v="Nyamuhura"/>
    <s v="Public"/>
    <x v="0"/>
    <s v="Rulindo"/>
    <s v="Rukozo"/>
    <s v="NNYL_2"/>
    <s v="Mambu/Base Sub-Catchment"/>
    <n v="788.40000000000009"/>
  </r>
  <r>
    <x v="3"/>
    <s v="Iryamugeni"/>
    <s v="Public"/>
    <x v="0"/>
    <s v="Rulindo"/>
    <s v="Rukozo"/>
    <s v="NNYL_2"/>
    <s v="Mambu/Base Sub-Catchment"/>
    <n v="4572.72"/>
  </r>
  <r>
    <x v="3"/>
    <s v="Kivomo"/>
    <s v="Public"/>
    <x v="0"/>
    <s v="Rulindo"/>
    <s v="Rukozo"/>
    <s v="NNYL_2"/>
    <s v="Mambu/Base Sub-Catchment"/>
    <n v="788.40000000000009"/>
  </r>
  <r>
    <x v="3"/>
    <s v="Kabwiru"/>
    <s v="Public"/>
    <x v="0"/>
    <s v="Rulindo"/>
    <s v="Rukozo"/>
    <s v="NNYL_2"/>
    <s v="Mambu/Base Sub-Catchment"/>
    <n v="3153.6000000000004"/>
  </r>
  <r>
    <x v="3"/>
    <s v="Kabere"/>
    <s v="Public"/>
    <x v="0"/>
    <s v="Rulindo"/>
    <s v="Rukozo"/>
    <s v="NNYL_2"/>
    <s v="Mambu/Base Sub-Catchment"/>
    <n v="3153.6000000000004"/>
  </r>
  <r>
    <x v="3"/>
    <s v="Iryaruganzu"/>
    <s v="Public"/>
    <x v="0"/>
    <s v="Rulindo"/>
    <s v="Rukozo"/>
    <s v="NNYL_2"/>
    <s v="Mambu/Base Sub-Catchment"/>
    <n v="2522.88"/>
  </r>
  <r>
    <x v="3"/>
    <s v="Nyakabingo"/>
    <s v="Public"/>
    <x v="0"/>
    <s v="Rulindo"/>
    <s v="Rukozo"/>
    <s v="NNYL_2"/>
    <s v="Mambu/Base Sub-Catchment"/>
    <n v="3153.6000000000004"/>
  </r>
  <r>
    <x v="3"/>
    <s v="Ruzibaziba"/>
    <s v="Public"/>
    <x v="0"/>
    <s v="Rulindo"/>
    <s v="Rukozo"/>
    <s v="NNYL_2"/>
    <s v="Mambu/Base Sub-Catchment"/>
    <n v="1103.7600000000002"/>
  </r>
  <r>
    <x v="3"/>
    <s v="Shyondwe I"/>
    <s v="Public"/>
    <x v="0"/>
    <s v="Rulindo"/>
    <s v="Rukozo"/>
    <s v="NNYL_2"/>
    <s v="Mambu/Base Sub-Catchment"/>
    <n v="3153.6000000000004"/>
  </r>
  <r>
    <x v="3"/>
    <s v="Nyakarago"/>
    <s v="Public"/>
    <x v="0"/>
    <s v="Rulindo"/>
    <s v="Rukozo"/>
    <s v="NNYL_2"/>
    <s v="Mambu/Base Sub-Catchment"/>
    <n v="3153.6000000000004"/>
  </r>
  <r>
    <x v="3"/>
    <s v="Shyondwe II"/>
    <s v="Public"/>
    <x v="0"/>
    <s v="Rulindo"/>
    <s v="Rukozo"/>
    <s v="NNYL_2"/>
    <s v="Mambu/Base Sub-Catchment"/>
    <n v="788.40000000000009"/>
  </r>
  <r>
    <x v="3"/>
    <s v="Nyagatovu"/>
    <s v="Public"/>
    <x v="0"/>
    <s v="Rulindo"/>
    <s v="Rukozo"/>
    <s v="NNYL_2"/>
    <s v="Mambu/Base Sub-Catchment"/>
    <n v="3153.6000000000004"/>
  </r>
  <r>
    <x v="3"/>
    <s v="Mpongwiki"/>
    <s v="Public"/>
    <x v="0"/>
    <s v="Rulindo"/>
    <s v="Rukozo"/>
    <s v="NNYL_2"/>
    <s v="Mambu/Base Sub-Catchment"/>
    <n v="3153.6000000000004"/>
  </r>
  <r>
    <x v="3"/>
    <s v="Nyanza"/>
    <s v="Public"/>
    <x v="0"/>
    <s v="Rulindo"/>
    <s v="Rukozo"/>
    <s v="NNYL_2"/>
    <s v="Mambu/Base Sub-Catchment"/>
    <n v="630.72"/>
  </r>
  <r>
    <x v="3"/>
    <s v="Rusezero"/>
    <s v="Public"/>
    <x v="0"/>
    <s v="Rulindo"/>
    <s v="Rukozo"/>
    <s v="NNYL_2"/>
    <s v="Mambu/Base Sub-Catchment"/>
    <n v="1576.8000000000002"/>
  </r>
  <r>
    <x v="3"/>
    <s v="Murindi"/>
    <s v="Public"/>
    <x v="0"/>
    <s v="Rulindo"/>
    <s v="Rukozo"/>
    <s v="NNYL_2"/>
    <s v="Mambu/Base Sub-Catchment"/>
    <n v="946.08"/>
  </r>
  <r>
    <x v="3"/>
    <s v="Ryantsindiye"/>
    <s v="Public"/>
    <x v="0"/>
    <s v="Rulindo"/>
    <s v="Rukozo"/>
    <s v="NNYL_2"/>
    <s v="Mambu/Base Sub-Catchment"/>
    <n v="1734.4800000000002"/>
  </r>
  <r>
    <x v="3"/>
    <s v="Rwangamazi"/>
    <s v="Public"/>
    <x v="0"/>
    <s v="Rulindo"/>
    <s v="Rukozo"/>
    <s v="NNYL_2"/>
    <s v="Mambu/Base Sub-Catchment"/>
    <n v="1419.12"/>
  </r>
  <r>
    <x v="3"/>
    <s v="Bujanja"/>
    <s v="Public"/>
    <x v="0"/>
    <s v="Rulindo"/>
    <s v="Rukozo"/>
    <s v="NNYL_2"/>
    <s v="Mambu/Base Sub-Catchment"/>
    <n v="788.40000000000009"/>
  </r>
  <r>
    <x v="3"/>
    <s v="Mataba"/>
    <s v="Public"/>
    <x v="0"/>
    <s v="Rulindo"/>
    <s v="Rukozo"/>
    <s v="NNYL_2"/>
    <s v="Mambu/Base Sub-Catchment"/>
    <n v="473.04"/>
  </r>
  <r>
    <x v="3"/>
    <s v="Gahama"/>
    <s v="Public"/>
    <x v="0"/>
    <s v="Rulindo"/>
    <s v="Rukozo"/>
    <s v="NNYL_2"/>
    <s v="Mambu/Base Sub-Catchment"/>
    <n v="473.04"/>
  </r>
  <r>
    <x v="3"/>
    <s v="Nyagatovu"/>
    <s v="Public"/>
    <x v="0"/>
    <s v="Rulindo"/>
    <s v="Rukozo"/>
    <s v="NNYL_2"/>
    <s v="Mambu/Base Sub-Catchment"/>
    <n v="1261.44"/>
  </r>
  <r>
    <x v="3"/>
    <s v="Tumba"/>
    <s v="Public"/>
    <x v="0"/>
    <s v="Rulindo"/>
    <s v="Rukozo"/>
    <s v="NNYL_2"/>
    <s v="Mambu/Base Sub-Catchment"/>
    <n v="1103.7600000000002"/>
  </r>
  <r>
    <x v="3"/>
    <s v="Ruzibaziba"/>
    <s v="Public"/>
    <x v="0"/>
    <s v="Rulindo"/>
    <s v="Rukozo"/>
    <s v="NNYL_2"/>
    <s v="Mambu/Base Sub-Catchment"/>
    <n v="1261.44"/>
  </r>
  <r>
    <x v="3"/>
    <s v="Kinoni"/>
    <s v="Public"/>
    <x v="0"/>
    <s v="Rulindo"/>
    <s v="Rukozo"/>
    <s v="NNYL_2"/>
    <s v="Mambu/Base Sub-Catchment"/>
    <n v="473.04"/>
  </r>
  <r>
    <x v="3"/>
    <s v="Kabera"/>
    <s v="Public"/>
    <x v="0"/>
    <s v="Rulindo"/>
    <s v="Rukozo"/>
    <s v="NNYL_2"/>
    <s v="Mambu/Base Sub-Catchment"/>
    <n v="1576.8000000000002"/>
  </r>
  <r>
    <x v="3"/>
    <s v="Kanyendugu"/>
    <s v="Public"/>
    <x v="0"/>
    <s v="Rulindo"/>
    <s v="Rukozo"/>
    <s v="NNYL_2"/>
    <s v="Mambu/Base Sub-Catchment"/>
    <n v="6307.2000000000007"/>
  </r>
  <r>
    <x v="3"/>
    <s v="Semikizi"/>
    <s v="Public"/>
    <x v="0"/>
    <s v="Rulindo"/>
    <s v="Rukozo"/>
    <s v="NNYL_2"/>
    <s v="Mambu/Base Sub-Catchment"/>
    <n v="4730.4000000000005"/>
  </r>
  <r>
    <x v="3"/>
    <s v="Gitaraga"/>
    <s v="Public"/>
    <x v="0"/>
    <s v="Rulindo"/>
    <s v="Rukozo"/>
    <s v="NNYL_2"/>
    <s v="Mambu/Base Sub-Catchment"/>
    <n v="1103.7600000000002"/>
  </r>
  <r>
    <x v="3"/>
    <s v="Nyiramivumbi"/>
    <s v="Public"/>
    <x v="0"/>
    <s v="Rulindo"/>
    <s v="Rukozo"/>
    <s v="NNYL_2"/>
    <s v="Mambu/Base Sub-Catchment"/>
    <n v="1419.12"/>
  </r>
  <r>
    <x v="3"/>
    <s v="Nyakungo"/>
    <s v="Public"/>
    <x v="0"/>
    <s v="Rulindo"/>
    <s v="Rukozo"/>
    <s v="NNYL_2"/>
    <s v="Mambu/Base Sub-Catchment"/>
    <n v="1576.8000000000002"/>
  </r>
  <r>
    <x v="3"/>
    <s v="Nyagatovu II"/>
    <s v="Public"/>
    <x v="0"/>
    <s v="Rulindo"/>
    <s v="Rukozo"/>
    <s v="NNYL_2"/>
    <s v="Mambu/Base Sub-Catchment"/>
    <n v="315.36"/>
  </r>
  <r>
    <x v="3"/>
    <s v="Nyagatovu I"/>
    <s v="Public"/>
    <x v="0"/>
    <s v="Rulindo"/>
    <s v="Rukozo"/>
    <s v="NNYL_2"/>
    <s v="Mambu/Base Sub-Catchment"/>
    <n v="14191.2"/>
  </r>
  <r>
    <x v="3"/>
    <s v="Kadendegeri"/>
    <s v="Public"/>
    <x v="0"/>
    <s v="Rulindo"/>
    <s v="Rukozo"/>
    <s v="NNYL_2"/>
    <s v="Mambu/Base Sub-Catchment"/>
    <n v="1576.8000000000002"/>
  </r>
  <r>
    <x v="3"/>
    <s v="Gasharu"/>
    <s v="Public"/>
    <x v="0"/>
    <s v="Rulindo"/>
    <s v="Rukozo"/>
    <s v="NNYL_2"/>
    <s v="Mambu/Base Sub-Catchment"/>
    <n v="630.72"/>
  </r>
  <r>
    <x v="3"/>
    <s v="Bushyana"/>
    <s v="Public"/>
    <x v="0"/>
    <s v="Rulindo"/>
    <s v="Rukozo"/>
    <s v="NNYL_2"/>
    <s v="Mambu/Base Sub-Catchment"/>
    <n v="1576.8000000000002"/>
  </r>
  <r>
    <x v="3"/>
    <s v="Nyamugari"/>
    <s v="Public"/>
    <x v="0"/>
    <s v="Rulindo"/>
    <s v="Rukozo"/>
    <s v="NNYL_2"/>
    <s v="Mambu/Base Sub-Catchment"/>
    <n v="1261.44"/>
  </r>
  <r>
    <x v="3"/>
    <s v="Gitaraga"/>
    <s v="Public"/>
    <x v="0"/>
    <s v="Rulindo"/>
    <s v="Rukozo"/>
    <s v="NNYL_2"/>
    <s v="Mambu/Base Sub-Catchment"/>
    <n v="1261.44"/>
  </r>
  <r>
    <x v="3"/>
    <s v="Bushyana II"/>
    <s v="Public"/>
    <x v="0"/>
    <s v="Rulindo"/>
    <s v="Rukozo"/>
    <s v="NNYL_2"/>
    <s v="Mambu/Base Sub-Catchment"/>
    <n v="315.36"/>
  </r>
  <r>
    <x v="3"/>
    <s v="Nyakagezi I"/>
    <s v="Public"/>
    <x v="0"/>
    <s v="Rulindo"/>
    <s v="Rukozo"/>
    <s v="NNYL_2"/>
    <s v="Mambu/Base Sub-Catchment"/>
    <n v="788.40000000000009"/>
  </r>
  <r>
    <x v="3"/>
    <s v="Nyakagezi II"/>
    <s v="Public"/>
    <x v="0"/>
    <s v="Rulindo"/>
    <s v="Rukozo"/>
    <s v="NNYL_2"/>
    <s v="Mambu/Base Sub-Catchment"/>
    <n v="788.40000000000009"/>
  </r>
  <r>
    <x v="3"/>
    <s v="Gatiba"/>
    <s v="Public"/>
    <x v="0"/>
    <s v="Rulindo"/>
    <s v="Rukozo"/>
    <s v="NNYL_2"/>
    <s v="Mambu/Base Sub-Catchment"/>
    <n v="946.08"/>
  </r>
  <r>
    <x v="3"/>
    <s v="Kibareya  II"/>
    <s v="Public"/>
    <x v="0"/>
    <s v="Rulindo"/>
    <s v="Rukozo"/>
    <s v="NNYL_2"/>
    <s v="Mambu/Base Sub-Catchment"/>
    <n v="946.08"/>
  </r>
  <r>
    <x v="3"/>
    <s v="Gashinge"/>
    <s v="Public"/>
    <x v="0"/>
    <s v="Rulindo"/>
    <s v="Rukozo"/>
    <s v="NNYL_2"/>
    <s v="Mambu/Base Sub-Catchment"/>
    <n v="3153.6000000000004"/>
  </r>
  <r>
    <x v="3"/>
    <s v="KIVUMU"/>
    <s v="Public"/>
    <x v="0"/>
    <s v="Kamonyi"/>
    <s v="Runda"/>
    <s v="NNYL_2"/>
    <s v="Mambu/Base Sub-Catchment"/>
    <n v="5991.84"/>
  </r>
  <r>
    <x v="3"/>
    <s v="GAHAMA"/>
    <s v="Public"/>
    <x v="0"/>
    <s v="Kamonyi"/>
    <s v="Runda"/>
    <s v="NNYL_2"/>
    <s v="Mambu/Base Sub-Catchment"/>
    <n v="6464.88"/>
  </r>
  <r>
    <x v="3"/>
    <s v="MICANGA"/>
    <s v="Public"/>
    <x v="0"/>
    <s v="Kamonyi"/>
    <s v="Runda"/>
    <s v="NNYL_2"/>
    <s v="Mambu/Base Sub-Catchment"/>
    <n v="8199.36"/>
  </r>
  <r>
    <x v="3"/>
    <s v="GASITUMBONYE"/>
    <s v="Public"/>
    <x v="0"/>
    <s v="Kamonyi"/>
    <s v="Runda"/>
    <s v="NNYL_2"/>
    <s v="Mambu/Base Sub-Catchment"/>
    <n v="3942.0000000000005"/>
  </r>
  <r>
    <x v="3"/>
    <s v="GAKO"/>
    <s v="Public"/>
    <x v="0"/>
    <s v="Kamonyi"/>
    <s v="Runda"/>
    <s v="NNYL_2"/>
    <s v="Mambu/Base Sub-Catchment"/>
    <n v="0"/>
  </r>
  <r>
    <x v="3"/>
    <s v="NYARURE"/>
    <s v="Public"/>
    <x v="0"/>
    <s v="Kamonyi"/>
    <s v="Runda"/>
    <s v="NNYL_2"/>
    <s v="Mambu/Base Sub-Catchment"/>
    <n v="7095.6"/>
  </r>
  <r>
    <x v="3"/>
    <s v="KAZABAGARURA"/>
    <s v="Public"/>
    <x v="0"/>
    <s v="Kamonyi"/>
    <s v="Runda"/>
    <s v="NNYL_2"/>
    <s v="Mambu/Base Sub-Catchment"/>
    <n v="788.40000000000009"/>
  </r>
  <r>
    <x v="3"/>
    <s v="KIGANGAZI"/>
    <s v="Public"/>
    <x v="0"/>
    <s v="Kamonyi"/>
    <s v="Runda"/>
    <s v="NNYL_2"/>
    <s v="Mambu/Base Sub-Catchment"/>
    <n v="4730.4000000000005"/>
  </r>
  <r>
    <x v="3"/>
    <s v="NYEMANA"/>
    <s v="Public"/>
    <x v="0"/>
    <s v="Kamonyi"/>
    <s v="Runda"/>
    <s v="NNYL_2"/>
    <s v="Mambu/Base Sub-Catchment"/>
    <n v="1261.44"/>
  </r>
  <r>
    <x v="3"/>
    <s v="NYAKIRIBA III"/>
    <s v="Public"/>
    <x v="0"/>
    <s v="Kamonyi"/>
    <s v="Runda"/>
    <s v="NNYL_2"/>
    <s v="Mambu/Base Sub-Catchment"/>
    <n v="788.40000000000009"/>
  </r>
  <r>
    <x v="3"/>
    <s v="NYAKIRIBAII"/>
    <s v="Public"/>
    <x v="0"/>
    <s v="Kamonyi"/>
    <s v="Runda"/>
    <s v="NNYL_2"/>
    <s v="Mambu/Base Sub-Catchment"/>
    <n v="1892.16"/>
  </r>
  <r>
    <x v="3"/>
    <s v="NYAKIRIBA"/>
    <s v="Public"/>
    <x v="0"/>
    <s v="Kamonyi"/>
    <s v="Runda"/>
    <s v="NNYL_2"/>
    <s v="Mambu/Base Sub-Catchment"/>
    <n v="473.04"/>
  </r>
  <r>
    <x v="3"/>
    <s v="RUSAVE"/>
    <s v="Public"/>
    <x v="0"/>
    <s v="Kamonyi"/>
    <s v="Runda"/>
    <s v="NNYL_2"/>
    <s v="Mambu/Base Sub-Catchment"/>
    <n v="0"/>
  </r>
  <r>
    <x v="3"/>
    <s v="GAHAMA"/>
    <s v="Public"/>
    <x v="0"/>
    <s v="Kamonyi"/>
    <s v="Runda"/>
    <s v="NNYL_2"/>
    <s v="Mambu/Base Sub-Catchment"/>
    <n v="1734.4800000000002"/>
  </r>
  <r>
    <x v="3"/>
    <s v="NYABYUNYU"/>
    <s v="Public"/>
    <x v="0"/>
    <s v="Kamonyi"/>
    <s v="Runda"/>
    <s v="NNYL_2"/>
    <s v="Mambu/Base Sub-Catchment"/>
    <n v="630.72"/>
  </r>
  <r>
    <x v="3"/>
    <s v="GAHAMAII"/>
    <s v="Public"/>
    <x v="0"/>
    <s v="Kamonyi"/>
    <s v="Runda"/>
    <s v="NNYL_2"/>
    <s v="Mambu/Base Sub-Catchment"/>
    <n v="2207.5200000000004"/>
  </r>
  <r>
    <x v="3"/>
    <s v="RWABADEGE"/>
    <s v="Public"/>
    <x v="0"/>
    <s v="Kamonyi"/>
    <s v="Runda"/>
    <s v="NNYL_2"/>
    <s v="Mambu/Base Sub-Catchment"/>
    <n v="1151.0640000000001"/>
  </r>
  <r>
    <x v="3"/>
    <s v="KWABADEGE II"/>
    <s v="Public"/>
    <x v="0"/>
    <s v="Kamonyi"/>
    <s v="Runda"/>
    <s v="NNYL_2"/>
    <s v="Mambu/Base Sub-Catchment"/>
    <n v="946.08"/>
  </r>
  <r>
    <x v="3"/>
    <s v="CYOGO"/>
    <s v="Public"/>
    <x v="0"/>
    <s v="Kamonyi"/>
    <s v="Runda"/>
    <s v="NNYL_2"/>
    <s v="Mambu/Base Sub-Catchment"/>
    <n v="3784.32"/>
  </r>
  <r>
    <x v="3"/>
    <s v="BAKINAHE"/>
    <s v="Public"/>
    <x v="0"/>
    <s v="Kamonyi"/>
    <s v="Runda"/>
    <s v="NNYL_2"/>
    <s v="Mambu/Base Sub-Catchment"/>
    <n v="630.72"/>
  </r>
  <r>
    <x v="3"/>
    <s v="RWABIKABARI"/>
    <s v="Public"/>
    <x v="0"/>
    <s v="Kamonyi"/>
    <s v="Runda"/>
    <s v="NNYL_2"/>
    <s v="Mambu/Base Sub-Catchment"/>
    <n v="630.72"/>
  </r>
  <r>
    <x v="3"/>
    <s v="MWITE II"/>
    <s v="Public"/>
    <x v="0"/>
    <s v="Kamonyi"/>
    <s v="Runda"/>
    <s v="NNYL_2"/>
    <s v="Mambu/Base Sub-Catchment"/>
    <n v="12614.400000000001"/>
  </r>
  <r>
    <x v="3"/>
    <s v="MWITA I"/>
    <s v="Public"/>
    <x v="0"/>
    <s v="Kamonyi"/>
    <s v="Runda"/>
    <s v="NNYL_2"/>
    <s v="Mambu/Base Sub-Catchment"/>
    <n v="2207.5200000000004"/>
  </r>
  <r>
    <x v="3"/>
    <s v="GASHUBI"/>
    <s v="Public"/>
    <x v="0"/>
    <s v="Kamonyi"/>
    <s v="Runda"/>
    <s v="NNYL_2"/>
    <s v="Mambu/Base Sub-Catchment"/>
    <n v="1261.44"/>
  </r>
  <r>
    <x v="3"/>
    <s v="KABIRIZI"/>
    <s v="Public"/>
    <x v="0"/>
    <s v="Kamonyi"/>
    <s v="Runda"/>
    <s v="NNYL_2"/>
    <s v="Mambu/Base Sub-Catchment"/>
    <n v="1261.44"/>
  </r>
  <r>
    <x v="3"/>
    <s v="KABINGO"/>
    <s v="Public"/>
    <x v="0"/>
    <s v="Kamonyi"/>
    <s v="Runda"/>
    <s v="NNYL_2"/>
    <s v="Mambu/Base Sub-Catchment"/>
    <n v="473.04"/>
  </r>
  <r>
    <x v="3"/>
    <s v="BUGESERA"/>
    <s v="Public"/>
    <x v="0"/>
    <s v="Kamonyi"/>
    <s v="Runda"/>
    <s v="NNYL_2"/>
    <s v="Mambu/Base Sub-Catchment"/>
    <n v="630.72"/>
  </r>
  <r>
    <x v="3"/>
    <s v="Imberabyombi"/>
    <s v="Public"/>
    <x v="0"/>
    <s v="Rulindo"/>
    <s v="Shyorongi"/>
    <s v="NNYL_2"/>
    <s v="Mambu/Base Sub-Catchment"/>
    <n v="7410.9599999999991"/>
  </r>
  <r>
    <x v="3"/>
    <s v="Rwafuni"/>
    <s v="Public"/>
    <x v="0"/>
    <s v="Rulindo"/>
    <s v="Shyorongi"/>
    <s v="NNYL_2"/>
    <s v="Mambu/Base Sub-Catchment"/>
    <n v="5834.1600000000008"/>
  </r>
  <r>
    <x v="3"/>
    <s v="Rwakibogora"/>
    <s v="Public"/>
    <x v="0"/>
    <s v="Rulindo"/>
    <s v="Shyorongi"/>
    <s v="NNYL_2"/>
    <s v="Mambu/Base Sub-Catchment"/>
    <n v="7884.0000000000009"/>
  </r>
  <r>
    <x v="3"/>
    <s v="Mukivumu"/>
    <s v="Public"/>
    <x v="0"/>
    <s v="Rulindo"/>
    <s v="Shyorongi"/>
    <s v="NNYL_2"/>
    <s v="Mambu/Base Sub-Catchment"/>
    <n v="5045.76"/>
  </r>
  <r>
    <x v="3"/>
    <s v="Kivumu"/>
    <s v="Public"/>
    <x v="0"/>
    <s v="Rulindo"/>
    <s v="Shyorongi"/>
    <s v="NNYL_2"/>
    <s v="Mambu/Base Sub-Catchment"/>
    <n v="7568.64"/>
  </r>
  <r>
    <x v="3"/>
    <s v="Nyamutuku"/>
    <s v="Public"/>
    <x v="0"/>
    <s v="Rulindo"/>
    <s v="Shyorongi"/>
    <s v="NNYL_2"/>
    <s v="Mambu/Base Sub-Catchment"/>
    <n v="5045.76"/>
  </r>
  <r>
    <x v="3"/>
    <s v="Rungaga"/>
    <s v="Public"/>
    <x v="0"/>
    <s v="Rulindo"/>
    <s v="Shyorongi"/>
    <s v="NNYL_2"/>
    <s v="Mambu/Base Sub-Catchment"/>
    <n v="6149.5200000000013"/>
  </r>
  <r>
    <x v="3"/>
    <s v="Kamazinga"/>
    <s v="Public"/>
    <x v="0"/>
    <s v="Rulindo"/>
    <s v="Shyorongi"/>
    <s v="NNYL_2"/>
    <s v="Mambu/Base Sub-Catchment"/>
    <n v="4572.72"/>
  </r>
  <r>
    <x v="3"/>
    <s v="Ahimana"/>
    <s v="Public"/>
    <x v="0"/>
    <s v="Rulindo"/>
    <s v="Shyorongi"/>
    <s v="NNYL_2"/>
    <s v="Mambu/Base Sub-Catchment"/>
    <n v="5361.12"/>
  </r>
  <r>
    <x v="3"/>
    <s v="Gacubagiza"/>
    <s v="Public"/>
    <x v="0"/>
    <s v="Rulindo"/>
    <s v="Shyorongi"/>
    <s v="NNYL_2"/>
    <s v="Mambu/Base Sub-Catchment"/>
    <n v="4257.3600000000006"/>
  </r>
  <r>
    <x v="3"/>
    <s v="Nyakagezi"/>
    <s v="Public"/>
    <x v="0"/>
    <s v="Rulindo"/>
    <s v="Shyorongi"/>
    <s v="NNYL_2"/>
    <s v="Mambu/Base Sub-Catchment"/>
    <n v="4099.68"/>
  </r>
  <r>
    <x v="3"/>
    <s v="Nyakariba"/>
    <s v="Public"/>
    <x v="0"/>
    <s v="Rulindo"/>
    <s v="Shyorongi"/>
    <s v="NNYL_2"/>
    <s v="Mambu/Base Sub-Catchment"/>
    <n v="2680.56"/>
  </r>
  <r>
    <x v="3"/>
    <s v="Kamugezi"/>
    <s v="Public"/>
    <x v="0"/>
    <s v="Rulindo"/>
    <s v="Shyorongi"/>
    <s v="NNYL_2"/>
    <s v="Mambu/Base Sub-Catchment"/>
    <n v="788.40000000000009"/>
  </r>
  <r>
    <x v="3"/>
    <s v="Uwimfizi"/>
    <s v="Public"/>
    <x v="0"/>
    <s v="Rulindo"/>
    <s v="Shyorongi"/>
    <s v="NNYL_2"/>
    <s v="Mambu/Base Sub-Catchment"/>
    <n v="4888.0800000000008"/>
  </r>
  <r>
    <x v="3"/>
    <s v="Rwakabego"/>
    <s v="Public"/>
    <x v="0"/>
    <s v="Rulindo"/>
    <s v="Shyorongi"/>
    <s v="NNYL_2"/>
    <s v="Mambu/Base Sub-Catchment"/>
    <n v="788.40000000000009"/>
  </r>
  <r>
    <x v="3"/>
    <s v="Gatumba"/>
    <s v="Public"/>
    <x v="0"/>
    <s v="Rulindo"/>
    <s v="Shyorongi"/>
    <s v="NNYL_2"/>
    <s v="Mambu/Base Sub-Catchment"/>
    <n v="12141.36"/>
  </r>
  <r>
    <x v="3"/>
    <s v="Gahama"/>
    <s v="Public"/>
    <x v="0"/>
    <s v="Rulindo"/>
    <s v="Shyorongi"/>
    <s v="NNYL_2"/>
    <s v="Mambu/Base Sub-Catchment"/>
    <n v="10564.56"/>
  </r>
  <r>
    <x v="3"/>
    <s v="Nangurubibi"/>
    <s v="Public"/>
    <x v="0"/>
    <s v="Rulindo"/>
    <s v="Shyorongi"/>
    <s v="NNYL_2"/>
    <s v="Mambu/Base Sub-Catchment"/>
    <n v="2680.56"/>
  </r>
  <r>
    <x v="3"/>
    <s v="Ntabarwe"/>
    <s v="Public"/>
    <x v="0"/>
    <s v="Rulindo"/>
    <s v="Shyorongi"/>
    <s v="NNYL_2"/>
    <s v="Mambu/Base Sub-Catchment"/>
    <n v="6307.2000000000007"/>
  </r>
  <r>
    <x v="3"/>
    <s v="MUBASINGA"/>
    <s v="Public"/>
    <x v="0"/>
    <s v="Nyamagabe"/>
    <s v="Buruhukiro"/>
    <s v="NNYU_1"/>
    <s v="Mbirurume Sub-Catchment"/>
    <n v="1971.0000000000002"/>
  </r>
  <r>
    <x v="3"/>
    <s v="MURUKABA"/>
    <s v="Public"/>
    <x v="0"/>
    <s v="Nyamagabe"/>
    <s v="Buruhukiro"/>
    <s v="NNYU_1"/>
    <s v="Mbirurume Sub-Catchment"/>
    <n v="1734.4800000000002"/>
  </r>
  <r>
    <x v="3"/>
    <s v="GATARE2"/>
    <s v="Public"/>
    <x v="0"/>
    <s v="Nyamagabe"/>
    <s v="Buruhukiro"/>
    <s v="NNYU_1"/>
    <s v="Mbirurume Sub-Catchment"/>
    <n v="1971.0000000000002"/>
  </r>
  <r>
    <x v="3"/>
    <s v="BICYINYA"/>
    <s v="Public"/>
    <x v="0"/>
    <s v="Nyamagabe"/>
    <s v="Buruhukiro"/>
    <s v="NNYU_1"/>
    <s v="Mbirurume Sub-Catchment"/>
    <n v="525.07440000000008"/>
  </r>
  <r>
    <x v="3"/>
    <s v="MUYANGE"/>
    <s v="Public"/>
    <x v="0"/>
    <s v="Nyamagabe"/>
    <s v="Buruhukiro"/>
    <s v="NNYU_1"/>
    <s v="Mbirurume Sub-Catchment"/>
    <n v="1750.248"/>
  </r>
  <r>
    <x v="3"/>
    <s v="MPIMBA"/>
    <s v="Public"/>
    <x v="0"/>
    <s v="Nyamagabe"/>
    <s v="Buruhukiro"/>
    <s v="NNYU_1"/>
    <s v="Mbirurume Sub-Catchment"/>
    <n v="4367.7359999999999"/>
  </r>
  <r>
    <x v="3"/>
    <s v="RUSHUBI"/>
    <s v="Public"/>
    <x v="0"/>
    <s v="Nyamagabe"/>
    <s v="Buruhukiro"/>
    <s v="NNYU_1"/>
    <s v="Mbirurume Sub-Catchment"/>
    <n v="3942.0000000000005"/>
  </r>
  <r>
    <x v="3"/>
    <s v="KABERE"/>
    <s v="Public"/>
    <x v="0"/>
    <s v="Nyamagabe"/>
    <s v="Buruhukiro"/>
    <s v="NNYU_1"/>
    <s v="Mbirurume Sub-Catchment"/>
    <n v="1971.0000000000002"/>
  </r>
  <r>
    <x v="3"/>
    <s v="KWANTABUGI"/>
    <s v="Public"/>
    <x v="0"/>
    <s v="Nyamagabe"/>
    <s v="Buruhukiro"/>
    <s v="NNYU_1"/>
    <s v="Mbirurume Sub-Catchment"/>
    <n v="394.20000000000005"/>
  </r>
  <r>
    <x v="3"/>
    <s v="GATARE"/>
    <s v="Public"/>
    <x v="0"/>
    <s v="Nyamagabe"/>
    <s v="Buruhukiro"/>
    <s v="NNYU_1"/>
    <s v="Mbirurume Sub-Catchment"/>
    <n v="1750.248"/>
  </r>
  <r>
    <x v="3"/>
    <s v="GISARENDA"/>
    <s v="Public"/>
    <x v="0"/>
    <s v="Nyamagabe"/>
    <s v="Buruhukiro"/>
    <s v="NNYU_1"/>
    <s v="Mbirurume Sub-Catchment"/>
    <n v="1313.9474400000001"/>
  </r>
  <r>
    <x v="3"/>
    <s v="NYARUGEZI"/>
    <s v="Public"/>
    <x v="0"/>
    <s v="Nyamagabe"/>
    <s v="Buruhukiro"/>
    <s v="NNYU_1"/>
    <s v="Mbirurume Sub-Catchment"/>
    <n v="1971.0000000000002"/>
  </r>
  <r>
    <x v="3"/>
    <s v="GASHARU"/>
    <s v="Public"/>
    <x v="0"/>
    <s v="Nyamagabe"/>
    <s v="Buruhukiro"/>
    <s v="NNYU_1"/>
    <s v="Mbirurume Sub-Catchment"/>
    <n v="1971.0000000000002"/>
  </r>
  <r>
    <x v="3"/>
    <s v="GISTYO"/>
    <s v="Public"/>
    <x v="0"/>
    <s v="Nyamagabe"/>
    <s v="Buruhukiro"/>
    <s v="NNYU_1"/>
    <s v="Mbirurume Sub-Catchment"/>
    <n v="2317.8959999999997"/>
  </r>
  <r>
    <x v="3"/>
    <s v="KASENYANA"/>
    <s v="Public"/>
    <x v="0"/>
    <s v="Nyamagabe"/>
    <s v="Buruhukiro"/>
    <s v="NNYU_1"/>
    <s v="Mbirurume Sub-Catchment"/>
    <n v="1313.9474400000001"/>
  </r>
  <r>
    <x v="3"/>
    <s v="CYURUHURA"/>
    <s v="Public"/>
    <x v="0"/>
    <s v="Nyamagabe"/>
    <s v="Buruhukiro"/>
    <s v="NNYU_1"/>
    <s v="Mbirurume Sub-Catchment"/>
    <n v="2759.4"/>
  </r>
  <r>
    <x v="3"/>
    <s v="AKANYAGA"/>
    <s v="Public"/>
    <x v="0"/>
    <s v="Nyamagabe"/>
    <s v="Buruhukiro"/>
    <s v="NNYU_1"/>
    <s v="Mbirurume Sub-Catchment"/>
    <n v="2626.9488000000001"/>
  </r>
  <r>
    <x v="3"/>
    <s v="KAMAPFU"/>
    <s v="Public"/>
    <x v="0"/>
    <s v="Nyamagabe"/>
    <s v="Buruhukiro"/>
    <s v="NNYU_1"/>
    <s v="Mbirurume Sub-Catchment"/>
    <n v="1592.5680000000002"/>
  </r>
  <r>
    <x v="3"/>
    <s v="KABAYA"/>
    <s v="Public"/>
    <x v="0"/>
    <s v="Nyamagabe"/>
    <s v="Buruhukiro"/>
    <s v="NNYU_1"/>
    <s v="Mbirurume Sub-Catchment"/>
    <n v="2759.4"/>
  </r>
  <r>
    <x v="3"/>
    <s v="GASEBEYA"/>
    <s v="Public"/>
    <x v="0"/>
    <s v="Nyamagabe"/>
    <s v="Buruhukiro"/>
    <s v="NNYU_1"/>
    <s v="Mbirurume Sub-Catchment"/>
    <n v="525.07440000000008"/>
  </r>
  <r>
    <x v="3"/>
    <s v="KAZABAGARURA"/>
    <s v="Public"/>
    <x v="0"/>
    <s v="Nyamagabe"/>
    <s v="Buruhukiro"/>
    <s v="NNYU_1"/>
    <s v="Mbirurume Sub-Catchment"/>
    <n v="2759.4"/>
  </r>
  <r>
    <x v="3"/>
    <s v="NYAMUKANDA"/>
    <s v="Public"/>
    <x v="0"/>
    <s v="Nyamagabe"/>
    <s v="Buruhukiro"/>
    <s v="NNYU_1"/>
    <s v="Mbirurume Sub-Catchment"/>
    <n v="1592.5680000000002"/>
  </r>
  <r>
    <x v="3"/>
    <s v="GATARE"/>
    <s v="Public"/>
    <x v="0"/>
    <s v="Nyamagabe"/>
    <s v="Buruhukiro"/>
    <s v="NNYU_1"/>
    <s v="Mbirurume Sub-Catchment"/>
    <n v="3942.0000000000005"/>
  </r>
  <r>
    <x v="3"/>
    <s v="BAHOZE"/>
    <s v="Public"/>
    <x v="0"/>
    <s v="Nyamagabe"/>
    <s v="Buruhukiro"/>
    <s v="NNYU_1"/>
    <s v="Mbirurume Sub-Catchment"/>
    <n v="2627.8948800000003"/>
  </r>
  <r>
    <x v="3"/>
    <s v="NYAMYIJIMA"/>
    <s v="Public"/>
    <x v="0"/>
    <s v="Nyamagabe"/>
    <s v="Buruhukiro"/>
    <s v="NNYU_1"/>
    <s v="Mbirurume Sub-Catchment"/>
    <n v="2626.9488000000001"/>
  </r>
  <r>
    <x v="3"/>
    <s v="MIDENDE"/>
    <s v="Public"/>
    <x v="0"/>
    <s v="Nyamagabe"/>
    <s v="Buruhukiro"/>
    <s v="NNYU_1"/>
    <s v="Mbirurume Sub-Catchment"/>
    <n v="3942.0000000000005"/>
  </r>
  <r>
    <x v="3"/>
    <s v="KUKAMBA"/>
    <s v="Public"/>
    <x v="0"/>
    <s v="Nyamagabe"/>
    <s v="Buruhukiro"/>
    <s v="NNYU_1"/>
    <s v="Mbirurume Sub-Catchment"/>
    <n v="1813.32"/>
  </r>
  <r>
    <x v="3"/>
    <s v="MUGOTE"/>
    <s v="Public"/>
    <x v="0"/>
    <s v="Nyamagabe"/>
    <s v="Buruhukiro"/>
    <s v="NNYU_1"/>
    <s v="Mbirurume Sub-Catchment"/>
    <n v="2475.5760000000005"/>
  </r>
  <r>
    <x v="3"/>
    <s v="BAHORANYI"/>
    <s v="Public"/>
    <x v="0"/>
    <s v="Nyamagabe"/>
    <s v="Buruhukiro"/>
    <s v="NNYU_1"/>
    <s v="Mbirurume Sub-Catchment"/>
    <n v="1971.0000000000002"/>
  </r>
  <r>
    <x v="3"/>
    <s v="MUNGENDO"/>
    <s v="Public"/>
    <x v="0"/>
    <s v="Nyamagabe"/>
    <s v="Buruhukiro"/>
    <s v="NNYU_1"/>
    <s v="Mbirurume Sub-Catchment"/>
    <n v="3942.0000000000005"/>
  </r>
  <r>
    <x v="3"/>
    <s v="KIZENGA"/>
    <s v="Public"/>
    <x v="0"/>
    <s v="Nyamagabe"/>
    <s v="Buruhukiro"/>
    <s v="NNYU_1"/>
    <s v="Mbirurume Sub-Catchment"/>
    <n v="3942.0000000000005"/>
  </r>
  <r>
    <x v="3"/>
    <s v="CYIRARO"/>
    <s v="Public"/>
    <x v="0"/>
    <s v="Nyamagabe"/>
    <s v="Buruhukiro"/>
    <s v="NNYU_1"/>
    <s v="Mbirurume Sub-Catchment"/>
    <n v="2245.3631999999998"/>
  </r>
  <r>
    <x v="3"/>
    <s v="WIBISIGA"/>
    <s v="Public"/>
    <x v="0"/>
    <s v="Nyamagabe"/>
    <s v="Buruhukiro"/>
    <s v="NNYU_1"/>
    <s v="Mbirurume Sub-Catchment"/>
    <n v="2627.8948800000003"/>
  </r>
  <r>
    <x v="3"/>
    <s v="KAZABAGARURA"/>
    <s v="Public"/>
    <x v="0"/>
    <s v="Nyamagabe"/>
    <s v="Buruhukiro"/>
    <s v="NNYU_1"/>
    <s v="Mbirurume Sub-Catchment"/>
    <n v="2626.9488000000001"/>
  </r>
  <r>
    <x v="3"/>
    <s v="KIBYAGIRA"/>
    <s v="Public"/>
    <x v="0"/>
    <s v="Nyamagabe"/>
    <s v="Buruhukiro"/>
    <s v="NNYU_1"/>
    <s v="Mbirurume Sub-Catchment"/>
    <n v="1971.0000000000002"/>
  </r>
  <r>
    <x v="3"/>
    <s v="WAKIBURI"/>
    <s v="Public"/>
    <x v="0"/>
    <s v="Nyamagabe"/>
    <s v="Buruhukiro"/>
    <s v="NNYU_1"/>
    <s v="Mbirurume Sub-Catchment"/>
    <n v="1592.5680000000002"/>
  </r>
  <r>
    <x v="3"/>
    <s v="RAGIHUNGO"/>
    <s v="Public"/>
    <x v="0"/>
    <s v="Nyamagabe"/>
    <s v="Buruhukiro"/>
    <s v="NNYU_1"/>
    <s v="Mbirurume Sub-Catchment"/>
    <n v="2475.5760000000005"/>
  </r>
  <r>
    <x v="3"/>
    <s v="RYAMUKARA"/>
    <s v="Public"/>
    <x v="0"/>
    <s v="Nyamagabe"/>
    <s v="Buruhukiro"/>
    <s v="NNYU_1"/>
    <s v="Mbirurume Sub-Catchment"/>
    <n v="2759.4"/>
  </r>
  <r>
    <x v="3"/>
    <s v="WAMUBUGA"/>
    <s v="Public"/>
    <x v="0"/>
    <s v="Nyamagabe"/>
    <s v="Buruhukiro"/>
    <s v="NNYU_1"/>
    <s v="Mbirurume Sub-Catchment"/>
    <n v="1313.9474400000001"/>
  </r>
  <r>
    <x v="3"/>
    <s v="MINAGI"/>
    <s v="Public"/>
    <x v="0"/>
    <s v="Nyamagabe"/>
    <s v="Buruhukiro"/>
    <s v="NNYU_1"/>
    <s v="Mbirurume Sub-Catchment"/>
    <n v="1592.5680000000002"/>
  </r>
  <r>
    <x v="3"/>
    <s v="WABIDUDU"/>
    <s v="Public"/>
    <x v="0"/>
    <s v="Nyamagabe"/>
    <s v="Buruhukiro"/>
    <s v="NNYU_1"/>
    <s v="Mbirurume Sub-Catchment"/>
    <n v="2627.8948800000003"/>
  </r>
  <r>
    <x v="3"/>
    <s v="GAKARARE2"/>
    <s v="Public"/>
    <x v="0"/>
    <s v="Nyamagabe"/>
    <s v="Buruhukiro"/>
    <s v="NNYU_1"/>
    <s v="Mbirurume Sub-Catchment"/>
    <n v="1971.0000000000002"/>
  </r>
  <r>
    <x v="3"/>
    <s v="WANIREMA"/>
    <s v="Public"/>
    <x v="0"/>
    <s v="Nyamagabe"/>
    <s v="Buruhukiro"/>
    <s v="NNYU_1"/>
    <s v="Mbirurume Sub-Catchment"/>
    <n v="525.54744000000005"/>
  </r>
  <r>
    <x v="3"/>
    <s v="SEKIDENDE"/>
    <s v="Public"/>
    <x v="0"/>
    <s v="Nyamagabe"/>
    <s v="Buruhukiro"/>
    <s v="NNYU_1"/>
    <s v="Mbirurume Sub-Catchment"/>
    <n v="2617.4880000000003"/>
  </r>
  <r>
    <x v="3"/>
    <s v="GIKANGAGA"/>
    <s v="Public"/>
    <x v="0"/>
    <s v="Nyamagabe"/>
    <s v="Buruhukiro"/>
    <s v="NNYU_1"/>
    <s v="Mbirurume Sub-Catchment"/>
    <n v="1971.0000000000002"/>
  </r>
  <r>
    <x v="3"/>
    <s v="GISHWATI"/>
    <s v="Public"/>
    <x v="0"/>
    <s v="Nyamagabe"/>
    <s v="Buruhukiro"/>
    <s v="NNYU_1"/>
    <s v="Mbirurume Sub-Catchment"/>
    <n v="1592.5680000000002"/>
  </r>
  <r>
    <x v="3"/>
    <s v="GAKARARE"/>
    <s v="Public"/>
    <x v="0"/>
    <s v="Nyamagabe"/>
    <s v="Buruhukiro"/>
    <s v="NNYU_1"/>
    <s v="Mbirurume Sub-Catchment"/>
    <n v="2617.4880000000003"/>
  </r>
  <r>
    <x v="3"/>
    <s v="MBARWA"/>
    <s v="Public"/>
    <x v="0"/>
    <s v="Nyamagabe"/>
    <s v="Buruhukiro"/>
    <s v="NNYU_1"/>
    <s v="Mbirurume Sub-Catchment"/>
    <n v="1592.5680000000002"/>
  </r>
  <r>
    <x v="3"/>
    <s v="MUJERENGE"/>
    <s v="Public"/>
    <x v="0"/>
    <s v="Nyamagabe"/>
    <s v="Buruhukiro"/>
    <s v="NNYU_1"/>
    <s v="Mbirurume Sub-Catchment"/>
    <n v="1971.0000000000002"/>
  </r>
  <r>
    <x v="3"/>
    <s v="MUNIGI"/>
    <s v="Public"/>
    <x v="0"/>
    <s v="Nyamagabe"/>
    <s v="Buruhukiro"/>
    <s v="NNYU_1"/>
    <s v="Mbirurume Sub-Catchment"/>
    <n v="2617.4880000000003"/>
  </r>
  <r>
    <x v="3"/>
    <s v="KABUYE"/>
    <s v="Public"/>
    <x v="0"/>
    <s v="Nyamagabe"/>
    <s v="Buruhukiro"/>
    <s v="NNYU_1"/>
    <s v="Mbirurume Sub-Catchment"/>
    <n v="2759.4"/>
  </r>
  <r>
    <x v="3"/>
    <s v="MUTUZO"/>
    <s v="Public"/>
    <x v="0"/>
    <s v="Nyamagabe"/>
    <s v="Buruhukiro"/>
    <s v="NNYU_1"/>
    <s v="Mbirurume Sub-Catchment"/>
    <n v="1313.9474400000001"/>
  </r>
  <r>
    <x v="3"/>
    <s v="MATSINDA"/>
    <s v="Public"/>
    <x v="0"/>
    <s v="Nyamagabe"/>
    <s v="Buruhukiro"/>
    <s v="NNYU_1"/>
    <s v="Mbirurume Sub-Catchment"/>
    <n v="2626.9488000000001"/>
  </r>
  <r>
    <x v="3"/>
    <s v="RYABIKOMA"/>
    <s v="Public"/>
    <x v="0"/>
    <s v="Nyamagabe"/>
    <s v="Buruhukiro"/>
    <s v="NNYU_1"/>
    <s v="Mbirurume Sub-Catchment"/>
    <n v="3942.0000000000005"/>
  </r>
  <r>
    <x v="3"/>
    <s v="KAGANO"/>
    <s v="Public"/>
    <x v="0"/>
    <s v="Nyamagabe"/>
    <s v="Buruhukiro"/>
    <s v="NNYU_1"/>
    <s v="Mbirurume Sub-Catchment"/>
    <n v="1592.5680000000002"/>
  </r>
  <r>
    <x v="3"/>
    <s v="KABINGO"/>
    <s v="Public"/>
    <x v="0"/>
    <s v="Nyamagabe"/>
    <s v="Buruhukiro"/>
    <s v="NNYU_1"/>
    <s v="Mbirurume Sub-Catchment"/>
    <n v="1592.5680000000002"/>
  </r>
  <r>
    <x v="3"/>
    <s v="CYINGOMA"/>
    <s v="Public"/>
    <x v="0"/>
    <s v="Nyamagabe"/>
    <s v="Buruhukiro"/>
    <s v="NNYU_1"/>
    <s v="Mbirurume Sub-Catchment"/>
    <n v="1971.0000000000002"/>
  </r>
  <r>
    <x v="3"/>
    <s v="CYINGOMA2"/>
    <s v="Public"/>
    <x v="0"/>
    <s v="Nyamagabe"/>
    <s v="Buruhukiro"/>
    <s v="NNYU_1"/>
    <s v="Mbirurume Sub-Catchment"/>
    <n v="2617.4880000000003"/>
  </r>
  <r>
    <x v="3"/>
    <s v="NYIRAMAZI"/>
    <s v="Public"/>
    <x v="0"/>
    <s v="Nyamagabe"/>
    <s v="Buruhukiro"/>
    <s v="NNYU_1"/>
    <s v="Mbirurume Sub-Catchment"/>
    <n v="1971.0000000000002"/>
  </r>
  <r>
    <x v="3"/>
    <s v="RUGETI"/>
    <s v="Public"/>
    <x v="0"/>
    <s v="Nyamagabe"/>
    <s v="Buruhukiro"/>
    <s v="NNYU_1"/>
    <s v="Mbirurume Sub-Catchment"/>
    <n v="1971.0000000000002"/>
  </r>
  <r>
    <x v="3"/>
    <s v="KURUCYE"/>
    <s v="Public"/>
    <x v="0"/>
    <s v="Nyamagabe"/>
    <s v="Buruhukiro"/>
    <s v="NNYU_1"/>
    <s v="Mbirurume Sub-Catchment"/>
    <n v="1971.0000000000002"/>
  </r>
  <r>
    <x v="3"/>
    <s v="UWURUTARE"/>
    <s v="Public"/>
    <x v="0"/>
    <s v="Nyamagabe"/>
    <s v="Buruhukiro"/>
    <s v="NNYU_1"/>
    <s v="Mbirurume Sub-Catchment"/>
    <n v="1971.0000000000002"/>
  </r>
  <r>
    <x v="3"/>
    <s v="RAMAJORO"/>
    <s v="Public"/>
    <x v="0"/>
    <s v="Nyamagabe"/>
    <s v="Buruhukiro"/>
    <s v="NNYU_1"/>
    <s v="Mbirurume Sub-Catchment"/>
    <n v="2759.4"/>
  </r>
  <r>
    <x v="3"/>
    <s v="MIRONZI"/>
    <s v="Public"/>
    <x v="0"/>
    <s v="Nyamagabe"/>
    <s v="Buruhukiro"/>
    <s v="NNYU_1"/>
    <s v="Mbirurume Sub-Catchment"/>
    <n v="4336.2000000000007"/>
  </r>
  <r>
    <x v="3"/>
    <s v="RWURI"/>
    <s v="Public"/>
    <x v="0"/>
    <s v="Nyamagabe"/>
    <s v="Buruhukiro"/>
    <s v="NNYU_1"/>
    <s v="Mbirurume Sub-Catchment"/>
    <n v="1750.248"/>
  </r>
  <r>
    <x v="3"/>
    <s v="GIHUNGA"/>
    <s v="Public"/>
    <x v="0"/>
    <s v="Nyamagabe"/>
    <s v="Buruhukiro"/>
    <s v="NNYU_1"/>
    <s v="Mbirurume Sub-Catchment"/>
    <n v="1971.0000000000002"/>
  </r>
  <r>
    <x v="3"/>
    <s v="KABIRA"/>
    <s v="Public"/>
    <x v="0"/>
    <s v="Karongi"/>
    <s v="Gashari"/>
    <s v="NNYU_1"/>
    <s v="Mbirurume Sub-Catchment"/>
    <n v="1419.12"/>
  </r>
  <r>
    <x v="3"/>
    <s v="KANOBE"/>
    <s v="Public"/>
    <x v="0"/>
    <s v="Karongi"/>
    <s v="Gashari"/>
    <s v="NNYU_1"/>
    <s v="Mbirurume Sub-Catchment"/>
    <n v="3311.2799999999997"/>
  </r>
  <r>
    <x v="3"/>
    <s v="GASHYAMBA"/>
    <s v="Public"/>
    <x v="0"/>
    <s v="Karongi"/>
    <s v="Gashari"/>
    <s v="NNYU_1"/>
    <s v="Mbirurume Sub-Catchment"/>
    <n v="35162.640000000007"/>
  </r>
  <r>
    <x v="3"/>
    <s v="KAGURUBE"/>
    <s v="Public"/>
    <x v="0"/>
    <s v="Karongi"/>
    <s v="Gashari"/>
    <s v="NNYU_1"/>
    <s v="Mbirurume Sub-Catchment"/>
    <n v="1734.4800000000002"/>
  </r>
  <r>
    <x v="3"/>
    <s v="MURUBINGO"/>
    <s v="Public"/>
    <x v="0"/>
    <s v="Karongi"/>
    <s v="Gashari"/>
    <s v="NNYU_1"/>
    <s v="Mbirurume Sub-Catchment"/>
    <n v="2365.2000000000003"/>
  </r>
  <r>
    <x v="3"/>
    <s v="RUGOMERO"/>
    <s v="Public"/>
    <x v="0"/>
    <s v="Karongi"/>
    <s v="Gashari"/>
    <s v="NNYU_1"/>
    <s v="Mbirurume Sub-Catchment"/>
    <n v="2838.24"/>
  </r>
  <r>
    <x v="3"/>
    <s v="KIMIZINGA"/>
    <s v="Public"/>
    <x v="0"/>
    <s v="Karongi"/>
    <s v="Gashari"/>
    <s v="NNYU_1"/>
    <s v="Mbirurume Sub-Catchment"/>
    <n v="1734.4800000000002"/>
  </r>
  <r>
    <x v="3"/>
    <s v="BYIMANA"/>
    <s v="Public"/>
    <x v="0"/>
    <s v="Karongi"/>
    <s v="Gashari"/>
    <s v="NNYU_1"/>
    <s v="Mbirurume Sub-Catchment"/>
    <n v="1261.44"/>
  </r>
  <r>
    <x v="3"/>
    <s v="MUKABIRA"/>
    <s v="Public"/>
    <x v="0"/>
    <s v="Karongi"/>
    <s v="Gashari"/>
    <s v="NNYU_1"/>
    <s v="Mbirurume Sub-Catchment"/>
    <n v="1576.8000000000002"/>
  </r>
  <r>
    <x v="3"/>
    <s v="CYAHAFI II"/>
    <s v="Public"/>
    <x v="0"/>
    <s v="Karongi"/>
    <s v="Gashari"/>
    <s v="NNYU_1"/>
    <s v="Mbirurume Sub-Catchment"/>
    <n v="2680.56"/>
  </r>
  <r>
    <x v="3"/>
    <s v="RUMURI"/>
    <s v="Public"/>
    <x v="0"/>
    <s v="Karongi"/>
    <s v="Gashari"/>
    <s v="NNYU_1"/>
    <s v="Mbirurume Sub-Catchment"/>
    <n v="2522.88"/>
  </r>
  <r>
    <x v="3"/>
    <s v="RYARUBANGO"/>
    <s v="Public"/>
    <x v="0"/>
    <s v="Karongi"/>
    <s v="Gashari"/>
    <s v="NNYU_1"/>
    <s v="Mbirurume Sub-Catchment"/>
    <n v="2049.84"/>
  </r>
  <r>
    <x v="3"/>
    <s v="NYABIHANGA"/>
    <s v="Public"/>
    <x v="0"/>
    <s v="Karongi"/>
    <s v="Gashari"/>
    <s v="NNYU_1"/>
    <s v="Mbirurume Sub-Catchment"/>
    <n v="1419.12"/>
  </r>
  <r>
    <x v="3"/>
    <s v="MUGAHAMA"/>
    <s v="Public"/>
    <x v="0"/>
    <s v="Karongi"/>
    <s v="Gashari"/>
    <s v="NNYU_1"/>
    <s v="Mbirurume Sub-Catchment"/>
    <n v="3784.32"/>
  </r>
  <r>
    <x v="3"/>
    <s v="MUGOZI"/>
    <s v="Public"/>
    <x v="0"/>
    <s v="Karongi"/>
    <s v="Gashari"/>
    <s v="NNYU_1"/>
    <s v="Mbirurume Sub-Catchment"/>
    <n v="1576.8000000000002"/>
  </r>
  <r>
    <x v="3"/>
    <s v="RWAMAKOMA"/>
    <s v="Public"/>
    <x v="0"/>
    <s v="Karongi"/>
    <s v="Gashari"/>
    <s v="NNYU_1"/>
    <s v="Mbirurume Sub-Catchment"/>
    <n v="1576.8000000000002"/>
  </r>
  <r>
    <x v="3"/>
    <s v="MUBAHONDE"/>
    <s v="Public"/>
    <x v="0"/>
    <s v="Karongi"/>
    <s v="Gashari"/>
    <s v="NNYU_1"/>
    <s v="Mbirurume Sub-Catchment"/>
    <n v="3784.32"/>
  </r>
  <r>
    <x v="3"/>
    <s v="NYAMUGARI"/>
    <s v="Public"/>
    <x v="0"/>
    <s v="Karongi"/>
    <s v="Gashari"/>
    <s v="NNYU_1"/>
    <s v="Mbirurume Sub-Catchment"/>
    <n v="2365.2000000000003"/>
  </r>
  <r>
    <x v="3"/>
    <s v="GASEKE II"/>
    <s v="Public"/>
    <x v="0"/>
    <s v="Karongi"/>
    <s v="Gashari"/>
    <s v="NNYU_1"/>
    <s v="Mbirurume Sub-Catchment"/>
    <n v="1419.12"/>
  </r>
  <r>
    <x v="3"/>
    <s v="NYIRANTARENGWA"/>
    <s v="Public"/>
    <x v="0"/>
    <s v="Karongi"/>
    <s v="Gashari"/>
    <s v="NNYU_1"/>
    <s v="Mbirurume Sub-Catchment"/>
    <n v="4099.68"/>
  </r>
  <r>
    <x v="3"/>
    <s v="GASEKE III"/>
    <s v="Public"/>
    <x v="0"/>
    <s v="Karongi"/>
    <s v="Gashari"/>
    <s v="NNYU_1"/>
    <s v="Mbirurume Sub-Catchment"/>
    <n v="2365.2000000000003"/>
  </r>
  <r>
    <x v="3"/>
    <s v="GASEKE"/>
    <s v="Public"/>
    <x v="0"/>
    <s v="Karongi"/>
    <s v="Gashari"/>
    <s v="NNYU_1"/>
    <s v="Mbirurume Sub-Catchment"/>
    <n v="1261.44"/>
  </r>
  <r>
    <x v="3"/>
    <s v="RUKOMA II"/>
    <s v="Public"/>
    <x v="0"/>
    <s v="Karongi"/>
    <s v="Gashari"/>
    <s v="NNYU_1"/>
    <s v="Mbirurume Sub-Catchment"/>
    <n v="4730.4000000000005"/>
  </r>
  <r>
    <x v="3"/>
    <s v="KAMIGAMBI"/>
    <s v="Public"/>
    <x v="0"/>
    <s v="Karongi"/>
    <s v="Gashari"/>
    <s v="NNYU_1"/>
    <s v="Mbirurume Sub-Catchment"/>
    <n v="3153.6000000000004"/>
  </r>
  <r>
    <x v="3"/>
    <s v="CYAHAFI"/>
    <s v="Public"/>
    <x v="0"/>
    <s v="Karongi"/>
    <s v="Gashari"/>
    <s v="NNYU_1"/>
    <s v="Mbirurume Sub-Catchment"/>
    <n v="3153.6000000000004"/>
  </r>
  <r>
    <x v="3"/>
    <s v="KANAGE"/>
    <s v="Public"/>
    <x v="0"/>
    <s v="Karongi"/>
    <s v="Gashari"/>
    <s v="NNYU_1"/>
    <s v="Mbirurume Sub-Catchment"/>
    <n v="1576.8000000000002"/>
  </r>
  <r>
    <x v="3"/>
    <s v="MUKABINGO"/>
    <s v="Public"/>
    <x v="0"/>
    <s v="Karongi"/>
    <s v="Gashari"/>
    <s v="NNYU_1"/>
    <s v="Mbirurume Sub-Catchment"/>
    <n v="3626.64"/>
  </r>
  <r>
    <x v="3"/>
    <s v="RWIMPIRI"/>
    <s v="Public"/>
    <x v="0"/>
    <s v="Karongi"/>
    <s v="Gashari"/>
    <s v="NNYU_1"/>
    <s v="Mbirurume Sub-Catchment"/>
    <n v="1892.16"/>
  </r>
  <r>
    <x v="3"/>
    <s v="RYANYIRARUGABA"/>
    <s v="Public"/>
    <x v="0"/>
    <s v="Karongi"/>
    <s v="Gashari"/>
    <s v="NNYU_1"/>
    <s v="Mbirurume Sub-Catchment"/>
    <n v="2049.84"/>
  </r>
  <r>
    <x v="3"/>
    <s v="RUSAYO"/>
    <s v="Public"/>
    <x v="0"/>
    <s v="Karongi"/>
    <s v="Gashari"/>
    <s v="NNYU_1"/>
    <s v="Mbirurume Sub-Catchment"/>
    <n v="1892.16"/>
  </r>
  <r>
    <x v="3"/>
    <s v="RUKOMA III"/>
    <s v="Public"/>
    <x v="0"/>
    <s v="Karongi"/>
    <s v="Gashari"/>
    <s v="NNYU_1"/>
    <s v="Mbirurume Sub-Catchment"/>
    <n v="1734.4800000000002"/>
  </r>
  <r>
    <x v="3"/>
    <s v="RUSAYO"/>
    <s v="Public"/>
    <x v="0"/>
    <s v="Karongi"/>
    <s v="Gashari"/>
    <s v="NNYU_1"/>
    <s v="Mbirurume Sub-Catchment"/>
    <n v="1419.12"/>
  </r>
  <r>
    <x v="3"/>
    <s v="NYAMUMIRA"/>
    <s v="Public"/>
    <x v="0"/>
    <s v="Karongi"/>
    <s v="Gashari"/>
    <s v="NNYU_1"/>
    <s v="Mbirurume Sub-Catchment"/>
    <n v="1576.8000000000002"/>
  </r>
  <r>
    <x v="3"/>
    <s v="KURUSENGERO"/>
    <s v="Public"/>
    <x v="0"/>
    <s v="Karongi"/>
    <s v="Gashari"/>
    <s v="NNYU_1"/>
    <s v="Mbirurume Sub-Catchment"/>
    <n v="1576.8000000000002"/>
  </r>
  <r>
    <x v="3"/>
    <s v="KABAKOBWA"/>
    <s v="Public"/>
    <x v="0"/>
    <s v="Karongi"/>
    <s v="Gashari"/>
    <s v="NNYU_1"/>
    <s v="Mbirurume Sub-Catchment"/>
    <n v="1261.44"/>
  </r>
  <r>
    <x v="3"/>
    <s v="KIZIBAZIBA"/>
    <s v="Public"/>
    <x v="0"/>
    <s v="Karongi"/>
    <s v="Gashari"/>
    <s v="NNYU_1"/>
    <s v="Mbirurume Sub-Catchment"/>
    <n v="2049.84"/>
  </r>
  <r>
    <x v="3"/>
    <s v="GASHYUHA"/>
    <s v="Public"/>
    <x v="0"/>
    <s v="Karongi"/>
    <s v="Gashari"/>
    <s v="NNYU_1"/>
    <s v="Mbirurume Sub-Catchment"/>
    <n v="2207.5200000000004"/>
  </r>
  <r>
    <x v="3"/>
    <s v="NYANTANGO"/>
    <s v="Public"/>
    <x v="0"/>
    <s v="Karongi"/>
    <s v="Gashari"/>
    <s v="NNYU_1"/>
    <s v="Mbirurume Sub-Catchment"/>
    <n v="1419.12"/>
  </r>
  <r>
    <x v="3"/>
    <s v="NZABUHARAYE"/>
    <s v="Public"/>
    <x v="0"/>
    <s v="Karongi"/>
    <s v="Gashari"/>
    <s v="NNYU_1"/>
    <s v="Mbirurume Sub-Catchment"/>
    <n v="3153.6000000000004"/>
  </r>
  <r>
    <x v="3"/>
    <s v="MUNIGI"/>
    <s v="Public"/>
    <x v="0"/>
    <s v="Karongi"/>
    <s v="Gashari"/>
    <s v="NNYU_1"/>
    <s v="Mbirurume Sub-Catchment"/>
    <n v="1892.16"/>
  </r>
  <r>
    <x v="3"/>
    <s v="KIMISANGE"/>
    <s v="Public"/>
    <x v="0"/>
    <s v="Karongi"/>
    <s v="Gashari"/>
    <s v="NNYU_1"/>
    <s v="Mbirurume Sub-Catchment"/>
    <n v="1419.12"/>
  </r>
  <r>
    <x v="3"/>
    <s v="GASURA"/>
    <s v="Public"/>
    <x v="0"/>
    <s v="Karongi"/>
    <s v="Gashari"/>
    <s v="NNYU_1"/>
    <s v="Mbirurume Sub-Catchment"/>
    <n v="1497.96"/>
  </r>
  <r>
    <x v="3"/>
    <s v="MUGIKUKU"/>
    <s v="Public"/>
    <x v="0"/>
    <s v="Karongi"/>
    <s v="Gashari"/>
    <s v="NNYU_1"/>
    <s v="Mbirurume Sub-Catchment"/>
    <n v="1576.8000000000002"/>
  </r>
  <r>
    <x v="3"/>
    <s v="MUNYEGE"/>
    <s v="Public"/>
    <x v="0"/>
    <s v="Karongi"/>
    <s v="Gashari"/>
    <s v="NNYU_1"/>
    <s v="Mbirurume Sub-Catchment"/>
    <n v="1576.8000000000002"/>
  </r>
  <r>
    <x v="3"/>
    <s v="REMERA"/>
    <s v="Public"/>
    <x v="0"/>
    <s v="Karongi"/>
    <s v="Gashari"/>
    <s v="NNYU_1"/>
    <s v="Mbirurume Sub-Catchment"/>
    <n v="1892.16"/>
  </r>
  <r>
    <x v="3"/>
    <s v="BIHONDOHONDO"/>
    <s v="Public"/>
    <x v="0"/>
    <s v="Karongi"/>
    <s v="Gashari"/>
    <s v="NNYU_1"/>
    <s v="Mbirurume Sub-Catchment"/>
    <n v="1419.12"/>
  </r>
  <r>
    <x v="3"/>
    <s v="KARAMBO"/>
    <s v="Public"/>
    <x v="0"/>
    <s v="Karongi"/>
    <s v="Gashari"/>
    <s v="NNYU_1"/>
    <s v="Mbirurume Sub-Catchment"/>
    <n v="1261.44"/>
  </r>
  <r>
    <x v="3"/>
    <s v="NYAKABINGO"/>
    <s v="Public"/>
    <x v="0"/>
    <s v="Karongi"/>
    <s v="Gashari"/>
    <s v="NNYU_1"/>
    <s v="Mbirurume Sub-Catchment"/>
    <n v="1734.4800000000002"/>
  </r>
  <r>
    <x v="3"/>
    <s v="TWANDAGE"/>
    <s v="Public"/>
    <x v="0"/>
    <s v="Karongi"/>
    <s v="Gashari"/>
    <s v="NNYU_1"/>
    <s v="Mbirurume Sub-Catchment"/>
    <n v="3311.2799999999997"/>
  </r>
  <r>
    <x v="3"/>
    <s v="NYAKABINGO"/>
    <s v="Public"/>
    <x v="0"/>
    <s v="Karongi"/>
    <s v="Gashari"/>
    <s v="NNYU_1"/>
    <s v="Mbirurume Sub-Catchment"/>
    <n v="1576.8000000000002"/>
  </r>
  <r>
    <x v="3"/>
    <s v="RUBYIRO"/>
    <s v="Public"/>
    <x v="0"/>
    <s v="Karongi"/>
    <s v="Gashari"/>
    <s v="NNYU_1"/>
    <s v="Mbirurume Sub-Catchment"/>
    <n v="2207.5200000000004"/>
  </r>
  <r>
    <x v="3"/>
    <s v="MUNKINGO"/>
    <s v="Public"/>
    <x v="0"/>
    <s v="Karongi"/>
    <s v="Gashari"/>
    <s v="NNYU_1"/>
    <s v="Mbirurume Sub-Catchment"/>
    <n v="1576.8000000000002"/>
  </r>
  <r>
    <x v="3"/>
    <s v="KARUGANDA"/>
    <s v="Public"/>
    <x v="0"/>
    <s v="Karongi"/>
    <s v="Gashari"/>
    <s v="NNYU_1"/>
    <s v="Mbirurume Sub-Catchment"/>
    <n v="1261.44"/>
  </r>
  <r>
    <x v="3"/>
    <s v="GATARE"/>
    <s v="Public"/>
    <x v="0"/>
    <s v="Karongi"/>
    <s v="Gashari"/>
    <s v="NNYU_1"/>
    <s v="Mbirurume Sub-Catchment"/>
    <n v="1576.8000000000002"/>
  </r>
  <r>
    <x v="3"/>
    <s v="NYAMUGALI"/>
    <s v="Public"/>
    <x v="0"/>
    <s v="Nyamagabe"/>
    <s v="Mugano"/>
    <s v="NNYU_1"/>
    <s v="Mbirurume Sub-Catchment"/>
    <n v="1050.1488000000002"/>
  </r>
  <r>
    <x v="3"/>
    <s v="BYERWA"/>
    <s v="Public"/>
    <x v="0"/>
    <s v="Nyamagabe"/>
    <s v="Mugano"/>
    <s v="NNYU_1"/>
    <s v="Mbirurume Sub-Catchment"/>
    <n v="4493.88"/>
  </r>
  <r>
    <x v="3"/>
    <s v="RUKATSA"/>
    <s v="Public"/>
    <x v="0"/>
    <s v="Nyamagabe"/>
    <s v="Mugano"/>
    <s v="NNYU_1"/>
    <s v="Mbirurume Sub-Catchment"/>
    <n v="2759.4"/>
  </r>
  <r>
    <x v="3"/>
    <s v="GATARE"/>
    <s v="Public"/>
    <x v="0"/>
    <s v="Nyamagabe"/>
    <s v="Mugano"/>
    <s v="NNYU_1"/>
    <s v="Mbirurume Sub-Catchment"/>
    <n v="3500.4960000000001"/>
  </r>
  <r>
    <x v="3"/>
    <s v="KADOBOGO"/>
    <s v="Public"/>
    <x v="0"/>
    <s v="Nyamagabe"/>
    <s v="Mugano"/>
    <s v="NNYU_1"/>
    <s v="Mbirurume Sub-Catchment"/>
    <n v="1313.9474400000001"/>
  </r>
  <r>
    <x v="3"/>
    <s v="BAKOPFU"/>
    <s v="Public"/>
    <x v="0"/>
    <s v="Nyamagabe"/>
    <s v="Mugano"/>
    <s v="NNYU_1"/>
    <s v="Mbirurume Sub-Catchment"/>
    <n v="2627.8948800000003"/>
  </r>
  <r>
    <x v="3"/>
    <s v="KUGATARE"/>
    <s v="Public"/>
    <x v="0"/>
    <s v="Nyamagabe"/>
    <s v="Mugano"/>
    <s v="NNYU_1"/>
    <s v="Mbirurume Sub-Catchment"/>
    <n v="1971.0000000000002"/>
  </r>
  <r>
    <x v="3"/>
    <s v="RWAKABO"/>
    <s v="Public"/>
    <x v="0"/>
    <s v="Nyamagabe"/>
    <s v="Mugano"/>
    <s v="NNYU_1"/>
    <s v="Mbirurume Sub-Catchment"/>
    <n v="1751.8248000000001"/>
  </r>
  <r>
    <x v="3"/>
    <s v="KABAHENA"/>
    <s v="Public"/>
    <x v="0"/>
    <s v="Nyamagabe"/>
    <s v="Mugano"/>
    <s v="NNYU_1"/>
    <s v="Mbirurume Sub-Catchment"/>
    <n v="3942.0000000000005"/>
  </r>
  <r>
    <x v="3"/>
    <s v="KIREHE"/>
    <s v="Public"/>
    <x v="0"/>
    <s v="Nyamagabe"/>
    <s v="Mugano"/>
    <s v="NNYU_1"/>
    <s v="Mbirurume Sub-Catchment"/>
    <n v="2626.9488000000001"/>
  </r>
  <r>
    <x v="3"/>
    <s v="KARYANGO"/>
    <s v="Public"/>
    <x v="0"/>
    <s v="Nyamagabe"/>
    <s v="Mugano"/>
    <s v="NNYU_1"/>
    <s v="Mbirurume Sub-Catchment"/>
    <n v="1971.0000000000002"/>
  </r>
  <r>
    <x v="3"/>
    <s v="KARYANGO 2"/>
    <s v="Public"/>
    <x v="0"/>
    <s v="Nyamagabe"/>
    <s v="Mugano"/>
    <s v="NNYU_1"/>
    <s v="Mbirurume Sub-Catchment"/>
    <n v="1971.0000000000002"/>
  </r>
  <r>
    <x v="3"/>
    <s v="BASHENYI"/>
    <s v="Public"/>
    <x v="0"/>
    <s v="Nyamagabe"/>
    <s v="Mugano"/>
    <s v="NNYU_1"/>
    <s v="Mbirurume Sub-Catchment"/>
    <n v="1313.9474400000001"/>
  </r>
  <r>
    <x v="3"/>
    <s v="KARYANGO3"/>
    <s v="Public"/>
    <x v="0"/>
    <s v="Nyamagabe"/>
    <s v="Mugano"/>
    <s v="NNYU_1"/>
    <s v="Mbirurume Sub-Catchment"/>
    <n v="1751.8248000000001"/>
  </r>
  <r>
    <x v="3"/>
    <s v="GAHAMA"/>
    <s v="Public"/>
    <x v="0"/>
    <s v="Nyamagabe"/>
    <s v="Mugano"/>
    <s v="NNYU_1"/>
    <s v="Mbirurume Sub-Catchment"/>
    <n v="2759.4"/>
  </r>
  <r>
    <x v="3"/>
    <s v="RAMBYA"/>
    <s v="Public"/>
    <x v="0"/>
    <s v="Nyamagabe"/>
    <s v="Mugano"/>
    <s v="NNYU_1"/>
    <s v="Mbirurume Sub-Catchment"/>
    <n v="1971.0000000000002"/>
  </r>
  <r>
    <x v="3"/>
    <s v="KABYAZA"/>
    <s v="Public"/>
    <x v="0"/>
    <s v="Nyamagabe"/>
    <s v="Mugano"/>
    <s v="NNYU_1"/>
    <s v="Mbirurume Sub-Catchment"/>
    <n v="2743.6320000000001"/>
  </r>
  <r>
    <x v="3"/>
    <s v="MWIRAMBA"/>
    <s v="Public"/>
    <x v="0"/>
    <s v="Nyamagabe"/>
    <s v="Mugano"/>
    <s v="NNYU_1"/>
    <s v="Mbirurume Sub-Catchment"/>
    <n v="1750.248"/>
  </r>
  <r>
    <x v="3"/>
    <s v="GATARE"/>
    <s v="Public"/>
    <x v="0"/>
    <s v="Nyamagabe"/>
    <s v="Mugano"/>
    <s v="NNYU_1"/>
    <s v="Mbirurume Sub-Catchment"/>
    <n v="1971.0000000000002"/>
  </r>
  <r>
    <x v="3"/>
    <s v="NYABITARE"/>
    <s v="Public"/>
    <x v="0"/>
    <s v="Nyamagabe"/>
    <s v="Mugano"/>
    <s v="NNYU_1"/>
    <s v="Mbirurume Sub-Catchment"/>
    <n v="1971.0000000000002"/>
  </r>
  <r>
    <x v="3"/>
    <s v="GAKERI"/>
    <s v="Public"/>
    <x v="0"/>
    <s v="Nyamagabe"/>
    <s v="Mugano"/>
    <s v="NNYU_1"/>
    <s v="Mbirurume Sub-Catchment"/>
    <n v="2759.4"/>
  </r>
  <r>
    <x v="3"/>
    <s v="CYAMPARARA2"/>
    <s v="Public"/>
    <x v="0"/>
    <s v="Nyamagabe"/>
    <s v="Mugano"/>
    <s v="NNYU_1"/>
    <s v="Mbirurume Sub-Catchment"/>
    <n v="1750.248"/>
  </r>
  <r>
    <x v="3"/>
    <s v="CYAMPARARA"/>
    <s v="Public"/>
    <x v="0"/>
    <s v="Nyamagabe"/>
    <s v="Mugano"/>
    <s v="NNYU_1"/>
    <s v="Mbirurume Sub-Catchment"/>
    <n v="1592.5680000000002"/>
  </r>
  <r>
    <x v="3"/>
    <s v="BAHUHURI"/>
    <s v="Public"/>
    <x v="0"/>
    <s v="Nyamagabe"/>
    <s v="Mugano"/>
    <s v="NNYU_1"/>
    <s v="Mbirurume Sub-Catchment"/>
    <n v="525.07440000000008"/>
  </r>
  <r>
    <x v="3"/>
    <s v="CYABUTE"/>
    <s v="Public"/>
    <x v="0"/>
    <s v="Nyamagabe"/>
    <s v="Mugano"/>
    <s v="NNYU_1"/>
    <s v="Mbirurume Sub-Catchment"/>
    <n v="2451.9239999999995"/>
  </r>
  <r>
    <x v="3"/>
    <s v="RUDABARI"/>
    <s v="Public"/>
    <x v="0"/>
    <s v="Nyamagabe"/>
    <s v="Mugano"/>
    <s v="NNYU_1"/>
    <s v="Mbirurume Sub-Catchment"/>
    <n v="1750.248"/>
  </r>
  <r>
    <x v="3"/>
    <s v="CYABUTE"/>
    <s v="Public"/>
    <x v="0"/>
    <s v="Nyamagabe"/>
    <s v="Mugano"/>
    <s v="NNYU_1"/>
    <s v="Mbirurume Sub-Catchment"/>
    <n v="1971.0000000000002"/>
  </r>
  <r>
    <x v="3"/>
    <s v="WAGATARE"/>
    <s v="Public"/>
    <x v="0"/>
    <s v="Nyamagabe"/>
    <s v="Mugano"/>
    <s v="NNYU_1"/>
    <s v="Mbirurume Sub-Catchment"/>
    <n v="2626.9488000000001"/>
  </r>
  <r>
    <x v="3"/>
    <s v="KARUGINA"/>
    <s v="Public"/>
    <x v="0"/>
    <s v="Nyamagabe"/>
    <s v="Mugano"/>
    <s v="NNYU_1"/>
    <s v="Mbirurume Sub-Catchment"/>
    <n v="2317.8959999999997"/>
  </r>
  <r>
    <x v="3"/>
    <s v="CYABUTE 2"/>
    <s v="Public"/>
    <x v="0"/>
    <s v="Nyamagabe"/>
    <s v="Mugano"/>
    <s v="NNYU_1"/>
    <s v="Mbirurume Sub-Catchment"/>
    <n v="8672.4000000000015"/>
  </r>
  <r>
    <x v="3"/>
    <s v="GASAYO2"/>
    <s v="Public"/>
    <x v="0"/>
    <s v="Nyamagabe"/>
    <s v="Mugano"/>
    <s v="NNYU_1"/>
    <s v="Mbirurume Sub-Catchment"/>
    <n v="3942.0000000000005"/>
  </r>
  <r>
    <x v="3"/>
    <s v="CYABUTARE"/>
    <s v="Public"/>
    <x v="0"/>
    <s v="Nyamagabe"/>
    <s v="Mugano"/>
    <s v="NNYU_1"/>
    <s v="Mbirurume Sub-Catchment"/>
    <n v="2759.4"/>
  </r>
  <r>
    <x v="3"/>
    <s v="MUGATOKI"/>
    <s v="Public"/>
    <x v="0"/>
    <s v="Nyamagabe"/>
    <s v="Mugano"/>
    <s v="NNYU_1"/>
    <s v="Mbirurume Sub-Catchment"/>
    <n v="1750.248"/>
  </r>
  <r>
    <x v="3"/>
    <s v="GASAYO"/>
    <s v="Public"/>
    <x v="0"/>
    <s v="Nyamagabe"/>
    <s v="Mugano"/>
    <s v="NNYU_1"/>
    <s v="Mbirurume Sub-Catchment"/>
    <n v="1750.248"/>
  </r>
  <r>
    <x v="3"/>
    <s v="NZOMVU"/>
    <s v="Public"/>
    <x v="0"/>
    <s v="Nyamagabe"/>
    <s v="Mugano"/>
    <s v="NNYU_1"/>
    <s v="Mbirurume Sub-Catchment"/>
    <n v="1750.248"/>
  </r>
  <r>
    <x v="3"/>
    <s v="NYAKAGEZI"/>
    <s v="Public"/>
    <x v="0"/>
    <s v="Nyamagabe"/>
    <s v="Mugano"/>
    <s v="NNYU_1"/>
    <s v="Mbirurume Sub-Catchment"/>
    <n v="1313.9474400000001"/>
  </r>
  <r>
    <x v="3"/>
    <s v="NYARUSAZI"/>
    <s v="Public"/>
    <x v="0"/>
    <s v="Nyamagabe"/>
    <s v="Mugano"/>
    <s v="NNYU_1"/>
    <s v="Mbirurume Sub-Catchment"/>
    <n v="2759.4"/>
  </r>
  <r>
    <x v="3"/>
    <s v="URUGWIRO"/>
    <s v="Public"/>
    <x v="0"/>
    <s v="Karongi"/>
    <s v="Murambi"/>
    <s v="NNYU_1"/>
    <s v="Mbirurume Sub-Catchment"/>
    <n v="6307.2000000000007"/>
  </r>
  <r>
    <x v="3"/>
    <s v="KWITABA"/>
    <s v="Public"/>
    <x v="0"/>
    <s v="Karongi"/>
    <s v="Murambi"/>
    <s v="NNYU_1"/>
    <s v="Mbirurume Sub-Catchment"/>
    <n v="18921.600000000002"/>
  </r>
  <r>
    <x v="3"/>
    <s v="KIMIRONKO"/>
    <s v="Public"/>
    <x v="0"/>
    <s v="Karongi"/>
    <s v="Murambi"/>
    <s v="NNYU_1"/>
    <s v="Mbirurume Sub-Catchment"/>
    <n v="25228.800000000003"/>
  </r>
  <r>
    <x v="3"/>
    <s v="BUREGEYA"/>
    <s v="Public"/>
    <x v="0"/>
    <s v="Karongi"/>
    <s v="Murambi"/>
    <s v="NNYU_1"/>
    <s v="Mbirurume Sub-Catchment"/>
    <n v="0"/>
  </r>
  <r>
    <x v="3"/>
    <s v="AKABASHUMBA"/>
    <s v="Public"/>
    <x v="0"/>
    <s v="Karongi"/>
    <s v="Murambi"/>
    <s v="NNYU_1"/>
    <s v="Mbirurume Sub-Catchment"/>
    <n v="23652.000000000004"/>
  </r>
  <r>
    <x v="3"/>
    <s v="BASHAKO"/>
    <s v="Public"/>
    <x v="0"/>
    <s v="Nyamagabe"/>
    <s v="Musebeya"/>
    <s v="NNYU_1"/>
    <s v="Mbirurume Sub-Catchment"/>
    <n v="3942.0000000000005"/>
  </r>
  <r>
    <x v="3"/>
    <s v="KAMBU"/>
    <s v="Public"/>
    <x v="0"/>
    <s v="Nyamagabe"/>
    <s v="Musebeya"/>
    <s v="NNYU_1"/>
    <s v="Mbirurume Sub-Catchment"/>
    <n v="2317.8959999999997"/>
  </r>
  <r>
    <x v="3"/>
    <s v="KABUMBIRO"/>
    <s v="Public"/>
    <x v="0"/>
    <s v="Nyamagabe"/>
    <s v="Musebeya"/>
    <s v="NNYU_1"/>
    <s v="Mbirurume Sub-Catchment"/>
    <n v="2759.4"/>
  </r>
  <r>
    <x v="3"/>
    <s v="NGANZO"/>
    <s v="Public"/>
    <x v="0"/>
    <s v="Nyamagabe"/>
    <s v="Musebeya"/>
    <s v="NNYU_1"/>
    <s v="Mbirurume Sub-Catchment"/>
    <n v="3500.4960000000001"/>
  </r>
  <r>
    <x v="3"/>
    <s v="RUDOBWE"/>
    <s v="Public"/>
    <x v="0"/>
    <s v="Nyamagabe"/>
    <s v="Musebeya"/>
    <s v="NNYU_1"/>
    <s v="Mbirurume Sub-Catchment"/>
    <n v="2626.9488000000001"/>
  </r>
  <r>
    <x v="3"/>
    <s v="BASHAMBA"/>
    <s v="Public"/>
    <x v="0"/>
    <s v="Nyamagabe"/>
    <s v="Musebeya"/>
    <s v="NNYU_1"/>
    <s v="Mbirurume Sub-Catchment"/>
    <n v="1971.0000000000002"/>
  </r>
  <r>
    <x v="3"/>
    <s v="RWABISASA"/>
    <s v="Public"/>
    <x v="0"/>
    <s v="Nyamagabe"/>
    <s v="Musebeya"/>
    <s v="NNYU_1"/>
    <s v="Mbirurume Sub-Catchment"/>
    <n v="2626.9488000000001"/>
  </r>
  <r>
    <x v="3"/>
    <s v="GASAYO"/>
    <s v="Public"/>
    <x v="0"/>
    <s v="Nyamagabe"/>
    <s v="Musebeya"/>
    <s v="NNYU_1"/>
    <s v="Mbirurume Sub-Catchment"/>
    <n v="1313.9474400000001"/>
  </r>
  <r>
    <x v="3"/>
    <s v="RUHURA"/>
    <s v="Public"/>
    <x v="0"/>
    <s v="Nyamagabe"/>
    <s v="Musebeya"/>
    <s v="NNYU_1"/>
    <s v="Mbirurume Sub-Catchment"/>
    <n v="2626.9488000000001"/>
  </r>
  <r>
    <x v="3"/>
    <s v="NYARUTOVU"/>
    <s v="Public"/>
    <x v="0"/>
    <s v="Nyamagabe"/>
    <s v="Musebeya"/>
    <s v="NNYU_1"/>
    <s v="Mbirurume Sub-Catchment"/>
    <n v="1313.9474400000001"/>
  </r>
  <r>
    <x v="3"/>
    <s v="GATOMVU"/>
    <s v="Public"/>
    <x v="0"/>
    <s v="Nyamagabe"/>
    <s v="Musebeya"/>
    <s v="NNYU_1"/>
    <s v="Mbirurume Sub-Catchment"/>
    <n v="3942.0000000000005"/>
  </r>
  <r>
    <x v="3"/>
    <s v="KADAHE"/>
    <s v="Public"/>
    <x v="0"/>
    <s v="Nyamagabe"/>
    <s v="Musebeya"/>
    <s v="NNYU_1"/>
    <s v="Mbirurume Sub-Catchment"/>
    <n v="3942.0000000000005"/>
  </r>
  <r>
    <x v="3"/>
    <s v="BUHONONGO"/>
    <s v="Public"/>
    <x v="0"/>
    <s v="Nyamagabe"/>
    <s v="Musebeya"/>
    <s v="NNYU_1"/>
    <s v="Mbirurume Sub-Catchment"/>
    <n v="1971.0000000000002"/>
  </r>
  <r>
    <x v="3"/>
    <s v="BURIMBI"/>
    <s v="Public"/>
    <x v="0"/>
    <s v="Nyamagabe"/>
    <s v="Musebeya"/>
    <s v="NNYU_1"/>
    <s v="Mbirurume Sub-Catchment"/>
    <n v="3942.0000000000005"/>
  </r>
  <r>
    <x v="3"/>
    <s v="GAKERI"/>
    <s v="Public"/>
    <x v="0"/>
    <s v="Nyamagabe"/>
    <s v="Musebeya"/>
    <s v="NNYU_1"/>
    <s v="Mbirurume Sub-Catchment"/>
    <n v="2626.9488000000001"/>
  </r>
  <r>
    <x v="3"/>
    <s v="MUTUKURA"/>
    <s v="Public"/>
    <x v="0"/>
    <s v="Nyamagabe"/>
    <s v="Musebeya"/>
    <s v="NNYU_1"/>
    <s v="Mbirurume Sub-Catchment"/>
    <n v="1839.49488"/>
  </r>
  <r>
    <x v="3"/>
    <s v="BITABA 2"/>
    <s v="Public"/>
    <x v="0"/>
    <s v="Nyamagabe"/>
    <s v="Musebeya"/>
    <s v="NNYU_1"/>
    <s v="Mbirurume Sub-Catchment"/>
    <n v="7884.0000000000009"/>
  </r>
  <r>
    <x v="3"/>
    <s v="BITABA"/>
    <s v="Public"/>
    <x v="0"/>
    <s v="Nyamagabe"/>
    <s v="Musebeya"/>
    <s v="NNYU_1"/>
    <s v="Mbirurume Sub-Catchment"/>
    <n v="5203.4400000000005"/>
  </r>
  <r>
    <x v="3"/>
    <s v="RURAMBA"/>
    <s v="Public"/>
    <x v="0"/>
    <s v="Nyamagabe"/>
    <s v="Musebeya"/>
    <s v="NNYU_1"/>
    <s v="Mbirurume Sub-Catchment"/>
    <n v="1750.248"/>
  </r>
  <r>
    <x v="3"/>
    <s v="RUSEKE"/>
    <s v="Public"/>
    <x v="0"/>
    <s v="Nyamagabe"/>
    <s v="Musebeya"/>
    <s v="NNYU_1"/>
    <s v="Mbirurume Sub-Catchment"/>
    <n v="1971.0000000000002"/>
  </r>
  <r>
    <x v="3"/>
    <s v="KAZIBAZIBA"/>
    <s v="Public"/>
    <x v="0"/>
    <s v="Nyamagabe"/>
    <s v="Musebeya"/>
    <s v="NNYU_1"/>
    <s v="Mbirurume Sub-Catchment"/>
    <n v="3942.0000000000005"/>
  </r>
  <r>
    <x v="3"/>
    <s v="GISIZA"/>
    <s v="Public"/>
    <x v="0"/>
    <s v="Nyamagabe"/>
    <s v="Musebeya"/>
    <s v="NNYU_1"/>
    <s v="Mbirurume Sub-Catchment"/>
    <n v="2626.9488000000001"/>
  </r>
  <r>
    <x v="3"/>
    <s v="RUGANO"/>
    <s v="Public"/>
    <x v="0"/>
    <s v="Nyamagabe"/>
    <s v="Musebeya"/>
    <s v="NNYU_1"/>
    <s v="Mbirurume Sub-Catchment"/>
    <n v="3500.4960000000001"/>
  </r>
  <r>
    <x v="3"/>
    <s v="GAHEHA"/>
    <s v="Public"/>
    <x v="0"/>
    <s v="Nyamagabe"/>
    <s v="Musebeya"/>
    <s v="NNYU_1"/>
    <s v="Mbirurume Sub-Catchment"/>
    <n v="1971.0000000000002"/>
  </r>
  <r>
    <x v="3"/>
    <s v="GATYAMA"/>
    <s v="Public"/>
    <x v="0"/>
    <s v="Nyamagabe"/>
    <s v="Musebeya"/>
    <s v="NNYU_1"/>
    <s v="Mbirurume Sub-Catchment"/>
    <n v="3942.0000000000005"/>
  </r>
  <r>
    <x v="3"/>
    <s v="BANYAGA"/>
    <s v="Public"/>
    <x v="0"/>
    <s v="Nyamagabe"/>
    <s v="Musebeya"/>
    <s v="NNYU_1"/>
    <s v="Mbirurume Sub-Catchment"/>
    <n v="1971.0000000000002"/>
  </r>
  <r>
    <x v="3"/>
    <s v="BUSANZE"/>
    <s v="Public"/>
    <x v="0"/>
    <s v="Nyamagabe"/>
    <s v="Musebeya"/>
    <s v="NNYU_1"/>
    <s v="Mbirurume Sub-Catchment"/>
    <n v="1751.8248000000001"/>
  </r>
  <r>
    <x v="3"/>
    <s v="CYEMBERA"/>
    <s v="Public"/>
    <x v="0"/>
    <s v="Nyamagabe"/>
    <s v="Musebeya"/>
    <s v="NNYU_1"/>
    <s v="Mbirurume Sub-Catchment"/>
    <n v="2759.4"/>
  </r>
  <r>
    <x v="3"/>
    <s v="GIHONDO"/>
    <s v="Public"/>
    <x v="0"/>
    <s v="Nyamagabe"/>
    <s v="Musebeya"/>
    <s v="NNYU_1"/>
    <s v="Mbirurume Sub-Catchment"/>
    <n v="1592.5680000000002"/>
  </r>
  <r>
    <x v="3"/>
    <s v="RUKWABA"/>
    <s v="Public"/>
    <x v="0"/>
    <s v="Nyamagabe"/>
    <s v="Musebeya"/>
    <s v="NNYU_1"/>
    <s v="Mbirurume Sub-Catchment"/>
    <n v="2626.9488000000001"/>
  </r>
  <r>
    <x v="3"/>
    <s v="RUZITO"/>
    <s v="Public"/>
    <x v="0"/>
    <s v="Nyamagabe"/>
    <s v="Musebeya"/>
    <s v="NNYU_1"/>
    <s v="Mbirurume Sub-Catchment"/>
    <n v="2617.4880000000003"/>
  </r>
  <r>
    <x v="3"/>
    <s v="TUGUNGURU"/>
    <s v="Public"/>
    <x v="0"/>
    <s v="Nyamagabe"/>
    <s v="Musebeya"/>
    <s v="NNYU_1"/>
    <s v="Mbirurume Sub-Catchment"/>
    <n v="1750.248"/>
  </r>
  <r>
    <x v="3"/>
    <s v="KAZABAGARURA"/>
    <s v="Public"/>
    <x v="0"/>
    <s v="Nyamagabe"/>
    <s v="Musebeya"/>
    <s v="NNYU_1"/>
    <s v="Mbirurume Sub-Catchment"/>
    <n v="1971.0000000000002"/>
  </r>
  <r>
    <x v="3"/>
    <s v="RUHONDO"/>
    <s v="Public"/>
    <x v="0"/>
    <s v="Nyamagabe"/>
    <s v="Musebeya"/>
    <s v="NNYU_1"/>
    <s v="Mbirurume Sub-Catchment"/>
    <n v="1340.28"/>
  </r>
  <r>
    <x v="3"/>
    <s v="GISEBEYA"/>
    <s v="Public"/>
    <x v="0"/>
    <s v="Nyamagabe"/>
    <s v="Musebeya"/>
    <s v="NNYU_1"/>
    <s v="Mbirurume Sub-Catchment"/>
    <n v="2626.9488000000001"/>
  </r>
  <r>
    <x v="3"/>
    <s v="RUSHISHI"/>
    <s v="Public"/>
    <x v="0"/>
    <s v="Nyamagabe"/>
    <s v="Musebeya"/>
    <s v="NNYU_1"/>
    <s v="Mbirurume Sub-Catchment"/>
    <n v="2759.4"/>
  </r>
  <r>
    <x v="3"/>
    <s v="KABINGO"/>
    <s v="Public"/>
    <x v="0"/>
    <s v="Nyamagabe"/>
    <s v="Musebeya"/>
    <s v="NNYU_1"/>
    <s v="Mbirurume Sub-Catchment"/>
    <n v="2317.8959999999997"/>
  </r>
  <r>
    <x v="3"/>
    <s v="KININI"/>
    <s v="Public"/>
    <x v="0"/>
    <s v="Nyamagabe"/>
    <s v="Musebeya"/>
    <s v="NNYU_1"/>
    <s v="Mbirurume Sub-Catchment"/>
    <n v="1313.4744000000001"/>
  </r>
  <r>
    <x v="3"/>
    <s v="RYAGITOVU"/>
    <s v="Public"/>
    <x v="0"/>
    <s v="Nyamagabe"/>
    <s v="Musebeya"/>
    <s v="NNYU_1"/>
    <s v="Mbirurume Sub-Catchment"/>
    <n v="2254.8239999999996"/>
  </r>
  <r>
    <x v="3"/>
    <s v="NYAKAGEZI"/>
    <s v="Public"/>
    <x v="0"/>
    <s v="Nyamagabe"/>
    <s v="Musebeya"/>
    <s v="NNYU_1"/>
    <s v="Mbirurume Sub-Catchment"/>
    <n v="2759.4"/>
  </r>
  <r>
    <x v="3"/>
    <s v="GATARE"/>
    <s v="Public"/>
    <x v="0"/>
    <s v="Nyamagabe"/>
    <s v="Musebeya"/>
    <s v="NNYU_1"/>
    <s v="Mbirurume Sub-Catchment"/>
    <n v="2617.4880000000003"/>
  </r>
  <r>
    <x v="3"/>
    <s v="KAGIKAMBA"/>
    <s v="Public"/>
    <x v="0"/>
    <s v="Nyamagabe"/>
    <s v="Musebeya"/>
    <s v="NNYU_1"/>
    <s v="Mbirurume Sub-Catchment"/>
    <n v="3153.6000000000004"/>
  </r>
  <r>
    <x v="3"/>
    <s v="RUGOMERO 2"/>
    <s v="Public"/>
    <x v="0"/>
    <s v="Nyamagabe"/>
    <s v="Musebeya"/>
    <s v="NNYU_1"/>
    <s v="Mbirurume Sub-Catchment"/>
    <n v="5203.4400000000005"/>
  </r>
  <r>
    <x v="3"/>
    <s v="RUZIBA"/>
    <s v="Public"/>
    <x v="0"/>
    <s v="Nyamagabe"/>
    <s v="Musebeya"/>
    <s v="NNYU_1"/>
    <s v="Mbirurume Sub-Catchment"/>
    <n v="1971.0000000000002"/>
  </r>
  <r>
    <x v="3"/>
    <s v="RUGOMERO"/>
    <s v="Public"/>
    <x v="0"/>
    <s v="Nyamagabe"/>
    <s v="Musebeya"/>
    <s v="NNYU_1"/>
    <s v="Mbirurume Sub-Catchment"/>
    <n v="7884.0000000000009"/>
  </r>
  <r>
    <x v="3"/>
    <s v="RYAGAHETO"/>
    <s v="Public"/>
    <x v="0"/>
    <s v="Nyamagabe"/>
    <s v="Musebeya"/>
    <s v="NNYU_1"/>
    <s v="Mbirurume Sub-Catchment"/>
    <n v="3942.0000000000005"/>
  </r>
  <r>
    <x v="3"/>
    <s v="NYABUTAMU"/>
    <s v="Public"/>
    <x v="0"/>
    <s v="Nyamagabe"/>
    <s v="Mushubi"/>
    <s v="NNYU_1"/>
    <s v="Mbirurume Sub-Catchment"/>
    <n v="5255.4743999999992"/>
  </r>
  <r>
    <x v="3"/>
    <s v="RUBINDI"/>
    <s v="Public"/>
    <x v="0"/>
    <s v="Nyamagabe"/>
    <s v="Mushubi"/>
    <s v="NNYU_1"/>
    <s v="Mbirurume Sub-Catchment"/>
    <n v="1751.8248000000001"/>
  </r>
  <r>
    <x v="3"/>
    <s v="NYAGISUMA"/>
    <s v="Public"/>
    <x v="0"/>
    <s v="Nyamagabe"/>
    <s v="Mushubi"/>
    <s v="NNYU_1"/>
    <s v="Mbirurume Sub-Catchment"/>
    <n v="1313.9474400000001"/>
  </r>
  <r>
    <x v="3"/>
    <s v="UWIMPANZI"/>
    <s v="Public"/>
    <x v="0"/>
    <s v="Nyamagabe"/>
    <s v="Mushubi"/>
    <s v="NNYU_1"/>
    <s v="Mbirurume Sub-Catchment"/>
    <n v="2626.9488000000001"/>
  </r>
  <r>
    <x v="3"/>
    <s v="RWASIBO"/>
    <s v="Public"/>
    <x v="0"/>
    <s v="Nyamagabe"/>
    <s v="Mushubi"/>
    <s v="NNYU_1"/>
    <s v="Mbirurume Sub-Catchment"/>
    <n v="1971.0000000000002"/>
  </r>
  <r>
    <x v="3"/>
    <s v="KAGETI"/>
    <s v="Public"/>
    <x v="0"/>
    <s v="Nyamagabe"/>
    <s v="Mushubi"/>
    <s v="NNYU_1"/>
    <s v="Mbirurume Sub-Catchment"/>
    <n v="2444.0400000000004"/>
  </r>
  <r>
    <x v="3"/>
    <s v="KABUHUNGU"/>
    <s v="Public"/>
    <x v="0"/>
    <s v="Nyamagabe"/>
    <s v="Mushubi"/>
    <s v="NNYU_1"/>
    <s v="Mbirurume Sub-Catchment"/>
    <n v="1750.248"/>
  </r>
  <r>
    <x v="3"/>
    <s v="RYANGABO"/>
    <s v="Public"/>
    <x v="0"/>
    <s v="Nyamagabe"/>
    <s v="Mushubi"/>
    <s v="NNYU_1"/>
    <s v="Mbirurume Sub-Catchment"/>
    <n v="1971.0000000000002"/>
  </r>
  <r>
    <x v="3"/>
    <s v="GATOKI"/>
    <s v="Public"/>
    <x v="0"/>
    <s v="Nyamagabe"/>
    <s v="Mushubi"/>
    <s v="NNYU_1"/>
    <s v="Mbirurume Sub-Catchment"/>
    <n v="5250.7439999999997"/>
  </r>
  <r>
    <x v="3"/>
    <s v="UWABAJEJE"/>
    <s v="Public"/>
    <x v="0"/>
    <s v="Nyamagabe"/>
    <s v="Mushubi"/>
    <s v="NNYU_1"/>
    <s v="Mbirurume Sub-Catchment"/>
    <n v="1592.5680000000002"/>
  </r>
  <r>
    <x v="3"/>
    <s v="NYIRANZOGA"/>
    <s v="Public"/>
    <x v="0"/>
    <s v="Nyamagabe"/>
    <s v="Mushubi"/>
    <s v="NNYU_1"/>
    <s v="Mbirurume Sub-Catchment"/>
    <n v="1592.5680000000002"/>
  </r>
  <r>
    <x v="3"/>
    <s v="RUSEKE"/>
    <s v="Public"/>
    <x v="0"/>
    <s v="Nyamagabe"/>
    <s v="Mushubi"/>
    <s v="NNYU_1"/>
    <s v="Mbirurume Sub-Catchment"/>
    <n v="2617.4880000000003"/>
  </r>
  <r>
    <x v="3"/>
    <s v="KADEHERO"/>
    <s v="Public"/>
    <x v="0"/>
    <s v="Nyamagabe"/>
    <s v="Mushubi"/>
    <s v="NNYU_1"/>
    <s v="Mbirurume Sub-Catchment"/>
    <n v="3153.6000000000004"/>
  </r>
  <r>
    <x v="3"/>
    <s v="KABIRIGA"/>
    <s v="Public"/>
    <x v="0"/>
    <s v="Nyamagabe"/>
    <s v="Mushubi"/>
    <s v="NNYU_1"/>
    <s v="Mbirurume Sub-Catchment"/>
    <n v="1313.9474400000001"/>
  </r>
  <r>
    <x v="3"/>
    <s v="RUBINGO"/>
    <s v="Public"/>
    <x v="0"/>
    <s v="Nyamagabe"/>
    <s v="Mushubi"/>
    <s v="NNYU_1"/>
    <s v="Mbirurume Sub-Catchment"/>
    <n v="1971.0000000000002"/>
  </r>
  <r>
    <x v="3"/>
    <s v="BARASONI"/>
    <s v="Public"/>
    <x v="0"/>
    <s v="Nyamagabe"/>
    <s v="Mushubi"/>
    <s v="NNYU_1"/>
    <s v="Mbirurume Sub-Catchment"/>
    <n v="1971.0000000000002"/>
  </r>
  <r>
    <x v="3"/>
    <s v="BAREBA"/>
    <s v="Public"/>
    <x v="0"/>
    <s v="Nyamagabe"/>
    <s v="Mushubi"/>
    <s v="NNYU_1"/>
    <s v="Mbirurume Sub-Catchment"/>
    <n v="2626.9488000000001"/>
  </r>
  <r>
    <x v="3"/>
    <s v="MUCYABYA"/>
    <s v="Public"/>
    <x v="0"/>
    <s v="Nyamagabe"/>
    <s v="Mushubi"/>
    <s v="NNYU_1"/>
    <s v="Mbirurume Sub-Catchment"/>
    <n v="2626.9488000000001"/>
  </r>
  <r>
    <x v="3"/>
    <s v="RUSARE"/>
    <s v="Public"/>
    <x v="0"/>
    <s v="Nyamagabe"/>
    <s v="Mushubi"/>
    <s v="NNYU_1"/>
    <s v="Mbirurume Sub-Catchment"/>
    <n v="1751.9824799999997"/>
  </r>
  <r>
    <x v="3"/>
    <s v="KAMUSENYI"/>
    <s v="Public"/>
    <x v="0"/>
    <s v="Nyamagabe"/>
    <s v="Mushubi"/>
    <s v="NNYU_1"/>
    <s v="Mbirurume Sub-Catchment"/>
    <n v="2254.8239999999996"/>
  </r>
  <r>
    <x v="3"/>
    <s v="GAKOMEYE"/>
    <s v="Public"/>
    <x v="0"/>
    <s v="Nyamagabe"/>
    <s v="Mushubi"/>
    <s v="NNYU_1"/>
    <s v="Mbirurume Sub-Catchment"/>
    <n v="274.36320000000001"/>
  </r>
  <r>
    <x v="3"/>
    <s v="NYARURUMANGA"/>
    <s v="Public"/>
    <x v="0"/>
    <s v="Nyamagabe"/>
    <s v="Mushubi"/>
    <s v="NNYU_1"/>
    <s v="Mbirurume Sub-Catchment"/>
    <n v="3153.6000000000004"/>
  </r>
  <r>
    <x v="3"/>
    <s v="RUTOVU"/>
    <s v="Public"/>
    <x v="0"/>
    <s v="Nyamagabe"/>
    <s v="Mushubi"/>
    <s v="NNYU_1"/>
    <s v="Mbirurume Sub-Catchment"/>
    <n v="2759.4"/>
  </r>
  <r>
    <x v="3"/>
    <s v="KABINGO"/>
    <s v="Public"/>
    <x v="0"/>
    <s v="Nyamagabe"/>
    <s v="Mushubi"/>
    <s v="NNYU_1"/>
    <s v="Mbirurume Sub-Catchment"/>
    <n v="2759.4"/>
  </r>
  <r>
    <x v="3"/>
    <s v="RUGETI"/>
    <s v="Public"/>
    <x v="0"/>
    <s v="Nyamagabe"/>
    <s v="Mushubi"/>
    <s v="NNYU_1"/>
    <s v="Mbirurume Sub-Catchment"/>
    <n v="3169.3679999999999"/>
  </r>
  <r>
    <x v="3"/>
    <s v="MUGUNDA"/>
    <s v="Public"/>
    <x v="0"/>
    <s v="Nyamagabe"/>
    <s v="Mushubi"/>
    <s v="NNYU_1"/>
    <s v="Mbirurume Sub-Catchment"/>
    <n v="1971.0000000000002"/>
  </r>
  <r>
    <x v="3"/>
    <s v="WABIRAMA"/>
    <s v="Public"/>
    <x v="0"/>
    <s v="Nyamagabe"/>
    <s v="Mushubi"/>
    <s v="NNYU_1"/>
    <s v="Mbirurume Sub-Catchment"/>
    <n v="1592.5680000000002"/>
  </r>
  <r>
    <x v="3"/>
    <s v="KIDOBOGO"/>
    <s v="Public"/>
    <x v="0"/>
    <s v="Nyamagabe"/>
    <s v="Mushubi"/>
    <s v="NNYU_1"/>
    <s v="Mbirurume Sub-Catchment"/>
    <n v="3153.6000000000004"/>
  </r>
  <r>
    <x v="3"/>
    <s v="KIDOBOGO"/>
    <s v="Public"/>
    <x v="0"/>
    <s v="Nyamagabe"/>
    <s v="Mushubi"/>
    <s v="NNYU_1"/>
    <s v="Mbirurume Sub-Catchment"/>
    <n v="2002.5359999999998"/>
  </r>
  <r>
    <x v="3"/>
    <s v="CYAMUSENgo"/>
    <s v="Public"/>
    <x v="0"/>
    <s v="Nyamagabe"/>
    <s v="Mushubi"/>
    <s v="NNYU_1"/>
    <s v="Mbirurume Sub-Catchment"/>
    <n v="2626.9488000000001"/>
  </r>
  <r>
    <x v="3"/>
    <s v="BUGONDO"/>
    <s v="Public"/>
    <x v="0"/>
    <s v="Nyamagabe"/>
    <s v="Mushubi"/>
    <s v="NNYU_1"/>
    <s v="Mbirurume Sub-Catchment"/>
    <n v="1971.0000000000002"/>
  </r>
  <r>
    <x v="3"/>
    <s v="KAJORORO"/>
    <s v="Public"/>
    <x v="0"/>
    <s v="Nyamagabe"/>
    <s v="Mushubi"/>
    <s v="NNYU_1"/>
    <s v="Mbirurume Sub-Catchment"/>
    <n v="2759.4"/>
  </r>
  <r>
    <x v="3"/>
    <s v="RUSOYO"/>
    <s v="Public"/>
    <x v="0"/>
    <s v="Nyamagabe"/>
    <s v="Mushubi"/>
    <s v="NNYU_1"/>
    <s v="Mbirurume Sub-Catchment"/>
    <n v="1592.5680000000002"/>
  </r>
  <r>
    <x v="3"/>
    <s v="GASEKE"/>
    <s v="Public"/>
    <x v="0"/>
    <s v="Nyamagabe"/>
    <s v="Mushubi"/>
    <s v="NNYU_1"/>
    <s v="Mbirurume Sub-Catchment"/>
    <n v="1313.4744000000001"/>
  </r>
  <r>
    <x v="3"/>
    <s v="MANWARI"/>
    <s v="Public"/>
    <x v="0"/>
    <s v="Nyamagabe"/>
    <s v="Mushubi"/>
    <s v="NNYU_1"/>
    <s v="Mbirurume Sub-Catchment"/>
    <n v="2759.4"/>
  </r>
  <r>
    <x v="3"/>
    <s v="MUKABERE"/>
    <s v="Public"/>
    <x v="0"/>
    <s v="Nyamagabe"/>
    <s v="Mushubi"/>
    <s v="NNYU_1"/>
    <s v="Mbirurume Sub-Catchment"/>
    <n v="1750.248"/>
  </r>
  <r>
    <x v="3"/>
    <s v="RWONDO"/>
    <s v="Public"/>
    <x v="0"/>
    <s v="Nyamagabe"/>
    <s v="Mushubi"/>
    <s v="NNYU_1"/>
    <s v="Mbirurume Sub-Catchment"/>
    <n v="1971.0000000000002"/>
  </r>
  <r>
    <x v="3"/>
    <s v="MURUTARE"/>
    <s v="Public"/>
    <x v="0"/>
    <s v="Nyamagabe"/>
    <s v="Mushubi"/>
    <s v="NNYU_1"/>
    <s v="Mbirurume Sub-Catchment"/>
    <n v="2626.9488000000001"/>
  </r>
  <r>
    <x v="3"/>
    <s v="SINAYOBYE"/>
    <s v="Public"/>
    <x v="0"/>
    <s v="Karongi"/>
    <s v="Mutuntu"/>
    <s v="NNYU_1"/>
    <s v="Mbirurume Sub-Catchment"/>
    <n v="1576.8000000000002"/>
  </r>
  <r>
    <x v="3"/>
    <s v="KURUGOMERO"/>
    <s v="Public"/>
    <x v="0"/>
    <s v="Karongi"/>
    <s v="Mutuntu"/>
    <s v="NNYU_1"/>
    <s v="Mbirurume Sub-Catchment"/>
    <n v="2049.84"/>
  </r>
  <r>
    <x v="3"/>
    <s v="KURUSEKE"/>
    <s v="Public"/>
    <x v="0"/>
    <s v="Karongi"/>
    <s v="Mutuntu"/>
    <s v="NNYU_1"/>
    <s v="Mbirurume Sub-Catchment"/>
    <n v="1734.4800000000002"/>
  </r>
  <r>
    <x v="3"/>
    <s v="MUNINI"/>
    <s v="Public"/>
    <x v="0"/>
    <s v="Karongi"/>
    <s v="Mutuntu"/>
    <s v="NNYU_1"/>
    <s v="Mbirurume Sub-Catchment"/>
    <n v="3626.64"/>
  </r>
  <r>
    <x v="3"/>
    <s v="MURYAKIBANDA"/>
    <s v="Public"/>
    <x v="0"/>
    <s v="Karongi"/>
    <s v="Mutuntu"/>
    <s v="NNYU_1"/>
    <s v="Mbirurume Sub-Catchment"/>
    <n v="1419.12"/>
  </r>
  <r>
    <x v="3"/>
    <s v="MUKAVOGO"/>
    <s v="Public"/>
    <x v="0"/>
    <s v="Karongi"/>
    <s v="Mutuntu"/>
    <s v="NNYU_1"/>
    <s v="Mbirurume Sub-Catchment"/>
    <n v="3153.6000000000004"/>
  </r>
  <r>
    <x v="3"/>
    <s v="KUKADASHYA"/>
    <s v="Public"/>
    <x v="0"/>
    <s v="Karongi"/>
    <s v="Mutuntu"/>
    <s v="NNYU_1"/>
    <s v="Mbirurume Sub-Catchment"/>
    <n v="1576.8000000000002"/>
  </r>
  <r>
    <x v="3"/>
    <s v="MBONETSE"/>
    <s v="Public"/>
    <x v="0"/>
    <s v="Karongi"/>
    <s v="Mutuntu"/>
    <s v="NNYU_1"/>
    <s v="Mbirurume Sub-Catchment"/>
    <n v="2365.2000000000003"/>
  </r>
  <r>
    <x v="3"/>
    <s v="MURUHONDO"/>
    <s v="Public"/>
    <x v="0"/>
    <s v="Karongi"/>
    <s v="Mutuntu"/>
    <s v="NNYU_1"/>
    <s v="Mbirurume Sub-Catchment"/>
    <n v="3468.9600000000005"/>
  </r>
  <r>
    <x v="3"/>
    <s v="KWITABA"/>
    <s v="Public"/>
    <x v="0"/>
    <s v="Karongi"/>
    <s v="Mutuntu"/>
    <s v="NNYU_1"/>
    <s v="Mbirurume Sub-Catchment"/>
    <n v="0"/>
  </r>
  <r>
    <x v="3"/>
    <s v="RUKAMWA"/>
    <s v="Public"/>
    <x v="0"/>
    <s v="Karongi"/>
    <s v="Mutuntu"/>
    <s v="NNYU_1"/>
    <s v="Mbirurume Sub-Catchment"/>
    <n v="1419.12"/>
  </r>
  <r>
    <x v="3"/>
    <s v="KABOGOBOGO"/>
    <s v="Public"/>
    <x v="0"/>
    <s v="Karongi"/>
    <s v="Mutuntu"/>
    <s v="NNYU_1"/>
    <s v="Mbirurume Sub-Catchment"/>
    <n v="3784.32"/>
  </r>
  <r>
    <x v="3"/>
    <s v="MUKAMINA"/>
    <s v="Public"/>
    <x v="0"/>
    <s v="Karongi"/>
    <s v="Mutuntu"/>
    <s v="NNYU_1"/>
    <s v="Mbirurume Sub-Catchment"/>
    <n v="3468.9600000000005"/>
  </r>
  <r>
    <x v="3"/>
    <s v="GASEKE"/>
    <s v="Public"/>
    <x v="0"/>
    <s v="Karongi"/>
    <s v="Mutuntu"/>
    <s v="NNYU_1"/>
    <s v="Mbirurume Sub-Catchment"/>
    <n v="1892.16"/>
  </r>
  <r>
    <x v="3"/>
    <s v="BYOGO"/>
    <s v="Public"/>
    <x v="0"/>
    <s v="Karongi"/>
    <s v="Mutuntu"/>
    <s v="NNYU_1"/>
    <s v="Mbirurume Sub-Catchment"/>
    <n v="3153.6000000000004"/>
  </r>
  <r>
    <x v="3"/>
    <s v="MUGWIZA"/>
    <s v="Public"/>
    <x v="0"/>
    <s v="Karongi"/>
    <s v="Mutuntu"/>
    <s v="NNYU_1"/>
    <s v="Mbirurume Sub-Catchment"/>
    <n v="946.08"/>
  </r>
  <r>
    <x v="3"/>
    <s v="MUKAMA"/>
    <s v="Public"/>
    <x v="0"/>
    <s v="Karongi"/>
    <s v="Mutuntu"/>
    <s v="NNYU_1"/>
    <s v="Mbirurume Sub-Catchment"/>
    <n v="3153.6000000000004"/>
  </r>
  <r>
    <x v="3"/>
    <s v="RWINKENDE"/>
    <s v="Public"/>
    <x v="0"/>
    <s v="Karongi"/>
    <s v="Mutuntu"/>
    <s v="NNYU_1"/>
    <s v="Mbirurume Sub-Catchment"/>
    <n v="1261.44"/>
  </r>
  <r>
    <x v="3"/>
    <s v="MUGASHANGA"/>
    <s v="Public"/>
    <x v="0"/>
    <s v="Karongi"/>
    <s v="Mutuntu"/>
    <s v="NNYU_1"/>
    <s v="Mbirurume Sub-Catchment"/>
    <n v="315.36"/>
  </r>
  <r>
    <x v="3"/>
    <s v="RYABITARE"/>
    <s v="Public"/>
    <x v="0"/>
    <s v="Karongi"/>
    <s v="Mutuntu"/>
    <s v="NNYU_1"/>
    <s v="Mbirurume Sub-Catchment"/>
    <n v="946.08"/>
  </r>
  <r>
    <x v="3"/>
    <s v="MUKADIHI"/>
    <s v="Public"/>
    <x v="0"/>
    <s v="Karongi"/>
    <s v="Mutuntu"/>
    <s v="NNYU_1"/>
    <s v="Mbirurume Sub-Catchment"/>
    <n v="3311.2799999999997"/>
  </r>
  <r>
    <x v="3"/>
    <s v="MUGASHANGA"/>
    <s v="Public"/>
    <x v="0"/>
    <s v="Karongi"/>
    <s v="Mutuntu"/>
    <s v="NNYU_1"/>
    <s v="Mbirurume Sub-Catchment"/>
    <n v="1576.8000000000002"/>
  </r>
  <r>
    <x v="3"/>
    <s v="MUKUNGU"/>
    <s v="Public"/>
    <x v="0"/>
    <s v="Karongi"/>
    <s v="Mutuntu"/>
    <s v="NNYU_1"/>
    <s v="Mbirurume Sub-Catchment"/>
    <n v="3626.64"/>
  </r>
  <r>
    <x v="3"/>
    <s v="MUCYAMABANO"/>
    <s v="Public"/>
    <x v="0"/>
    <s v="Karongi"/>
    <s v="Mutuntu"/>
    <s v="NNYU_1"/>
    <s v="Mbirurume Sub-Catchment"/>
    <n v="2838.24"/>
  </r>
  <r>
    <x v="3"/>
    <s v="KURUTARE"/>
    <s v="Public"/>
    <x v="0"/>
    <s v="Karongi"/>
    <s v="Mutuntu"/>
    <s v="NNYU_1"/>
    <s v="Mbirurume Sub-Catchment"/>
    <n v="1261.44"/>
  </r>
  <r>
    <x v="3"/>
    <s v="MUGASEKE"/>
    <s v="Public"/>
    <x v="0"/>
    <s v="Karongi"/>
    <s v="Mutuntu"/>
    <s v="NNYU_1"/>
    <s v="Mbirurume Sub-Catchment"/>
    <n v="1261.44"/>
  </r>
  <r>
    <x v="3"/>
    <s v="MUNSURA"/>
    <s v="Public"/>
    <x v="0"/>
    <s v="Karongi"/>
    <s v="Mutuntu"/>
    <s v="NNYU_1"/>
    <s v="Mbirurume Sub-Catchment"/>
    <n v="946.08"/>
  </r>
  <r>
    <x v="3"/>
    <s v="MARYOHE"/>
    <s v="Public"/>
    <x v="0"/>
    <s v="Karongi"/>
    <s v="Mutuntu"/>
    <s v="NNYU_1"/>
    <s v="Mbirurume Sub-Catchment"/>
    <n v="1261.44"/>
  </r>
  <r>
    <x v="3"/>
    <s v="GASHUBI"/>
    <s v="Public"/>
    <x v="0"/>
    <s v="Karongi"/>
    <s v="Mutuntu"/>
    <s v="NNYU_1"/>
    <s v="Mbirurume Sub-Catchment"/>
    <n v="1419.12"/>
  </r>
  <r>
    <x v="3"/>
    <s v="RYAGITUMBA"/>
    <s v="Public"/>
    <x v="0"/>
    <s v="Karongi"/>
    <s v="Mutuntu"/>
    <s v="NNYU_1"/>
    <s v="Mbirurume Sub-Catchment"/>
    <n v="1419.12"/>
  </r>
  <r>
    <x v="3"/>
    <s v="GITUMBA"/>
    <s v="Public"/>
    <x v="0"/>
    <s v="Karongi"/>
    <s v="Mutuntu"/>
    <s v="NNYU_1"/>
    <s v="Mbirurume Sub-Catchment"/>
    <n v="2995.92"/>
  </r>
  <r>
    <x v="3"/>
    <s v="MUGAKIRIMBIRI"/>
    <s v="Public"/>
    <x v="0"/>
    <s v="Karongi"/>
    <s v="Mutuntu"/>
    <s v="NNYU_1"/>
    <s v="Mbirurume Sub-Catchment"/>
    <n v="1103.7600000000002"/>
  </r>
  <r>
    <x v="3"/>
    <s v="GISEGENYA"/>
    <s v="Public"/>
    <x v="0"/>
    <s v="Karongi"/>
    <s v="Mutuntu"/>
    <s v="NNYU_1"/>
    <s v="Mbirurume Sub-Catchment"/>
    <n v="1576.8000000000002"/>
  </r>
  <r>
    <x v="3"/>
    <s v="MURUKORE"/>
    <s v="Public"/>
    <x v="0"/>
    <s v="Karongi"/>
    <s v="Mutuntu"/>
    <s v="NNYU_1"/>
    <s v="Mbirurume Sub-Catchment"/>
    <n v="2838.24"/>
  </r>
  <r>
    <x v="3"/>
    <s v="MANJI"/>
    <s v="Public"/>
    <x v="0"/>
    <s v="Karongi"/>
    <s v="Mutuntu"/>
    <s v="NNYU_1"/>
    <s v="Mbirurume Sub-Catchment"/>
    <n v="2522.88"/>
  </r>
  <r>
    <x v="3"/>
    <s v="MUCYABAGANDA"/>
    <s v="Public"/>
    <x v="0"/>
    <s v="Karongi"/>
    <s v="Mutuntu"/>
    <s v="NNYU_1"/>
    <s v="Mbirurume Sub-Catchment"/>
    <n v="3153.6000000000004"/>
  </r>
  <r>
    <x v="3"/>
    <s v="BWOTO"/>
    <s v="Public"/>
    <x v="0"/>
    <s v="Karongi"/>
    <s v="Mutuntu"/>
    <s v="NNYU_1"/>
    <s v="Mbirurume Sub-Catchment"/>
    <n v="3311.2799999999997"/>
  </r>
  <r>
    <x v="3"/>
    <s v="MATYAZO"/>
    <s v="Public"/>
    <x v="0"/>
    <s v="Karongi"/>
    <s v="Mutuntu"/>
    <s v="NNYU_1"/>
    <s v="Mbirurume Sub-Catchment"/>
    <n v="5045.76"/>
  </r>
  <r>
    <x v="3"/>
    <s v="MUBITABA"/>
    <s v="Public"/>
    <x v="0"/>
    <s v="Karongi"/>
    <s v="Mutuntu"/>
    <s v="NNYU_1"/>
    <s v="Mbirurume Sub-Catchment"/>
    <n v="788.40000000000009"/>
  </r>
  <r>
    <x v="3"/>
    <s v="MUKABABO"/>
    <s v="Public"/>
    <x v="0"/>
    <s v="Nyamagabe"/>
    <s v="Nkomane"/>
    <s v="NNYU_1"/>
    <s v="Mbirurume Sub-Catchment"/>
    <n v="2627.8948800000003"/>
  </r>
  <r>
    <x v="3"/>
    <s v="MUTITI"/>
    <s v="Public"/>
    <x v="0"/>
    <s v="Nyamagabe"/>
    <s v="Nkomane"/>
    <s v="NNYU_1"/>
    <s v="Mbirurume Sub-Catchment"/>
    <n v="5250.7439999999997"/>
  </r>
  <r>
    <x v="3"/>
    <s v="RUSEKE2"/>
    <s v="Public"/>
    <x v="0"/>
    <s v="Nyamagabe"/>
    <s v="Nkomane"/>
    <s v="NNYU_1"/>
    <s v="Mbirurume Sub-Catchment"/>
    <n v="1750.248"/>
  </r>
  <r>
    <x v="3"/>
    <s v="GATOKI"/>
    <s v="Public"/>
    <x v="0"/>
    <s v="Nyamagabe"/>
    <s v="Nkomane"/>
    <s v="NNYU_1"/>
    <s v="Mbirurume Sub-Catchment"/>
    <n v="1592.5680000000002"/>
  </r>
  <r>
    <x v="3"/>
    <s v="GAKOMBE"/>
    <s v="Public"/>
    <x v="0"/>
    <s v="Nyamagabe"/>
    <s v="Nkomane"/>
    <s v="NNYU_1"/>
    <s v="Mbirurume Sub-Catchment"/>
    <n v="1313.9474400000001"/>
  </r>
  <r>
    <x v="3"/>
    <s v="GATOKI2"/>
    <s v="Public"/>
    <x v="0"/>
    <s v="Nyamagabe"/>
    <s v="Nkomane"/>
    <s v="NNYU_1"/>
    <s v="Mbirurume Sub-Catchment"/>
    <n v="1734.4800000000002"/>
  </r>
  <r>
    <x v="3"/>
    <s v="RUSEKE"/>
    <s v="Public"/>
    <x v="0"/>
    <s v="Nyamagabe"/>
    <s v="Nkomane"/>
    <s v="NNYU_1"/>
    <s v="Mbirurume Sub-Catchment"/>
    <n v="1971.0000000000002"/>
  </r>
  <r>
    <x v="3"/>
    <s v="GASUMA"/>
    <s v="Public"/>
    <x v="0"/>
    <s v="Nyamagabe"/>
    <s v="Nkomane"/>
    <s v="NNYU_1"/>
    <s v="Mbirurume Sub-Catchment"/>
    <n v="1971.0000000000002"/>
  </r>
  <r>
    <x v="3"/>
    <s v="KARENGA"/>
    <s v="Public"/>
    <x v="0"/>
    <s v="Nyamagabe"/>
    <s v="Nkomane"/>
    <s v="NNYU_1"/>
    <s v="Mbirurume Sub-Catchment"/>
    <n v="1971.0000000000002"/>
  </r>
  <r>
    <x v="3"/>
    <s v="KARAMBO"/>
    <s v="Public"/>
    <x v="0"/>
    <s v="Nyamagabe"/>
    <s v="Nkomane"/>
    <s v="NNYU_1"/>
    <s v="Mbirurume Sub-Catchment"/>
    <n v="2759.4"/>
  </r>
  <r>
    <x v="3"/>
    <s v="MUTARAMA"/>
    <s v="Public"/>
    <x v="0"/>
    <s v="Nyamagabe"/>
    <s v="Nkomane"/>
    <s v="NNYU_1"/>
    <s v="Mbirurume Sub-Catchment"/>
    <n v="1971.0000000000002"/>
  </r>
  <r>
    <x v="3"/>
    <s v="RUSEKERA"/>
    <s v="Public"/>
    <x v="0"/>
    <s v="Nyamagabe"/>
    <s v="Nkomane"/>
    <s v="NNYU_1"/>
    <s v="Mbirurume Sub-Catchment"/>
    <n v="2759.4"/>
  </r>
  <r>
    <x v="3"/>
    <s v="RUKOMBE"/>
    <s v="Public"/>
    <x v="0"/>
    <s v="Nyamagabe"/>
    <s v="Nkomane"/>
    <s v="NNYU_1"/>
    <s v="Mbirurume Sub-Catchment"/>
    <n v="2626.9488000000001"/>
  </r>
  <r>
    <x v="3"/>
    <s v="RUTABA"/>
    <s v="Public"/>
    <x v="0"/>
    <s v="Nyamagabe"/>
    <s v="Nkomane"/>
    <s v="NNYU_1"/>
    <s v="Mbirurume Sub-Catchment"/>
    <n v="1971.0000000000002"/>
  </r>
  <r>
    <x v="3"/>
    <s v="NYANSKO"/>
    <s v="Public"/>
    <x v="0"/>
    <s v="Nyamagabe"/>
    <s v="Nkomane"/>
    <s v="NNYU_1"/>
    <s v="Mbirurume Sub-Catchment"/>
    <n v="2626.9488000000001"/>
  </r>
  <r>
    <x v="3"/>
    <s v="MWIRANGI"/>
    <s v="Public"/>
    <x v="0"/>
    <s v="Nyamagabe"/>
    <s v="Nkomane"/>
    <s v="NNYU_1"/>
    <s v="Mbirurume Sub-Catchment"/>
    <n v="2626.9488000000001"/>
  </r>
  <r>
    <x v="3"/>
    <s v="RUGETI"/>
    <s v="Public"/>
    <x v="0"/>
    <s v="Nyamagabe"/>
    <s v="Nkomane"/>
    <s v="NNYU_1"/>
    <s v="Mbirurume Sub-Catchment"/>
    <n v="1971.0000000000002"/>
  </r>
  <r>
    <x v="3"/>
    <s v="BITABA"/>
    <s v="Public"/>
    <x v="0"/>
    <s v="Nyamagabe"/>
    <s v="Nkomane"/>
    <s v="NNYU_1"/>
    <s v="Mbirurume Sub-Catchment"/>
    <n v="2617.4880000000003"/>
  </r>
  <r>
    <x v="3"/>
    <s v="MATYAZO"/>
    <s v="Public"/>
    <x v="0"/>
    <s v="Nyamagabe"/>
    <s v="Nkomane"/>
    <s v="NNYU_1"/>
    <s v="Mbirurume Sub-Catchment"/>
    <n v="3942.0000000000005"/>
  </r>
  <r>
    <x v="3"/>
    <s v="KIBUBURO"/>
    <s v="Public"/>
    <x v="0"/>
    <s v="Nyamagabe"/>
    <s v="Nkomane"/>
    <s v="NNYU_1"/>
    <s v="Mbirurume Sub-Catchment"/>
    <n v="2633.2560000000003"/>
  </r>
  <r>
    <x v="3"/>
    <s v="KARARO"/>
    <s v="Public"/>
    <x v="0"/>
    <s v="Nyamagabe"/>
    <s v="Nkomane"/>
    <s v="NNYU_1"/>
    <s v="Mbirurume Sub-Catchment"/>
    <n v="2759.4"/>
  </r>
  <r>
    <x v="3"/>
    <s v="KIZIMURIRO"/>
    <s v="Public"/>
    <x v="0"/>
    <s v="Nyamagabe"/>
    <s v="Nkomane"/>
    <s v="NNYU_1"/>
    <s v="Mbirurume Sub-Catchment"/>
    <n v="1750.248"/>
  </r>
  <r>
    <x v="3"/>
    <s v="MUGATARE"/>
    <s v="Public"/>
    <x v="0"/>
    <s v="Karongi"/>
    <s v="Ruganda"/>
    <s v="NNYU_1"/>
    <s v="Mbirurume Sub-Catchment"/>
    <n v="2049.84"/>
  </r>
  <r>
    <x v="3"/>
    <s v="GASHUMA II"/>
    <s v="Public"/>
    <x v="0"/>
    <s v="Karongi"/>
    <s v="Ruganda"/>
    <s v="NNYU_1"/>
    <s v="Mbirurume Sub-Catchment"/>
    <n v="2522.88"/>
  </r>
  <r>
    <x v="3"/>
    <s v="GASHUMA"/>
    <s v="Public"/>
    <x v="0"/>
    <s v="Karongi"/>
    <s v="Ruganda"/>
    <s v="NNYU_1"/>
    <s v="Mbirurume Sub-Catchment"/>
    <n v="1103.7600000000002"/>
  </r>
  <r>
    <x v="3"/>
    <s v="KAMPATSWE"/>
    <s v="Public"/>
    <x v="0"/>
    <s v="Karongi"/>
    <s v="Ruganda"/>
    <s v="NNYU_1"/>
    <s v="Mbirurume Sub-Catchment"/>
    <n v="2365.2000000000003"/>
  </r>
  <r>
    <x v="3"/>
    <s v="RUSISIRO"/>
    <s v="Public"/>
    <x v="0"/>
    <s v="Karongi"/>
    <s v="Ruganda"/>
    <s v="NNYU_1"/>
    <s v="Mbirurume Sub-Catchment"/>
    <n v="3153.6000000000004"/>
  </r>
  <r>
    <x v="3"/>
    <s v="KWARUHAHIRA"/>
    <s v="Public"/>
    <x v="0"/>
    <s v="Karongi"/>
    <s v="Ruganda"/>
    <s v="NNYU_1"/>
    <s v="Mbirurume Sub-Catchment"/>
    <n v="2995.92"/>
  </r>
  <r>
    <x v="3"/>
    <s v="NYAKAGEZI"/>
    <s v="Public"/>
    <x v="0"/>
    <s v="Karongi"/>
    <s v="Ruganda"/>
    <s v="NNYU_1"/>
    <s v="Mbirurume Sub-Catchment"/>
    <n v="1576.8000000000002"/>
  </r>
  <r>
    <x v="3"/>
    <s v="MUKUNINI"/>
    <s v="Public"/>
    <x v="0"/>
    <s v="Karongi"/>
    <s v="Ruganda"/>
    <s v="NNYU_1"/>
    <s v="Mbirurume Sub-Catchment"/>
    <n v="2522.88"/>
  </r>
  <r>
    <x v="3"/>
    <s v="RUSEKE"/>
    <s v="Public"/>
    <x v="0"/>
    <s v="Karongi"/>
    <s v="Ruganda"/>
    <s v="NNYU_1"/>
    <s v="Mbirurume Sub-Catchment"/>
    <n v="1261.44"/>
  </r>
  <r>
    <x v="3"/>
    <s v="RUGOMERO"/>
    <s v="Public"/>
    <x v="0"/>
    <s v="Karongi"/>
    <s v="Ruganda"/>
    <s v="NNYU_1"/>
    <s v="Mbirurume Sub-Catchment"/>
    <n v="1576.8000000000002"/>
  </r>
  <r>
    <x v="3"/>
    <s v="MARYOHE II"/>
    <s v="Public"/>
    <x v="0"/>
    <s v="Karongi"/>
    <s v="Ruganda"/>
    <s v="NNYU_1"/>
    <s v="Mbirurume Sub-Catchment"/>
    <n v="1892.16"/>
  </r>
  <r>
    <x v="3"/>
    <s v="MUKAGOTE"/>
    <s v="Public"/>
    <x v="0"/>
    <s v="Karongi"/>
    <s v="Ruganda"/>
    <s v="NNYU_1"/>
    <s v="Mbirurume Sub-Catchment"/>
    <n v="4099.68"/>
  </r>
  <r>
    <x v="3"/>
    <s v="MUGASITO"/>
    <s v="Public"/>
    <x v="0"/>
    <s v="Karongi"/>
    <s v="Ruganda"/>
    <s v="NNYU_1"/>
    <s v="Mbirurume Sub-Catchment"/>
    <n v="2995.92"/>
  </r>
  <r>
    <x v="3"/>
    <s v="MARYOHE"/>
    <s v="Public"/>
    <x v="0"/>
    <s v="Karongi"/>
    <s v="Ruganda"/>
    <s v="NNYU_1"/>
    <s v="Mbirurume Sub-Catchment"/>
    <n v="2838.24"/>
  </r>
  <r>
    <x v="3"/>
    <s v="NYAGAHARA"/>
    <s v="Public"/>
    <x v="0"/>
    <s v="Karongi"/>
    <s v="Ruganda"/>
    <s v="NNYU_1"/>
    <s v="Mbirurume Sub-Catchment"/>
    <n v="630.72"/>
  </r>
  <r>
    <x v="3"/>
    <s v="MUGASEKE"/>
    <s v="Public"/>
    <x v="0"/>
    <s v="Karongi"/>
    <s v="Ruganda"/>
    <s v="NNYU_1"/>
    <s v="Mbirurume Sub-Catchment"/>
    <n v="1892.16"/>
  </r>
  <r>
    <x v="3"/>
    <s v="MUHONDO"/>
    <s v="Public"/>
    <x v="0"/>
    <s v="Karongi"/>
    <s v="Ruganda"/>
    <s v="NNYU_1"/>
    <s v="Mbirurume Sub-Catchment"/>
    <n v="3153.6000000000004"/>
  </r>
  <r>
    <x v="3"/>
    <s v="MURUTARE"/>
    <s v="Public"/>
    <x v="0"/>
    <s v="Karongi"/>
    <s v="Rwankuba"/>
    <s v="NNYU_1"/>
    <s v="Mbirurume Sub-Catchment"/>
    <n v="4730.4000000000005"/>
  </r>
  <r>
    <x v="3"/>
    <s v="BIHEKO"/>
    <s v="Public"/>
    <x v="0"/>
    <s v="Karongi"/>
    <s v="Rwankuba"/>
    <s v="NNYU_1"/>
    <s v="Mbirurume Sub-Catchment"/>
    <n v="3153.6000000000004"/>
  </r>
  <r>
    <x v="3"/>
    <s v="NYABITANGO"/>
    <s v="Public"/>
    <x v="0"/>
    <s v="Karongi"/>
    <s v="Rwankuba"/>
    <s v="NNYU_1"/>
    <s v="Mbirurume Sub-Catchment"/>
    <n v="1576.8000000000002"/>
  </r>
  <r>
    <x v="3"/>
    <s v="RUGAMIRI"/>
    <s v="Public"/>
    <x v="0"/>
    <s v="Karongi"/>
    <s v="Rwankuba"/>
    <s v="NNYU_1"/>
    <s v="Mbirurume Sub-Catchment"/>
    <n v="1576.8000000000002"/>
  </r>
  <r>
    <x v="3"/>
    <s v="BASOROMA"/>
    <s v="Public"/>
    <x v="0"/>
    <s v="Karongi"/>
    <s v="Rwankuba"/>
    <s v="NNYU_1"/>
    <s v="Mbirurume Sub-Catchment"/>
    <n v="1419.12"/>
  </r>
  <r>
    <x v="3"/>
    <s v="KAMIHANDA"/>
    <s v="Public"/>
    <x v="0"/>
    <s v="Karongi"/>
    <s v="Rwankuba"/>
    <s v="NNYU_1"/>
    <s v="Mbirurume Sub-Catchment"/>
    <n v="2522.88"/>
  </r>
  <r>
    <x v="3"/>
    <s v="MUKABINGO"/>
    <s v="Public"/>
    <x v="0"/>
    <s v="Karongi"/>
    <s v="Rwankuba"/>
    <s v="NNYU_1"/>
    <s v="Mbirurume Sub-Catchment"/>
    <n v="4730.4000000000005"/>
  </r>
  <r>
    <x v="3"/>
    <s v="RUKORE"/>
    <s v="Public"/>
    <x v="0"/>
    <s v="Karongi"/>
    <s v="Rwankuba"/>
    <s v="NNYU_1"/>
    <s v="Mbirurume Sub-Catchment"/>
    <n v="5045.76"/>
  </r>
  <r>
    <x v="3"/>
    <s v="KADEHERO"/>
    <s v="Public"/>
    <x v="0"/>
    <s v="Karongi"/>
    <s v="Rwankuba"/>
    <s v="NNYU_1"/>
    <s v="Mbirurume Sub-Catchment"/>
    <n v="2680.56"/>
  </r>
  <r>
    <x v="3"/>
    <s v="BAHIMBA"/>
    <s v="Public"/>
    <x v="0"/>
    <s v="Karongi"/>
    <s v="Rwankuba"/>
    <s v="NNYU_1"/>
    <s v="Mbirurume Sub-Catchment"/>
    <n v="3626.64"/>
  </r>
  <r>
    <x v="3"/>
    <s v="GIKURUMUMBWE"/>
    <s v="Public"/>
    <x v="0"/>
    <s v="Karongi"/>
    <s v="Rwankuba"/>
    <s v="NNYU_1"/>
    <s v="Mbirurume Sub-Catchment"/>
    <n v="1892.16"/>
  </r>
  <r>
    <x v="3"/>
    <s v="KINABA"/>
    <s v="Public"/>
    <x v="0"/>
    <s v="Karongi"/>
    <s v="Rwankuba"/>
    <s v="NNYU_1"/>
    <s v="Mbirurume Sub-Catchment"/>
    <n v="4730.4000000000005"/>
  </r>
  <r>
    <x v="3"/>
    <s v="TUGURI"/>
    <s v="Public"/>
    <x v="0"/>
    <s v="Karongi"/>
    <s v="Rwankuba"/>
    <s v="NNYU_1"/>
    <s v="Mbirurume Sub-Catchment"/>
    <n v="2995.92"/>
  </r>
  <r>
    <x v="3"/>
    <s v="KUWINZIRA"/>
    <s v="Public"/>
    <x v="0"/>
    <s v="Karongi"/>
    <s v="Rwankuba"/>
    <s v="NNYU_1"/>
    <s v="Mbirurume Sub-Catchment"/>
    <n v="3153.6000000000004"/>
  </r>
  <r>
    <x v="3"/>
    <s v="KURIDOMPE"/>
    <s v="Public"/>
    <x v="0"/>
    <s v="Karongi"/>
    <s v="Rwankuba"/>
    <s v="NNYU_1"/>
    <s v="Mbirurume Sub-Catchment"/>
    <n v="5518.8"/>
  </r>
  <r>
    <x v="3"/>
    <s v="MARIMBA"/>
    <s v="Public"/>
    <x v="0"/>
    <s v="Karongi"/>
    <s v="Rwankuba"/>
    <s v="NNYU_1"/>
    <s v="Mbirurume Sub-Catchment"/>
    <n v="3468.9600000000005"/>
  </r>
  <r>
    <x v="3"/>
    <s v="MATABO"/>
    <s v="Public"/>
    <x v="0"/>
    <s v="Karongi"/>
    <s v="Rwankuba"/>
    <s v="NNYU_1"/>
    <s v="Mbirurume Sub-Catchment"/>
    <n v="2049.84"/>
  </r>
  <r>
    <x v="3"/>
    <s v="GASAYO"/>
    <s v="Public"/>
    <x v="0"/>
    <s v="Karongi"/>
    <s v="Rwankuba"/>
    <s v="NNYU_1"/>
    <s v="Mbirurume Sub-Catchment"/>
    <n v="1576.8000000000002"/>
  </r>
  <r>
    <x v="3"/>
    <s v="MATABA II"/>
    <s v="Public"/>
    <x v="0"/>
    <s v="Karongi"/>
    <s v="Rwankuba"/>
    <s v="NNYU_1"/>
    <s v="Mbirurume Sub-Catchment"/>
    <n v="1261.44"/>
  </r>
  <r>
    <x v="3"/>
    <s v="RUTINTIMA"/>
    <s v="Public"/>
    <x v="0"/>
    <s v="Karongi"/>
    <s v="Rwankuba"/>
    <s v="NNYU_1"/>
    <s v="Mbirurume Sub-Catchment"/>
    <n v="4257.3600000000006"/>
  </r>
  <r>
    <x v="3"/>
    <s v="RWAMURISHYA"/>
    <s v="Public"/>
    <x v="0"/>
    <s v="Karongi"/>
    <s v="Rwankuba"/>
    <s v="NNYU_1"/>
    <s v="Mbirurume Sub-Catchment"/>
    <n v="1576.8000000000002"/>
  </r>
  <r>
    <x v="3"/>
    <s v="SHWEGURUKA"/>
    <s v="Public"/>
    <x v="0"/>
    <s v="Karongi"/>
    <s v="Rwankuba"/>
    <s v="NNYU_1"/>
    <s v="Mbirurume Sub-Catchment"/>
    <n v="1419.12"/>
  </r>
  <r>
    <x v="3"/>
    <s v="RUGOGO"/>
    <s v="Public"/>
    <x v="0"/>
    <s v="Karongi"/>
    <s v="Rwankuba"/>
    <s v="NNYU_1"/>
    <s v="Mbirurume Sub-Catchment"/>
    <n v="2838.24"/>
  </r>
  <r>
    <x v="3"/>
    <s v="GAKANGAGA"/>
    <s v="Public"/>
    <x v="0"/>
    <s v="Karongi"/>
    <s v="Rwankuba"/>
    <s v="NNYU_1"/>
    <s v="Mbirurume Sub-Catchment"/>
    <n v="6307.2000000000007"/>
  </r>
  <r>
    <x v="3"/>
    <s v="RUGOZI"/>
    <s v="Public"/>
    <x v="0"/>
    <s v="Karongi"/>
    <s v="Rwankuba"/>
    <s v="NNYU_1"/>
    <s v="Mbirurume Sub-Catchment"/>
    <n v="2207.5200000000004"/>
  </r>
  <r>
    <x v="3"/>
    <s v="GISIZA"/>
    <s v="Public"/>
    <x v="0"/>
    <s v="Karongi"/>
    <s v="Rwankuba"/>
    <s v="NNYU_1"/>
    <s v="Mbirurume Sub-Catchment"/>
    <n v="1576.8000000000002"/>
  </r>
  <r>
    <x v="3"/>
    <s v="BIKOWA"/>
    <s v="Public"/>
    <x v="0"/>
    <s v="Karongi"/>
    <s v="Rwankuba"/>
    <s v="NNYU_1"/>
    <s v="Mbirurume Sub-Catchment"/>
    <n v="1576.8000000000002"/>
  </r>
  <r>
    <x v="3"/>
    <s v="MUTUZANA II"/>
    <s v="Public"/>
    <x v="0"/>
    <s v="Karongi"/>
    <s v="Rwankuba"/>
    <s v="NNYU_1"/>
    <s v="Mbirurume Sub-Catchment"/>
    <n v="3311.2799999999997"/>
  </r>
  <r>
    <x v="3"/>
    <s v="NYARUTUNTU"/>
    <s v="Public"/>
    <x v="0"/>
    <s v="Karongi"/>
    <s v="Rwankuba"/>
    <s v="NNYU_1"/>
    <s v="Mbirurume Sub-Catchment"/>
    <n v="1734.4800000000002"/>
  </r>
  <r>
    <x v="3"/>
    <s v="KABADENDE"/>
    <s v="Public"/>
    <x v="0"/>
    <s v="Karongi"/>
    <s v="Rwankuba"/>
    <s v="NNYU_1"/>
    <s v="Mbirurume Sub-Catchment"/>
    <n v="4415.0400000000009"/>
  </r>
  <r>
    <x v="3"/>
    <s v="NYIRATEKE"/>
    <s v="Public"/>
    <x v="0"/>
    <s v="Karongi"/>
    <s v="Rwankuba"/>
    <s v="NNYU_1"/>
    <s v="Mbirurume Sub-Catchment"/>
    <n v="0"/>
  </r>
  <r>
    <x v="3"/>
    <s v="RUTSITSI"/>
    <s v="Public"/>
    <x v="0"/>
    <s v="Karongi"/>
    <s v="Rwankuba"/>
    <s v="NNYU_1"/>
    <s v="Mbirurume Sub-Catchment"/>
    <n v="1419.12"/>
  </r>
  <r>
    <x v="3"/>
    <s v="BUMVUTI"/>
    <s v="Public"/>
    <x v="0"/>
    <s v="Karongi"/>
    <s v="Rwankuba"/>
    <s v="NNYU_1"/>
    <s v="Mbirurume Sub-Catchment"/>
    <n v="3153.6000000000004"/>
  </r>
  <r>
    <x v="3"/>
    <s v="KAMUGISHA"/>
    <s v="Public"/>
    <x v="0"/>
    <s v="Karongi"/>
    <s v="Rwankuba"/>
    <s v="NNYU_1"/>
    <s v="Mbirurume Sub-Catchment"/>
    <n v="1892.16"/>
  </r>
  <r>
    <x v="3"/>
    <s v="GASHINGE"/>
    <s v="Public"/>
    <x v="0"/>
    <s v="Karongi"/>
    <s v="Rwankuba"/>
    <s v="NNYU_1"/>
    <s v="Mbirurume Sub-Catchment"/>
    <n v="6622.5599999999995"/>
  </r>
  <r>
    <x v="3"/>
    <s v="KAGARAMA"/>
    <s v="Public"/>
    <x v="0"/>
    <s v="Karongi"/>
    <s v="Rwankuba"/>
    <s v="NNYU_1"/>
    <s v="Mbirurume Sub-Catchment"/>
    <n v="2365.2000000000003"/>
  </r>
  <r>
    <x v="3"/>
    <s v="KAGETI"/>
    <s v="Public"/>
    <x v="0"/>
    <s v="Karongi"/>
    <s v="Rwankuba"/>
    <s v="NNYU_1"/>
    <s v="Mbirurume Sub-Catchment"/>
    <n v="1103.7600000000002"/>
  </r>
  <r>
    <x v="3"/>
    <s v="BUMVUTI II"/>
    <s v="Public"/>
    <x v="0"/>
    <s v="Karongi"/>
    <s v="Rwankuba"/>
    <s v="NNYU_1"/>
    <s v="Mbirurume Sub-Catchment"/>
    <n v="4730.4000000000005"/>
  </r>
  <r>
    <x v="3"/>
    <s v="RUGARAMA"/>
    <s v="Public"/>
    <x v="0"/>
    <s v="Karongi"/>
    <s v="Rwankuba"/>
    <s v="NNYU_1"/>
    <s v="Mbirurume Sub-Catchment"/>
    <n v="3468.9600000000005"/>
  </r>
  <r>
    <x v="3"/>
    <s v="GATARE"/>
    <s v="Public"/>
    <x v="0"/>
    <s v="Karongi"/>
    <s v="Rwankuba"/>
    <s v="NNYU_1"/>
    <s v="Mbirurume Sub-Catchment"/>
    <n v="1419.12"/>
  </r>
  <r>
    <x v="3"/>
    <s v="KARUBATI II"/>
    <s v="Public"/>
    <x v="0"/>
    <s v="Karongi"/>
    <s v="Rwankuba"/>
    <s v="NNYU_1"/>
    <s v="Mbirurume Sub-Catchment"/>
    <n v="2838.24"/>
  </r>
  <r>
    <x v="3"/>
    <s v="BUNYERERI"/>
    <s v="Public"/>
    <x v="0"/>
    <s v="Karongi"/>
    <s v="Rwankuba"/>
    <s v="NNYU_1"/>
    <s v="Mbirurume Sub-Catchment"/>
    <n v="3153.6000000000004"/>
  </r>
  <r>
    <x v="3"/>
    <s v="RWANYURBE"/>
    <s v="Public"/>
    <x v="0"/>
    <s v="Karongi"/>
    <s v="Rwankuba"/>
    <s v="NNYU_1"/>
    <s v="Mbirurume Sub-Catchment"/>
    <n v="4415.0400000000009"/>
  </r>
  <r>
    <x v="3"/>
    <s v="KARUBATI"/>
    <s v="Public"/>
    <x v="0"/>
    <s v="Karongi"/>
    <s v="Rwankuba"/>
    <s v="NNYU_1"/>
    <s v="Mbirurume Sub-Catchment"/>
    <n v="2207.5200000000004"/>
  </r>
  <r>
    <x v="3"/>
    <s v="GATARE II"/>
    <s v="Public"/>
    <x v="0"/>
    <s v="Karongi"/>
    <s v="Rwankuba"/>
    <s v="NNYU_1"/>
    <s v="Mbirurume Sub-Catchment"/>
    <n v="1103.7600000000002"/>
  </r>
  <r>
    <x v="3"/>
    <s v="KAGETI II"/>
    <s v="Public"/>
    <x v="0"/>
    <s v="Karongi"/>
    <s v="Rwankuba"/>
    <s v="NNYU_1"/>
    <s v="Mbirurume Sub-Catchment"/>
    <n v="1419.12"/>
  </r>
  <r>
    <x v="3"/>
    <s v="MUTUZANA"/>
    <s v="Public"/>
    <x v="0"/>
    <s v="Karongi"/>
    <s v="Rwankuba"/>
    <s v="NNYU_1"/>
    <s v="Mbirurume Sub-Catchment"/>
    <n v="1734.4800000000002"/>
  </r>
  <r>
    <x v="3"/>
    <s v="KAMABOKO"/>
    <s v="Public"/>
    <x v="0"/>
    <s v="Karongi"/>
    <s v="Rwankuba"/>
    <s v="NNYU_1"/>
    <s v="Mbirurume Sub-Catchment"/>
    <n v="2995.92"/>
  </r>
  <r>
    <x v="3"/>
    <s v="KARUTARA"/>
    <s v="Public"/>
    <x v="0"/>
    <s v="Karongi"/>
    <s v="Rwankuba"/>
    <s v="NNYU_1"/>
    <s v="Mbirurume Sub-Catchment"/>
    <n v="3942.0000000000005"/>
  </r>
  <r>
    <x v="3"/>
    <s v="NYARUSHEKERA"/>
    <s v="Public"/>
    <x v="0"/>
    <s v="Karongi"/>
    <s v="Rwankuba"/>
    <s v="NNYU_1"/>
    <s v="Mbirurume Sub-Catchment"/>
    <n v="1892.16"/>
  </r>
  <r>
    <x v="3"/>
    <s v="NYARUSHEKERA II"/>
    <s v="Public"/>
    <x v="0"/>
    <s v="Karongi"/>
    <s v="Rwankuba"/>
    <s v="NNYU_1"/>
    <s v="Mbirurume Sub-Catchment"/>
    <n v="3153.6000000000004"/>
  </r>
  <r>
    <x v="3"/>
    <s v="NYAKAGEZI"/>
    <s v="Public"/>
    <x v="0"/>
    <s v="Karongi"/>
    <s v="Rwankuba"/>
    <s v="NNYU_1"/>
    <s v="Mbirurume Sub-Catchment"/>
    <n v="1576.8000000000002"/>
  </r>
  <r>
    <x v="3"/>
    <s v="GATARE"/>
    <s v="Public"/>
    <x v="0"/>
    <s v="Karongi"/>
    <s v="Rwankuba"/>
    <s v="NNYU_1"/>
    <s v="Mbirurume Sub-Catchment"/>
    <n v="3153.6000000000004"/>
  </r>
  <r>
    <x v="3"/>
    <s v="RWANYAMUGABIKA"/>
    <s v="Public"/>
    <x v="0"/>
    <s v="Karongi"/>
    <s v="Rwankuba"/>
    <s v="NNYU_1"/>
    <s v="Mbirurume Sub-Catchment"/>
    <n v="1576.8000000000002"/>
  </r>
  <r>
    <x v="3"/>
    <s v="DEDE"/>
    <s v="Public"/>
    <x v="0"/>
    <s v="Karongi"/>
    <s v="Rwankuba"/>
    <s v="NNYU_1"/>
    <s v="Mbirurume Sub-Catchment"/>
    <n v="1734.4800000000002"/>
  </r>
  <r>
    <x v="3"/>
    <s v="MUMWUFE"/>
    <s v="Public"/>
    <x v="0"/>
    <s v="Karongi"/>
    <s v="Rwankuba"/>
    <s v="NNYU_1"/>
    <s v="Mbirurume Sub-Catchment"/>
    <n v="2365.2000000000003"/>
  </r>
  <r>
    <x v="3"/>
    <s v="MUKAMATEKE"/>
    <s v="Public"/>
    <x v="0"/>
    <s v="Karongi"/>
    <s v="Rwankuba"/>
    <s v="NNYU_1"/>
    <s v="Mbirurume Sub-Catchment"/>
    <n v="204984"/>
  </r>
  <r>
    <x v="3"/>
    <s v="NYAGASHANGA"/>
    <s v="Public"/>
    <x v="0"/>
    <s v="Gasabo"/>
    <s v="Bumbogo"/>
    <s v="NAKU_1"/>
    <s v="Mugesera/Sake sub catchmentt"/>
    <n v="6307.2000000000007"/>
  </r>
  <r>
    <x v="3"/>
    <s v="RUSAVE"/>
    <s v="Public"/>
    <x v="0"/>
    <s v="Gasabo"/>
    <s v="Bumbogo"/>
    <s v="NAKU_1"/>
    <s v="Mugesera/Sake sub catchmentt"/>
    <n v="946.08"/>
  </r>
  <r>
    <x v="3"/>
    <s v="NYAKAGEZI"/>
    <s v="Public"/>
    <x v="0"/>
    <s v="Gasabo"/>
    <s v="Bumbogo"/>
    <s v="NAKU_1"/>
    <s v="Mugesera/Sake sub catchmentt"/>
    <n v="6464.88"/>
  </r>
  <r>
    <x v="3"/>
    <s v="RUHONDO"/>
    <s v="Public"/>
    <x v="0"/>
    <s v="Gasabo"/>
    <s v="Bumbogo"/>
    <s v="NAKU_1"/>
    <s v="Mugesera/Sake sub catchmentt"/>
    <n v="788.40000000000009"/>
  </r>
  <r>
    <x v="3"/>
    <s v="nyaruhone"/>
    <s v="Public"/>
    <x v="0"/>
    <s v="Gasabo"/>
    <s v="Bumbogo"/>
    <s v="NAKU_1"/>
    <s v="Mugesera/Sake sub catchmentt"/>
    <n v="4730.4000000000005"/>
  </r>
  <r>
    <x v="3"/>
    <s v="KABUDEDE"/>
    <s v="Public"/>
    <x v="0"/>
    <s v="Gasabo"/>
    <s v="Bumbogo"/>
    <s v="NAKU_1"/>
    <s v="Mugesera/Sake sub catchmentt"/>
    <n v="9460.8000000000011"/>
  </r>
  <r>
    <x v="3"/>
    <s v="KILIZA II"/>
    <s v="Public"/>
    <x v="0"/>
    <s v="Gasabo"/>
    <s v="Bumbogo"/>
    <s v="NAKU_1"/>
    <s v="Mugesera/Sake sub catchmentt"/>
    <n v="457.27200000000005"/>
  </r>
  <r>
    <x v="3"/>
    <s v="KILIZA"/>
    <s v="Public"/>
    <x v="0"/>
    <s v="Gasabo"/>
    <s v="Bumbogo"/>
    <s v="NAKU_1"/>
    <s v="Mugesera/Sake sub catchmentt"/>
    <n v="946.08"/>
  </r>
  <r>
    <x v="3"/>
    <s v="KWA KABASHA"/>
    <s v="Public"/>
    <x v="0"/>
    <s v="Gasabo"/>
    <s v="Bumbogo"/>
    <s v="NAKU_1"/>
    <s v="Mugesera/Sake sub catchmentt"/>
    <n v="13087.44"/>
  </r>
  <r>
    <x v="3"/>
    <s v="NYAMUKO"/>
    <s v="Public"/>
    <x v="0"/>
    <s v="Gasabo"/>
    <s v="Bumbogo"/>
    <s v="NAKU_1"/>
    <s v="Mugesera/Sake sub catchmentt"/>
    <n v="3626.64"/>
  </r>
  <r>
    <x v="3"/>
    <s v="NYAKABINGO"/>
    <s v="Public"/>
    <x v="0"/>
    <s v="Gasabo"/>
    <s v="Bumbogo"/>
    <s v="NAKU_1"/>
    <s v="Mugesera/Sake sub catchmentt"/>
    <n v="4730.4000000000005"/>
  </r>
  <r>
    <x v="3"/>
    <s v="MUTOBO"/>
    <s v="Public"/>
    <x v="0"/>
    <s v="Gasabo"/>
    <s v="Bumbogo"/>
    <s v="NAKU_1"/>
    <s v="Mugesera/Sake sub catchmentt"/>
    <n v="7884.0000000000009"/>
  </r>
  <r>
    <x v="3"/>
    <s v="GATARE"/>
    <s v="Public"/>
    <x v="0"/>
    <s v="Gasabo"/>
    <s v="Bumbogo"/>
    <s v="NAKU_1"/>
    <s v="Mugesera/Sake sub catchmentt"/>
    <n v="6307.2000000000007"/>
  </r>
  <r>
    <x v="3"/>
    <s v="BYIMANA"/>
    <s v="Public"/>
    <x v="0"/>
    <s v="Gasabo"/>
    <s v="Bumbogo"/>
    <s v="NAKU_1"/>
    <s v="Mugesera/Sake sub catchmentt"/>
    <n v="8514.7200000000012"/>
  </r>
  <r>
    <x v="3"/>
    <s v="BUSHYA"/>
    <s v="Public"/>
    <x v="0"/>
    <s v="Gasabo"/>
    <s v="Bumbogo"/>
    <s v="NAKU_1"/>
    <s v="Mugesera/Sake sub catchmentt"/>
    <n v="3153.6000000000004"/>
  </r>
  <r>
    <x v="3"/>
    <s v="GATARE"/>
    <s v="Public"/>
    <x v="0"/>
    <s v="Rwamagana"/>
    <s v="Gahengeri"/>
    <s v="NAKU_1"/>
    <s v="Mugesera/Sake sub catchmentt"/>
    <n v="7095.6"/>
  </r>
  <r>
    <x v="3"/>
    <s v="MUGOMERO"/>
    <s v="Public"/>
    <x v="0"/>
    <s v="Rwamagana"/>
    <s v="Gahengeri"/>
    <s v="NAKU_1"/>
    <s v="Mugesera/Sake sub catchmentt"/>
    <n v="2522.88"/>
  </r>
  <r>
    <x v="3"/>
    <s v="RWINKA"/>
    <s v="Public"/>
    <x v="0"/>
    <s v="Rwamagana"/>
    <s v="Gahengeri"/>
    <s v="NAKU_1"/>
    <s v="Mugesera/Sake sub catchmentt"/>
    <n v="3311.2799999999997"/>
  </r>
  <r>
    <x v="3"/>
    <s v="NYAGASHANGA"/>
    <s v="Public"/>
    <x v="0"/>
    <s v="Rwamagana"/>
    <s v="Gahengeri"/>
    <s v="NAKU_1"/>
    <s v="Mugesera/Sake sub catchmentt"/>
    <n v="630720"/>
  </r>
  <r>
    <x v="3"/>
    <s v="NYIRABUHENE"/>
    <s v="Public"/>
    <x v="0"/>
    <s v="Rwamagana"/>
    <s v="Gahengeri"/>
    <s v="NAKU_1"/>
    <s v="Mugesera/Sake sub catchmentt"/>
    <n v="946.08"/>
  </r>
  <r>
    <x v="3"/>
    <s v="NYAKARIBA"/>
    <s v="Public"/>
    <x v="0"/>
    <s v="Rwamagana"/>
    <s v="Gahengeri"/>
    <s v="NAKU_1"/>
    <s v="Mugesera/Sake sub catchmentt"/>
    <n v="26332.560000000001"/>
  </r>
  <r>
    <x v="3"/>
    <s v="GIKONO"/>
    <s v="Public"/>
    <x v="0"/>
    <s v="Rwamagana"/>
    <s v="Gahengeri"/>
    <s v="NAKU_1"/>
    <s v="Mugesera/Sake sub catchmentt"/>
    <n v="5913.0000000000009"/>
  </r>
  <r>
    <x v="3"/>
    <s v="RWAMUVUNYI"/>
    <s v="Public"/>
    <x v="0"/>
    <s v="Rwamagana"/>
    <s v="Gahengeri"/>
    <s v="NAKU_1"/>
    <s v="Mugesera/Sake sub catchmentt"/>
    <n v="7884.0000000000009"/>
  </r>
  <r>
    <x v="3"/>
    <s v="NYAKARIBA"/>
    <s v="Public"/>
    <x v="0"/>
    <s v="Ngoma"/>
    <s v="Gashanda"/>
    <s v="NAKU_1"/>
    <s v="Mugesera/Sake sub catchmentt"/>
    <n v="0"/>
  </r>
  <r>
    <x v="3"/>
    <s v="NYAKARIBA"/>
    <s v="Public"/>
    <x v="0"/>
    <s v="Ngoma"/>
    <s v="Gashanda"/>
    <s v="NAKU_1"/>
    <s v="Mugesera/Sake sub catchmentt"/>
    <n v="0"/>
  </r>
  <r>
    <x v="3"/>
    <s v="KASHAZA"/>
    <s v="Public"/>
    <x v="0"/>
    <s v="Ngoma"/>
    <s v="Gashanda"/>
    <s v="NAKU_1"/>
    <s v="Mugesera/Sake sub catchmentt"/>
    <n v="7884.0000000000009"/>
  </r>
  <r>
    <x v="3"/>
    <s v="GISENYI"/>
    <s v="Public"/>
    <x v="0"/>
    <s v="Ngoma"/>
    <s v="Gashanda"/>
    <s v="NAKU_1"/>
    <s v="Mugesera/Sake sub catchmentt"/>
    <n v="26332.560000000001"/>
  </r>
  <r>
    <x v="3"/>
    <s v="Gashanda coffee washing station"/>
    <s v="Public"/>
    <x v="0"/>
    <s v="Ngoma"/>
    <s v="Gashanda"/>
    <s v="NAKU_1"/>
    <s v="Mugesera/Sake sub catchmentt"/>
    <n v="4730.4000000000005"/>
  </r>
  <r>
    <x v="3"/>
    <s v="KAMISANZU"/>
    <s v="Public"/>
    <x v="0"/>
    <s v="Ngoma"/>
    <s v="Gashanda"/>
    <s v="NAKU_1"/>
    <s v="Mugesera/Sake sub catchmentt"/>
    <n v="10564.56"/>
  </r>
  <r>
    <x v="3"/>
    <s v="RWAKINUMA"/>
    <s v="Public"/>
    <x v="0"/>
    <s v="Ngoma"/>
    <s v="Gashanda"/>
    <s v="NAKU_1"/>
    <s v="Mugesera/Sake sub catchmentt"/>
    <n v="0"/>
  </r>
  <r>
    <x v="3"/>
    <s v="RWABYUMA"/>
    <s v="Public"/>
    <x v="0"/>
    <s v="Ngoma"/>
    <s v="Gashanda"/>
    <s v="NAKU_1"/>
    <s v="Mugesera/Sake sub catchmentt"/>
    <n v="7884.0000000000009"/>
  </r>
  <r>
    <x v="3"/>
    <s v="RUTABAGU"/>
    <s v="Public"/>
    <x v="0"/>
    <s v="Ngoma"/>
    <s v="Gashanda"/>
    <s v="NAKU_1"/>
    <s v="Mugesera/Sake sub catchmentt"/>
    <n v="10564.56"/>
  </r>
  <r>
    <x v="3"/>
    <s v="BWERERE"/>
    <s v="Public"/>
    <x v="0"/>
    <s v="Ngoma"/>
    <s v="Gashanda"/>
    <s v="NAKU_1"/>
    <s v="Mugesera/Sake sub catchmentt"/>
    <n v="4730.4000000000005"/>
  </r>
  <r>
    <x v="3"/>
    <s v="NANGAGASIGANE"/>
    <s v="Public"/>
    <x v="0"/>
    <s v="Ngoma"/>
    <s v="Gashanda"/>
    <s v="NAKU_1"/>
    <s v="Mugesera/Sake sub catchmentt"/>
    <n v="3153.6000000000004"/>
  </r>
  <r>
    <x v="3"/>
    <s v="NYAKABINGO"/>
    <s v="Public"/>
    <x v="0"/>
    <s v="Ngoma"/>
    <s v="Gashanda"/>
    <s v="NAKU_1"/>
    <s v="Mugesera/Sake sub catchmentt"/>
    <n v="7884.0000000000009"/>
  </r>
  <r>
    <x v="3"/>
    <s v="KARUHURA"/>
    <s v="Public"/>
    <x v="0"/>
    <s v="Ngoma"/>
    <s v="Gashanda"/>
    <s v="NAKU_1"/>
    <s v="Mugesera/Sake sub catchmentt"/>
    <n v="7884.0000000000009"/>
  </r>
  <r>
    <x v="3"/>
    <s v="RWEZAMENYO"/>
    <s v="Public"/>
    <x v="0"/>
    <s v="Ngoma"/>
    <s v="Gashanda"/>
    <s v="NAKU_1"/>
    <s v="Mugesera/Sake sub catchmentt"/>
    <n v="4730.4000000000005"/>
  </r>
  <r>
    <x v="3"/>
    <s v="NYAKIRIBA"/>
    <s v="Public"/>
    <x v="0"/>
    <s v="Ngoma"/>
    <s v="Gashanda"/>
    <s v="NAKU_1"/>
    <s v="Mugesera/Sake sub catchmentt"/>
    <n v="0"/>
  </r>
  <r>
    <x v="3"/>
    <s v="NYIRANJARI"/>
    <s v="Public"/>
    <x v="0"/>
    <s v="Ngoma"/>
    <s v="Gashanda"/>
    <s v="NAKU_1"/>
    <s v="Mugesera/Sake sub catchmentt"/>
    <n v="0"/>
  </r>
  <r>
    <x v="3"/>
    <s v="CYERWA"/>
    <s v="Public"/>
    <x v="0"/>
    <s v="Ngoma"/>
    <s v="Gashanda"/>
    <s v="NAKU_1"/>
    <s v="Mugesera/Sake sub catchmentt"/>
    <n v="3153.6000000000004"/>
  </r>
  <r>
    <x v="3"/>
    <s v="GASETSA"/>
    <s v="Public"/>
    <x v="0"/>
    <s v="Ngoma"/>
    <s v="Gashanda"/>
    <s v="NAKU_1"/>
    <s v="Mugesera/Sake sub catchmentt"/>
    <n v="0"/>
  </r>
  <r>
    <x v="3"/>
    <s v="NYAMUKURU"/>
    <s v="Public"/>
    <x v="0"/>
    <s v="Ngoma"/>
    <s v="Gashanda"/>
    <s v="NAKU_1"/>
    <s v="Mugesera/Sake sub catchmentt"/>
    <n v="15768.000000000002"/>
  </r>
  <r>
    <x v="3"/>
    <s v="KANENGWA I"/>
    <s v="Public"/>
    <x v="0"/>
    <s v="Kicukiro"/>
    <s v="Gatenga"/>
    <s v="NAKU_1"/>
    <s v="Mugesera/Sake sub catchmentt"/>
    <n v="1576.8000000000002"/>
  </r>
  <r>
    <x v="3"/>
    <s v="KANENGWA II"/>
    <s v="Public"/>
    <x v="0"/>
    <s v="Kicukiro"/>
    <s v="Gatenga"/>
    <s v="NAKU_1"/>
    <s v="Mugesera/Sake sub catchmentt"/>
    <n v="3153.6000000000004"/>
  </r>
  <r>
    <x v="3"/>
    <s v="KURI JUA KALIU"/>
    <s v="Public"/>
    <x v="0"/>
    <s v="Kicukiro"/>
    <s v="Gatenga"/>
    <s v="NAKU_1"/>
    <s v="Mugesera/Sake sub catchmentt"/>
    <n v="0"/>
  </r>
  <r>
    <x v="3"/>
    <s v="CHEZ MUKANDANGA"/>
    <s v="Public"/>
    <x v="0"/>
    <s v="Kicukiro"/>
    <s v="Gatenga"/>
    <s v="NAKU_1"/>
    <s v="Mugesera/Sake sub catchmentt"/>
    <n v="0"/>
  </r>
  <r>
    <x v="3"/>
    <s v="CHEZ SHEHE"/>
    <s v="Public"/>
    <x v="0"/>
    <s v="Kicukiro"/>
    <s v="Gatenga"/>
    <s v="NAKU_1"/>
    <s v="Mugesera/Sake sub catchmentt"/>
    <n v="0"/>
  </r>
  <r>
    <x v="3"/>
    <s v="CHEZ SEMANA FRANCOIS"/>
    <s v="Public"/>
    <x v="0"/>
    <s v="Kicukiro"/>
    <s v="Gatenga"/>
    <s v="NAKU_1"/>
    <s v="Mugesera/Sake sub catchmentt"/>
    <n v="0"/>
  </r>
  <r>
    <x v="3"/>
    <s v="MUROKOER II"/>
    <s v="Public"/>
    <x v="0"/>
    <s v="Kicukiro"/>
    <s v="Gatenga"/>
    <s v="NAKU_1"/>
    <s v="Mugesera/Sake sub catchmentt"/>
    <n v="0"/>
  </r>
  <r>
    <x v="3"/>
    <s v="chez kajeberi"/>
    <s v="Public"/>
    <x v="0"/>
    <s v="Kicukiro"/>
    <s v="Gatenga"/>
    <s v="NAKU_1"/>
    <s v="Mugesera/Sake sub catchmentt"/>
    <n v="0"/>
  </r>
  <r>
    <x v="3"/>
    <s v="CANON GASHYEKERO"/>
    <s v="Public"/>
    <x v="0"/>
    <s v="Kicukiro"/>
    <s v="Gatenga"/>
    <s v="NAKU_1"/>
    <s v="Mugesera/Sake sub catchmentt"/>
    <n v="4730.4000000000005"/>
  </r>
  <r>
    <x v="3"/>
    <s v="CHEZ MUROKORE"/>
    <s v="Public"/>
    <x v="0"/>
    <s v="Kicukiro"/>
    <s v="Gatenga"/>
    <s v="NAKU_1"/>
    <s v="Mugesera/Sake sub catchmentt"/>
    <n v="0"/>
  </r>
  <r>
    <x v="3"/>
    <s v="KWA RUTAMBUKA"/>
    <s v="Public"/>
    <x v="0"/>
    <s v="Kicukiro"/>
    <s v="Gatenga"/>
    <s v="NAKU_1"/>
    <s v="Mugesera/Sake sub catchmentt"/>
    <n v="0"/>
  </r>
  <r>
    <x v="3"/>
    <s v="KIGAGA"/>
    <s v="Public"/>
    <x v="0"/>
    <s v="Ngoma"/>
    <s v="Jarama"/>
    <s v="NAKU_1"/>
    <s v="Mugesera/Sake sub catchmentt"/>
    <n v="29170.799999999999"/>
  </r>
  <r>
    <x v="3"/>
    <s v="BYIMANA"/>
    <s v="Public"/>
    <x v="0"/>
    <s v="Kicukiro"/>
    <s v="Kagarama"/>
    <s v="NAKU_1"/>
    <s v="Mugesera/Sake sub catchmentt"/>
    <n v="31536.000000000004"/>
  </r>
  <r>
    <x v="3"/>
    <s v="CANON NYARUREMBO"/>
    <s v="Public"/>
    <x v="0"/>
    <s v="Kicukiro"/>
    <s v="Kanombe"/>
    <s v="NAKU_1"/>
    <s v="Mugesera/Sake sub catchmentt"/>
    <n v="3153.6000000000004"/>
  </r>
  <r>
    <x v="3"/>
    <s v="KABIDUGU"/>
    <s v="Public"/>
    <x v="0"/>
    <s v="Ngoma"/>
    <s v="Karembo"/>
    <s v="NAKU_1"/>
    <s v="Mugesera/Sake sub catchmentt"/>
    <n v="7884.0000000000009"/>
  </r>
  <r>
    <x v="3"/>
    <s v="NYAKABINGO"/>
    <s v="Public"/>
    <x v="0"/>
    <s v="Ngoma"/>
    <s v="Karembo"/>
    <s v="NAKU_1"/>
    <s v="Mugesera/Sake sub catchmentt"/>
    <n v="1734.4800000000002"/>
  </r>
  <r>
    <x v="3"/>
    <s v="KAMUKUNGU"/>
    <s v="Public"/>
    <x v="0"/>
    <s v="Ngoma"/>
    <s v="Karembo"/>
    <s v="NAKU_1"/>
    <s v="Mugesera/Sake sub catchmentt"/>
    <n v="3942.0000000000005"/>
  </r>
  <r>
    <x v="3"/>
    <s v="RWAKIGELI"/>
    <s v="Public"/>
    <x v="0"/>
    <s v="Rwamagana"/>
    <s v="Munyaga"/>
    <s v="NAKU_1"/>
    <s v="Mugesera/Sake sub catchmentt"/>
    <n v="15768.000000000002"/>
  </r>
  <r>
    <x v="3"/>
    <s v="KU KAVOVO"/>
    <s v="Public"/>
    <x v="0"/>
    <s v="Rwamagana"/>
    <s v="Munyaga"/>
    <s v="NAKU_1"/>
    <s v="Mugesera/Sake sub catchmentt"/>
    <n v="2680.56"/>
  </r>
  <r>
    <x v="3"/>
    <s v="RYAMISHOGORO"/>
    <s v="Public"/>
    <x v="0"/>
    <s v="Rwamagana"/>
    <s v="Munyaga"/>
    <s v="NAKU_1"/>
    <s v="Mugesera/Sake sub catchmentt"/>
    <n v="5203.4400000000005"/>
  </r>
  <r>
    <x v="3"/>
    <s v="GATARE"/>
    <s v="Public"/>
    <x v="0"/>
    <s v="Rwamagana"/>
    <s v="Munyaga"/>
    <s v="NAKU_1"/>
    <s v="Mugesera/Sake sub catchmentt"/>
    <n v="2995.92"/>
  </r>
  <r>
    <x v="3"/>
    <s v="NYIRAMATAZA"/>
    <s v="Public"/>
    <x v="0"/>
    <s v="Rwamagana"/>
    <s v="Munyaga"/>
    <s v="NAKU_1"/>
    <s v="Mugesera/Sake sub catchmentt"/>
    <n v="18921.600000000002"/>
  </r>
  <r>
    <x v="3"/>
    <s v="KIRYANGO"/>
    <s v="Public"/>
    <x v="0"/>
    <s v="Rwamagana"/>
    <s v="Munyaga"/>
    <s v="NAKU_1"/>
    <s v="Mugesera/Sake sub catchmentt"/>
    <n v="5045.76"/>
  </r>
  <r>
    <x v="3"/>
    <s v="CYARUHOGO"/>
    <s v="Public"/>
    <x v="0"/>
    <s v="Rwamagana"/>
    <s v="Munyaga"/>
    <s v="NAKU_1"/>
    <s v="Mugesera/Sake sub catchmentt"/>
    <n v="7095.6"/>
  </r>
  <r>
    <x v="3"/>
    <s v="GASHUBI"/>
    <s v="Public"/>
    <x v="0"/>
    <s v="Rwamagana"/>
    <s v="Munyiginya"/>
    <s v="NAKU_1"/>
    <s v="Mugesera/Sake sub catchmentt"/>
    <n v="0"/>
  </r>
  <r>
    <x v="3"/>
    <s v="GATOVU"/>
    <s v="Public"/>
    <x v="0"/>
    <s v="Rwamagana"/>
    <s v="Munyiginya"/>
    <s v="NAKU_1"/>
    <s v="Mugesera/Sake sub catchmentt"/>
    <n v="1892.16"/>
  </r>
  <r>
    <x v="3"/>
    <s v="NDAGO"/>
    <s v="Public"/>
    <x v="0"/>
    <s v="Rwamagana"/>
    <s v="Munyiginya"/>
    <s v="NAKU_1"/>
    <s v="Mugesera/Sake sub catchmentt"/>
    <n v="12614.400000000001"/>
  </r>
  <r>
    <x v="3"/>
    <s v="BYARUGINA"/>
    <s v="Public"/>
    <x v="0"/>
    <s v="Rwamagana"/>
    <s v="Munyiginya"/>
    <s v="NAKU_1"/>
    <s v="Mugesera/Sake sub catchmentt"/>
    <n v="0"/>
  </r>
  <r>
    <x v="3"/>
    <s v="GAKATSI"/>
    <s v="Public"/>
    <x v="0"/>
    <s v="Rwamagana"/>
    <s v="Munyiginya"/>
    <s v="NAKU_1"/>
    <s v="Mugesera/Sake sub catchmentt"/>
    <n v="19710"/>
  </r>
  <r>
    <x v="3"/>
    <s v="RYAGAHIGI"/>
    <s v="Public"/>
    <x v="0"/>
    <s v="Rwamagana"/>
    <s v="Munyiginya"/>
    <s v="NAKU_1"/>
    <s v="Mugesera/Sake sub catchmentt"/>
    <n v="0"/>
  </r>
  <r>
    <x v="3"/>
    <s v="KAGUGU"/>
    <s v="Public"/>
    <x v="0"/>
    <s v="Rwamagana"/>
    <s v="Musha"/>
    <s v="NAKU_1"/>
    <s v="Mugesera/Sake sub catchmentt"/>
    <n v="5045.76"/>
  </r>
  <r>
    <x v="3"/>
    <s v="KADOGORI"/>
    <s v="Public"/>
    <x v="0"/>
    <s v="Rwamagana"/>
    <s v="Musha"/>
    <s v="NAKU_1"/>
    <s v="Mugesera/Sake sub catchmentt"/>
    <n v="1892.16"/>
  </r>
  <r>
    <x v="3"/>
    <s v="NYACYONGA"/>
    <s v="Public"/>
    <x v="0"/>
    <s v="Rwamagana"/>
    <s v="Musha"/>
    <s v="NAKU_1"/>
    <s v="Mugesera/Sake sub catchmentt"/>
    <n v="7253.28"/>
  </r>
  <r>
    <x v="3"/>
    <s v="GAKONI"/>
    <s v="Public"/>
    <x v="0"/>
    <s v="Rwamagana"/>
    <s v="Musha"/>
    <s v="NAKU_1"/>
    <s v="Mugesera/Sake sub catchmentt"/>
    <n v="3784.32"/>
  </r>
  <r>
    <x v="3"/>
    <s v="NTOBO"/>
    <s v="Public"/>
    <x v="0"/>
    <s v="Rwamagana"/>
    <s v="Musha"/>
    <s v="NAKU_1"/>
    <s v="Mugesera/Sake sub catchmentt"/>
    <n v="2522.88"/>
  </r>
  <r>
    <x v="3"/>
    <s v="KAGIMBU"/>
    <s v="Public"/>
    <x v="0"/>
    <s v="Rwamagana"/>
    <s v="Musha"/>
    <s v="NAKU_1"/>
    <s v="Mugesera/Sake sub catchmentt"/>
    <n v="7095.6"/>
  </r>
  <r>
    <x v="3"/>
    <s v="KAGEZI"/>
    <s v="Public"/>
    <x v="0"/>
    <s v="Rwamagana"/>
    <s v="Musha"/>
    <s v="NAKU_1"/>
    <s v="Mugesera/Sake sub catchmentt"/>
    <n v="1734.4800000000002"/>
  </r>
  <r>
    <x v="3"/>
    <s v="GAHESHYI"/>
    <s v="Public"/>
    <x v="0"/>
    <s v="Rwamagana"/>
    <s v="Musha"/>
    <s v="NAKU_1"/>
    <s v="Mugesera/Sake sub catchmentt"/>
    <n v="3942.0000000000005"/>
  </r>
  <r>
    <x v="3"/>
    <s v="MUHESHI"/>
    <s v="Public"/>
    <x v="0"/>
    <s v="Rwamagana"/>
    <s v="Musha"/>
    <s v="NAKU_1"/>
    <s v="Mugesera/Sake sub catchmentt"/>
    <n v="3468.9600000000005"/>
  </r>
  <r>
    <x v="3"/>
    <s v="MUTARAMA"/>
    <s v="Public"/>
    <x v="0"/>
    <s v="Rwamagana"/>
    <s v="Musha"/>
    <s v="NAKU_1"/>
    <s v="Mugesera/Sake sub catchmentt"/>
    <n v="1892.16"/>
  </r>
  <r>
    <x v="3"/>
    <s v="KIMANAMA"/>
    <s v="Public"/>
    <x v="0"/>
    <s v="Rwamagana"/>
    <s v="Musha"/>
    <s v="NAKU_1"/>
    <s v="Mugesera/Sake sub catchmentt"/>
    <n v="2049.84"/>
  </r>
  <r>
    <x v="3"/>
    <s v="KAZABAGARURA 2"/>
    <s v="Public"/>
    <x v="0"/>
    <s v="Rwamagana"/>
    <s v="Musha"/>
    <s v="NAKU_1"/>
    <s v="Mugesera/Sake sub catchmentt"/>
    <n v="2838.24"/>
  </r>
  <r>
    <x v="3"/>
    <s v="DEMUKARSI"/>
    <s v="Public"/>
    <x v="0"/>
    <s v="Rwamagana"/>
    <s v="Musha"/>
    <s v="NAKU_1"/>
    <s v="Mugesera/Sake sub catchmentt"/>
    <n v="4257.3600000000006"/>
  </r>
  <r>
    <x v="3"/>
    <s v="NYABIGUGU"/>
    <s v="Public"/>
    <x v="0"/>
    <s v="Rwamagana"/>
    <s v="Musha"/>
    <s v="NAKU_1"/>
    <s v="Mugesera/Sake sub catchmentt"/>
    <n v="2207.5200000000004"/>
  </r>
  <r>
    <x v="3"/>
    <s v="KANEKE"/>
    <s v="Public"/>
    <x v="0"/>
    <s v="Rwamagana"/>
    <s v="Musha"/>
    <s v="NAKU_1"/>
    <s v="Mugesera/Sake sub catchmentt"/>
    <n v="1892.16"/>
  </r>
  <r>
    <x v="3"/>
    <s v="NYARUBONDO"/>
    <s v="Public"/>
    <x v="0"/>
    <s v="Rwamagana"/>
    <s v="Musha"/>
    <s v="NAKU_1"/>
    <s v="Mugesera/Sake sub catchmentt"/>
    <n v="8987.76"/>
  </r>
  <r>
    <x v="3"/>
    <s v="GATARE"/>
    <s v="Public"/>
    <x v="0"/>
    <s v="Rwamagana"/>
    <s v="Musha"/>
    <s v="NAKU_1"/>
    <s v="Mugesera/Sake sub catchmentt"/>
    <n v="3942.0000000000005"/>
  </r>
  <r>
    <x v="3"/>
    <s v="GAKO"/>
    <s v="Public"/>
    <x v="0"/>
    <s v="Rwamagana"/>
    <s v="Musha"/>
    <s v="NAKU_1"/>
    <s v="Mugesera/Sake sub catchmentt"/>
    <n v="2838.24"/>
  </r>
  <r>
    <x v="3"/>
    <s v="KAYENZI"/>
    <s v="Public"/>
    <x v="0"/>
    <s v="Rwamagana"/>
    <s v="Musha"/>
    <s v="NAKU_1"/>
    <s v="Mugesera/Sake sub catchmentt"/>
    <n v="1892.16"/>
  </r>
  <r>
    <x v="3"/>
    <s v="KWANKUNDIMANA"/>
    <s v="Public"/>
    <x v="0"/>
    <s v="Rwamagana"/>
    <s v="Musha"/>
    <s v="NAKU_1"/>
    <s v="Mugesera/Sake sub catchmentt"/>
    <n v="5834.1600000000008"/>
  </r>
  <r>
    <x v="3"/>
    <s v="KWAGATWA"/>
    <s v="Public"/>
    <x v="0"/>
    <s v="Rwamagana"/>
    <s v="Musha"/>
    <s v="NAKU_1"/>
    <s v="Mugesera/Sake sub catchmentt"/>
    <n v="1892.16"/>
  </r>
  <r>
    <x v="3"/>
    <s v="KABINGO"/>
    <s v="Public"/>
    <x v="0"/>
    <s v="Rwamagana"/>
    <s v="Musha"/>
    <s v="NAKU_1"/>
    <s v="Mugesera/Sake sub catchmentt"/>
    <n v="2995.92"/>
  </r>
  <r>
    <x v="3"/>
    <s v="CYAHAFI"/>
    <s v="Public"/>
    <x v="0"/>
    <s v="Rwamagana"/>
    <s v="Musha"/>
    <s v="NAKU_1"/>
    <s v="Mugesera/Sake sub catchmentt"/>
    <n v="2365.2000000000003"/>
  </r>
  <r>
    <x v="3"/>
    <s v="NYAKARIBA"/>
    <s v="Public"/>
    <x v="0"/>
    <s v="Rwamagana"/>
    <s v="Musha"/>
    <s v="NAKU_1"/>
    <s v="Mugesera/Sake sub catchmentt"/>
    <n v="2522.88"/>
  </r>
  <r>
    <x v="3"/>
    <s v="KWABIRIHANZE"/>
    <s v="Public"/>
    <x v="0"/>
    <s v="Rwamagana"/>
    <s v="Musha"/>
    <s v="NAKU_1"/>
    <s v="Mugesera/Sake sub catchmentt"/>
    <n v="2207.5200000000004"/>
  </r>
  <r>
    <x v="3"/>
    <s v="GATARE"/>
    <s v="Public"/>
    <x v="0"/>
    <s v="Rwamagana"/>
    <s v="Musha"/>
    <s v="NAKU_1"/>
    <s v="Mugesera/Sake sub catchmentt"/>
    <n v="2049.84"/>
  </r>
  <r>
    <x v="3"/>
    <s v="KANEKE"/>
    <s v="Public"/>
    <x v="0"/>
    <s v="Rwamagana"/>
    <s v="Musha"/>
    <s v="NAKU_1"/>
    <s v="Mugesera/Sake sub catchmentt"/>
    <n v="3784.32"/>
  </r>
  <r>
    <x v="3"/>
    <s v="SUBUKINIRO"/>
    <s v="Public"/>
    <x v="0"/>
    <s v="Rwamagana"/>
    <s v="Musha"/>
    <s v="NAKU_1"/>
    <s v="Mugesera/Sake sub catchmentt"/>
    <n v="3468.9600000000005"/>
  </r>
  <r>
    <x v="3"/>
    <s v="RUBOGO"/>
    <s v="Public"/>
    <x v="0"/>
    <s v="Rwamagana"/>
    <s v="Musha"/>
    <s v="NAKU_1"/>
    <s v="Mugesera/Sake sub catchmentt"/>
    <n v="2365.2000000000003"/>
  </r>
  <r>
    <x v="3"/>
    <s v="RYAHERWA"/>
    <s v="Public"/>
    <x v="0"/>
    <s v="Rwamagana"/>
    <s v="Musha"/>
    <s v="NAKU_1"/>
    <s v="Mugesera/Sake sub catchmentt"/>
    <n v="3942.0000000000005"/>
  </r>
  <r>
    <x v="3"/>
    <s v="KAZABAGARURA"/>
    <s v="Public"/>
    <x v="0"/>
    <s v="Rwamagana"/>
    <s v="Musha"/>
    <s v="NAKU_1"/>
    <s v="Mugesera/Sake sub catchmentt"/>
    <n v="2207.5200000000004"/>
  </r>
  <r>
    <x v="3"/>
    <s v="CYAKORA"/>
    <s v="Public"/>
    <x v="0"/>
    <s v="Rwamagana"/>
    <s v="Musha"/>
    <s v="NAKU_1"/>
    <s v="Mugesera/Sake sub catchmentt"/>
    <n v="6307.2000000000007"/>
  </r>
  <r>
    <x v="3"/>
    <s v="RWASINE"/>
    <s v="Public"/>
    <x v="0"/>
    <s v="Rwamagana"/>
    <s v="Musha"/>
    <s v="NAKU_1"/>
    <s v="Mugesera/Sake sub catchmentt"/>
    <n v="2838.24"/>
  </r>
  <r>
    <x v="3"/>
    <s v="RWAMPUNGIREHE"/>
    <s v="Public"/>
    <x v="0"/>
    <s v="Rwamagana"/>
    <s v="Muyumbu"/>
    <s v="NAKU_1"/>
    <s v="Mugesera/Sake sub catchmentt"/>
    <n v="9855"/>
  </r>
  <r>
    <x v="3"/>
    <s v="RWIMPIRI"/>
    <s v="Public"/>
    <x v="0"/>
    <s v="Rwamagana"/>
    <s v="Muyumbu"/>
    <s v="NAKU_1"/>
    <s v="Mugesera/Sake sub catchmentt"/>
    <n v="2522.88"/>
  </r>
  <r>
    <x v="3"/>
    <s v="BUYONGWE"/>
    <s v="Public"/>
    <x v="0"/>
    <s v="Rwamagana"/>
    <s v="Muyumbu"/>
    <s v="NAKU_1"/>
    <s v="Mugesera/Sake sub catchmentt"/>
    <n v="9933.84"/>
  </r>
  <r>
    <x v="3"/>
    <s v="GATARE"/>
    <s v="Public"/>
    <x v="0"/>
    <s v="Rwamagana"/>
    <s v="Muyumbu"/>
    <s v="NAKU_1"/>
    <s v="Mugesera/Sake sub catchmentt"/>
    <n v="5203.4400000000005"/>
  </r>
  <r>
    <x v="3"/>
    <s v="RUBAZA"/>
    <s v="Public"/>
    <x v="0"/>
    <s v="Rwamagana"/>
    <s v="Muyumbu"/>
    <s v="NAKU_1"/>
    <s v="Mugesera/Sake sub catchmentt"/>
    <n v="10249.199999999999"/>
  </r>
  <r>
    <x v="3"/>
    <s v="RWAMULINDA"/>
    <s v="Public"/>
    <x v="0"/>
    <s v="Rwamagana"/>
    <s v="Mwulire"/>
    <s v="NAKU_1"/>
    <s v="Mugesera/Sake sub catchmentt"/>
    <n v="709.56"/>
  </r>
  <r>
    <x v="3"/>
    <s v="GATARE"/>
    <s v="Public"/>
    <x v="0"/>
    <s v="Rwamagana"/>
    <s v="Mwulire"/>
    <s v="NAKU_1"/>
    <s v="Mugesera/Sake sub catchmentt"/>
    <n v="788.40000000000009"/>
  </r>
  <r>
    <x v="3"/>
    <s v="MUGOMERO"/>
    <s v="Public"/>
    <x v="0"/>
    <s v="Rwamagana"/>
    <s v="Mwulire"/>
    <s v="NAKU_1"/>
    <s v="Mugesera/Sake sub catchmentt"/>
    <n v="14191.2"/>
  </r>
  <r>
    <x v="3"/>
    <s v="KUMUGANURA"/>
    <s v="Public"/>
    <x v="0"/>
    <s v="Gasabo"/>
    <s v="Ndera"/>
    <s v="NAKU_1"/>
    <s v="Mugesera/Sake sub catchmentt"/>
    <n v="9460.8000000000011"/>
  </r>
  <r>
    <x v="3"/>
    <s v="GASOKO"/>
    <s v="Public"/>
    <x v="0"/>
    <s v="Gasabo"/>
    <s v="Ndera"/>
    <s v="NAKU_1"/>
    <s v="Mugesera/Sake sub catchmentt"/>
    <n v="2207.5200000000004"/>
  </r>
  <r>
    <x v="3"/>
    <s v="RWANYIRAJANA"/>
    <s v="Public"/>
    <x v="0"/>
    <s v="Gasabo"/>
    <s v="Ndera"/>
    <s v="NAKU_1"/>
    <s v="Mugesera/Sake sub catchmentt"/>
    <n v="31.536000000000001"/>
  </r>
  <r>
    <x v="3"/>
    <s v="RUTEMBO MU KIMANA"/>
    <s v="Public"/>
    <x v="0"/>
    <s v="Gasabo"/>
    <s v="Ndera"/>
    <s v="NAKU_1"/>
    <s v="Mugesera/Sake sub catchmentt"/>
    <n v="6622.5599999999995"/>
  </r>
  <r>
    <x v="3"/>
    <s v="GASEKE"/>
    <s v="Public"/>
    <x v="0"/>
    <s v="Gasabo"/>
    <s v="Ndera"/>
    <s v="NAKU_1"/>
    <s v="Mugesera/Sake sub catchmentt"/>
    <n v="14821.919999999998"/>
  </r>
  <r>
    <x v="3"/>
    <s v="RWABUDANDI"/>
    <s v="Public"/>
    <x v="0"/>
    <s v="Gasabo"/>
    <s v="Ndera"/>
    <s v="NAKU_1"/>
    <s v="Mugesera/Sake sub catchmentt"/>
    <n v="12614.400000000001"/>
  </r>
  <r>
    <x v="3"/>
    <s v="NYAKAGEZI"/>
    <s v="Public"/>
    <x v="0"/>
    <s v="Gasabo"/>
    <s v="Ndera"/>
    <s v="NAKU_1"/>
    <s v="Mugesera/Sake sub catchmentt"/>
    <n v="6307.2000000000007"/>
  </r>
  <r>
    <x v="3"/>
    <s v="KWA KAJOSI"/>
    <s v="Public"/>
    <x v="0"/>
    <s v="Kicukiro"/>
    <s v="Niboye"/>
    <s v="NAKU_1"/>
    <s v="Mugesera/Sake sub catchmentt"/>
    <n v="15768.000000000002"/>
  </r>
  <r>
    <x v="3"/>
    <s v="CANON KIGABIRO II"/>
    <s v="Public"/>
    <x v="0"/>
    <s v="Kicukiro"/>
    <s v="Niboye"/>
    <s v="NAKU_1"/>
    <s v="Mugesera/Sake sub catchmentt"/>
    <n v="6307.2000000000007"/>
  </r>
  <r>
    <x v="3"/>
    <s v="KONOSHE"/>
    <s v="Public"/>
    <x v="0"/>
    <s v="Kicukiro"/>
    <s v="Niboye"/>
    <s v="NAKU_1"/>
    <s v="Mugesera/Sake sub catchmentt"/>
    <n v="0"/>
  </r>
  <r>
    <x v="3"/>
    <s v="CANON KIGABIRO"/>
    <s v="Public"/>
    <x v="0"/>
    <s v="Kicukiro"/>
    <s v="Niboye"/>
    <s v="NAKU_1"/>
    <s v="Mugesera/Sake sub catchmentt"/>
    <n v="4730.4000000000005"/>
  </r>
  <r>
    <x v="3"/>
    <s v="GASENGA"/>
    <s v="Public"/>
    <x v="0"/>
    <s v="Bugesera"/>
    <s v="Nyamata"/>
    <s v="NAKU_1"/>
    <s v="Mugesera/Sake sub catchmentt"/>
    <n v="1734.4800000000002"/>
  </r>
  <r>
    <x v="3"/>
    <s v="NYAKERA I"/>
    <s v="Public"/>
    <x v="0"/>
    <s v="Kayonza"/>
    <s v="Nyamirama"/>
    <s v="NAKU_1"/>
    <s v="Mugesera/Sake sub catchmentt"/>
    <n v="23652.000000000004"/>
  </r>
  <r>
    <x v="3"/>
    <s v="RWAMURAMA"/>
    <s v="Public"/>
    <x v="0"/>
    <s v="Kayonza"/>
    <s v="Nyamirama"/>
    <s v="NAKU_1"/>
    <s v="Mugesera/Sake sub catchmentt"/>
    <n v="18921.600000000002"/>
  </r>
  <r>
    <x v="3"/>
    <s v="NYAKERA II"/>
    <s v="Public"/>
    <x v="0"/>
    <s v="Kayonza"/>
    <s v="Nyamirama"/>
    <s v="NAKU_1"/>
    <s v="Mugesera/Sake sub catchmentt"/>
    <n v="26805.599999999999"/>
  </r>
  <r>
    <x v="3"/>
    <s v="NYAKARIBA"/>
    <s v="Public"/>
    <x v="0"/>
    <s v="Kayonza"/>
    <s v="Nyamirama"/>
    <s v="NAKU_1"/>
    <s v="Mugesera/Sake sub catchmentt"/>
    <n v="14191.2"/>
  </r>
  <r>
    <x v="3"/>
    <s v="KIMPUNTU"/>
    <s v="Public"/>
    <x v="0"/>
    <s v="Kayonza"/>
    <s v="Nyamirama"/>
    <s v="NAKU_1"/>
    <s v="Mugesera/Sake sub catchmentt"/>
    <n v="28382.400000000001"/>
  </r>
  <r>
    <x v="3"/>
    <s v="KAJEMBE"/>
    <s v="Public"/>
    <x v="0"/>
    <s v="Kayonza"/>
    <s v="Nyamirama"/>
    <s v="NAKU_1"/>
    <s v="Mugesera/Sake sub catchmentt"/>
    <n v="6307.2000000000007"/>
  </r>
  <r>
    <x v="3"/>
    <s v="KAGIMBU"/>
    <s v="Public"/>
    <x v="0"/>
    <s v="Kayonza"/>
    <s v="Nyamirama"/>
    <s v="NAKU_1"/>
    <s v="Mugesera/Sake sub catchmentt"/>
    <n v="7884.0000000000009"/>
  </r>
  <r>
    <x v="3"/>
    <s v="AKAJE"/>
    <s v="Public"/>
    <x v="0"/>
    <s v="Rwamagana"/>
    <s v="Nzige"/>
    <s v="NAKU_1"/>
    <s v="Mugesera/Sake sub catchmentt"/>
    <n v="5203.4400000000005"/>
  </r>
  <r>
    <x v="3"/>
    <s v="GATARE"/>
    <s v="Public"/>
    <x v="0"/>
    <s v="Rwamagana"/>
    <s v="Rubona"/>
    <s v="NAKU_1"/>
    <s v="Mugesera/Sake sub catchmentt"/>
    <n v="14821.919999999998"/>
  </r>
  <r>
    <x v="3"/>
    <s v="RWAMATANAZI"/>
    <s v="Public"/>
    <x v="0"/>
    <s v="Rwamagana"/>
    <s v="Rubona"/>
    <s v="NAKU_1"/>
    <s v="Mugesera/Sake sub catchmentt"/>
    <n v="1892.16"/>
  </r>
  <r>
    <x v="3"/>
    <s v="RWASABURO"/>
    <s v="Public"/>
    <x v="0"/>
    <s v="Ngoma"/>
    <s v="Rurenge"/>
    <s v="NAKU_1"/>
    <s v="Mugesera/Sake sub catchmentt"/>
    <n v="2365.2000000000003"/>
  </r>
  <r>
    <x v="3"/>
    <s v="RUBIBI"/>
    <s v="Public"/>
    <x v="0"/>
    <s v="Ngoma"/>
    <s v="Rurenge"/>
    <s v="NAKU_1"/>
    <s v="Mugesera/Sake sub catchmentt"/>
    <n v="1892.16"/>
  </r>
  <r>
    <x v="3"/>
    <s v="MASHYOZA1"/>
    <s v="Public"/>
    <x v="0"/>
    <s v="Ngoma"/>
    <s v="Rurenge"/>
    <s v="NAKU_1"/>
    <s v="Mugesera/Sake sub catchmentt"/>
    <n v="4730.4000000000005"/>
  </r>
  <r>
    <x v="3"/>
    <s v="RUVUMERA"/>
    <s v="Public"/>
    <x v="0"/>
    <s v="Ngoma"/>
    <s v="Rurenge"/>
    <s v="NAKU_1"/>
    <s v="Mugesera/Sake sub catchmentt"/>
    <n v="2365.2000000000003"/>
  </r>
  <r>
    <x v="3"/>
    <s v="KAVUBIRO"/>
    <s v="Public"/>
    <x v="0"/>
    <s v="Ngoma"/>
    <s v="Rurenge"/>
    <s v="NAKU_1"/>
    <s v="Mugesera/Sake sub catchmentt"/>
    <n v="0"/>
  </r>
  <r>
    <x v="3"/>
    <s v="NYAKAGEZI"/>
    <s v="Public"/>
    <x v="0"/>
    <s v="Ngoma"/>
    <s v="Rurenge"/>
    <s v="NAKU_1"/>
    <s v="Mugesera/Sake sub catchmentt"/>
    <n v="0"/>
  </r>
  <r>
    <x v="3"/>
    <s v="RWAKINYOGOTE"/>
    <s v="Public"/>
    <x v="0"/>
    <s v="Ngoma"/>
    <s v="Rurenge"/>
    <s v="NAKU_1"/>
    <s v="Mugesera/Sake sub catchmentt"/>
    <n v="3153.6000000000004"/>
  </r>
  <r>
    <x v="3"/>
    <s v="NYANGOBE"/>
    <s v="Public"/>
    <x v="0"/>
    <s v="Ngoma"/>
    <s v="Sake"/>
    <s v="NAKU_1"/>
    <s v="Mugesera/Sake sub catchmentt"/>
    <n v="6307.2000000000007"/>
  </r>
  <r>
    <x v="3"/>
    <s v="KABITENDE"/>
    <s v="Public"/>
    <x v="0"/>
    <s v="Ngoma"/>
    <s v="Zaza"/>
    <s v="NAKU_1"/>
    <s v="Mugesera/Sake sub catchmentt"/>
    <n v="7095.6"/>
  </r>
  <r>
    <x v="3"/>
    <s v="KABEBWA"/>
    <s v="Public"/>
    <x v="0"/>
    <s v="Ngoma"/>
    <s v="Zaza"/>
    <s v="NAKU_1"/>
    <s v="Mugesera/Sake sub catchmentt"/>
    <n v="4888.0800000000008"/>
  </r>
  <r>
    <x v="3"/>
    <s v="Cyanyaruzi"/>
    <s v="Public"/>
    <x v="0"/>
    <s v="Gicumbi"/>
    <s v="Bwisige"/>
    <s v="NMUV_1"/>
    <s v="Murindi Sub-Catchment"/>
    <n v="8672.4000000000015"/>
  </r>
  <r>
    <x v="3"/>
    <s v="Gako"/>
    <s v="Public"/>
    <x v="0"/>
    <s v="Gicumbi"/>
    <s v="Bwisige"/>
    <s v="NMUV_1"/>
    <s v="Murindi Sub-Catchment"/>
    <n v="1576.8000000000002"/>
  </r>
  <r>
    <x v="3"/>
    <s v="Kazirwa"/>
    <s v="Public"/>
    <x v="0"/>
    <s v="Gicumbi"/>
    <s v="Bwisige"/>
    <s v="NMUV_1"/>
    <s v="Murindi Sub-Catchment"/>
    <n v="1576.8000000000002"/>
  </r>
  <r>
    <x v="3"/>
    <s v="Kaziko"/>
    <s v="Public"/>
    <x v="0"/>
    <s v="Gicumbi"/>
    <s v="Bwisige"/>
    <s v="NMUV_1"/>
    <s v="Murindi Sub-Catchment"/>
    <n v="1576.8000000000002"/>
  </r>
  <r>
    <x v="3"/>
    <s v="Rwangabo3"/>
    <s v="Public"/>
    <x v="0"/>
    <s v="Gicumbi"/>
    <s v="Bwisige"/>
    <s v="NMUV_1"/>
    <s v="Murindi Sub-Catchment"/>
    <n v="3468.9600000000005"/>
  </r>
  <r>
    <x v="3"/>
    <s v="Nyakagezi"/>
    <s v="Public"/>
    <x v="0"/>
    <s v="Gicumbi"/>
    <s v="Bwisige"/>
    <s v="NMUV_1"/>
    <s v="Murindi Sub-Catchment"/>
    <n v="5676.48"/>
  </r>
  <r>
    <x v="3"/>
    <s v="Rwangabo1"/>
    <s v="Public"/>
    <x v="0"/>
    <s v="Gicumbi"/>
    <s v="Bwisige"/>
    <s v="NMUV_1"/>
    <s v="Murindi Sub-Catchment"/>
    <n v="2365.2000000000003"/>
  </r>
  <r>
    <x v="3"/>
    <s v="Kadobogo"/>
    <s v="Public"/>
    <x v="0"/>
    <s v="Gicumbi"/>
    <s v="Bwisige"/>
    <s v="NMUV_1"/>
    <s v="Murindi Sub-Catchment"/>
    <n v="1892.16"/>
  </r>
  <r>
    <x v="3"/>
    <s v="Kagororo 2"/>
    <s v="Public"/>
    <x v="0"/>
    <s v="Gicumbi"/>
    <s v="Bwisige"/>
    <s v="NMUV_1"/>
    <s v="Murindi Sub-Catchment"/>
    <n v="473.04"/>
  </r>
  <r>
    <x v="3"/>
    <s v="Kagorogoro"/>
    <s v="Public"/>
    <x v="0"/>
    <s v="Gicumbi"/>
    <s v="Bwisige"/>
    <s v="NMUV_1"/>
    <s v="Murindi Sub-Catchment"/>
    <n v="1576.8000000000002"/>
  </r>
  <r>
    <x v="3"/>
    <s v="Nyakagezi"/>
    <s v="Public"/>
    <x v="0"/>
    <s v="Gicumbi"/>
    <s v="Bwisige"/>
    <s v="NMUV_1"/>
    <s v="Murindi Sub-Catchment"/>
    <n v="1576.8000000000002"/>
  </r>
  <r>
    <x v="3"/>
    <s v="Rubiha"/>
    <s v="Public"/>
    <x v="0"/>
    <s v="Gicumbi"/>
    <s v="Bwisige"/>
    <s v="NMUV_1"/>
    <s v="Murindi Sub-Catchment"/>
    <n v="1576.8000000000002"/>
  </r>
  <r>
    <x v="3"/>
    <s v="Rwamudirigi"/>
    <s v="Public"/>
    <x v="0"/>
    <s v="Gicumbi"/>
    <s v="Bwisige"/>
    <s v="NMUV_1"/>
    <s v="Murindi Sub-Catchment"/>
    <n v="1892.16"/>
  </r>
  <r>
    <x v="3"/>
    <s v="Kabaya"/>
    <s v="Public"/>
    <x v="0"/>
    <s v="Gicumbi"/>
    <s v="Bwisige"/>
    <s v="NMUV_1"/>
    <s v="Murindi Sub-Catchment"/>
    <n v="315.36"/>
  </r>
  <r>
    <x v="3"/>
    <s v="Nyankonkoma II"/>
    <s v="Public"/>
    <x v="0"/>
    <s v="Gicumbi"/>
    <s v="Bwisige"/>
    <s v="NMUV_1"/>
    <s v="Murindi Sub-Catchment"/>
    <n v="1261.44"/>
  </r>
  <r>
    <x v="3"/>
    <s v="Kabingo"/>
    <s v="Public"/>
    <x v="0"/>
    <s v="Gicumbi"/>
    <s v="Bwisige"/>
    <s v="NMUV_1"/>
    <s v="Murindi Sub-Catchment"/>
    <n v="946.08"/>
  </r>
  <r>
    <x v="3"/>
    <s v="Gahondo I"/>
    <s v="Public"/>
    <x v="0"/>
    <s v="Gicumbi"/>
    <s v="Bwisige"/>
    <s v="NMUV_1"/>
    <s v="Murindi Sub-Catchment"/>
    <n v="788.40000000000009"/>
  </r>
  <r>
    <x v="3"/>
    <s v="Rwabarunga 2"/>
    <s v="Public"/>
    <x v="0"/>
    <s v="Gicumbi"/>
    <s v="Bwisige"/>
    <s v="NMUV_1"/>
    <s v="Murindi Sub-Catchment"/>
    <n v="2365.2000000000003"/>
  </r>
  <r>
    <x v="3"/>
    <s v="Nyarufuruma"/>
    <s v="Public"/>
    <x v="0"/>
    <s v="Gicumbi"/>
    <s v="Bwisige"/>
    <s v="NMUV_1"/>
    <s v="Murindi Sub-Catchment"/>
    <n v="6622.5599999999995"/>
  </r>
  <r>
    <x v="3"/>
    <s v="Nyakagezi"/>
    <s v="Public"/>
    <x v="0"/>
    <s v="Gicumbi"/>
    <s v="Bwisige"/>
    <s v="NMUV_1"/>
    <s v="Murindi Sub-Catchment"/>
    <n v="473.04"/>
  </r>
  <r>
    <x v="3"/>
    <s v="Ryanirabugiri"/>
    <s v="Public"/>
    <x v="0"/>
    <s v="Gicumbi"/>
    <s v="Bwisige"/>
    <s v="NMUV_1"/>
    <s v="Murindi Sub-Catchment"/>
    <n v="315.36"/>
  </r>
  <r>
    <x v="3"/>
    <s v="Cyanda"/>
    <s v="Public"/>
    <x v="0"/>
    <s v="Gicumbi"/>
    <s v="Bwisige"/>
    <s v="NMUV_1"/>
    <s v="Murindi Sub-Catchment"/>
    <n v="315.36"/>
  </r>
  <r>
    <x v="3"/>
    <s v="Kamagembe"/>
    <s v="Public"/>
    <x v="0"/>
    <s v="Gicumbi"/>
    <s v="Bwisige"/>
    <s v="NMUV_1"/>
    <s v="Murindi Sub-Catchment"/>
    <n v="315.36"/>
  </r>
  <r>
    <x v="3"/>
    <s v="Mumariba"/>
    <s v="Public"/>
    <x v="0"/>
    <s v="Gicumbi"/>
    <s v="Bwisige"/>
    <s v="NMUV_1"/>
    <s v="Murindi Sub-Catchment"/>
    <n v="1892.16"/>
  </r>
  <r>
    <x v="3"/>
    <s v="Kigaga"/>
    <s v="Public"/>
    <x v="0"/>
    <s v="Gicumbi"/>
    <s v="Bwisige"/>
    <s v="NMUV_1"/>
    <s v="Murindi Sub-Catchment"/>
    <n v="7410.9599999999991"/>
  </r>
  <r>
    <x v="3"/>
    <s v="Nyagatovu"/>
    <s v="Public"/>
    <x v="0"/>
    <s v="Gicumbi"/>
    <s v="Bwisige"/>
    <s v="NMUV_1"/>
    <s v="Murindi Sub-Catchment"/>
    <n v="473.04"/>
  </r>
  <r>
    <x v="3"/>
    <s v="Buhanga"/>
    <s v="Public"/>
    <x v="0"/>
    <s v="Gicumbi"/>
    <s v="Bwisige"/>
    <s v="NMUV_1"/>
    <s v="Murindi Sub-Catchment"/>
    <n v="1576.8000000000002"/>
  </r>
  <r>
    <x v="3"/>
    <s v="Kivomo"/>
    <s v="Public"/>
    <x v="0"/>
    <s v="Gicumbi"/>
    <s v="Bwisige"/>
    <s v="NMUV_1"/>
    <s v="Murindi Sub-Catchment"/>
    <n v="7568.64"/>
  </r>
  <r>
    <x v="3"/>
    <s v="Gatare2"/>
    <s v="Public"/>
    <x v="0"/>
    <s v="Gicumbi"/>
    <s v="Bwisige"/>
    <s v="NMUV_1"/>
    <s v="Murindi Sub-Catchment"/>
    <n v="6307.2000000000007"/>
  </r>
  <r>
    <x v="3"/>
    <s v="Gatare1"/>
    <s v="Public"/>
    <x v="0"/>
    <s v="Gicumbi"/>
    <s v="Bwisige"/>
    <s v="NMUV_1"/>
    <s v="Murindi Sub-Catchment"/>
    <n v="788.40000000000009"/>
  </r>
  <r>
    <x v="3"/>
    <s v="Rwasama"/>
    <s v="Public"/>
    <x v="0"/>
    <s v="Gicumbi"/>
    <s v="Byumba"/>
    <s v="NMUV_1"/>
    <s v="Murindi Sub-Catchment"/>
    <n v="8672.4000000000015"/>
  </r>
  <r>
    <x v="3"/>
    <s v="Kanyugunyugu"/>
    <s v="Public"/>
    <x v="0"/>
    <s v="Gicumbi"/>
    <s v="Byumba"/>
    <s v="NMUV_1"/>
    <s v="Murindi Sub-Catchment"/>
    <n v="2365.2000000000003"/>
  </r>
  <r>
    <x v="3"/>
    <s v="Ku Ibuga II"/>
    <s v="Public"/>
    <x v="0"/>
    <s v="Gicumbi"/>
    <s v="Byumba"/>
    <s v="NMUV_1"/>
    <s v="Murindi Sub-Catchment"/>
    <n v="1892.16"/>
  </r>
  <r>
    <x v="3"/>
    <s v="Rubingo"/>
    <s v="Public"/>
    <x v="0"/>
    <s v="Gicumbi"/>
    <s v="Byumba"/>
    <s v="NMUV_1"/>
    <s v="Murindi Sub-Catchment"/>
    <n v="1103.7600000000002"/>
  </r>
  <r>
    <x v="3"/>
    <s v="Gisuma1"/>
    <s v="Public"/>
    <x v="0"/>
    <s v="Gicumbi"/>
    <s v="Byumba"/>
    <s v="NMUV_1"/>
    <s v="Murindi Sub-Catchment"/>
    <n v="2049.84"/>
  </r>
  <r>
    <x v="3"/>
    <s v="Ruhene"/>
    <s v="Public"/>
    <x v="0"/>
    <s v="Gicumbi"/>
    <s v="Byumba"/>
    <s v="NMUV_1"/>
    <s v="Murindi Sub-Catchment"/>
    <n v="7568.64"/>
  </r>
  <r>
    <x v="3"/>
    <s v="Nyarudogo"/>
    <s v="Public"/>
    <x v="0"/>
    <s v="Gicumbi"/>
    <s v="Byumba"/>
    <s v="NMUV_1"/>
    <s v="Murindi Sub-Catchment"/>
    <n v="2049.84"/>
  </r>
  <r>
    <x v="3"/>
    <s v="Mabuguma"/>
    <s v="Public"/>
    <x v="0"/>
    <s v="Gicumbi"/>
    <s v="Byumba"/>
    <s v="NMUV_1"/>
    <s v="Murindi Sub-Catchment"/>
    <n v="3153.6000000000004"/>
  </r>
  <r>
    <x v="3"/>
    <s v="Nyakagezi"/>
    <s v="Public"/>
    <x v="0"/>
    <s v="Gicumbi"/>
    <s v="Byumba"/>
    <s v="NMUV_1"/>
    <s v="Murindi Sub-Catchment"/>
    <n v="3942.0000000000005"/>
  </r>
  <r>
    <x v="3"/>
    <s v="Mu Isangano"/>
    <s v="Public"/>
    <x v="0"/>
    <s v="Gicumbi"/>
    <s v="Byumba"/>
    <s v="NMUV_1"/>
    <s v="Murindi Sub-Catchment"/>
    <n v="15768.000000000002"/>
  </r>
  <r>
    <x v="3"/>
    <s v="Nyampaninka"/>
    <s v="Public"/>
    <x v="0"/>
    <s v="Gicumbi"/>
    <s v="Byumba"/>
    <s v="NMUV_1"/>
    <s v="Murindi Sub-Catchment"/>
    <n v="3153.6000000000004"/>
  </r>
  <r>
    <x v="3"/>
    <s v="Ngondore"/>
    <s v="Public"/>
    <x v="0"/>
    <s v="Gicumbi"/>
    <s v="Byumba"/>
    <s v="NMUV_1"/>
    <s v="Murindi Sub-Catchment"/>
    <n v="2365.2000000000003"/>
  </r>
  <r>
    <x v="3"/>
    <s v="Rwabudara"/>
    <s v="Public"/>
    <x v="0"/>
    <s v="Gicumbi"/>
    <s v="Byumba"/>
    <s v="NMUV_1"/>
    <s v="Murindi Sub-Catchment"/>
    <n v="14191.2"/>
  </r>
  <r>
    <x v="3"/>
    <s v="Rwakayaga"/>
    <s v="Public"/>
    <x v="0"/>
    <s v="Gicumbi"/>
    <s v="Byumba"/>
    <s v="NMUV_1"/>
    <s v="Murindi Sub-Catchment"/>
    <n v="13875.840000000002"/>
  </r>
  <r>
    <x v="3"/>
    <s v="Mworera"/>
    <s v="Public"/>
    <x v="0"/>
    <s v="Gicumbi"/>
    <s v="Byumba"/>
    <s v="NMUV_1"/>
    <s v="Murindi Sub-Catchment"/>
    <n v="2049.84"/>
  </r>
  <r>
    <x v="3"/>
    <s v="Kagorogoro"/>
    <s v="Public"/>
    <x v="0"/>
    <s v="Gicumbi"/>
    <s v="Byumba"/>
    <s v="NMUV_1"/>
    <s v="Murindi Sub-Catchment"/>
    <n v="1734.4800000000002"/>
  </r>
  <r>
    <x v="3"/>
    <s v="Gatare"/>
    <s v="Public"/>
    <x v="0"/>
    <s v="Gicumbi"/>
    <s v="Byumba"/>
    <s v="NMUV_1"/>
    <s v="Murindi Sub-Catchment"/>
    <n v="2049.84"/>
  </r>
  <r>
    <x v="3"/>
    <s v="Kwa karekezi"/>
    <s v="Public"/>
    <x v="0"/>
    <s v="Gicumbi"/>
    <s v="Byumba"/>
    <s v="NMUV_1"/>
    <s v="Murindi Sub-Catchment"/>
    <n v="2207.5200000000004"/>
  </r>
  <r>
    <x v="3"/>
    <s v="Karubogo"/>
    <s v="Public"/>
    <x v="0"/>
    <s v="Gicumbi"/>
    <s v="Byumba"/>
    <s v="NMUV_1"/>
    <s v="Murindi Sub-Catchment"/>
    <n v="7095.6"/>
  </r>
  <r>
    <x v="3"/>
    <s v="Nyarubande"/>
    <s v="Public"/>
    <x v="0"/>
    <s v="Gicumbi"/>
    <s v="Byumba"/>
    <s v="NMUV_1"/>
    <s v="Murindi Sub-Catchment"/>
    <n v="6307.2000000000007"/>
  </r>
  <r>
    <x v="3"/>
    <s v="Kwa Muzaribara"/>
    <s v="Public"/>
    <x v="0"/>
    <s v="Gicumbi"/>
    <s v="Byumba"/>
    <s v="NMUV_1"/>
    <s v="Murindi Sub-Catchment"/>
    <n v="4730.4000000000005"/>
  </r>
  <r>
    <x v="3"/>
    <s v="Nyamutezi"/>
    <s v="Public"/>
    <x v="0"/>
    <s v="Gicumbi"/>
    <s v="Byumba"/>
    <s v="NMUV_1"/>
    <s v="Murindi Sub-Catchment"/>
    <n v="7884.0000000000009"/>
  </r>
  <r>
    <x v="3"/>
    <s v="Mu Rukingu"/>
    <s v="Public"/>
    <x v="0"/>
    <s v="Gicumbi"/>
    <s v="Byumba"/>
    <s v="NMUV_1"/>
    <s v="Murindi Sub-Catchment"/>
    <n v="2365.2000000000003"/>
  </r>
  <r>
    <x v="3"/>
    <s v="Kadogo"/>
    <s v="Public"/>
    <x v="0"/>
    <s v="Gicumbi"/>
    <s v="Byumba"/>
    <s v="NMUV_1"/>
    <s v="Murindi Sub-Catchment"/>
    <n v="3153.6000000000004"/>
  </r>
  <r>
    <x v="3"/>
    <s v="Nyakagezi"/>
    <s v="Public"/>
    <x v="0"/>
    <s v="Gicumbi"/>
    <s v="Byumba"/>
    <s v="NMUV_1"/>
    <s v="Murindi Sub-Catchment"/>
    <n v="14191.2"/>
  </r>
  <r>
    <x v="3"/>
    <s v="Rwamuhuba"/>
    <s v="Public"/>
    <x v="0"/>
    <s v="Gicumbi"/>
    <s v="Byumba"/>
    <s v="NMUV_1"/>
    <s v="Murindi Sub-Catchment"/>
    <n v="11826.000000000002"/>
  </r>
  <r>
    <x v="3"/>
    <s v="Gatare"/>
    <s v="Public"/>
    <x v="0"/>
    <s v="Gicumbi"/>
    <s v="Byumba"/>
    <s v="NMUV_1"/>
    <s v="Murindi Sub-Catchment"/>
    <n v="1576.8000000000002"/>
  </r>
  <r>
    <x v="3"/>
    <s v="Nyarubimba"/>
    <s v="Public"/>
    <x v="0"/>
    <s v="Gicumbi"/>
    <s v="Byumba"/>
    <s v="NMUV_1"/>
    <s v="Murindi Sub-Catchment"/>
    <n v="3942.0000000000005"/>
  </r>
  <r>
    <x v="3"/>
    <s v="Rudogo"/>
    <s v="Public"/>
    <x v="0"/>
    <s v="Gicumbi"/>
    <s v="Byumba"/>
    <s v="NMUV_1"/>
    <s v="Murindi Sub-Catchment"/>
    <n v="1892.16"/>
  </r>
  <r>
    <x v="3"/>
    <s v="Gatare"/>
    <s v="Public"/>
    <x v="0"/>
    <s v="Gicumbi"/>
    <s v="Byumba"/>
    <s v="NMUV_1"/>
    <s v="Murindi Sub-Catchment"/>
    <n v="2049.84"/>
  </r>
  <r>
    <x v="3"/>
    <s v="Gatare I"/>
    <s v="Public"/>
    <x v="0"/>
    <s v="Gicumbi"/>
    <s v="Byumba"/>
    <s v="NMUV_1"/>
    <s v="Murindi Sub-Catchment"/>
    <n v="2365.2000000000003"/>
  </r>
  <r>
    <x v="3"/>
    <s v="Kwa Ndayambaje"/>
    <s v="Public"/>
    <x v="0"/>
    <s v="Gicumbi"/>
    <s v="Byumba"/>
    <s v="NMUV_1"/>
    <s v="Murindi Sub-Catchment"/>
    <n v="1576.8000000000002"/>
  </r>
  <r>
    <x v="3"/>
    <s v="Mu Cyonga I"/>
    <s v="Public"/>
    <x v="0"/>
    <s v="Gicumbi"/>
    <s v="Byumba"/>
    <s v="NMUV_1"/>
    <s v="Murindi Sub-Catchment"/>
    <n v="1261.44"/>
  </r>
  <r>
    <x v="3"/>
    <s v="Rutare"/>
    <s v="Public"/>
    <x v="0"/>
    <s v="Gicumbi"/>
    <s v="Byumba"/>
    <s v="NMUV_1"/>
    <s v="Murindi Sub-Catchment"/>
    <n v="4415.0400000000009"/>
  </r>
  <r>
    <x v="3"/>
    <s v="Nyakagezi I"/>
    <s v="Public"/>
    <x v="0"/>
    <s v="Gicumbi"/>
    <s v="Byumba"/>
    <s v="NMUV_1"/>
    <s v="Murindi Sub-Catchment"/>
    <n v="2207.5200000000004"/>
  </r>
  <r>
    <x v="3"/>
    <s v="Gatare II"/>
    <s v="Public"/>
    <x v="0"/>
    <s v="Gicumbi"/>
    <s v="Byumba"/>
    <s v="NMUV_1"/>
    <s v="Murindi Sub-Catchment"/>
    <n v="4415.0400000000009"/>
  </r>
  <r>
    <x v="3"/>
    <s v="Nyakagezi"/>
    <s v="Public"/>
    <x v="0"/>
    <s v="Gicumbi"/>
    <s v="Byumba"/>
    <s v="NMUV_1"/>
    <s v="Murindi Sub-Catchment"/>
    <n v="4099.68"/>
  </r>
  <r>
    <x v="3"/>
    <s v="Mu Cyonga II"/>
    <s v="Public"/>
    <x v="0"/>
    <s v="Gicumbi"/>
    <s v="Byumba"/>
    <s v="NMUV_1"/>
    <s v="Murindi Sub-Catchment"/>
    <n v="2838.24"/>
  </r>
  <r>
    <x v="3"/>
    <s v="Mu Kabingo"/>
    <s v="Public"/>
    <x v="0"/>
    <s v="Gicumbi"/>
    <s v="Byumba"/>
    <s v="NMUV_1"/>
    <s v="Murindi Sub-Catchment"/>
    <n v="9460.8000000000011"/>
  </r>
  <r>
    <x v="3"/>
    <s v="Gatare"/>
    <s v="Public"/>
    <x v="0"/>
    <s v="Gicumbi"/>
    <s v="Byumba"/>
    <s v="NMUV_1"/>
    <s v="Murindi Sub-Catchment"/>
    <n v="5991.84"/>
  </r>
  <r>
    <x v="3"/>
    <s v="Kwa Sehuku"/>
    <s v="Public"/>
    <x v="0"/>
    <s v="Gicumbi"/>
    <s v="Byumba"/>
    <s v="NMUV_1"/>
    <s v="Murindi Sub-Catchment"/>
    <n v="4257.3600000000006"/>
  </r>
  <r>
    <x v="3"/>
    <s v="Kwa Sagatwa"/>
    <s v="Public"/>
    <x v="0"/>
    <s v="Gicumbi"/>
    <s v="Byumba"/>
    <s v="NMUV_1"/>
    <s v="Murindi Sub-Catchment"/>
    <n v="5203.4400000000005"/>
  </r>
  <r>
    <x v="3"/>
    <s v="Kazibaziba"/>
    <s v="Public"/>
    <x v="0"/>
    <s v="Gicumbi"/>
    <s v="Byumba"/>
    <s v="NMUV_1"/>
    <s v="Murindi Sub-Catchment"/>
    <n v="6307.2000000000007"/>
  </r>
  <r>
    <x v="3"/>
    <s v="Kabyaza"/>
    <s v="Public"/>
    <x v="0"/>
    <s v="Gicumbi"/>
    <s v="Byumba"/>
    <s v="NMUV_1"/>
    <s v="Murindi Sub-Catchment"/>
    <n v="4730.4000000000005"/>
  </r>
  <r>
    <x v="3"/>
    <s v="Rwabikona"/>
    <s v="Public"/>
    <x v="0"/>
    <s v="Gicumbi"/>
    <s v="Byumba"/>
    <s v="NMUV_1"/>
    <s v="Murindi Sub-Catchment"/>
    <n v="6307.2000000000007"/>
  </r>
  <r>
    <x v="3"/>
    <s v="Kajambagiro"/>
    <s v="Public"/>
    <x v="0"/>
    <s v="Gicumbi"/>
    <s v="Byumba"/>
    <s v="NMUV_1"/>
    <s v="Murindi Sub-Catchment"/>
    <n v="946.08"/>
  </r>
  <r>
    <x v="3"/>
    <s v="Nyakagezi"/>
    <s v="Public"/>
    <x v="0"/>
    <s v="Gicumbi"/>
    <s v="Byumba"/>
    <s v="NMUV_1"/>
    <s v="Murindi Sub-Catchment"/>
    <n v="5518.8"/>
  </r>
  <r>
    <x v="3"/>
    <s v="Kajambagiro"/>
    <s v="Public"/>
    <x v="0"/>
    <s v="Gicumbi"/>
    <s v="Byumba"/>
    <s v="NMUV_1"/>
    <s v="Murindi Sub-Catchment"/>
    <n v="4730.4000000000005"/>
  </r>
  <r>
    <x v="3"/>
    <s v="Kinyaga"/>
    <s v="Public"/>
    <x v="0"/>
    <s v="Gicumbi"/>
    <s v="Byumba"/>
    <s v="NMUV_1"/>
    <s v="Murindi Sub-Catchment"/>
    <n v="1576.8000000000002"/>
  </r>
  <r>
    <x v="3"/>
    <s v="Gahenesha"/>
    <s v="Public"/>
    <x v="0"/>
    <s v="Gicumbi"/>
    <s v="Byumba"/>
    <s v="NMUV_1"/>
    <s v="Murindi Sub-Catchment"/>
    <n v="2049.84"/>
  </r>
  <r>
    <x v="3"/>
    <s v="Mu Ikawa"/>
    <s v="Public"/>
    <x v="0"/>
    <s v="Gicumbi"/>
    <s v="Byumba"/>
    <s v="NMUV_1"/>
    <s v="Murindi Sub-Catchment"/>
    <n v="3626.64"/>
  </r>
  <r>
    <x v="3"/>
    <s v="Kavure"/>
    <s v="Public"/>
    <x v="0"/>
    <s v="Gicumbi"/>
    <s v="Byumba"/>
    <s v="NMUV_1"/>
    <s v="Murindi Sub-Catchment"/>
    <n v="1576.8000000000002"/>
  </r>
  <r>
    <x v="3"/>
    <s v="Nyamabare"/>
    <s v="Public"/>
    <x v="0"/>
    <s v="Gicumbi"/>
    <s v="Cyumba"/>
    <s v="NMUV_1"/>
    <s v="Murindi Sub-Catchment"/>
    <n v="3942.0000000000005"/>
  </r>
  <r>
    <x v="3"/>
    <s v="Maya"/>
    <s v="Public"/>
    <x v="0"/>
    <s v="Gicumbi"/>
    <s v="Cyumba"/>
    <s v="NMUV_1"/>
    <s v="Murindi Sub-Catchment"/>
    <n v="3153.6000000000004"/>
  </r>
  <r>
    <x v="3"/>
    <s v="Kayebe2"/>
    <s v="Public"/>
    <x v="0"/>
    <s v="Gicumbi"/>
    <s v="Cyumba"/>
    <s v="NMUV_1"/>
    <s v="Murindi Sub-Catchment"/>
    <n v="1419.12"/>
  </r>
  <r>
    <x v="3"/>
    <s v="Kagogo"/>
    <s v="Public"/>
    <x v="0"/>
    <s v="Gicumbi"/>
    <s v="Cyumba"/>
    <s v="NMUV_1"/>
    <s v="Murindi Sub-Catchment"/>
    <n v="6307.2000000000007"/>
  </r>
  <r>
    <x v="3"/>
    <s v="Kwa Nsengimana"/>
    <s v="Public"/>
    <x v="0"/>
    <s v="Gicumbi"/>
    <s v="Cyumba"/>
    <s v="NMUV_1"/>
    <s v="Murindi Sub-Catchment"/>
    <n v="4730.4000000000005"/>
  </r>
  <r>
    <x v="3"/>
    <s v="Uwabirame"/>
    <s v="Public"/>
    <x v="0"/>
    <s v="Gicumbi"/>
    <s v="Cyumba"/>
    <s v="NMUV_1"/>
    <s v="Murindi Sub-Catchment"/>
    <n v="1892.16"/>
  </r>
  <r>
    <x v="3"/>
    <s v="Nyaruhanga"/>
    <s v="Public"/>
    <x v="0"/>
    <s v="Gicumbi"/>
    <s v="Cyumba"/>
    <s v="NMUV_1"/>
    <s v="Murindi Sub-Catchment"/>
    <n v="8514.7200000000012"/>
  </r>
  <r>
    <x v="3"/>
    <s v="Kagera 3"/>
    <s v="Public"/>
    <x v="0"/>
    <s v="Gicumbi"/>
    <s v="Cyumba"/>
    <s v="NMUV_1"/>
    <s v="Murindi Sub-Catchment"/>
    <n v="4730.4000000000005"/>
  </r>
  <r>
    <x v="3"/>
    <s v="Kwa Ramazani"/>
    <s v="Public"/>
    <x v="0"/>
    <s v="Gicumbi"/>
    <s v="Cyumba"/>
    <s v="NMUV_1"/>
    <s v="Murindi Sub-Catchment"/>
    <n v="5676.48"/>
  </r>
  <r>
    <x v="3"/>
    <s v="Kivuruga"/>
    <s v="Public"/>
    <x v="0"/>
    <s v="Gicumbi"/>
    <s v="Cyumba"/>
    <s v="NMUV_1"/>
    <s v="Murindi Sub-Catchment"/>
    <n v="6307.2000000000007"/>
  </r>
  <r>
    <x v="3"/>
    <s v="Rusebeya"/>
    <s v="Public"/>
    <x v="0"/>
    <s v="Gicumbi"/>
    <s v="Cyumba"/>
    <s v="NMUV_1"/>
    <s v="Murindi Sub-Catchment"/>
    <n v="7884.0000000000009"/>
  </r>
  <r>
    <x v="3"/>
    <s v="Kwa Bicwende"/>
    <s v="Public"/>
    <x v="0"/>
    <s v="Gicumbi"/>
    <s v="Cyumba"/>
    <s v="NMUV_1"/>
    <s v="Murindi Sub-Catchment"/>
    <n v="2365.2000000000003"/>
  </r>
  <r>
    <x v="3"/>
    <s v="Kabura"/>
    <s v="Public"/>
    <x v="0"/>
    <s v="Gicumbi"/>
    <s v="Cyumba"/>
    <s v="NMUV_1"/>
    <s v="Murindi Sub-Catchment"/>
    <n v="2365.2000000000003"/>
  </r>
  <r>
    <x v="3"/>
    <s v="Kagera 2"/>
    <s v="Public"/>
    <x v="0"/>
    <s v="Gicumbi"/>
    <s v="Cyumba"/>
    <s v="NMUV_1"/>
    <s v="Murindi Sub-Catchment"/>
    <n v="3942.0000000000005"/>
  </r>
  <r>
    <x v="3"/>
    <s v="Kwa Gakoko"/>
    <s v="Public"/>
    <x v="0"/>
    <s v="Gicumbi"/>
    <s v="Cyumba"/>
    <s v="NMUV_1"/>
    <s v="Murindi Sub-Catchment"/>
    <n v="5518.8"/>
  </r>
  <r>
    <x v="3"/>
    <s v="Banyara3"/>
    <s v="Public"/>
    <x v="0"/>
    <s v="Gicumbi"/>
    <s v="Cyumba"/>
    <s v="NMUV_1"/>
    <s v="Murindi Sub-Catchment"/>
    <n v="11037.6"/>
  </r>
  <r>
    <x v="3"/>
    <s v="Nyakibi"/>
    <s v="Public"/>
    <x v="0"/>
    <s v="Gicumbi"/>
    <s v="Cyumba"/>
    <s v="NMUV_1"/>
    <s v="Murindi Sub-Catchment"/>
    <n v="1261.44"/>
  </r>
  <r>
    <x v="3"/>
    <s v="Banyara 2"/>
    <s v="Public"/>
    <x v="0"/>
    <s v="Gicumbi"/>
    <s v="Cyumba"/>
    <s v="NMUV_1"/>
    <s v="Murindi Sub-Catchment"/>
    <n v="5518.8"/>
  </r>
  <r>
    <x v="3"/>
    <s v="Rutonde"/>
    <s v="Public"/>
    <x v="0"/>
    <s v="Gicumbi"/>
    <s v="Cyumba"/>
    <s v="NMUV_1"/>
    <s v="Murindi Sub-Catchment"/>
    <n v="1261.44"/>
  </r>
  <r>
    <x v="3"/>
    <s v="Nyakesha"/>
    <s v="Public"/>
    <x v="0"/>
    <s v="Gicumbi"/>
    <s v="Cyumba"/>
    <s v="NMUV_1"/>
    <s v="Murindi Sub-Catchment"/>
    <n v="3153.6000000000004"/>
  </r>
  <r>
    <x v="3"/>
    <s v="Kabakene"/>
    <s v="Public"/>
    <x v="0"/>
    <s v="Gicumbi"/>
    <s v="Cyumba"/>
    <s v="NMUV_1"/>
    <s v="Murindi Sub-Catchment"/>
    <n v="3468.9600000000005"/>
  </r>
  <r>
    <x v="3"/>
    <s v="Gatoki"/>
    <s v="Public"/>
    <x v="0"/>
    <s v="Gicumbi"/>
    <s v="Cyumba"/>
    <s v="NMUV_1"/>
    <s v="Murindi Sub-Catchment"/>
    <n v="3942.0000000000005"/>
  </r>
  <r>
    <x v="3"/>
    <s v="Nyakibande"/>
    <s v="Public"/>
    <x v="0"/>
    <s v="Gicumbi"/>
    <s v="Cyumba"/>
    <s v="NMUV_1"/>
    <s v="Murindi Sub-Catchment"/>
    <n v="12614.400000000001"/>
  </r>
  <r>
    <x v="3"/>
    <s v="Kwa Maguru"/>
    <s v="Public"/>
    <x v="0"/>
    <s v="Gicumbi"/>
    <s v="Cyumba"/>
    <s v="NMUV_1"/>
    <s v="Murindi Sub-Catchment"/>
    <n v="788.40000000000009"/>
  </r>
  <r>
    <x v="3"/>
    <s v="Kanturo"/>
    <s v="Public"/>
    <x v="0"/>
    <s v="Gicumbi"/>
    <s v="Cyumba"/>
    <s v="NMUV_1"/>
    <s v="Murindi Sub-Catchment"/>
    <n v="1261.44"/>
  </r>
  <r>
    <x v="3"/>
    <s v="Gashambashayo"/>
    <s v="Public"/>
    <x v="0"/>
    <s v="Gicumbi"/>
    <s v="Cyumba"/>
    <s v="NMUV_1"/>
    <s v="Murindi Sub-Catchment"/>
    <n v="2522.88"/>
  </r>
  <r>
    <x v="3"/>
    <s v="Runyinya"/>
    <s v="Public"/>
    <x v="0"/>
    <s v="Gicumbi"/>
    <s v="Kageyo"/>
    <s v="NMUV_1"/>
    <s v="Murindi Sub-Catchment"/>
    <n v="3626.64"/>
  </r>
  <r>
    <x v="3"/>
    <s v="Gacyamo"/>
    <s v="Public"/>
    <x v="0"/>
    <s v="Gicumbi"/>
    <s v="Kageyo"/>
    <s v="NMUV_1"/>
    <s v="Murindi Sub-Catchment"/>
    <n v="788.40000000000009"/>
  </r>
  <r>
    <x v="3"/>
    <s v="Ruhango"/>
    <s v="Public"/>
    <x v="0"/>
    <s v="Gicumbi"/>
    <s v="Kageyo"/>
    <s v="NMUV_1"/>
    <s v="Murindi Sub-Catchment"/>
    <n v="22863.599999999999"/>
  </r>
  <r>
    <x v="3"/>
    <s v="Mwambu"/>
    <s v="Public"/>
    <x v="0"/>
    <s v="Gicumbi"/>
    <s v="Kageyo"/>
    <s v="NMUV_1"/>
    <s v="Murindi Sub-Catchment"/>
    <n v="1576.8000000000002"/>
  </r>
  <r>
    <x v="3"/>
    <s v="Nyarukombe"/>
    <s v="Public"/>
    <x v="0"/>
    <s v="Gicumbi"/>
    <s v="Kageyo"/>
    <s v="NMUV_1"/>
    <s v="Murindi Sub-Catchment"/>
    <n v="1576.8000000000002"/>
  </r>
  <r>
    <x v="3"/>
    <s v="Mugomero"/>
    <s v="Public"/>
    <x v="0"/>
    <s v="Gicumbi"/>
    <s v="Kageyo"/>
    <s v="NMUV_1"/>
    <s v="Murindi Sub-Catchment"/>
    <n v="39420"/>
  </r>
  <r>
    <x v="3"/>
    <s v="Gatare"/>
    <s v="Public"/>
    <x v="0"/>
    <s v="Gicumbi"/>
    <s v="Kageyo"/>
    <s v="NMUV_1"/>
    <s v="Murindi Sub-Catchment"/>
    <n v="1103.7600000000002"/>
  </r>
  <r>
    <x v="3"/>
    <s v="Gafonogo"/>
    <s v="Public"/>
    <x v="0"/>
    <s v="Gicumbi"/>
    <s v="Kageyo"/>
    <s v="NMUV_1"/>
    <s v="Murindi Sub-Catchment"/>
    <n v="630.72"/>
  </r>
  <r>
    <x v="3"/>
    <s v="Kadobogo"/>
    <s v="Public"/>
    <x v="0"/>
    <s v="Gicumbi"/>
    <s v="Kageyo"/>
    <s v="NMUV_1"/>
    <s v="Murindi Sub-Catchment"/>
    <n v="2049.84"/>
  </r>
  <r>
    <x v="3"/>
    <s v="Magufabiri"/>
    <s v="Public"/>
    <x v="0"/>
    <s v="Gicumbi"/>
    <s v="Kageyo"/>
    <s v="NMUV_1"/>
    <s v="Murindi Sub-Catchment"/>
    <n v="1576.8000000000002"/>
  </r>
  <r>
    <x v="3"/>
    <s v="Kukigorogoro"/>
    <s v="Public"/>
    <x v="0"/>
    <s v="Gicumbi"/>
    <s v="Kageyo"/>
    <s v="NMUV_1"/>
    <s v="Murindi Sub-Catchment"/>
    <n v="3153.6000000000004"/>
  </r>
  <r>
    <x v="3"/>
    <s v="Gahama"/>
    <s v="Public"/>
    <x v="0"/>
    <s v="Gicumbi"/>
    <s v="Kageyo"/>
    <s v="NMUV_1"/>
    <s v="Murindi Sub-Catchment"/>
    <n v="11037.6"/>
  </r>
  <r>
    <x v="3"/>
    <s v="Karwa"/>
    <s v="Public"/>
    <x v="0"/>
    <s v="Gicumbi"/>
    <s v="Kageyo"/>
    <s v="NMUV_1"/>
    <s v="Murindi Sub-Catchment"/>
    <n v="1734.4800000000002"/>
  </r>
  <r>
    <x v="3"/>
    <s v="Rwimikara"/>
    <s v="Public"/>
    <x v="0"/>
    <s v="Gicumbi"/>
    <s v="Kageyo"/>
    <s v="NMUV_1"/>
    <s v="Murindi Sub-Catchment"/>
    <n v="1103.7600000000002"/>
  </r>
  <r>
    <x v="3"/>
    <s v="Biheri"/>
    <s v="Public"/>
    <x v="0"/>
    <s v="Gicumbi"/>
    <s v="Kageyo"/>
    <s v="NMUV_1"/>
    <s v="Murindi Sub-Catchment"/>
    <n v="1576.8000000000002"/>
  </r>
  <r>
    <x v="3"/>
    <s v="Kabageshi II"/>
    <s v="Public"/>
    <x v="0"/>
    <s v="Gicumbi"/>
    <s v="Kageyo"/>
    <s v="NMUV_1"/>
    <s v="Murindi Sub-Catchment"/>
    <n v="1576.8000000000002"/>
  </r>
  <r>
    <x v="3"/>
    <s v="Ruzibaziba"/>
    <s v="Public"/>
    <x v="0"/>
    <s v="Gicumbi"/>
    <s v="Kageyo"/>
    <s v="NMUV_1"/>
    <s v="Murindi Sub-Catchment"/>
    <n v="1734.4800000000002"/>
  </r>
  <r>
    <x v="3"/>
    <s v="Mu rwunga"/>
    <s v="Public"/>
    <x v="0"/>
    <s v="Gicumbi"/>
    <s v="Kageyo"/>
    <s v="NMUV_1"/>
    <s v="Murindi Sub-Catchment"/>
    <n v="18921.600000000002"/>
  </r>
  <r>
    <x v="3"/>
    <s v="Kanogo"/>
    <s v="Public"/>
    <x v="0"/>
    <s v="Gicumbi"/>
    <s v="Kageyo"/>
    <s v="NMUV_1"/>
    <s v="Murindi Sub-Catchment"/>
    <n v="3153.6000000000004"/>
  </r>
  <r>
    <x v="3"/>
    <s v="Gikuku I"/>
    <s v="Public"/>
    <x v="0"/>
    <s v="Gicumbi"/>
    <s v="Kageyo"/>
    <s v="NMUV_1"/>
    <s v="Murindi Sub-Catchment"/>
    <n v="4099.68"/>
  </r>
  <r>
    <x v="3"/>
    <s v="Kabageshi I"/>
    <s v="Public"/>
    <x v="0"/>
    <s v="Gicumbi"/>
    <s v="Kageyo"/>
    <s v="NMUV_1"/>
    <s v="Murindi Sub-Catchment"/>
    <n v="2838.24"/>
  </r>
  <r>
    <x v="3"/>
    <s v="Gatare"/>
    <s v="Public"/>
    <x v="0"/>
    <s v="Gicumbi"/>
    <s v="Kageyo"/>
    <s v="NMUV_1"/>
    <s v="Murindi Sub-Catchment"/>
    <n v="3153.6000000000004"/>
  </r>
  <r>
    <x v="3"/>
    <s v="Nyaruzenga II"/>
    <s v="Public"/>
    <x v="0"/>
    <s v="Gicumbi"/>
    <s v="Kageyo"/>
    <s v="NMUV_1"/>
    <s v="Murindi Sub-Catchment"/>
    <n v="3153.6000000000004"/>
  </r>
  <r>
    <x v="3"/>
    <s v="Nyaruzenga I"/>
    <s v="Public"/>
    <x v="0"/>
    <s v="Gicumbi"/>
    <s v="Kageyo"/>
    <s v="NMUV_1"/>
    <s v="Murindi Sub-Catchment"/>
    <n v="4730.4000000000005"/>
  </r>
  <r>
    <x v="3"/>
    <s v="kwa Mukabucyana"/>
    <s v="Public"/>
    <x v="0"/>
    <s v="Gicumbi"/>
    <s v="Kageyo"/>
    <s v="NMUV_1"/>
    <s v="Murindi Sub-Catchment"/>
    <n v="946.08"/>
  </r>
  <r>
    <x v="3"/>
    <s v="Gikuku"/>
    <s v="Public"/>
    <x v="0"/>
    <s v="Gicumbi"/>
    <s v="Kageyo"/>
    <s v="NMUV_1"/>
    <s v="Murindi Sub-Catchment"/>
    <n v="4730.4000000000005"/>
  </r>
  <r>
    <x v="3"/>
    <s v="Gahondo"/>
    <s v="Public"/>
    <x v="0"/>
    <s v="Gicumbi"/>
    <s v="Kageyo"/>
    <s v="NMUV_1"/>
    <s v="Murindi Sub-Catchment"/>
    <n v="18921.600000000002"/>
  </r>
  <r>
    <x v="3"/>
    <s v="Kajinja"/>
    <s v="Public"/>
    <x v="0"/>
    <s v="Gicumbi"/>
    <s v="Kageyo"/>
    <s v="NMUV_1"/>
    <s v="Murindi Sub-Catchment"/>
    <n v="2207.5200000000004"/>
  </r>
  <r>
    <x v="3"/>
    <s v="Gikuku II"/>
    <s v="Public"/>
    <x v="0"/>
    <s v="Gicumbi"/>
    <s v="Kageyo"/>
    <s v="NMUV_1"/>
    <s v="Murindi Sub-Catchment"/>
    <n v="4099.68"/>
  </r>
  <r>
    <x v="3"/>
    <s v="Gatare I"/>
    <s v="Public"/>
    <x v="0"/>
    <s v="Gicumbi"/>
    <s v="Kageyo"/>
    <s v="NMUV_1"/>
    <s v="Murindi Sub-Catchment"/>
    <n v="11037.6"/>
  </r>
  <r>
    <x v="3"/>
    <s v="Kagwa I"/>
    <s v="Public"/>
    <x v="0"/>
    <s v="Gicumbi"/>
    <s v="Kageyo"/>
    <s v="NMUV_1"/>
    <s v="Murindi Sub-Catchment"/>
    <n v="3153.6000000000004"/>
  </r>
  <r>
    <x v="3"/>
    <s v="Nyakagezi"/>
    <s v="Public"/>
    <x v="0"/>
    <s v="Gicumbi"/>
    <s v="Kageyo"/>
    <s v="NMUV_1"/>
    <s v="Murindi Sub-Catchment"/>
    <n v="1576.8000000000002"/>
  </r>
  <r>
    <x v="3"/>
    <s v="Mugomero"/>
    <s v="Public"/>
    <x v="0"/>
    <s v="Gicumbi"/>
    <s v="Kageyo"/>
    <s v="NMUV_1"/>
    <s v="Murindi Sub-Catchment"/>
    <n v="1261.44"/>
  </r>
  <r>
    <x v="3"/>
    <s v="Ruvumu"/>
    <s v="Public"/>
    <x v="0"/>
    <s v="Gicumbi"/>
    <s v="Kageyo"/>
    <s v="NMUV_1"/>
    <s v="Murindi Sub-Catchment"/>
    <n v="4257.3600000000006"/>
  </r>
  <r>
    <x v="3"/>
    <s v="Gatare II"/>
    <s v="Public"/>
    <x v="0"/>
    <s v="Gicumbi"/>
    <s v="Kageyo"/>
    <s v="NMUV_1"/>
    <s v="Murindi Sub-Catchment"/>
    <n v="1103.7600000000002"/>
  </r>
  <r>
    <x v="3"/>
    <s v="Nyakagezi"/>
    <s v="Public"/>
    <x v="0"/>
    <s v="Gicumbi"/>
    <s v="Kageyo"/>
    <s v="NMUV_1"/>
    <s v="Murindi Sub-Catchment"/>
    <n v="2365.2000000000003"/>
  </r>
  <r>
    <x v="3"/>
    <s v="Nyakagezi I"/>
    <s v="Public"/>
    <x v="0"/>
    <s v="Gicumbi"/>
    <s v="Kageyo"/>
    <s v="NMUV_1"/>
    <s v="Murindi Sub-Catchment"/>
    <n v="1892.16"/>
  </r>
  <r>
    <x v="3"/>
    <s v="Nyakagezi"/>
    <s v="Public"/>
    <x v="0"/>
    <s v="Gicumbi"/>
    <s v="Kageyo"/>
    <s v="NMUV_1"/>
    <s v="Murindi Sub-Catchment"/>
    <n v="28855.439999999999"/>
  </r>
  <r>
    <x v="3"/>
    <s v="Gahondo"/>
    <s v="Public"/>
    <x v="0"/>
    <s v="Gicumbi"/>
    <s v="Kageyo"/>
    <s v="NMUV_1"/>
    <s v="Murindi Sub-Catchment"/>
    <n v="3153.6000000000004"/>
  </r>
  <r>
    <x v="3"/>
    <s v="Mikungugu"/>
    <s v="Public"/>
    <x v="0"/>
    <s v="Gicumbi"/>
    <s v="Kageyo"/>
    <s v="NMUV_1"/>
    <s v="Murindi Sub-Catchment"/>
    <n v="3153.6000000000004"/>
  </r>
  <r>
    <x v="3"/>
    <s v="Kagorogoro"/>
    <s v="Public"/>
    <x v="0"/>
    <s v="Gicumbi"/>
    <s v="Kageyo"/>
    <s v="NMUV_1"/>
    <s v="Murindi Sub-Catchment"/>
    <n v="7884.0000000000009"/>
  </r>
  <r>
    <x v="3"/>
    <s v="Mukibumbiro"/>
    <s v="Public"/>
    <x v="0"/>
    <s v="Gicumbi"/>
    <s v="Kageyo"/>
    <s v="NMUV_1"/>
    <s v="Murindi Sub-Catchment"/>
    <n v="3153.6000000000004"/>
  </r>
  <r>
    <x v="3"/>
    <s v="Kadobogo"/>
    <s v="Public"/>
    <x v="0"/>
    <s v="Gicumbi"/>
    <s v="Kageyo"/>
    <s v="NMUV_1"/>
    <s v="Murindi Sub-Catchment"/>
    <n v="630.72"/>
  </r>
  <r>
    <x v="3"/>
    <s v="Kadobogo"/>
    <s v="Public"/>
    <x v="0"/>
    <s v="Gicumbi"/>
    <s v="Kageyo"/>
    <s v="NMUV_1"/>
    <s v="Murindi Sub-Catchment"/>
    <n v="788.40000000000009"/>
  </r>
  <r>
    <x v="3"/>
    <s v="Nyakagezi"/>
    <s v="Public"/>
    <x v="0"/>
    <s v="Gicumbi"/>
    <s v="Kageyo"/>
    <s v="NMUV_1"/>
    <s v="Murindi Sub-Catchment"/>
    <n v="14821.919999999998"/>
  </r>
  <r>
    <x v="3"/>
    <s v="Gahama"/>
    <s v="Public"/>
    <x v="0"/>
    <s v="Gicumbi"/>
    <s v="Kageyo"/>
    <s v="NMUV_1"/>
    <s v="Murindi Sub-Catchment"/>
    <n v="7884.0000000000009"/>
  </r>
  <r>
    <x v="3"/>
    <s v="Kumoteri"/>
    <s v="Public"/>
    <x v="0"/>
    <s v="Gicumbi"/>
    <s v="Kaniga"/>
    <s v="NMUV_1"/>
    <s v="Murindi Sub-Catchment"/>
    <n v="2838.24"/>
  </r>
  <r>
    <x v="3"/>
    <s v="Nyakibande"/>
    <s v="Public"/>
    <x v="0"/>
    <s v="Gicumbi"/>
    <s v="Kaniga"/>
    <s v="NMUV_1"/>
    <s v="Murindi Sub-Catchment"/>
    <n v="1892.16"/>
  </r>
  <r>
    <x v="3"/>
    <s v="Katoki"/>
    <s v="Public"/>
    <x v="0"/>
    <s v="Gicumbi"/>
    <s v="Kaniga"/>
    <s v="NMUV_1"/>
    <s v="Murindi Sub-Catchment"/>
    <n v="14191.2"/>
  </r>
  <r>
    <x v="3"/>
    <s v="Kinaba"/>
    <s v="Public"/>
    <x v="0"/>
    <s v="Gicumbi"/>
    <s v="Kaniga"/>
    <s v="NMUV_1"/>
    <s v="Murindi Sub-Catchment"/>
    <n v="1576.8000000000002"/>
  </r>
  <r>
    <x v="3"/>
    <s v="Gatoma"/>
    <s v="Public"/>
    <x v="0"/>
    <s v="Gicumbi"/>
    <s v="Kaniga"/>
    <s v="NMUV_1"/>
    <s v="Murindi Sub-Catchment"/>
    <n v="788.40000000000009"/>
  </r>
  <r>
    <x v="3"/>
    <s v="Nyarutojo"/>
    <s v="Public"/>
    <x v="0"/>
    <s v="Gicumbi"/>
    <s v="Kaniga"/>
    <s v="NMUV_1"/>
    <s v="Murindi Sub-Catchment"/>
    <n v="788.40000000000009"/>
  </r>
  <r>
    <x v="3"/>
    <s v="Cyibare"/>
    <s v="Public"/>
    <x v="0"/>
    <s v="Gicumbi"/>
    <s v="Kaniga"/>
    <s v="NMUV_1"/>
    <s v="Murindi Sub-Catchment"/>
    <n v="1103.7600000000002"/>
  </r>
  <r>
    <x v="3"/>
    <s v="Rwabashaka 1"/>
    <s v="Public"/>
    <x v="0"/>
    <s v="Gicumbi"/>
    <s v="Kaniga"/>
    <s v="NMUV_1"/>
    <s v="Murindi Sub-Catchment"/>
    <n v="4099.68"/>
  </r>
  <r>
    <x v="3"/>
    <s v="Nyangorogoro"/>
    <s v="Public"/>
    <x v="0"/>
    <s v="Gicumbi"/>
    <s v="Kaniga"/>
    <s v="NMUV_1"/>
    <s v="Murindi Sub-Catchment"/>
    <n v="1576.8000000000002"/>
  </r>
  <r>
    <x v="3"/>
    <s v="Miyove centre"/>
    <s v="Public"/>
    <x v="0"/>
    <s v="Gicumbi"/>
    <s v="Kaniga"/>
    <s v="NMUV_1"/>
    <s v="Murindi Sub-Catchment"/>
    <n v="473.04"/>
  </r>
  <r>
    <x v="3"/>
    <s v="Runoni"/>
    <s v="Public"/>
    <x v="0"/>
    <s v="Gicumbi"/>
    <s v="Kaniga"/>
    <s v="NMUV_1"/>
    <s v="Murindi Sub-Catchment"/>
    <n v="7884.0000000000009"/>
  </r>
  <r>
    <x v="3"/>
    <s v="Kiruruma"/>
    <s v="Public"/>
    <x v="0"/>
    <s v="Gicumbi"/>
    <s v="Kaniga"/>
    <s v="NMUV_1"/>
    <s v="Murindi Sub-Catchment"/>
    <n v="6307.2000000000007"/>
  </r>
  <r>
    <x v="3"/>
    <s v="Mubuga"/>
    <s v="Public"/>
    <x v="0"/>
    <s v="Gicumbi"/>
    <s v="Kaniga"/>
    <s v="NMUV_1"/>
    <s v="Murindi Sub-Catchment"/>
    <n v="1892.16"/>
  </r>
  <r>
    <x v="3"/>
    <s v="Rwabakazi"/>
    <s v="Public"/>
    <x v="0"/>
    <s v="Gicumbi"/>
    <s v="Kaniga"/>
    <s v="NMUV_1"/>
    <s v="Murindi Sub-Catchment"/>
    <n v="2680.56"/>
  </r>
  <r>
    <x v="3"/>
    <s v="Kamushure"/>
    <s v="Public"/>
    <x v="0"/>
    <s v="Gicumbi"/>
    <s v="Kaniga"/>
    <s v="NMUV_1"/>
    <s v="Murindi Sub-Catchment"/>
    <n v="7884.0000000000009"/>
  </r>
  <r>
    <x v="3"/>
    <s v="Kiziku"/>
    <s v="Public"/>
    <x v="0"/>
    <s v="Gicumbi"/>
    <s v="Kaniga"/>
    <s v="NMUV_1"/>
    <s v="Murindi Sub-Catchment"/>
    <n v="2365.2000000000003"/>
  </r>
  <r>
    <x v="3"/>
    <s v="Kiyorwa"/>
    <s v="Public"/>
    <x v="0"/>
    <s v="Gicumbi"/>
    <s v="Kaniga"/>
    <s v="NMUV_1"/>
    <s v="Murindi Sub-Catchment"/>
    <n v="3153.6000000000004"/>
  </r>
  <r>
    <x v="3"/>
    <s v="Kamina"/>
    <s v="Public"/>
    <x v="0"/>
    <s v="Gicumbi"/>
    <s v="Kaniga"/>
    <s v="NMUV_1"/>
    <s v="Murindi Sub-Catchment"/>
    <n v="788.40000000000009"/>
  </r>
  <r>
    <x v="3"/>
    <s v="Gatare"/>
    <s v="Public"/>
    <x v="0"/>
    <s v="Gicumbi"/>
    <s v="Kaniga"/>
    <s v="NMUV_1"/>
    <s v="Murindi Sub-Catchment"/>
    <n v="11037.6"/>
  </r>
  <r>
    <x v="3"/>
    <s v="Kigwene"/>
    <s v="Public"/>
    <x v="0"/>
    <s v="Gicumbi"/>
    <s v="Kaniga"/>
    <s v="NMUV_1"/>
    <s v="Murindi Sub-Catchment"/>
    <n v="4415.0400000000009"/>
  </r>
  <r>
    <x v="3"/>
    <s v="Kinnyogo2"/>
    <s v="Public"/>
    <x v="0"/>
    <s v="Gicumbi"/>
    <s v="Kaniga"/>
    <s v="NMUV_1"/>
    <s v="Murindi Sub-Catchment"/>
    <n v="4257.3600000000006"/>
  </r>
  <r>
    <x v="3"/>
    <s v="Murugando"/>
    <s v="Public"/>
    <x v="0"/>
    <s v="Gicumbi"/>
    <s v="Kaniga"/>
    <s v="NMUV_1"/>
    <s v="Murindi Sub-Catchment"/>
    <n v="3942.0000000000005"/>
  </r>
  <r>
    <x v="3"/>
    <s v="Rutaha"/>
    <s v="Public"/>
    <x v="0"/>
    <s v="Gicumbi"/>
    <s v="Kaniga"/>
    <s v="NMUV_1"/>
    <s v="Murindi Sub-Catchment"/>
    <n v="7884.0000000000009"/>
  </r>
  <r>
    <x v="3"/>
    <s v="Nyamuhenda"/>
    <s v="Public"/>
    <x v="0"/>
    <s v="Gicumbi"/>
    <s v="Kaniga"/>
    <s v="NMUV_1"/>
    <s v="Murindi Sub-Catchment"/>
    <n v="5518.8"/>
  </r>
  <r>
    <x v="3"/>
    <s v="Kinnyogo"/>
    <s v="Public"/>
    <x v="0"/>
    <s v="Gicumbi"/>
    <s v="Kaniga"/>
    <s v="NMUV_1"/>
    <s v="Murindi Sub-Catchment"/>
    <n v="10249.199999999999"/>
  </r>
  <r>
    <x v="3"/>
    <s v="Kwa Prisira"/>
    <s v="Public"/>
    <x v="0"/>
    <s v="Gicumbi"/>
    <s v="Kaniga"/>
    <s v="NMUV_1"/>
    <s v="Murindi Sub-Catchment"/>
    <n v="3153.6000000000004"/>
  </r>
  <r>
    <x v="3"/>
    <s v="Mwizinga"/>
    <s v="Public"/>
    <x v="0"/>
    <s v="Gicumbi"/>
    <s v="Kaniga"/>
    <s v="NMUV_1"/>
    <s v="Murindi Sub-Catchment"/>
    <n v="2365.2000000000003"/>
  </r>
  <r>
    <x v="3"/>
    <s v="Nyarwambu"/>
    <s v="Public"/>
    <x v="0"/>
    <s v="Gicumbi"/>
    <s v="Kaniga"/>
    <s v="NMUV_1"/>
    <s v="Murindi Sub-Catchment"/>
    <n v="6307.2000000000007"/>
  </r>
  <r>
    <x v="3"/>
    <s v="Mukoto"/>
    <s v="Public"/>
    <x v="0"/>
    <s v="Gicumbi"/>
    <s v="Kaniga"/>
    <s v="NMUV_1"/>
    <s v="Murindi Sub-Catchment"/>
    <n v="9460.8000000000011"/>
  </r>
  <r>
    <x v="3"/>
    <s v="Miziku"/>
    <s v="Public"/>
    <x v="0"/>
    <s v="Gicumbi"/>
    <s v="Kaniga"/>
    <s v="NMUV_1"/>
    <s v="Murindi Sub-Catchment"/>
    <n v="2838.24"/>
  </r>
  <r>
    <x v="3"/>
    <s v="Kwa Rutakoba"/>
    <s v="Public"/>
    <x v="0"/>
    <s v="Gicumbi"/>
    <s v="Kaniga"/>
    <s v="NMUV_1"/>
    <s v="Murindi Sub-Catchment"/>
    <n v="1576.8000000000002"/>
  </r>
  <r>
    <x v="3"/>
    <s v="Barihamwe"/>
    <s v="Public"/>
    <x v="0"/>
    <s v="Gicumbi"/>
    <s v="Kaniga"/>
    <s v="NMUV_1"/>
    <s v="Murindi Sub-Catchment"/>
    <n v="1576.8000000000002"/>
  </r>
  <r>
    <x v="3"/>
    <s v="Rusabunga"/>
    <s v="Public"/>
    <x v="0"/>
    <s v="Gicumbi"/>
    <s v="Manyagiro"/>
    <s v="NMUV_1"/>
    <s v="Murindi Sub-Catchment"/>
    <n v="630.72"/>
  </r>
  <r>
    <x v="3"/>
    <s v="Ku Ikoni"/>
    <s v="Public"/>
    <x v="0"/>
    <s v="Gicumbi"/>
    <s v="Manyagiro"/>
    <s v="NMUV_1"/>
    <s v="Murindi Sub-Catchment"/>
    <n v="788.40000000000009"/>
  </r>
  <r>
    <x v="3"/>
    <s v="Kadahokwa"/>
    <s v="Public"/>
    <x v="0"/>
    <s v="Gicumbi"/>
    <s v="Manyagiro"/>
    <s v="NMUV_1"/>
    <s v="Murindi Sub-Catchment"/>
    <n v="946.08"/>
  </r>
  <r>
    <x v="3"/>
    <s v="Ryakabengo"/>
    <s v="Public"/>
    <x v="0"/>
    <s v="Gicumbi"/>
    <s v="Manyagiro"/>
    <s v="NMUV_1"/>
    <s v="Murindi Sub-Catchment"/>
    <n v="1576.8000000000002"/>
  </r>
  <r>
    <x v="3"/>
    <s v="Uwabihame"/>
    <s v="Public"/>
    <x v="0"/>
    <s v="Gicumbi"/>
    <s v="Manyagiro"/>
    <s v="NMUV_1"/>
    <s v="Murindi Sub-Catchment"/>
    <n v="1892.16"/>
  </r>
  <r>
    <x v="3"/>
    <s v="Kwa Bicwende"/>
    <s v="Public"/>
    <x v="0"/>
    <s v="Gicumbi"/>
    <s v="Manyagiro"/>
    <s v="NMUV_1"/>
    <s v="Murindi Sub-Catchment"/>
    <n v="2365.2000000000003"/>
  </r>
  <r>
    <x v="3"/>
    <s v="Kwa Harelimana"/>
    <s v="Public"/>
    <x v="0"/>
    <s v="Gicumbi"/>
    <s v="Manyagiro"/>
    <s v="NMUV_1"/>
    <s v="Murindi Sub-Catchment"/>
    <n v="1576.8000000000002"/>
  </r>
  <r>
    <x v="3"/>
    <s v="Micungwe"/>
    <s v="Public"/>
    <x v="0"/>
    <s v="Gicumbi"/>
    <s v="Manyagiro"/>
    <s v="NMUV_1"/>
    <s v="Murindi Sub-Catchment"/>
    <n v="2365.2000000000003"/>
  </r>
  <r>
    <x v="3"/>
    <s v="Nyarukombe"/>
    <s v="Public"/>
    <x v="0"/>
    <s v="Gicumbi"/>
    <s v="Manyagiro"/>
    <s v="NMUV_1"/>
    <s v="Murindi Sub-Catchment"/>
    <n v="5203.4400000000005"/>
  </r>
  <r>
    <x v="3"/>
    <s v="Kwa Mukamusoni"/>
    <s v="Public"/>
    <x v="0"/>
    <s v="Gicumbi"/>
    <s v="Manyagiro"/>
    <s v="NMUV_1"/>
    <s v="Murindi Sub-Catchment"/>
    <n v="11037.6"/>
  </r>
  <r>
    <x v="3"/>
    <s v="Nyakagezi"/>
    <s v="Public"/>
    <x v="0"/>
    <s v="Gicumbi"/>
    <s v="Manyagiro"/>
    <s v="NMUV_1"/>
    <s v="Murindi Sub-Catchment"/>
    <n v="3626.64"/>
  </r>
  <r>
    <x v="3"/>
    <s v="Kwa Ruhamanya"/>
    <s v="Public"/>
    <x v="0"/>
    <s v="Gicumbi"/>
    <s v="Manyagiro"/>
    <s v="NMUV_1"/>
    <s v="Murindi Sub-Catchment"/>
    <n v="2049.84"/>
  </r>
  <r>
    <x v="3"/>
    <s v="Ryabaradiha"/>
    <s v="Public"/>
    <x v="0"/>
    <s v="Gicumbi"/>
    <s v="Manyagiro"/>
    <s v="NMUV_1"/>
    <s v="Murindi Sub-Catchment"/>
    <n v="5203.4400000000005"/>
  </r>
  <r>
    <x v="3"/>
    <s v="Mu Kaberi"/>
    <s v="Public"/>
    <x v="0"/>
    <s v="Gicumbi"/>
    <s v="Manyagiro"/>
    <s v="NMUV_1"/>
    <s v="Murindi Sub-Catchment"/>
    <n v="3311.2799999999997"/>
  </r>
  <r>
    <x v="3"/>
    <s v="Kwa Byabagabo"/>
    <s v="Public"/>
    <x v="0"/>
    <s v="Gicumbi"/>
    <s v="Manyagiro"/>
    <s v="NMUV_1"/>
    <s v="Murindi Sub-Catchment"/>
    <n v="788.40000000000009"/>
  </r>
  <r>
    <x v="3"/>
    <s v="Nyarukombe II"/>
    <s v="Public"/>
    <x v="0"/>
    <s v="Gicumbi"/>
    <s v="Manyagiro"/>
    <s v="NMUV_1"/>
    <s v="Murindi Sub-Catchment"/>
    <n v="1576.8000000000002"/>
  </r>
  <r>
    <x v="3"/>
    <s v="Kwa Gatanda"/>
    <s v="Public"/>
    <x v="0"/>
    <s v="Gicumbi"/>
    <s v="Manyagiro"/>
    <s v="NMUV_1"/>
    <s v="Murindi Sub-Catchment"/>
    <n v="473.04"/>
  </r>
  <r>
    <x v="3"/>
    <s v="Mu Bakayiro"/>
    <s v="Public"/>
    <x v="0"/>
    <s v="Gicumbi"/>
    <s v="Manyagiro"/>
    <s v="NMUV_1"/>
    <s v="Murindi Sub-Catchment"/>
    <n v="788.40000000000009"/>
  </r>
  <r>
    <x v="3"/>
    <s v="Mu Barara"/>
    <s v="Public"/>
    <x v="0"/>
    <s v="Gicumbi"/>
    <s v="Manyagiro"/>
    <s v="NMUV_1"/>
    <s v="Murindi Sub-Catchment"/>
    <n v="4730.4000000000005"/>
  </r>
  <r>
    <x v="3"/>
    <s v="Kwa Mihigo"/>
    <s v="Public"/>
    <x v="0"/>
    <s v="Gicumbi"/>
    <s v="Manyagiro"/>
    <s v="NMUV_1"/>
    <s v="Murindi Sub-Catchment"/>
    <n v="2049.84"/>
  </r>
  <r>
    <x v="3"/>
    <s v="Mafurebo"/>
    <s v="Public"/>
    <x v="0"/>
    <s v="Gicumbi"/>
    <s v="Manyagiro"/>
    <s v="NMUV_1"/>
    <s v="Murindi Sub-Catchment"/>
    <n v="5045.76"/>
  </r>
  <r>
    <x v="3"/>
    <s v="Kabyaza"/>
    <s v="Public"/>
    <x v="0"/>
    <s v="Gicumbi"/>
    <s v="Manyagiro"/>
    <s v="NMUV_1"/>
    <s v="Murindi Sub-Catchment"/>
    <n v="5045.76"/>
  </r>
  <r>
    <x v="3"/>
    <s v="Rwabondo"/>
    <s v="Public"/>
    <x v="0"/>
    <s v="Gicumbi"/>
    <s v="Manyagiro"/>
    <s v="NMUV_1"/>
    <s v="Murindi Sub-Catchment"/>
    <n v="2365.2000000000003"/>
  </r>
  <r>
    <x v="3"/>
    <s v="Kwa Babona"/>
    <s v="Public"/>
    <x v="0"/>
    <s v="Gicumbi"/>
    <s v="Manyagiro"/>
    <s v="NMUV_1"/>
    <s v="Murindi Sub-Catchment"/>
    <n v="9460.8000000000011"/>
  </r>
  <r>
    <x v="3"/>
    <s v="Nyakagezi"/>
    <s v="Public"/>
    <x v="0"/>
    <s v="Gicumbi"/>
    <s v="Manyagiro"/>
    <s v="NMUV_1"/>
    <s v="Murindi Sub-Catchment"/>
    <n v="1261.44"/>
  </r>
  <r>
    <x v="3"/>
    <s v="Nyirarwungo"/>
    <s v="Public"/>
    <x v="0"/>
    <s v="Gicumbi"/>
    <s v="Manyagiro"/>
    <s v="NMUV_1"/>
    <s v="Murindi Sub-Catchment"/>
    <n v="1892.16"/>
  </r>
  <r>
    <x v="3"/>
    <s v="Rujonya"/>
    <s v="Public"/>
    <x v="0"/>
    <s v="Gicumbi"/>
    <s v="Manyagiro"/>
    <s v="NMUV_1"/>
    <s v="Murindi Sub-Catchment"/>
    <n v="1261.44"/>
  </r>
  <r>
    <x v="3"/>
    <s v="Ryamafurebo"/>
    <s v="Public"/>
    <x v="0"/>
    <s v="Gicumbi"/>
    <s v="Manyagiro"/>
    <s v="NMUV_1"/>
    <s v="Murindi Sub-Catchment"/>
    <n v="3153.6000000000004"/>
  </r>
  <r>
    <x v="3"/>
    <s v="Rugasa"/>
    <s v="Public"/>
    <x v="0"/>
    <s v="Gicumbi"/>
    <s v="Manyagiro"/>
    <s v="NMUV_1"/>
    <s v="Murindi Sub-Catchment"/>
    <n v="1576.8000000000002"/>
  </r>
  <r>
    <x v="3"/>
    <s v="Kwa Ngendambizi"/>
    <s v="Public"/>
    <x v="0"/>
    <s v="Gicumbi"/>
    <s v="Manyagiro"/>
    <s v="NMUV_1"/>
    <s v="Murindi Sub-Catchment"/>
    <n v="2365.2000000000003"/>
  </r>
  <r>
    <x v="3"/>
    <s v="Nyakagezi"/>
    <s v="Public"/>
    <x v="0"/>
    <s v="Gicumbi"/>
    <s v="Manyagiro"/>
    <s v="NMUV_1"/>
    <s v="Murindi Sub-Catchment"/>
    <n v="6307.2000000000007"/>
  </r>
  <r>
    <x v="3"/>
    <s v="Kagomero"/>
    <s v="Public"/>
    <x v="0"/>
    <s v="Gicumbi"/>
    <s v="Manyagiro"/>
    <s v="NMUV_1"/>
    <s v="Murindi Sub-Catchment"/>
    <n v="4730.4000000000005"/>
  </r>
  <r>
    <x v="3"/>
    <s v="KADOBOGO"/>
    <s v="Public"/>
    <x v="0"/>
    <s v="Gicumbi"/>
    <s v="Mukarange"/>
    <s v="NMUV_1"/>
    <s v="Murindi Sub-Catchment"/>
    <n v="4730.4000000000005"/>
  </r>
  <r>
    <x v="3"/>
    <s v="Kwa Mugabonejo"/>
    <s v="Public"/>
    <x v="0"/>
    <s v="Gicumbi"/>
    <s v="Nyankenke"/>
    <s v="NMUV_1"/>
    <s v="Murindi Sub-Catchment"/>
    <n v="788.40000000000009"/>
  </r>
  <r>
    <x v="3"/>
    <s v="Uwabariza"/>
    <s v="Public"/>
    <x v="0"/>
    <s v="Gicumbi"/>
    <s v="Nyankenke"/>
    <s v="NMUV_1"/>
    <s v="Murindi Sub-Catchment"/>
    <n v="2049.84"/>
  </r>
  <r>
    <x v="3"/>
    <s v="Gakore"/>
    <s v="Public"/>
    <x v="0"/>
    <s v="Gicumbi"/>
    <s v="Nyankenke"/>
    <s v="NMUV_1"/>
    <s v="Murindi Sub-Catchment"/>
    <n v="1576.8000000000002"/>
  </r>
  <r>
    <x v="3"/>
    <s v="Biziguro"/>
    <s v="Public"/>
    <x v="0"/>
    <s v="Gicumbi"/>
    <s v="Nyankenke"/>
    <s v="NMUV_1"/>
    <s v="Murindi Sub-Catchment"/>
    <n v="3153.6000000000004"/>
  </r>
  <r>
    <x v="3"/>
    <s v="Mugomero"/>
    <s v="Public"/>
    <x v="0"/>
    <s v="Gicumbi"/>
    <s v="Nyankenke"/>
    <s v="NMUV_1"/>
    <s v="Murindi Sub-Catchment"/>
    <n v="2365.2000000000003"/>
  </r>
  <r>
    <x v="3"/>
    <s v="Mu Kajagi"/>
    <s v="Public"/>
    <x v="0"/>
    <s v="Gicumbi"/>
    <s v="Nyankenke"/>
    <s v="NMUV_1"/>
    <s v="Murindi Sub-Catchment"/>
    <n v="5045.76"/>
  </r>
  <r>
    <x v="3"/>
    <s v="Mu Ngugu"/>
    <s v="Public"/>
    <x v="0"/>
    <s v="Gicumbi"/>
    <s v="Nyankenke"/>
    <s v="NMUV_1"/>
    <s v="Murindi Sub-Catchment"/>
    <n v="1576.8000000000002"/>
  </r>
  <r>
    <x v="3"/>
    <s v="Kwa Kayibanda"/>
    <s v="Public"/>
    <x v="0"/>
    <s v="Gicumbi"/>
    <s v="Nyankenke"/>
    <s v="NMUV_1"/>
    <s v="Murindi Sub-Catchment"/>
    <n v="788.40000000000009"/>
  </r>
  <r>
    <x v="3"/>
    <s v="Mu Kajagi II"/>
    <s v="Public"/>
    <x v="0"/>
    <s v="Gicumbi"/>
    <s v="Nyankenke"/>
    <s v="NMUV_1"/>
    <s v="Murindi Sub-Catchment"/>
    <n v="1576.8000000000002"/>
  </r>
  <r>
    <x v="3"/>
    <s v="Gasiza"/>
    <s v="Public"/>
    <x v="0"/>
    <s v="Gicumbi"/>
    <s v="Nyankenke"/>
    <s v="NMUV_1"/>
    <s v="Murindi Sub-Catchment"/>
    <n v="630.72"/>
  </r>
  <r>
    <x v="3"/>
    <s v="Gatare"/>
    <s v="Public"/>
    <x v="0"/>
    <s v="Gicumbi"/>
    <s v="Nyankenke"/>
    <s v="NMUV_1"/>
    <s v="Murindi Sub-Catchment"/>
    <n v="1103.7600000000002"/>
  </r>
  <r>
    <x v="3"/>
    <s v="Mukabingo"/>
    <s v="Public"/>
    <x v="0"/>
    <s v="Gicumbi"/>
    <s v="Nyankenke"/>
    <s v="NMUV_1"/>
    <s v="Murindi Sub-Catchment"/>
    <n v="315.36"/>
  </r>
  <r>
    <x v="3"/>
    <s v="Ryabihutu"/>
    <s v="Public"/>
    <x v="0"/>
    <s v="Gicumbi"/>
    <s v="Nyankenke"/>
    <s v="NMUV_1"/>
    <s v="Murindi Sub-Catchment"/>
    <n v="946.08"/>
  </r>
  <r>
    <x v="3"/>
    <s v="Nyakagezi"/>
    <s v="Public"/>
    <x v="0"/>
    <s v="Gicumbi"/>
    <s v="Nyankenke"/>
    <s v="NMUV_1"/>
    <s v="Murindi Sub-Catchment"/>
    <n v="1576.8000000000002"/>
  </r>
  <r>
    <x v="3"/>
    <s v="Rugeretse"/>
    <s v="Public"/>
    <x v="0"/>
    <s v="Gicumbi"/>
    <s v="Nyankenke"/>
    <s v="NMUV_1"/>
    <s v="Murindi Sub-Catchment"/>
    <n v="1261.44"/>
  </r>
  <r>
    <x v="3"/>
    <s v="Kinunga"/>
    <s v="Public"/>
    <x v="0"/>
    <s v="Gicumbi"/>
    <s v="Nyankenke"/>
    <s v="NMUV_1"/>
    <s v="Murindi Sub-Catchment"/>
    <n v="788.40000000000009"/>
  </r>
  <r>
    <x v="3"/>
    <s v="Mu Ruzibaziba"/>
    <s v="Public"/>
    <x v="0"/>
    <s v="Gicumbi"/>
    <s v="Nyankenke"/>
    <s v="NMUV_1"/>
    <s v="Murindi Sub-Catchment"/>
    <n v="630.72"/>
  </r>
  <r>
    <x v="3"/>
    <s v="Gasake"/>
    <s v="Public"/>
    <x v="0"/>
    <s v="Gicumbi"/>
    <s v="Nyankenke"/>
    <s v="NMUV_1"/>
    <s v="Murindi Sub-Catchment"/>
    <n v="1576.8000000000002"/>
  </r>
  <r>
    <x v="3"/>
    <s v="Ruhanga"/>
    <s v="Public"/>
    <x v="0"/>
    <s v="Gicumbi"/>
    <s v="Nyankenke"/>
    <s v="NMUV_1"/>
    <s v="Murindi Sub-Catchment"/>
    <n v="1103.7600000000002"/>
  </r>
  <r>
    <x v="3"/>
    <s v="Mu Ruzibaziba II"/>
    <s v="Public"/>
    <x v="0"/>
    <s v="Gicumbi"/>
    <s v="Nyankenke"/>
    <s v="NMUV_1"/>
    <s v="Murindi Sub-Catchment"/>
    <n v="473.04"/>
  </r>
  <r>
    <x v="3"/>
    <s v="Rutomvu"/>
    <s v="Public"/>
    <x v="0"/>
    <s v="Gicumbi"/>
    <s v="Nyankenke"/>
    <s v="NMUV_1"/>
    <s v="Murindi Sub-Catchment"/>
    <n v="473.04"/>
  </r>
  <r>
    <x v="3"/>
    <s v="Gatare"/>
    <s v="Public"/>
    <x v="0"/>
    <s v="Gicumbi"/>
    <s v="Nyankenke"/>
    <s v="NMUV_1"/>
    <s v="Murindi Sub-Catchment"/>
    <n v="2365.2000000000003"/>
  </r>
  <r>
    <x v="3"/>
    <s v="Karambo"/>
    <s v="Public"/>
    <x v="0"/>
    <s v="Gicumbi"/>
    <s v="Nyankenke"/>
    <s v="NMUV_1"/>
    <s v="Murindi Sub-Catchment"/>
    <n v="788.40000000000009"/>
  </r>
  <r>
    <x v="3"/>
    <s v="Karambo"/>
    <s v="Public"/>
    <x v="0"/>
    <s v="Gicumbi"/>
    <s v="Nyankenke"/>
    <s v="NMUV_1"/>
    <s v="Murindi Sub-Catchment"/>
    <n v="1576.8000000000002"/>
  </r>
  <r>
    <x v="3"/>
    <s v="Mu Murara"/>
    <s v="Public"/>
    <x v="0"/>
    <s v="Gicumbi"/>
    <s v="Nyankenke"/>
    <s v="NMUV_1"/>
    <s v="Murindi Sub-Catchment"/>
    <n v="1261.44"/>
  </r>
  <r>
    <x v="3"/>
    <s v="Murukingu"/>
    <s v="Public"/>
    <x v="0"/>
    <s v="Gicumbi"/>
    <s v="Nyankenke"/>
    <s v="NMUV_1"/>
    <s v="Murindi Sub-Catchment"/>
    <n v="473.04"/>
  </r>
  <r>
    <x v="3"/>
    <s v="Mu Burera"/>
    <s v="Public"/>
    <x v="0"/>
    <s v="Gicumbi"/>
    <s v="Nyankenke"/>
    <s v="NMUV_1"/>
    <s v="Murindi Sub-Catchment"/>
    <n v="157.68"/>
  </r>
  <r>
    <x v="3"/>
    <s v="Mu Rudogo"/>
    <s v="Public"/>
    <x v="0"/>
    <s v="Gicumbi"/>
    <s v="Nyankenke"/>
    <s v="NMUV_1"/>
    <s v="Murindi Sub-Catchment"/>
    <n v="1576.8000000000002"/>
  </r>
  <r>
    <x v="3"/>
    <s v="Kwa Njenyeli"/>
    <s v="Public"/>
    <x v="0"/>
    <s v="Gicumbi"/>
    <s v="Nyankenke"/>
    <s v="NMUV_1"/>
    <s v="Murindi Sub-Catchment"/>
    <n v="946.08"/>
  </r>
  <r>
    <x v="3"/>
    <s v="Rwambeho"/>
    <s v="Public"/>
    <x v="0"/>
    <s v="Gicumbi"/>
    <s v="Nyankenke"/>
    <s v="NMUV_1"/>
    <s v="Murindi Sub-Catchment"/>
    <n v="2522.88"/>
  </r>
  <r>
    <x v="3"/>
    <s v="Mu Bagara"/>
    <s v="Public"/>
    <x v="0"/>
    <s v="Gicumbi"/>
    <s v="Nyankenke"/>
    <s v="NMUV_1"/>
    <s v="Murindi Sub-Catchment"/>
    <n v="1103.7600000000002"/>
  </r>
  <r>
    <x v="3"/>
    <s v="Rwambeho"/>
    <s v="Public"/>
    <x v="0"/>
    <s v="Gicumbi"/>
    <s v="Nyankenke"/>
    <s v="NMUV_1"/>
    <s v="Murindi Sub-Catchment"/>
    <n v="3626.64"/>
  </r>
  <r>
    <x v="3"/>
    <s v="Rukoma"/>
    <s v="Public"/>
    <x v="0"/>
    <s v="Gicumbi"/>
    <s v="Nyankenke"/>
    <s v="NMUV_1"/>
    <s v="Murindi Sub-Catchment"/>
    <n v="12614.400000000001"/>
  </r>
  <r>
    <x v="3"/>
    <s v="Kwa Kamana"/>
    <s v="Public"/>
    <x v="0"/>
    <s v="Gicumbi"/>
    <s v="Nyankenke"/>
    <s v="NMUV_1"/>
    <s v="Murindi Sub-Catchment"/>
    <n v="630.72"/>
  </r>
  <r>
    <x v="3"/>
    <s v="Kwa Kamaraba"/>
    <s v="Public"/>
    <x v="0"/>
    <s v="Gicumbi"/>
    <s v="Nyankenke"/>
    <s v="NMUV_1"/>
    <s v="Murindi Sub-Catchment"/>
    <n v="5045.76"/>
  </r>
  <r>
    <x v="3"/>
    <s v="Mu Kadogo"/>
    <s v="Public"/>
    <x v="0"/>
    <s v="Gicumbi"/>
    <s v="Nyankenke"/>
    <s v="NMUV_1"/>
    <s v="Murindi Sub-Catchment"/>
    <n v="5518.8"/>
  </r>
  <r>
    <x v="3"/>
    <s v="Mu Mujebe"/>
    <s v="Public"/>
    <x v="0"/>
    <s v="Gicumbi"/>
    <s v="Nyankenke"/>
    <s v="NMUV_1"/>
    <s v="Murindi Sub-Catchment"/>
    <n v="1261.44"/>
  </r>
  <r>
    <x v="3"/>
    <s v="Ngaruyinka II"/>
    <s v="Public"/>
    <x v="0"/>
    <s v="Gicumbi"/>
    <s v="Nyankenke"/>
    <s v="NMUV_1"/>
    <s v="Murindi Sub-Catchment"/>
    <n v="630.72"/>
  </r>
  <r>
    <x v="3"/>
    <s v="Nyagafunzo"/>
    <s v="Public"/>
    <x v="0"/>
    <s v="Gicumbi"/>
    <s v="Nyankenke"/>
    <s v="NMUV_1"/>
    <s v="Murindi Sub-Catchment"/>
    <n v="473.04"/>
  </r>
  <r>
    <x v="3"/>
    <s v="Ngaruyinka"/>
    <s v="Public"/>
    <x v="0"/>
    <s v="Gicumbi"/>
    <s v="Nyankenke"/>
    <s v="NMUV_1"/>
    <s v="Murindi Sub-Catchment"/>
    <n v="3153.6000000000004"/>
  </r>
  <r>
    <x v="3"/>
    <s v="Ryajongi"/>
    <s v="Public"/>
    <x v="0"/>
    <s v="Gicumbi"/>
    <s v="Nyankenke"/>
    <s v="NMUV_1"/>
    <s v="Murindi Sub-Catchment"/>
    <n v="1892.16"/>
  </r>
  <r>
    <x v="3"/>
    <s v="Ruhonda"/>
    <s v="Public"/>
    <x v="0"/>
    <s v="Gicumbi"/>
    <s v="Nyankenke"/>
    <s v="NMUV_1"/>
    <s v="Murindi Sub-Catchment"/>
    <n v="11037.6"/>
  </r>
  <r>
    <x v="3"/>
    <s v="Mu Ngando"/>
    <s v="Public"/>
    <x v="0"/>
    <s v="Gicumbi"/>
    <s v="Nyankenke"/>
    <s v="NMUV_1"/>
    <s v="Murindi Sub-Catchment"/>
    <n v="1576.8000000000002"/>
  </r>
  <r>
    <x v="3"/>
    <s v="Zihamazi"/>
    <s v="Public"/>
    <x v="0"/>
    <s v="Gicumbi"/>
    <s v="Nyankenke"/>
    <s v="NMUV_1"/>
    <s v="Murindi Sub-Catchment"/>
    <n v="630.72"/>
  </r>
  <r>
    <x v="3"/>
    <s v="Kabuzere"/>
    <s v="Public"/>
    <x v="0"/>
    <s v="Gicumbi"/>
    <s v="Rubaya"/>
    <s v="NMUV_1"/>
    <s v="Murindi Sub-Catchment"/>
    <n v="3153.6000000000004"/>
  </r>
  <r>
    <x v="3"/>
    <s v="Mu Bagara"/>
    <s v="Public"/>
    <x v="0"/>
    <s v="Gicumbi"/>
    <s v="Rubaya"/>
    <s v="NMUV_1"/>
    <s v="Murindi Sub-Catchment"/>
    <n v="1103.7600000000002"/>
  </r>
  <r>
    <x v="3"/>
    <s v="Kwarekeraho"/>
    <s v="Public"/>
    <x v="0"/>
    <s v="Gicumbi"/>
    <s v="Rubaya"/>
    <s v="NMUV_1"/>
    <s v="Murindi Sub-Catchment"/>
    <n v="2365.2000000000003"/>
  </r>
  <r>
    <x v="3"/>
    <s v="Rubaya I"/>
    <s v="Public"/>
    <x v="0"/>
    <s v="Gicumbi"/>
    <s v="Rubaya"/>
    <s v="NMUV_1"/>
    <s v="Murindi Sub-Catchment"/>
    <n v="2365.2000000000003"/>
  </r>
  <r>
    <x v="3"/>
    <s v="Kwa Misheli"/>
    <s v="Public"/>
    <x v="0"/>
    <s v="Gicumbi"/>
    <s v="Rubaya"/>
    <s v="NMUV_1"/>
    <s v="Murindi Sub-Catchment"/>
    <n v="788.40000000000009"/>
  </r>
  <r>
    <x v="3"/>
    <s v="Mu Kabaya"/>
    <s v="Public"/>
    <x v="0"/>
    <s v="Gicumbi"/>
    <s v="Rubaya"/>
    <s v="NMUV_1"/>
    <s v="Murindi Sub-Catchment"/>
    <n v="1892.16"/>
  </r>
  <r>
    <x v="3"/>
    <s v="Mu Rutare"/>
    <s v="Public"/>
    <x v="0"/>
    <s v="Gicumbi"/>
    <s v="Rubaya"/>
    <s v="NMUV_1"/>
    <s v="Murindi Sub-Catchment"/>
    <n v="14979.6"/>
  </r>
  <r>
    <x v="3"/>
    <s v="Gishari"/>
    <s v="Public"/>
    <x v="0"/>
    <s v="Gicumbi"/>
    <s v="Rubaya"/>
    <s v="NMUV_1"/>
    <s v="Murindi Sub-Catchment"/>
    <n v="157.68"/>
  </r>
  <r>
    <x v="3"/>
    <s v="Mugote"/>
    <s v="Public"/>
    <x v="0"/>
    <s v="Gicumbi"/>
    <s v="Rubaya"/>
    <s v="NMUV_1"/>
    <s v="Murindi Sub-Catchment"/>
    <n v="1892.16"/>
  </r>
  <r>
    <x v="3"/>
    <s v="Kwa Mbuga"/>
    <s v="Public"/>
    <x v="0"/>
    <s v="Gicumbi"/>
    <s v="Rubaya"/>
    <s v="NMUV_1"/>
    <s v="Murindi Sub-Catchment"/>
    <n v="3153.6000000000004"/>
  </r>
  <r>
    <x v="3"/>
    <s v="Nyamabare"/>
    <s v="Public"/>
    <x v="0"/>
    <s v="Gicumbi"/>
    <s v="Rubaya"/>
    <s v="NMUV_1"/>
    <s v="Murindi Sub-Catchment"/>
    <n v="1576.8000000000002"/>
  </r>
  <r>
    <x v="3"/>
    <s v="Ryabamuhata"/>
    <s v="Public"/>
    <x v="0"/>
    <s v="Gicumbi"/>
    <s v="Rubaya"/>
    <s v="NMUV_1"/>
    <s v="Murindi Sub-Catchment"/>
    <n v="4572.72"/>
  </r>
  <r>
    <x v="3"/>
    <s v="Kabaya II"/>
    <s v="Public"/>
    <x v="0"/>
    <s v="Gicumbi"/>
    <s v="Rubaya"/>
    <s v="NMUV_1"/>
    <s v="Murindi Sub-Catchment"/>
    <n v="1576.8000000000002"/>
  </r>
  <r>
    <x v="3"/>
    <s v="Bwambi"/>
    <s v="Public"/>
    <x v="0"/>
    <s v="Gicumbi"/>
    <s v="Rubaya"/>
    <s v="NMUV_1"/>
    <s v="Murindi Sub-Catchment"/>
    <n v="1576.8000000000002"/>
  </r>
  <r>
    <x v="3"/>
    <s v="Burambira"/>
    <s v="Public"/>
    <x v="0"/>
    <s v="Gicumbi"/>
    <s v="Rubaya"/>
    <s v="NMUV_1"/>
    <s v="Murindi Sub-Catchment"/>
    <n v="2365.2000000000003"/>
  </r>
  <r>
    <x v="3"/>
    <s v="Kabaya I"/>
    <s v="Public"/>
    <x v="0"/>
    <s v="Gicumbi"/>
    <s v="Rubaya"/>
    <s v="NMUV_1"/>
    <s v="Murindi Sub-Catchment"/>
    <n v="1576.8000000000002"/>
  </r>
  <r>
    <x v="3"/>
    <s v="Gashangingwe"/>
    <s v="Public"/>
    <x v="0"/>
    <s v="Gicumbi"/>
    <s v="Rubaya"/>
    <s v="NMUV_1"/>
    <s v="Murindi Sub-Catchment"/>
    <n v="4730.4000000000005"/>
  </r>
  <r>
    <x v="3"/>
    <s v="Gihangazi"/>
    <s v="Public"/>
    <x v="0"/>
    <s v="Gicumbi"/>
    <s v="Rubaya"/>
    <s v="NMUV_1"/>
    <s v="Murindi Sub-Catchment"/>
    <n v="1892.16"/>
  </r>
  <r>
    <x v="3"/>
    <s v="Nyakesha"/>
    <s v="Public"/>
    <x v="0"/>
    <s v="Gicumbi"/>
    <s v="Rubaya"/>
    <s v="NMUV_1"/>
    <s v="Murindi Sub-Catchment"/>
    <n v="1892.16"/>
  </r>
  <r>
    <x v="3"/>
    <s v="Mu Cyogo"/>
    <s v="Public"/>
    <x v="0"/>
    <s v="Gicumbi"/>
    <s v="Rubaya"/>
    <s v="NMUV_1"/>
    <s v="Murindi Sub-Catchment"/>
    <n v="7884.0000000000009"/>
  </r>
  <r>
    <x v="3"/>
    <s v="Kwa Nyirabyatsi"/>
    <s v="Public"/>
    <x v="0"/>
    <s v="Gicumbi"/>
    <s v="Rubaya"/>
    <s v="NMUV_1"/>
    <s v="Murindi Sub-Catchment"/>
    <n v="630.72"/>
  </r>
  <r>
    <x v="3"/>
    <s v="Karimbi"/>
    <s v="Public"/>
    <x v="0"/>
    <s v="Gicumbi"/>
    <s v="Rubaya"/>
    <s v="NMUV_1"/>
    <s v="Murindi Sub-Catchment"/>
    <n v="2049.84"/>
  </r>
  <r>
    <x v="3"/>
    <s v="Byandinda"/>
    <s v="Public"/>
    <x v="0"/>
    <s v="Gicumbi"/>
    <s v="Rubaya"/>
    <s v="NMUV_1"/>
    <s v="Murindi Sub-Catchment"/>
    <n v="23652.000000000004"/>
  </r>
  <r>
    <x v="3"/>
    <s v="Rwanganiro"/>
    <s v="Public"/>
    <x v="0"/>
    <s v="Gicumbi"/>
    <s v="Rubaya"/>
    <s v="NMUV_1"/>
    <s v="Murindi Sub-Catchment"/>
    <n v="4257.3600000000006"/>
  </r>
  <r>
    <x v="3"/>
    <s v="Ruhanga"/>
    <s v="Public"/>
    <x v="0"/>
    <s v="Gicumbi"/>
    <s v="Rubaya"/>
    <s v="NMUV_1"/>
    <s v="Murindi Sub-Catchment"/>
    <n v="946.08"/>
  </r>
  <r>
    <x v="3"/>
    <s v="Kwa Tabaro"/>
    <s v="Public"/>
    <x v="0"/>
    <s v="Gicumbi"/>
    <s v="Rubaya"/>
    <s v="NMUV_1"/>
    <s v="Murindi Sub-Catchment"/>
    <n v="3942.0000000000005"/>
  </r>
  <r>
    <x v="3"/>
    <s v="Ruhonywa I"/>
    <s v="Public"/>
    <x v="0"/>
    <s v="Gicumbi"/>
    <s v="Rubaya"/>
    <s v="NMUV_1"/>
    <s v="Murindi Sub-Catchment"/>
    <n v="2365.2000000000003"/>
  </r>
  <r>
    <x v="3"/>
    <s v="Nyarutare"/>
    <s v="Public"/>
    <x v="0"/>
    <s v="Gicumbi"/>
    <s v="Rubaya"/>
    <s v="NMUV_1"/>
    <s v="Murindi Sub-Catchment"/>
    <n v="3468.9600000000005"/>
  </r>
  <r>
    <x v="3"/>
    <s v="Kwa Kabengo"/>
    <s v="Public"/>
    <x v="0"/>
    <s v="Gicumbi"/>
    <s v="Rubaya"/>
    <s v="NMUV_1"/>
    <s v="Murindi Sub-Catchment"/>
    <n v="2838.24"/>
  </r>
  <r>
    <x v="3"/>
    <s v="MURYIPFIZI"/>
    <s v="Public"/>
    <x v="0"/>
    <s v="Nyanza"/>
    <s v="Cyabakamyi"/>
    <s v="NNYU_2"/>
    <s v="Mwogo Sub-Catchment"/>
    <n v="1313.4744000000001"/>
  </r>
  <r>
    <x v="3"/>
    <s v="GATENGA"/>
    <s v="Public"/>
    <x v="0"/>
    <s v="Nyanza"/>
    <s v="Cyabakamyi"/>
    <s v="NNYU_2"/>
    <s v="Mwogo Sub-Catchment"/>
    <n v="788.55768"/>
  </r>
  <r>
    <x v="3"/>
    <s v="KABAYORA"/>
    <s v="Public"/>
    <x v="0"/>
    <s v="Nyanza"/>
    <s v="Cyabakamyi"/>
    <s v="NNYU_2"/>
    <s v="Mwogo Sub-Catchment"/>
    <n v="875.12400000000002"/>
  </r>
  <r>
    <x v="3"/>
    <s v="KAREHE"/>
    <s v="Public"/>
    <x v="0"/>
    <s v="Nyanza"/>
    <s v="Cyabakamyi"/>
    <s v="NNYU_2"/>
    <s v="Mwogo Sub-Catchment"/>
    <n v="394.20000000000005"/>
  </r>
  <r>
    <x v="3"/>
    <s v="RUBIHA"/>
    <s v="Public"/>
    <x v="0"/>
    <s v="Nyanza"/>
    <s v="Cyabakamyi"/>
    <s v="NNYU_2"/>
    <s v="Mwogo Sub-Catchment"/>
    <n v="5250.7439999999997"/>
  </r>
  <r>
    <x v="3"/>
    <s v="GASEKE"/>
    <s v="Public"/>
    <x v="0"/>
    <s v="Nyanza"/>
    <s v="Cyabakamyi"/>
    <s v="NNYU_2"/>
    <s v="Mwogo Sub-Catchment"/>
    <n v="655.94880000000001"/>
  </r>
  <r>
    <x v="3"/>
    <s v="NYAKARIBA"/>
    <s v="Public"/>
    <x v="0"/>
    <s v="Nyanza"/>
    <s v="Cyabakamyi"/>
    <s v="NNYU_2"/>
    <s v="Mwogo Sub-Catchment"/>
    <n v="463.57920000000001"/>
  </r>
  <r>
    <x v="3"/>
    <s v="RUTUNGA"/>
    <s v="Public"/>
    <x v="0"/>
    <s v="Nyanza"/>
    <s v="Cyabakamyi"/>
    <s v="NNYU_2"/>
    <s v="Mwogo Sub-Catchment"/>
    <n v="2626.9488000000001"/>
  </r>
  <r>
    <x v="3"/>
    <s v="MASHYUSHYU"/>
    <s v="Public"/>
    <x v="0"/>
    <s v="Nyanza"/>
    <s v="Cyabakamyi"/>
    <s v="NNYU_2"/>
    <s v="Mwogo Sub-Catchment"/>
    <n v="2617.4880000000003"/>
  </r>
  <r>
    <x v="3"/>
    <s v="NYAKABINGO"/>
    <s v="Public"/>
    <x v="0"/>
    <s v="Nyanza"/>
    <s v="Cyabakamyi"/>
    <s v="NNYU_2"/>
    <s v="Mwogo Sub-Catchment"/>
    <n v="1971.0000000000002"/>
  </r>
  <r>
    <x v="3"/>
    <s v="RWINDOGOBE"/>
    <s v="Public"/>
    <x v="0"/>
    <s v="Nyanza"/>
    <s v="Cyabakamyi"/>
    <s v="NNYU_2"/>
    <s v="Mwogo Sub-Catchment"/>
    <n v="1182.6000000000001"/>
  </r>
  <r>
    <x v="3"/>
    <s v="RWACIGADI"/>
    <s v="Public"/>
    <x v="0"/>
    <s v="Nyanza"/>
    <s v="Cyabakamyi"/>
    <s v="NNYU_2"/>
    <s v="Mwogo Sub-Catchment"/>
    <n v="875.12400000000002"/>
  </r>
  <r>
    <x v="3"/>
    <s v="GAKEBA"/>
    <s v="Public"/>
    <x v="0"/>
    <s v="Nyanza"/>
    <s v="Cyabakamyi"/>
    <s v="NNYU_2"/>
    <s v="Mwogo Sub-Catchment"/>
    <n v="1125.8352000000002"/>
  </r>
  <r>
    <x v="3"/>
    <s v="KACUMA"/>
    <s v="Public"/>
    <x v="0"/>
    <s v="Nyanza"/>
    <s v="Cyabakamyi"/>
    <s v="NNYU_2"/>
    <s v="Mwogo Sub-Catchment"/>
    <n v="2444.0400000000004"/>
  </r>
  <r>
    <x v="3"/>
    <s v="KABINGO"/>
    <s v="Public"/>
    <x v="0"/>
    <s v="Nyanza"/>
    <s v="Cyabakamyi"/>
    <s v="NNYU_2"/>
    <s v="Mwogo Sub-Catchment"/>
    <n v="1356.048"/>
  </r>
  <r>
    <x v="3"/>
    <s v="NYAMUKO"/>
    <s v="Public"/>
    <x v="0"/>
    <s v="Nyanza"/>
    <s v="Cyabakamyi"/>
    <s v="NNYU_2"/>
    <s v="Mwogo Sub-Catchment"/>
    <n v="2144.4480000000003"/>
  </r>
  <r>
    <x v="3"/>
    <s v="KAJAGI"/>
    <s v="Public"/>
    <x v="0"/>
    <s v="Nyanza"/>
    <s v="Cyabakamyi"/>
    <s v="NNYU_2"/>
    <s v="Mwogo Sub-Catchment"/>
    <n v="1592.5680000000002"/>
  </r>
  <r>
    <x v="3"/>
    <s v="BYIMANA"/>
    <s v="Public"/>
    <x v="0"/>
    <s v="Nyanza"/>
    <s v="Cyabakamyi"/>
    <s v="NNYU_2"/>
    <s v="Mwogo Sub-Catchment"/>
    <n v="1971.0000000000002"/>
  </r>
  <r>
    <x v="3"/>
    <s v="KABUGA"/>
    <s v="Public"/>
    <x v="0"/>
    <s v="Nyanza"/>
    <s v="Cyabakamyi"/>
    <s v="NNYU_2"/>
    <s v="Mwogo Sub-Catchment"/>
    <n v="788.40000000000009"/>
  </r>
  <r>
    <x v="3"/>
    <s v="MIKOROGERO"/>
    <s v="Public"/>
    <x v="0"/>
    <s v="Nyanza"/>
    <s v="Cyabakamyi"/>
    <s v="NNYU_2"/>
    <s v="Mwogo Sub-Catchment"/>
    <n v="1051.0948800000001"/>
  </r>
  <r>
    <x v="3"/>
    <s v="KAMUGARA"/>
    <s v="Public"/>
    <x v="0"/>
    <s v="Nyanza"/>
    <s v="Cyabakamyi"/>
    <s v="NNYU_2"/>
    <s v="Mwogo Sub-Catchment"/>
    <n v="2626.9488000000001"/>
  </r>
  <r>
    <x v="3"/>
    <s v="KAKIGALI"/>
    <s v="Public"/>
    <x v="0"/>
    <s v="Nyanza"/>
    <s v="Cyabakamyi"/>
    <s v="NNYU_2"/>
    <s v="Mwogo Sub-Catchment"/>
    <n v="1313.9474400000001"/>
  </r>
  <r>
    <x v="3"/>
    <s v="KARUBANDA"/>
    <s v="Public"/>
    <x v="0"/>
    <s v="Nyanza"/>
    <s v="Cyabakamyi"/>
    <s v="NNYU_2"/>
    <s v="Mwogo Sub-Catchment"/>
    <n v="1356.048"/>
  </r>
  <r>
    <x v="3"/>
    <s v="RUKOMBE"/>
    <s v="Public"/>
    <x v="0"/>
    <s v="Nyanza"/>
    <s v="Cyabakamyi"/>
    <s v="NNYU_2"/>
    <s v="Mwogo Sub-Catchment"/>
    <n v="655.94880000000001"/>
  </r>
  <r>
    <x v="3"/>
    <s v="GATARE"/>
    <s v="Public"/>
    <x v="0"/>
    <s v="Nyanza"/>
    <s v="Cyabakamyi"/>
    <s v="NNYU_2"/>
    <s v="Mwogo Sub-Catchment"/>
    <n v="985.50000000000011"/>
  </r>
  <r>
    <x v="3"/>
    <s v="RWAMUGARURA"/>
    <s v="Public"/>
    <x v="0"/>
    <s v="Nyanza"/>
    <s v="Cyabakamyi"/>
    <s v="NNYU_2"/>
    <s v="Mwogo Sub-Catchment"/>
    <n v="1592.5680000000002"/>
  </r>
  <r>
    <x v="3"/>
    <s v="MARIMBA"/>
    <s v="Public"/>
    <x v="0"/>
    <s v="Nyanza"/>
    <s v="Cyabakamyi"/>
    <s v="NNYU_2"/>
    <s v="Mwogo Sub-Catchment"/>
    <n v="1750.248"/>
  </r>
  <r>
    <x v="3"/>
    <s v="KABIRA"/>
    <s v="Public"/>
    <x v="0"/>
    <s v="Nyanza"/>
    <s v="Cyabakamyi"/>
    <s v="NNYU_2"/>
    <s v="Mwogo Sub-Catchment"/>
    <n v="3942.0000000000005"/>
  </r>
  <r>
    <x v="3"/>
    <s v="KARAMBO"/>
    <s v="Public"/>
    <x v="0"/>
    <s v="Nyanza"/>
    <s v="Cyabakamyi"/>
    <s v="NNYU_2"/>
    <s v="Mwogo Sub-Catchment"/>
    <n v="1125.8352000000002"/>
  </r>
  <r>
    <x v="3"/>
    <s v="NYABIHIRI"/>
    <s v="Public"/>
    <x v="0"/>
    <s v="Nyanza"/>
    <s v="Cyabakamyi"/>
    <s v="NNYU_2"/>
    <s v="Mwogo Sub-Catchment"/>
    <n v="1313.4744000000001"/>
  </r>
  <r>
    <x v="3"/>
    <s v="MUGISENGA"/>
    <s v="Public"/>
    <x v="0"/>
    <s v="Nyanza"/>
    <s v="Cyabakamyi"/>
    <s v="NNYU_2"/>
    <s v="Mwogo Sub-Catchment"/>
    <n v="1212.5591999999999"/>
  </r>
  <r>
    <x v="3"/>
    <s v="MUGATOKI"/>
    <s v="Public"/>
    <x v="0"/>
    <s v="Nyanza"/>
    <s v="Cyabakamyi"/>
    <s v="NNYU_2"/>
    <s v="Mwogo Sub-Catchment"/>
    <n v="655.94880000000001"/>
  </r>
  <r>
    <x v="3"/>
    <s v="RYABARERA"/>
    <s v="Public"/>
    <x v="0"/>
    <s v="Nyanza"/>
    <s v="Cyabakamyi"/>
    <s v="NNYU_2"/>
    <s v="Mwogo Sub-Catchment"/>
    <n v="1050.1488000000002"/>
  </r>
  <r>
    <x v="3"/>
    <s v="MURAMBI"/>
    <s v="Public"/>
    <x v="0"/>
    <s v="Nyanza"/>
    <s v="Cyabakamyi"/>
    <s v="NNYU_2"/>
    <s v="Mwogo Sub-Catchment"/>
    <n v="405.23759999999999"/>
  </r>
  <r>
    <x v="3"/>
    <s v="KAMANGA"/>
    <s v="Public"/>
    <x v="0"/>
    <s v="Nyanza"/>
    <s v="Cyabakamyi"/>
    <s v="NNYU_2"/>
    <s v="Mwogo Sub-Catchment"/>
    <n v="591.30000000000007"/>
  </r>
  <r>
    <x v="3"/>
    <s v="NKONO"/>
    <s v="Public"/>
    <x v="0"/>
    <s v="Nyanza"/>
    <s v="Cyabakamyi"/>
    <s v="NNYU_2"/>
    <s v="Mwogo Sub-Catchment"/>
    <n v="630.72"/>
  </r>
  <r>
    <x v="3"/>
    <s v="RUVUMBU"/>
    <s v="Public"/>
    <x v="0"/>
    <s v="Nyanza"/>
    <s v="Cyabakamyi"/>
    <s v="NNYU_2"/>
    <s v="Mwogo Sub-Catchment"/>
    <n v="236.52"/>
  </r>
  <r>
    <x v="3"/>
    <s v="KABIRIZI"/>
    <s v="Public"/>
    <x v="0"/>
    <s v="Nyanza"/>
    <s v="Cyabakamyi"/>
    <s v="NNYU_2"/>
    <s v="Mwogo Sub-Catchment"/>
    <n v="525.07440000000008"/>
  </r>
  <r>
    <x v="3"/>
    <s v="KUGATARE"/>
    <s v="Public"/>
    <x v="0"/>
    <s v="Nyanza"/>
    <s v="Cyabakamyi"/>
    <s v="NNYU_2"/>
    <s v="Mwogo Sub-Catchment"/>
    <n v="867.24000000000012"/>
  </r>
  <r>
    <x v="3"/>
    <s v="NYABITARE"/>
    <s v="Public"/>
    <x v="0"/>
    <s v="Nyanza"/>
    <s v="Cyabakamyi"/>
    <s v="NNYU_2"/>
    <s v="Mwogo Sub-Catchment"/>
    <n v="2626.9488000000001"/>
  </r>
  <r>
    <x v="3"/>
    <s v="MUKIBANDE"/>
    <s v="Public"/>
    <x v="0"/>
    <s v="Nyanza"/>
    <s v="Cyabakamyi"/>
    <s v="NNYU_2"/>
    <s v="Mwogo Sub-Catchment"/>
    <n v="409.96800000000002"/>
  </r>
  <r>
    <x v="3"/>
    <s v="GASHARU"/>
    <s v="Public"/>
    <x v="0"/>
    <s v="Nyanza"/>
    <s v="Cyabakamyi"/>
    <s v="NNYU_2"/>
    <s v="Mwogo Sub-Catchment"/>
    <n v="313.78320000000002"/>
  </r>
  <r>
    <x v="3"/>
    <s v="NYARUTOVU"/>
    <s v="Public"/>
    <x v="0"/>
    <s v="Nyanza"/>
    <s v="Cyabakamyi"/>
    <s v="NNYU_2"/>
    <s v="Mwogo Sub-Catchment"/>
    <n v="2626.9488000000001"/>
  </r>
  <r>
    <x v="3"/>
    <s v="MUCIGATA"/>
    <s v="Public"/>
    <x v="0"/>
    <s v="Nyanza"/>
    <s v="Cyabakamyi"/>
    <s v="NNYU_2"/>
    <s v="Mwogo Sub-Catchment"/>
    <n v="3169.3679999999999"/>
  </r>
  <r>
    <x v="3"/>
    <s v="MURUSENYI"/>
    <s v="Public"/>
    <x v="0"/>
    <s v="Nyanza"/>
    <s v="Cyabakamyi"/>
    <s v="NNYU_2"/>
    <s v="Mwogo Sub-Catchment"/>
    <n v="1313.4744000000001"/>
  </r>
  <r>
    <x v="3"/>
    <s v="MUGACYAMU"/>
    <s v="Public"/>
    <x v="0"/>
    <s v="Nyanza"/>
    <s v="Cyabakamyi"/>
    <s v="NNYU_2"/>
    <s v="Mwogo Sub-Catchment"/>
    <n v="985.50000000000011"/>
  </r>
  <r>
    <x v="3"/>
    <s v="KARAMA"/>
    <s v="Public"/>
    <x v="0"/>
    <s v="Nyanza"/>
    <s v="Cyabakamyi"/>
    <s v="NNYU_2"/>
    <s v="Mwogo Sub-Catchment"/>
    <n v="1313.9474400000001"/>
  </r>
  <r>
    <x v="3"/>
    <s v="GATARE"/>
    <s v="Public"/>
    <x v="0"/>
    <s v="Nyanza"/>
    <s v="Cyabakamyi"/>
    <s v="NNYU_2"/>
    <s v="Mwogo Sub-Catchment"/>
    <n v="1313.4744000000001"/>
  </r>
  <r>
    <x v="3"/>
    <s v="KAMUHENGA"/>
    <s v="Public"/>
    <x v="0"/>
    <s v="Nyanza"/>
    <s v="Cyabakamyi"/>
    <s v="NNYU_2"/>
    <s v="Mwogo Sub-Catchment"/>
    <n v="1608.3359999999998"/>
  </r>
  <r>
    <x v="3"/>
    <s v="MUGATARE"/>
    <s v="Public"/>
    <x v="0"/>
    <s v="Nyanza"/>
    <s v="Cyabakamyi"/>
    <s v="NNYU_2"/>
    <s v="Mwogo Sub-Catchment"/>
    <n v="2365.2000000000003"/>
  </r>
  <r>
    <x v="3"/>
    <s v="RUBIRA"/>
    <s v="Public"/>
    <x v="0"/>
    <s v="Nyanza"/>
    <s v="Cyabakamyi"/>
    <s v="NNYU_2"/>
    <s v="Mwogo Sub-Catchment"/>
    <n v="3169.3679999999999"/>
  </r>
  <r>
    <x v="3"/>
    <s v="GIFUHA"/>
    <s v="Public"/>
    <x v="0"/>
    <s v="Nyanza"/>
    <s v="Cyabakamyi"/>
    <s v="NNYU_2"/>
    <s v="Mwogo Sub-Catchment"/>
    <n v="1971.0000000000002"/>
  </r>
  <r>
    <x v="3"/>
    <s v="CYABARERA"/>
    <s v="Public"/>
    <x v="0"/>
    <s v="Nyanza"/>
    <s v="Cyabakamyi"/>
    <s v="NNYU_2"/>
    <s v="Mwogo Sub-Catchment"/>
    <n v="646.48800000000006"/>
  </r>
  <r>
    <x v="3"/>
    <s v="KWAMUKIGA"/>
    <s v="Public"/>
    <x v="0"/>
    <s v="Nyanza"/>
    <s v="Cyabakamyi"/>
    <s v="NNYU_2"/>
    <s v="Mwogo Sub-Catchment"/>
    <n v="7885.5768000000007"/>
  </r>
  <r>
    <x v="3"/>
    <s v="GAHONDO"/>
    <s v="Public"/>
    <x v="0"/>
    <s v="Nyanza"/>
    <s v="Cyabakamyi"/>
    <s v="NNYU_2"/>
    <s v="Mwogo Sub-Catchment"/>
    <n v="985.50000000000011"/>
  </r>
  <r>
    <x v="3"/>
    <s v="MURWIBYIYONI"/>
    <s v="Public"/>
    <x v="0"/>
    <s v="Nyanza"/>
    <s v="Cyabakamyi"/>
    <s v="NNYU_2"/>
    <s v="Mwogo Sub-Catchment"/>
    <n v="599.18399999999986"/>
  </r>
  <r>
    <x v="3"/>
    <s v="MUGUBWE"/>
    <s v="Public"/>
    <x v="0"/>
    <s v="Nyanza"/>
    <s v="Cyabakamyi"/>
    <s v="NNYU_2"/>
    <s v="Mwogo Sub-Catchment"/>
    <n v="1750.248"/>
  </r>
  <r>
    <x v="3"/>
    <s v="GASHIRU"/>
    <s v="Public"/>
    <x v="0"/>
    <s v="Nyanza"/>
    <s v="Cyabakamyi"/>
    <s v="NNYU_2"/>
    <s v="Mwogo Sub-Catchment"/>
    <n v="1971.0000000000002"/>
  </r>
  <r>
    <x v="3"/>
    <s v="KARUSHENYI"/>
    <s v="Public"/>
    <x v="0"/>
    <s v="Nyanza"/>
    <s v="Cyabakamyi"/>
    <s v="NNYU_2"/>
    <s v="Mwogo Sub-Catchment"/>
    <n v="630.72"/>
  </r>
  <r>
    <x v="3"/>
    <s v="RYARUGONDO"/>
    <s v="Public"/>
    <x v="0"/>
    <s v="Nyanza"/>
    <s v="Cyabakamyi"/>
    <s v="NNYU_2"/>
    <s v="Mwogo Sub-Catchment"/>
    <n v="1419.12"/>
  </r>
  <r>
    <x v="3"/>
    <s v="GATONGATI"/>
    <s v="Public"/>
    <x v="0"/>
    <s v="Nyanza"/>
    <s v="Cyabakamyi"/>
    <s v="NNYU_2"/>
    <s v="Mwogo Sub-Catchment"/>
    <n v="3942.0000000000005"/>
  </r>
  <r>
    <x v="3"/>
    <s v="BUSORWE"/>
    <s v="Public"/>
    <x v="0"/>
    <s v="Nyanza"/>
    <s v="Cyabakamyi"/>
    <s v="NNYU_2"/>
    <s v="Mwogo Sub-Catchment"/>
    <n v="1829.0880000000002"/>
  </r>
  <r>
    <x v="3"/>
    <s v="MABUMBA"/>
    <s v="Public"/>
    <x v="0"/>
    <s v="Nyanza"/>
    <s v="Cyabakamyi"/>
    <s v="NNYU_2"/>
    <s v="Mwogo Sub-Catchment"/>
    <n v="1125.8352000000002"/>
  </r>
  <r>
    <x v="3"/>
    <s v="KARARO"/>
    <s v="Public"/>
    <x v="0"/>
    <s v="Nyanza"/>
    <s v="Cyabakamyi"/>
    <s v="NNYU_2"/>
    <s v="Mwogo Sub-Catchment"/>
    <n v="1750.248"/>
  </r>
  <r>
    <x v="3"/>
    <s v="NYARUZO"/>
    <s v="Public"/>
    <x v="0"/>
    <s v="Nyanza"/>
    <s v="Cyabakamyi"/>
    <s v="NNYU_2"/>
    <s v="Mwogo Sub-Catchment"/>
    <n v="2626.9488000000001"/>
  </r>
  <r>
    <x v="3"/>
    <s v="KANDAMARA"/>
    <s v="Public"/>
    <x v="0"/>
    <s v="Nyanza"/>
    <s v="Cyabakamyi"/>
    <s v="NNYU_2"/>
    <s v="Mwogo Sub-Catchment"/>
    <n v="1751.8248000000001"/>
  </r>
  <r>
    <x v="3"/>
    <s v="RUHONDO"/>
    <s v="Public"/>
    <x v="0"/>
    <s v="Nyanza"/>
    <s v="Cyabakamyi"/>
    <s v="NNYU_2"/>
    <s v="Mwogo Sub-Catchment"/>
    <n v="2626.9488000000001"/>
  </r>
  <r>
    <x v="3"/>
    <s v="GAKOMA"/>
    <s v="Public"/>
    <x v="0"/>
    <s v="Nyanza"/>
    <s v="Cyabakamyi"/>
    <s v="NNYU_2"/>
    <s v="Mwogo Sub-Catchment"/>
    <n v="2251.6704000000004"/>
  </r>
  <r>
    <x v="3"/>
    <s v="GATARE"/>
    <s v="Public"/>
    <x v="0"/>
    <s v="Nyanza"/>
    <s v="Cyabakamyi"/>
    <s v="NNYU_2"/>
    <s v="Mwogo Sub-Catchment"/>
    <n v="1592.5680000000002"/>
  </r>
  <r>
    <x v="3"/>
    <s v="KANGWEKA"/>
    <s v="Public"/>
    <x v="0"/>
    <s v="Nyanza"/>
    <s v="Cyabakamyi"/>
    <s v="NNYU_2"/>
    <s v="Mwogo Sub-Catchment"/>
    <n v="2626.9488000000001"/>
  </r>
  <r>
    <x v="3"/>
    <s v="GAKOMEYE"/>
    <s v="Public"/>
    <x v="0"/>
    <s v="Nyanza"/>
    <s v="Cyabakamyi"/>
    <s v="NNYU_2"/>
    <s v="Mwogo Sub-Catchment"/>
    <n v="2626.9488000000001"/>
  </r>
  <r>
    <x v="3"/>
    <s v="RUZIBA"/>
    <s v="Public"/>
    <x v="0"/>
    <s v="Nyanza"/>
    <s v="Cyabakamyi"/>
    <s v="NNYU_2"/>
    <s v="Mwogo Sub-Catchment"/>
    <n v="655.94880000000001"/>
  </r>
  <r>
    <x v="3"/>
    <s v="KASENANDA"/>
    <s v="Public"/>
    <x v="0"/>
    <s v="Nyanza"/>
    <s v="Cyabakamyi"/>
    <s v="NNYU_2"/>
    <s v="Mwogo Sub-Catchment"/>
    <n v="985.50000000000011"/>
  </r>
  <r>
    <x v="3"/>
    <s v="MURIMANA"/>
    <s v="Public"/>
    <x v="0"/>
    <s v="Nyanza"/>
    <s v="Cyabakamyi"/>
    <s v="NNYU_2"/>
    <s v="Mwogo Sub-Catchment"/>
    <n v="525.07440000000008"/>
  </r>
  <r>
    <x v="3"/>
    <s v="MBONYI"/>
    <s v="Public"/>
    <x v="0"/>
    <s v="Nyanza"/>
    <s v="Cyabakamyi"/>
    <s v="NNYU_2"/>
    <s v="Mwogo Sub-Catchment"/>
    <n v="175.02480000000003"/>
  </r>
  <r>
    <x v="3"/>
    <s v="KABINGO"/>
    <s v="Public"/>
    <x v="0"/>
    <s v="Nyamagabe"/>
    <s v="Gasaka"/>
    <s v="NNYU_2"/>
    <s v="Mwogo Sub-Catchment"/>
    <n v="2101.8744000000002"/>
  </r>
  <r>
    <x v="3"/>
    <s v="GATOKI"/>
    <s v="Public"/>
    <x v="0"/>
    <s v="Nyamagabe"/>
    <s v="Gasaka"/>
    <s v="NNYU_2"/>
    <s v="Mwogo Sub-Catchment"/>
    <n v="3942.0000000000005"/>
  </r>
  <r>
    <x v="3"/>
    <s v="GASAYO"/>
    <s v="Public"/>
    <x v="0"/>
    <s v="Nyamagabe"/>
    <s v="Gasaka"/>
    <s v="NNYU_2"/>
    <s v="Mwogo Sub-Catchment"/>
    <n v="3942.0000000000005"/>
  </r>
  <r>
    <x v="3"/>
    <s v="GAKOMBE"/>
    <s v="Public"/>
    <x v="0"/>
    <s v="Nyamagabe"/>
    <s v="Gasaka"/>
    <s v="NNYU_2"/>
    <s v="Mwogo Sub-Catchment"/>
    <n v="1592.5680000000002"/>
  </r>
  <r>
    <x v="3"/>
    <s v="MUMUKOKWE"/>
    <s v="Public"/>
    <x v="0"/>
    <s v="Nyamagabe"/>
    <s v="Gasaka"/>
    <s v="NNYU_2"/>
    <s v="Mwogo Sub-Catchment"/>
    <n v="3942.0000000000005"/>
  </r>
  <r>
    <x v="3"/>
    <s v="RUSEKE"/>
    <s v="Public"/>
    <x v="0"/>
    <s v="Nyamagabe"/>
    <s v="Gasaka"/>
    <s v="NNYU_2"/>
    <s v="Mwogo Sub-Catchment"/>
    <n v="1592.5680000000002"/>
  </r>
  <r>
    <x v="3"/>
    <s v="RUSHANGO"/>
    <s v="Public"/>
    <x v="0"/>
    <s v="Nyamagabe"/>
    <s v="Gasaka"/>
    <s v="NNYU_2"/>
    <s v="Mwogo Sub-Catchment"/>
    <n v="2626.9488000000001"/>
  </r>
  <r>
    <x v="3"/>
    <s v="GAHAMA"/>
    <s v="Public"/>
    <x v="0"/>
    <s v="Nyamagabe"/>
    <s v="Gasaka"/>
    <s v="NNYU_2"/>
    <s v="Mwogo Sub-Catchment"/>
    <n v="1971.0000000000002"/>
  </r>
  <r>
    <x v="3"/>
    <s v="KIMANAMA"/>
    <s v="Public"/>
    <x v="0"/>
    <s v="Nyamagabe"/>
    <s v="Gasaka"/>
    <s v="NNYU_2"/>
    <s v="Mwogo Sub-Catchment"/>
    <n v="2617.4880000000003"/>
  </r>
  <r>
    <x v="3"/>
    <s v="KANYAMASHINGA"/>
    <s v="Public"/>
    <x v="0"/>
    <s v="Nyamagabe"/>
    <s v="Gasaka"/>
    <s v="NNYU_2"/>
    <s v="Mwogo Sub-Catchment"/>
    <n v="1592.5680000000002"/>
  </r>
  <r>
    <x v="3"/>
    <s v="GISUNA"/>
    <s v="Public"/>
    <x v="0"/>
    <s v="Nyamagabe"/>
    <s v="Gasaka"/>
    <s v="NNYU_2"/>
    <s v="Mwogo Sub-Catchment"/>
    <n v="1592.5680000000002"/>
  </r>
  <r>
    <x v="3"/>
    <s v="KANYANKIKO"/>
    <s v="Public"/>
    <x v="0"/>
    <s v="Nyamagabe"/>
    <s v="Gasaka"/>
    <s v="NNYU_2"/>
    <s v="Mwogo Sub-Catchment"/>
    <n v="3374.3519999999999"/>
  </r>
  <r>
    <x v="3"/>
    <s v="RWASENYE"/>
    <s v="Public"/>
    <x v="0"/>
    <s v="Nyamagabe"/>
    <s v="Gasaka"/>
    <s v="NNYU_2"/>
    <s v="Mwogo Sub-Catchment"/>
    <n v="1592.5680000000002"/>
  </r>
  <r>
    <x v="3"/>
    <s v="SHEZ DISMAS"/>
    <s v="Public"/>
    <x v="0"/>
    <s v="Nyamagabe"/>
    <s v="Gasaka"/>
    <s v="NNYU_2"/>
    <s v="Mwogo Sub-Catchment"/>
    <n v="4146.9840000000004"/>
  </r>
  <r>
    <x v="3"/>
    <s v="GATARE"/>
    <s v="Public"/>
    <x v="0"/>
    <s v="Nyamagabe"/>
    <s v="Gasaka"/>
    <s v="NNYU_2"/>
    <s v="Mwogo Sub-Catchment"/>
    <n v="1592.5680000000002"/>
  </r>
  <r>
    <x v="3"/>
    <s v="GISUMA"/>
    <s v="Public"/>
    <x v="0"/>
    <s v="Nyamagabe"/>
    <s v="Gasaka"/>
    <s v="NNYU_2"/>
    <s v="Mwogo Sub-Catchment"/>
    <n v="525.07440000000008"/>
  </r>
  <r>
    <x v="3"/>
    <s v="RUKINGU"/>
    <s v="Public"/>
    <x v="0"/>
    <s v="Nyamagabe"/>
    <s v="Gasaka"/>
    <s v="NNYU_2"/>
    <s v="Mwogo Sub-Catchment"/>
    <n v="788.40000000000009"/>
  </r>
  <r>
    <x v="3"/>
    <s v="GATARE"/>
    <s v="Public"/>
    <x v="0"/>
    <s v="Nyamagabe"/>
    <s v="Gasaka"/>
    <s v="NNYU_2"/>
    <s v="Mwogo Sub-Catchment"/>
    <n v="2626.9488000000001"/>
  </r>
  <r>
    <x v="3"/>
    <s v="GASEKE"/>
    <s v="Public"/>
    <x v="0"/>
    <s v="Nyamagabe"/>
    <s v="Gasaka"/>
    <s v="NNYU_2"/>
    <s v="Mwogo Sub-Catchment"/>
    <n v="788.40000000000009"/>
  </r>
  <r>
    <x v="3"/>
    <s v="GATOKI"/>
    <s v="Public"/>
    <x v="0"/>
    <s v="Nyamagabe"/>
    <s v="Gasaka"/>
    <s v="NNYU_2"/>
    <s v="Mwogo Sub-Catchment"/>
    <n v="2626.9488000000001"/>
  </r>
  <r>
    <x v="3"/>
    <s v="BUKARAGATA"/>
    <s v="Public"/>
    <x v="0"/>
    <s v="Nyamagabe"/>
    <s v="Gasaka"/>
    <s v="NNYU_2"/>
    <s v="Mwogo Sub-Catchment"/>
    <n v="1313.9474400000001"/>
  </r>
  <r>
    <x v="3"/>
    <s v="RUBUMBA"/>
    <s v="Public"/>
    <x v="0"/>
    <s v="Nyamagabe"/>
    <s v="Gasaka"/>
    <s v="NNYU_2"/>
    <s v="Mwogo Sub-Catchment"/>
    <n v="1751.8248000000001"/>
  </r>
  <r>
    <x v="3"/>
    <s v="NIRABUNDI"/>
    <s v="Public"/>
    <x v="0"/>
    <s v="Nyamagabe"/>
    <s v="Gasaka"/>
    <s v="NNYU_2"/>
    <s v="Mwogo Sub-Catchment"/>
    <n v="2626.9488000000001"/>
  </r>
  <r>
    <x v="3"/>
    <s v="AKAMATENE"/>
    <s v="Public"/>
    <x v="0"/>
    <s v="Nyamagabe"/>
    <s v="Gasaka"/>
    <s v="NNYU_2"/>
    <s v="Mwogo Sub-Catchment"/>
    <n v="867.24000000000012"/>
  </r>
  <r>
    <x v="3"/>
    <s v="MUWAKARIBA"/>
    <s v="Public"/>
    <x v="0"/>
    <s v="Nyamagabe"/>
    <s v="Gasaka"/>
    <s v="NNYU_2"/>
    <s v="Mwogo Sub-Catchment"/>
    <n v="3942.0000000000005"/>
  </r>
  <r>
    <x v="3"/>
    <s v="KAVOMO"/>
    <s v="Public"/>
    <x v="0"/>
    <s v="Nyamagabe"/>
    <s v="Gasaka"/>
    <s v="NNYU_2"/>
    <s v="Mwogo Sub-Catchment"/>
    <n v="946.08"/>
  </r>
  <r>
    <x v="3"/>
    <s v="NYIRAGASAKA"/>
    <s v="Public"/>
    <x v="0"/>
    <s v="Nyamagabe"/>
    <s v="Gasaka"/>
    <s v="NNYU_2"/>
    <s v="Mwogo Sub-Catchment"/>
    <n v="1592.5680000000002"/>
  </r>
  <r>
    <x v="3"/>
    <s v="GASHISHI"/>
    <s v="Public"/>
    <x v="0"/>
    <s v="Nyamagabe"/>
    <s v="Gasaka"/>
    <s v="NNYU_2"/>
    <s v="Mwogo Sub-Catchment"/>
    <n v="7884.0000000000009"/>
  </r>
  <r>
    <x v="3"/>
    <s v="NYAKAGEZI"/>
    <s v="Public"/>
    <x v="0"/>
    <s v="Nyamagabe"/>
    <s v="Gasaka"/>
    <s v="NNYU_2"/>
    <s v="Mwogo Sub-Catchment"/>
    <n v="2239.0559999999996"/>
  </r>
  <r>
    <x v="3"/>
    <s v="MAGANIRO"/>
    <s v="Public"/>
    <x v="0"/>
    <s v="Nyamagabe"/>
    <s v="Gasaka"/>
    <s v="NNYU_2"/>
    <s v="Mwogo Sub-Catchment"/>
    <n v="2097.1439999999998"/>
  </r>
  <r>
    <x v="3"/>
    <s v="NYAMUGALI"/>
    <s v="Public"/>
    <x v="0"/>
    <s v="Nyamagabe"/>
    <s v="Gasaka"/>
    <s v="NNYU_2"/>
    <s v="Mwogo Sub-Catchment"/>
    <n v="2626.9488000000001"/>
  </r>
  <r>
    <x v="3"/>
    <s v="RYAGAHAMA"/>
    <s v="Public"/>
    <x v="0"/>
    <s v="Nyamagabe"/>
    <s v="Gasaka"/>
    <s v="NNYU_2"/>
    <s v="Mwogo Sub-Catchment"/>
    <n v="2365.2000000000003"/>
  </r>
  <r>
    <x v="3"/>
    <s v="GATOKI"/>
    <s v="Public"/>
    <x v="0"/>
    <s v="Nyamagabe"/>
    <s v="Gasaka"/>
    <s v="NNYU_2"/>
    <s v="Mwogo Sub-Catchment"/>
    <n v="1971.0000000000002"/>
  </r>
  <r>
    <x v="3"/>
    <s v="GATOVU"/>
    <s v="Public"/>
    <x v="0"/>
    <s v="Nyamagabe"/>
    <s v="Gasaka"/>
    <s v="NNYU_2"/>
    <s v="Mwogo Sub-Catchment"/>
    <n v="1892.16"/>
  </r>
  <r>
    <x v="3"/>
    <s v="KIGOGO"/>
    <s v="Public"/>
    <x v="0"/>
    <s v="Nyamagabe"/>
    <s v="Gasaka"/>
    <s v="NNYU_2"/>
    <s v="Mwogo Sub-Catchment"/>
    <n v="2333.6639999999998"/>
  </r>
  <r>
    <x v="3"/>
    <s v="GIHONDOHONDO"/>
    <s v="Public"/>
    <x v="0"/>
    <s v="Nyamagabe"/>
    <s v="Gasaka"/>
    <s v="NNYU_2"/>
    <s v="Mwogo Sub-Catchment"/>
    <n v="788.40000000000009"/>
  </r>
  <r>
    <x v="3"/>
    <s v="UWABATOBO"/>
    <s v="Public"/>
    <x v="0"/>
    <s v="Nyamagabe"/>
    <s v="Gasaka"/>
    <s v="NNYU_2"/>
    <s v="Mwogo Sub-Catchment"/>
    <n v="1313.4744000000001"/>
  </r>
  <r>
    <x v="3"/>
    <s v="GAHETO"/>
    <s v="Public"/>
    <x v="0"/>
    <s v="Nyamagabe"/>
    <s v="Gasaka"/>
    <s v="NNYU_2"/>
    <s v="Mwogo Sub-Catchment"/>
    <n v="3942.0000000000005"/>
  </r>
  <r>
    <x v="3"/>
    <s v="MURWUNGA"/>
    <s v="Public"/>
    <x v="0"/>
    <s v="Nyamagabe"/>
    <s v="Gasaka"/>
    <s v="NNYU_2"/>
    <s v="Mwogo Sub-Catchment"/>
    <n v="2626.9488000000001"/>
  </r>
  <r>
    <x v="3"/>
    <s v="RUKURURA"/>
    <s v="Public"/>
    <x v="0"/>
    <s v="Nyamagabe"/>
    <s v="Gasaka"/>
    <s v="NNYU_2"/>
    <s v="Mwogo Sub-Catchment"/>
    <n v="2626.9488000000001"/>
  </r>
  <r>
    <x v="3"/>
    <s v="RUHONDO"/>
    <s v="Public"/>
    <x v="0"/>
    <s v="Nyamagabe"/>
    <s v="Gasaka"/>
    <s v="NNYU_2"/>
    <s v="Mwogo Sub-Catchment"/>
    <n v="1050.1488000000002"/>
  </r>
  <r>
    <x v="3"/>
    <s v="SHEMEZA"/>
    <s v="Public"/>
    <x v="0"/>
    <s v="Nyamagabe"/>
    <s v="Gatare"/>
    <s v="NNYU_2"/>
    <s v="Mwogo Sub-Catchment"/>
    <n v="1971.0000000000002"/>
  </r>
  <r>
    <x v="3"/>
    <s v="RUNABA"/>
    <s v="Public"/>
    <x v="0"/>
    <s v="Nyamagabe"/>
    <s v="Gatare"/>
    <s v="NNYU_2"/>
    <s v="Mwogo Sub-Catchment"/>
    <n v="1313.9474400000001"/>
  </r>
  <r>
    <x v="3"/>
    <s v="KAMAMARA"/>
    <s v="Public"/>
    <x v="0"/>
    <s v="Nyamagabe"/>
    <s v="Gatare"/>
    <s v="NNYU_2"/>
    <s v="Mwogo Sub-Catchment"/>
    <n v="5250.7439999999997"/>
  </r>
  <r>
    <x v="3"/>
    <s v="WABADUBU"/>
    <s v="Public"/>
    <x v="0"/>
    <s v="Nyamagabe"/>
    <s v="Gatare"/>
    <s v="NNYU_2"/>
    <s v="Mwogo Sub-Catchment"/>
    <n v="2759.4"/>
  </r>
  <r>
    <x v="3"/>
    <s v="RYARUGEZI"/>
    <s v="Public"/>
    <x v="0"/>
    <s v="Nyamagabe"/>
    <s v="Gatare"/>
    <s v="NNYU_2"/>
    <s v="Mwogo Sub-Catchment"/>
    <n v="1971.0000000000002"/>
  </r>
  <r>
    <x v="3"/>
    <s v="KABIRA"/>
    <s v="Public"/>
    <x v="0"/>
    <s v="Nyamagabe"/>
    <s v="Gatare"/>
    <s v="NNYU_2"/>
    <s v="Mwogo Sub-Catchment"/>
    <n v="2626.9488000000001"/>
  </r>
  <r>
    <x v="3"/>
    <s v="RYARUGANDA"/>
    <s v="Public"/>
    <x v="0"/>
    <s v="Nyamagabe"/>
    <s v="Gatare"/>
    <s v="NNYU_2"/>
    <s v="Mwogo Sub-Catchment"/>
    <n v="1750.248"/>
  </r>
  <r>
    <x v="3"/>
    <s v="RUHANGA"/>
    <s v="Public"/>
    <x v="0"/>
    <s v="Nyamagabe"/>
    <s v="Gatare"/>
    <s v="NNYU_2"/>
    <s v="Mwogo Sub-Catchment"/>
    <n v="1655.6399999999999"/>
  </r>
  <r>
    <x v="3"/>
    <s v="KARAMBO"/>
    <s v="Public"/>
    <x v="0"/>
    <s v="Nyamagabe"/>
    <s v="Gatare"/>
    <s v="NNYU_2"/>
    <s v="Mwogo Sub-Catchment"/>
    <n v="1971.0000000000002"/>
  </r>
  <r>
    <x v="3"/>
    <s v="KAGEYO"/>
    <s v="Public"/>
    <x v="0"/>
    <s v="Nyamagabe"/>
    <s v="Gatare"/>
    <s v="NNYU_2"/>
    <s v="Mwogo Sub-Catchment"/>
    <n v="3942.0000000000005"/>
  </r>
  <r>
    <x v="3"/>
    <s v="KAGUSA"/>
    <s v="Public"/>
    <x v="0"/>
    <s v="Nyamagabe"/>
    <s v="Gatare"/>
    <s v="NNYU_2"/>
    <s v="Mwogo Sub-Catchment"/>
    <n v="2626.9488000000001"/>
  </r>
  <r>
    <x v="3"/>
    <s v="BIMBA"/>
    <s v="Public"/>
    <x v="0"/>
    <s v="Nyamagabe"/>
    <s v="Gatare"/>
    <s v="NNYU_2"/>
    <s v="Mwogo Sub-Catchment"/>
    <n v="1750.248"/>
  </r>
  <r>
    <x v="3"/>
    <s v="RUGOMERO"/>
    <s v="Public"/>
    <x v="0"/>
    <s v="Nyamagabe"/>
    <s v="Gatare"/>
    <s v="NNYU_2"/>
    <s v="Mwogo Sub-Catchment"/>
    <n v="1971.0000000000002"/>
  </r>
  <r>
    <x v="3"/>
    <s v="GASEKE"/>
    <s v="Public"/>
    <x v="0"/>
    <s v="Nyamagabe"/>
    <s v="Gatare"/>
    <s v="NNYU_2"/>
    <s v="Mwogo Sub-Catchment"/>
    <n v="1592.5680000000002"/>
  </r>
  <r>
    <x v="3"/>
    <s v="KARUHANGA"/>
    <s v="Public"/>
    <x v="0"/>
    <s v="Nyamagabe"/>
    <s v="Gatare"/>
    <s v="NNYU_2"/>
    <s v="Mwogo Sub-Catchment"/>
    <n v="1971.0000000000002"/>
  </r>
  <r>
    <x v="3"/>
    <s v="RUSEKE"/>
    <s v="Public"/>
    <x v="0"/>
    <s v="Nyamagabe"/>
    <s v="Gatare"/>
    <s v="NNYU_2"/>
    <s v="Mwogo Sub-Catchment"/>
    <n v="2627.8948800000003"/>
  </r>
  <r>
    <x v="3"/>
    <s v="KAMABUYE"/>
    <s v="Public"/>
    <x v="0"/>
    <s v="Nyamagabe"/>
    <s v="Gatare"/>
    <s v="NNYU_2"/>
    <s v="Mwogo Sub-Catchment"/>
    <n v="3942.0000000000005"/>
  </r>
  <r>
    <x v="3"/>
    <s v="RUFURWE"/>
    <s v="Public"/>
    <x v="0"/>
    <s v="Nyamagabe"/>
    <s v="Gatare"/>
    <s v="NNYU_2"/>
    <s v="Mwogo Sub-Catchment"/>
    <n v="2626.9488000000001"/>
  </r>
  <r>
    <x v="3"/>
    <s v="KWAGAPITA"/>
    <s v="Public"/>
    <x v="0"/>
    <s v="Nyamagabe"/>
    <s v="Gatare"/>
    <s v="NNYU_2"/>
    <s v="Mwogo Sub-Catchment"/>
    <n v="1971.0000000000002"/>
  </r>
  <r>
    <x v="3"/>
    <s v="RUGETI"/>
    <s v="Public"/>
    <x v="0"/>
    <s v="Nyamagabe"/>
    <s v="Gatare"/>
    <s v="NNYU_2"/>
    <s v="Mwogo Sub-Catchment"/>
    <n v="1313.4744000000001"/>
  </r>
  <r>
    <x v="3"/>
    <s v="GIKUNGU"/>
    <s v="Public"/>
    <x v="0"/>
    <s v="Nyamagabe"/>
    <s v="Gatare"/>
    <s v="NNYU_2"/>
    <s v="Mwogo Sub-Catchment"/>
    <n v="2759.4"/>
  </r>
  <r>
    <x v="3"/>
    <s v="BYUMBA"/>
    <s v="Public"/>
    <x v="0"/>
    <s v="Nyamagabe"/>
    <s v="Gatare"/>
    <s v="NNYU_2"/>
    <s v="Mwogo Sub-Catchment"/>
    <n v="2759.4"/>
  </r>
  <r>
    <x v="3"/>
    <s v="CYIVUGIZA"/>
    <s v="Public"/>
    <x v="0"/>
    <s v="Nyamagabe"/>
    <s v="Gatare"/>
    <s v="NNYU_2"/>
    <s v="Mwogo Sub-Catchment"/>
    <n v="2759.4"/>
  </r>
  <r>
    <x v="3"/>
    <s v="RUKORE 2"/>
    <s v="Public"/>
    <x v="0"/>
    <s v="Nyamagabe"/>
    <s v="Gatare"/>
    <s v="NNYU_2"/>
    <s v="Mwogo Sub-Catchment"/>
    <n v="1313.9474400000001"/>
  </r>
  <r>
    <x v="3"/>
    <s v="KWANYANDWI"/>
    <s v="Public"/>
    <x v="0"/>
    <s v="Nyamagabe"/>
    <s v="Gatare"/>
    <s v="NNYU_2"/>
    <s v="Mwogo Sub-Catchment"/>
    <n v="1751.8248000000001"/>
  </r>
  <r>
    <x v="3"/>
    <s v="RUKOMBE"/>
    <s v="Public"/>
    <x v="0"/>
    <s v="Nyamagabe"/>
    <s v="Gatare"/>
    <s v="NNYU_2"/>
    <s v="Mwogo Sub-Catchment"/>
    <n v="2617.4880000000003"/>
  </r>
  <r>
    <x v="3"/>
    <s v="RUKORE"/>
    <s v="Public"/>
    <x v="0"/>
    <s v="Nyamagabe"/>
    <s v="Gatare"/>
    <s v="NNYU_2"/>
    <s v="Mwogo Sub-Catchment"/>
    <n v="1971.0000000000002"/>
  </r>
  <r>
    <x v="3"/>
    <s v="RUGEGE"/>
    <s v="Public"/>
    <x v="0"/>
    <s v="Nyamagabe"/>
    <s v="Gatare"/>
    <s v="NNYU_2"/>
    <s v="Mwogo Sub-Catchment"/>
    <n v="1655.6399999999999"/>
  </r>
  <r>
    <x v="3"/>
    <s v="KINGOMA"/>
    <s v="Public"/>
    <x v="0"/>
    <s v="Nyamagabe"/>
    <s v="Gatare"/>
    <s v="NNYU_2"/>
    <s v="Mwogo Sub-Catchment"/>
    <n v="3942.0000000000005"/>
  </r>
  <r>
    <x v="3"/>
    <s v="UWISURI"/>
    <s v="Public"/>
    <x v="0"/>
    <s v="Nyamagabe"/>
    <s v="Gatare"/>
    <s v="NNYU_2"/>
    <s v="Mwogo Sub-Catchment"/>
    <n v="3942.0000000000005"/>
  </r>
  <r>
    <x v="3"/>
    <s v="KUGAHIRA"/>
    <s v="Public"/>
    <x v="0"/>
    <s v="Nyamagabe"/>
    <s v="Gatare"/>
    <s v="NNYU_2"/>
    <s v="Mwogo Sub-Catchment"/>
    <n v="2626.9488000000001"/>
  </r>
  <r>
    <x v="3"/>
    <s v="GASHASHA"/>
    <s v="Public"/>
    <x v="0"/>
    <s v="Nyamagabe"/>
    <s v="Gatare"/>
    <s v="NNYU_2"/>
    <s v="Mwogo Sub-Catchment"/>
    <n v="3942.0000000000005"/>
  </r>
  <r>
    <x v="3"/>
    <s v="KINWETE"/>
    <s v="Public"/>
    <x v="0"/>
    <s v="Nyamagabe"/>
    <s v="Gatare"/>
    <s v="NNYU_2"/>
    <s v="Mwogo Sub-Catchment"/>
    <n v="1971.0000000000002"/>
  </r>
  <r>
    <x v="3"/>
    <s v="SEMUGOTE"/>
    <s v="Public"/>
    <x v="0"/>
    <s v="Nyamagabe"/>
    <s v="Gatare"/>
    <s v="NNYU_2"/>
    <s v="Mwogo Sub-Catchment"/>
    <n v="2365.2000000000003"/>
  </r>
  <r>
    <x v="3"/>
    <s v="KINWETE2"/>
    <s v="Public"/>
    <x v="0"/>
    <s v="Nyamagabe"/>
    <s v="Gatare"/>
    <s v="NNYU_2"/>
    <s v="Mwogo Sub-Catchment"/>
    <n v="2759.4"/>
  </r>
  <r>
    <x v="3"/>
    <s v="MURONGORO"/>
    <s v="Public"/>
    <x v="0"/>
    <s v="Nyamagabe"/>
    <s v="Gatare"/>
    <s v="NNYU_2"/>
    <s v="Mwogo Sub-Catchment"/>
    <n v="2626.9488000000001"/>
  </r>
  <r>
    <x v="3"/>
    <s v="RUGEGE"/>
    <s v="Public"/>
    <x v="0"/>
    <s v="Nyamagabe"/>
    <s v="Gatare"/>
    <s v="NNYU_2"/>
    <s v="Mwogo Sub-Catchment"/>
    <n v="1971.0000000000002"/>
  </r>
  <r>
    <x v="3"/>
    <s v="GATUGUNGURU"/>
    <s v="Public"/>
    <x v="0"/>
    <s v="Nyamagabe"/>
    <s v="Kaduha"/>
    <s v="NNYU_2"/>
    <s v="Mwogo Sub-Catchment"/>
    <n v="8751.2400000000016"/>
  </r>
  <r>
    <x v="3"/>
    <s v="CYAHAFI"/>
    <s v="Public"/>
    <x v="0"/>
    <s v="Nyamagabe"/>
    <s v="Kaduha"/>
    <s v="NNYU_2"/>
    <s v="Mwogo Sub-Catchment"/>
    <n v="1971.0000000000002"/>
  </r>
  <r>
    <x v="3"/>
    <s v="BYERWA"/>
    <s v="Public"/>
    <x v="0"/>
    <s v="Nyamagabe"/>
    <s v="Kaduha"/>
    <s v="NNYU_2"/>
    <s v="Mwogo Sub-Catchment"/>
    <n v="11904.84"/>
  </r>
  <r>
    <x v="3"/>
    <s v="MURAMBI"/>
    <s v="Public"/>
    <x v="0"/>
    <s v="Nyamagabe"/>
    <s v="Kaduha"/>
    <s v="NNYU_2"/>
    <s v="Mwogo Sub-Catchment"/>
    <n v="1971.0000000000002"/>
  </r>
  <r>
    <x v="3"/>
    <s v="RWINKERO"/>
    <s v="Public"/>
    <x v="0"/>
    <s v="Nyamagabe"/>
    <s v="Kaduha"/>
    <s v="NNYU_2"/>
    <s v="Mwogo Sub-Catchment"/>
    <n v="2626.9488000000001"/>
  </r>
  <r>
    <x v="3"/>
    <s v="NGAGARA"/>
    <s v="Public"/>
    <x v="0"/>
    <s v="Nyamagabe"/>
    <s v="Kaduha"/>
    <s v="NNYU_2"/>
    <s v="Mwogo Sub-Catchment"/>
    <n v="1971.0000000000002"/>
  </r>
  <r>
    <x v="3"/>
    <s v="KIBANDE"/>
    <s v="Public"/>
    <x v="0"/>
    <s v="Nyamagabe"/>
    <s v="Kaduha"/>
    <s v="NNYU_2"/>
    <s v="Mwogo Sub-Catchment"/>
    <n v="8759.1239999999998"/>
  </r>
  <r>
    <x v="3"/>
    <s v="RUVUMURA"/>
    <s v="Public"/>
    <x v="0"/>
    <s v="Nyamagabe"/>
    <s v="Kaduha"/>
    <s v="NNYU_2"/>
    <s v="Mwogo Sub-Catchment"/>
    <n v="1751.8248000000001"/>
  </r>
  <r>
    <x v="3"/>
    <s v="GATOVU"/>
    <s v="Public"/>
    <x v="0"/>
    <s v="Nyamagabe"/>
    <s v="Kaduha"/>
    <s v="NNYU_2"/>
    <s v="Mwogo Sub-Catchment"/>
    <n v="1592.5680000000002"/>
  </r>
  <r>
    <x v="3"/>
    <s v="WINGAGARA"/>
    <s v="Public"/>
    <x v="0"/>
    <s v="Nyamagabe"/>
    <s v="Kaduha"/>
    <s v="NNYU_2"/>
    <s v="Mwogo Sub-Catchment"/>
    <n v="2002.5359999999998"/>
  </r>
  <r>
    <x v="3"/>
    <s v="NYABINOMBE"/>
    <s v="Public"/>
    <x v="0"/>
    <s v="Nyamagabe"/>
    <s v="Kaduha"/>
    <s v="NNYU_2"/>
    <s v="Mwogo Sub-Catchment"/>
    <n v="2626.9488000000001"/>
  </r>
  <r>
    <x v="3"/>
    <s v="GATIGITA"/>
    <s v="Public"/>
    <x v="0"/>
    <s v="Nyamagabe"/>
    <s v="Kaduha"/>
    <s v="NNYU_2"/>
    <s v="Mwogo Sub-Catchment"/>
    <n v="1971.0000000000002"/>
  </r>
  <r>
    <x v="3"/>
    <s v="MURWINA"/>
    <s v="Public"/>
    <x v="0"/>
    <s v="Nyamagabe"/>
    <s v="Kaduha"/>
    <s v="NNYU_2"/>
    <s v="Mwogo Sub-Catchment"/>
    <n v="2759.4"/>
  </r>
  <r>
    <x v="3"/>
    <s v="MURWINA2"/>
    <s v="Public"/>
    <x v="0"/>
    <s v="Nyamagabe"/>
    <s v="Kaduha"/>
    <s v="NNYU_2"/>
    <s v="Mwogo Sub-Catchment"/>
    <n v="1955.232"/>
  </r>
  <r>
    <x v="3"/>
    <s v="RURYANGO"/>
    <s v="Public"/>
    <x v="0"/>
    <s v="Nyamagabe"/>
    <s v="Kaduha"/>
    <s v="NNYU_2"/>
    <s v="Mwogo Sub-Catchment"/>
    <n v="1751.8248000000001"/>
  </r>
  <r>
    <x v="3"/>
    <s v="CYIBIRARO"/>
    <s v="Public"/>
    <x v="0"/>
    <s v="Nyamagabe"/>
    <s v="Kaduha"/>
    <s v="NNYU_2"/>
    <s v="Mwogo Sub-Catchment"/>
    <n v="2627.8948800000003"/>
  </r>
  <r>
    <x v="3"/>
    <s v="RUSENGESA"/>
    <s v="Public"/>
    <x v="0"/>
    <s v="Nyamagabe"/>
    <s v="Kaduha"/>
    <s v="NNYU_2"/>
    <s v="Mwogo Sub-Catchment"/>
    <n v="1751.9824799999997"/>
  </r>
  <r>
    <x v="3"/>
    <s v="GASEBEYA"/>
    <s v="Public"/>
    <x v="0"/>
    <s v="Nyamagabe"/>
    <s v="Kaduha"/>
    <s v="NNYU_2"/>
    <s v="Mwogo Sub-Catchment"/>
    <n v="1313.9474400000001"/>
  </r>
  <r>
    <x v="3"/>
    <s v="NYONGERA"/>
    <s v="Public"/>
    <x v="0"/>
    <s v="Nyamagabe"/>
    <s v="Kaduha"/>
    <s v="NNYU_2"/>
    <s v="Mwogo Sub-Catchment"/>
    <n v="1750.248"/>
  </r>
  <r>
    <x v="3"/>
    <s v="KAMUTABA"/>
    <s v="Public"/>
    <x v="0"/>
    <s v="Nyamagabe"/>
    <s v="Kaduha"/>
    <s v="NNYU_2"/>
    <s v="Mwogo Sub-Catchment"/>
    <n v="1955.232"/>
  </r>
  <r>
    <x v="3"/>
    <s v="GAHAMA2"/>
    <s v="Public"/>
    <x v="0"/>
    <s v="Nyamagabe"/>
    <s v="Kaduha"/>
    <s v="NNYU_2"/>
    <s v="Mwogo Sub-Catchment"/>
    <n v="3942.0000000000005"/>
  </r>
  <r>
    <x v="3"/>
    <s v="GAHAMA"/>
    <s v="Public"/>
    <x v="0"/>
    <s v="Nyamagabe"/>
    <s v="Kaduha"/>
    <s v="NNYU_2"/>
    <s v="Mwogo Sub-Catchment"/>
    <n v="1971.0000000000002"/>
  </r>
  <r>
    <x v="3"/>
    <s v="MUKARIBA"/>
    <s v="Public"/>
    <x v="0"/>
    <s v="Nyamagabe"/>
    <s v="Kaduha"/>
    <s v="NNYU_2"/>
    <s v="Mwogo Sub-Catchment"/>
    <n v="2626.9488000000001"/>
  </r>
  <r>
    <x v="3"/>
    <s v="NKUNGU"/>
    <s v="Public"/>
    <x v="0"/>
    <s v="Nyamagabe"/>
    <s v="Kamegeri"/>
    <s v="NNYU_2"/>
    <s v="Mwogo Sub-Catchment"/>
    <n v="3942.0000000000005"/>
  </r>
  <r>
    <x v="3"/>
    <s v="GATOVU"/>
    <s v="Public"/>
    <x v="0"/>
    <s v="Nyamagabe"/>
    <s v="Kamegeri"/>
    <s v="NNYU_2"/>
    <s v="Mwogo Sub-Catchment"/>
    <n v="5250.7439999999997"/>
  </r>
  <r>
    <x v="3"/>
    <s v="RWONA"/>
    <s v="Public"/>
    <x v="0"/>
    <s v="Nyamagabe"/>
    <s v="Kamegeri"/>
    <s v="NNYU_2"/>
    <s v="Mwogo Sub-Catchment"/>
    <n v="1592.5680000000002"/>
  </r>
  <r>
    <x v="3"/>
    <s v="MUGASENYI"/>
    <s v="Public"/>
    <x v="0"/>
    <s v="Nyamagabe"/>
    <s v="Kamegeri"/>
    <s v="NNYU_2"/>
    <s v="Mwogo Sub-Catchment"/>
    <n v="2806.7039999999997"/>
  </r>
  <r>
    <x v="3"/>
    <s v="NYAGAKOMBE 2"/>
    <s v="Public"/>
    <x v="0"/>
    <s v="Nyamagabe"/>
    <s v="Kamegeri"/>
    <s v="NNYU_2"/>
    <s v="Mwogo Sub-Catchment"/>
    <n v="1592.5680000000002"/>
  </r>
  <r>
    <x v="3"/>
    <s v="BAHIMBA"/>
    <s v="Public"/>
    <x v="0"/>
    <s v="Nyamagabe"/>
    <s v="Kamegeri"/>
    <s v="NNYU_2"/>
    <s v="Mwogo Sub-Catchment"/>
    <n v="1971.0000000000002"/>
  </r>
  <r>
    <x v="3"/>
    <s v="BIGINA"/>
    <s v="Public"/>
    <x v="0"/>
    <s v="Nyamagabe"/>
    <s v="Kamegeri"/>
    <s v="NNYU_2"/>
    <s v="Mwogo Sub-Catchment"/>
    <n v="2617.4880000000003"/>
  </r>
  <r>
    <x v="3"/>
    <s v="MUKOKWE"/>
    <s v="Public"/>
    <x v="0"/>
    <s v="Nyamagabe"/>
    <s v="Kamegeri"/>
    <s v="NNYU_2"/>
    <s v="Mwogo Sub-Catchment"/>
    <n v="1214.136"/>
  </r>
  <r>
    <x v="3"/>
    <s v="GAHAMA"/>
    <s v="Public"/>
    <x v="0"/>
    <s v="Nyamagabe"/>
    <s v="Kamegeri"/>
    <s v="NNYU_2"/>
    <s v="Mwogo Sub-Catchment"/>
    <n v="2617.4880000000003"/>
  </r>
  <r>
    <x v="3"/>
    <s v="MUBUHATSI"/>
    <s v="Public"/>
    <x v="0"/>
    <s v="Nyamagabe"/>
    <s v="Kamegeri"/>
    <s v="NNYU_2"/>
    <s v="Mwogo Sub-Catchment"/>
    <n v="1592.5680000000002"/>
  </r>
  <r>
    <x v="3"/>
    <s v="KABINGO"/>
    <s v="Public"/>
    <x v="0"/>
    <s v="Nyamagabe"/>
    <s v="Kamegeri"/>
    <s v="NNYU_2"/>
    <s v="Mwogo Sub-Catchment"/>
    <n v="6322.9680000000017"/>
  </r>
  <r>
    <x v="3"/>
    <s v="KABUGA"/>
    <s v="Public"/>
    <x v="0"/>
    <s v="Nyamagabe"/>
    <s v="Kamegeri"/>
    <s v="NNYU_2"/>
    <s v="Mwogo Sub-Catchment"/>
    <n v="1592.5680000000002"/>
  </r>
  <r>
    <x v="3"/>
    <s v="NYAGAKOMBE"/>
    <s v="Public"/>
    <x v="0"/>
    <s v="Nyamagabe"/>
    <s v="Kamegeri"/>
    <s v="NNYU_2"/>
    <s v="Mwogo Sub-Catchment"/>
    <n v="1313.4744000000001"/>
  </r>
  <r>
    <x v="3"/>
    <s v="KABWAYI"/>
    <s v="Public"/>
    <x v="0"/>
    <s v="Nyamagabe"/>
    <s v="Kamegeri"/>
    <s v="NNYU_2"/>
    <s v="Mwogo Sub-Catchment"/>
    <n v="1040.6880000000001"/>
  </r>
  <r>
    <x v="3"/>
    <s v="GASEKE"/>
    <s v="Public"/>
    <x v="0"/>
    <s v="Nyamagabe"/>
    <s v="Kamegeri"/>
    <s v="NNYU_2"/>
    <s v="Mwogo Sub-Catchment"/>
    <n v="3153.6000000000004"/>
  </r>
  <r>
    <x v="3"/>
    <s v="RWAMWUMBA"/>
    <s v="Public"/>
    <x v="0"/>
    <s v="Nyamagabe"/>
    <s v="Kamegeri"/>
    <s v="NNYU_2"/>
    <s v="Mwogo Sub-Catchment"/>
    <n v="1750.248"/>
  </r>
  <r>
    <x v="3"/>
    <s v="RWINKWARE"/>
    <s v="Public"/>
    <x v="0"/>
    <s v="Nyamagabe"/>
    <s v="Kamegeri"/>
    <s v="NNYU_2"/>
    <s v="Mwogo Sub-Catchment"/>
    <n v="1313.9474400000001"/>
  </r>
  <r>
    <x v="3"/>
    <s v="MWUMBA"/>
    <s v="Public"/>
    <x v="0"/>
    <s v="Nyamagabe"/>
    <s v="Kamegeri"/>
    <s v="NNYU_2"/>
    <s v="Mwogo Sub-Catchment"/>
    <n v="1751.8248000000001"/>
  </r>
  <r>
    <x v="3"/>
    <s v="GATIGITA"/>
    <s v="Public"/>
    <x v="0"/>
    <s v="Nyamagabe"/>
    <s v="Kamegeri"/>
    <s v="NNYU_2"/>
    <s v="Mwogo Sub-Catchment"/>
    <n v="788.40000000000009"/>
  </r>
  <r>
    <x v="3"/>
    <s v="GASAYO1"/>
    <s v="Public"/>
    <x v="0"/>
    <s v="Nyamagabe"/>
    <s v="Kamegeri"/>
    <s v="NNYU_2"/>
    <s v="Mwogo Sub-Catchment"/>
    <n v="3942.0000000000005"/>
  </r>
  <r>
    <x v="3"/>
    <s v="GASAYO 2"/>
    <s v="Public"/>
    <x v="0"/>
    <s v="Nyamagabe"/>
    <s v="Kamegeri"/>
    <s v="NNYU_2"/>
    <s v="Mwogo Sub-Catchment"/>
    <n v="1313.4744000000001"/>
  </r>
  <r>
    <x v="3"/>
    <s v="KIRUMBI"/>
    <s v="Public"/>
    <x v="0"/>
    <s v="Nyamagabe"/>
    <s v="Kamegeri"/>
    <s v="NNYU_2"/>
    <s v="Mwogo Sub-Catchment"/>
    <n v="3169.3679999999999"/>
  </r>
  <r>
    <x v="3"/>
    <s v="KAMIRO"/>
    <s v="Public"/>
    <x v="0"/>
    <s v="Nyamagabe"/>
    <s v="Kamegeri"/>
    <s v="NNYU_2"/>
    <s v="Mwogo Sub-Catchment"/>
    <n v="1592.5680000000002"/>
  </r>
  <r>
    <x v="3"/>
    <s v="GAFUHISHA"/>
    <s v="Public"/>
    <x v="0"/>
    <s v="Nyamagabe"/>
    <s v="Kamegeri"/>
    <s v="NNYU_2"/>
    <s v="Mwogo Sub-Catchment"/>
    <n v="1040.6880000000001"/>
  </r>
  <r>
    <x v="3"/>
    <s v="MUKATO"/>
    <s v="Public"/>
    <x v="0"/>
    <s v="Nyamagabe"/>
    <s v="Kamegeri"/>
    <s v="NNYU_2"/>
    <s v="Mwogo Sub-Catchment"/>
    <n v="1592.5680000000002"/>
  </r>
  <r>
    <x v="3"/>
    <s v="RWANDANGA"/>
    <s v="Public"/>
    <x v="0"/>
    <s v="Nyamagabe"/>
    <s v="Kamegeri"/>
    <s v="NNYU_2"/>
    <s v="Mwogo Sub-Catchment"/>
    <n v="1313.4744000000001"/>
  </r>
  <r>
    <x v="3"/>
    <s v="RUBIHA"/>
    <s v="Public"/>
    <x v="0"/>
    <s v="Nyamagabe"/>
    <s v="Kamegeri"/>
    <s v="NNYU_2"/>
    <s v="Mwogo Sub-Catchment"/>
    <n v="788.40000000000009"/>
  </r>
  <r>
    <x v="3"/>
    <s v="KABADODO"/>
    <s v="Public"/>
    <x v="0"/>
    <s v="Nyamagabe"/>
    <s v="Kamegeri"/>
    <s v="NNYU_2"/>
    <s v="Mwogo Sub-Catchment"/>
    <n v="2617.4880000000003"/>
  </r>
  <r>
    <x v="3"/>
    <s v="MUBASHI"/>
    <s v="Public"/>
    <x v="0"/>
    <s v="Nyamagabe"/>
    <s v="Kamegeri"/>
    <s v="NNYU_2"/>
    <s v="Mwogo Sub-Catchment"/>
    <n v="1751.8248000000001"/>
  </r>
  <r>
    <x v="3"/>
    <s v="NTEZIREMBO"/>
    <s v="Public"/>
    <x v="0"/>
    <s v="Nyamagabe"/>
    <s v="Kamegeri"/>
    <s v="NNYU_2"/>
    <s v="Mwogo Sub-Catchment"/>
    <n v="1050.1488000000002"/>
  </r>
  <r>
    <x v="3"/>
    <s v="RWAGAHANDA"/>
    <s v="Public"/>
    <x v="0"/>
    <s v="Nyamagabe"/>
    <s v="Kamegeri"/>
    <s v="NNYU_2"/>
    <s v="Mwogo Sub-Catchment"/>
    <n v="646.48800000000006"/>
  </r>
  <r>
    <x v="3"/>
    <s v="GAHAMA"/>
    <s v="Public"/>
    <x v="0"/>
    <s v="Nyamagabe"/>
    <s v="Kamegeri"/>
    <s v="NNYU_2"/>
    <s v="Mwogo Sub-Catchment"/>
    <n v="2627.8948800000003"/>
  </r>
  <r>
    <x v="3"/>
    <s v="RUHAMA"/>
    <s v="Public"/>
    <x v="0"/>
    <s v="Nyamagabe"/>
    <s v="Kamegeri"/>
    <s v="NNYU_2"/>
    <s v="Mwogo Sub-Catchment"/>
    <n v="1050.1488000000002"/>
  </r>
  <r>
    <x v="3"/>
    <s v="GATARE"/>
    <s v="Public"/>
    <x v="0"/>
    <s v="Nyamagabe"/>
    <s v="Kamegeri"/>
    <s v="NNYU_2"/>
    <s v="Mwogo Sub-Catchment"/>
    <n v="1971.0000000000002"/>
  </r>
  <r>
    <x v="3"/>
    <s v="GAKERI"/>
    <s v="Public"/>
    <x v="0"/>
    <s v="Nyamagabe"/>
    <s v="Kamegeri"/>
    <s v="NNYU_2"/>
    <s v="Mwogo Sub-Catchment"/>
    <n v="2626.9488000000001"/>
  </r>
  <r>
    <x v="3"/>
    <s v="GATONGATI"/>
    <s v="Public"/>
    <x v="0"/>
    <s v="Nyamagabe"/>
    <s v="Kamegeri"/>
    <s v="NNYU_2"/>
    <s v="Mwogo Sub-Catchment"/>
    <n v="985.50000000000011"/>
  </r>
  <r>
    <x v="3"/>
    <s v="RWASAGUHUNGA"/>
    <s v="Public"/>
    <x v="0"/>
    <s v="Nyamagabe"/>
    <s v="Kamegeri"/>
    <s v="NNYU_2"/>
    <s v="Mwogo Sub-Catchment"/>
    <n v="788.40000000000009"/>
  </r>
  <r>
    <x v="3"/>
    <s v="KARUGARAMA"/>
    <s v="Public"/>
    <x v="0"/>
    <s v="Nyamagabe"/>
    <s v="Kamegeri"/>
    <s v="NNYU_2"/>
    <s v="Mwogo Sub-Catchment"/>
    <n v="3942.0000000000005"/>
  </r>
  <r>
    <x v="3"/>
    <s v="GAKOMBE"/>
    <s v="Public"/>
    <x v="0"/>
    <s v="Nyamagabe"/>
    <s v="Kamegeri"/>
    <s v="NNYU_2"/>
    <s v="Mwogo Sub-Catchment"/>
    <n v="1971.0000000000002"/>
  </r>
  <r>
    <x v="3"/>
    <s v="KADAHOKWA"/>
    <s v="Public"/>
    <x v="0"/>
    <s v="Nyamagabe"/>
    <s v="Kamegeri"/>
    <s v="NNYU_2"/>
    <s v="Mwogo Sub-Catchment"/>
    <n v="2626.9488000000001"/>
  </r>
  <r>
    <x v="3"/>
    <s v="KARUKURURA"/>
    <s v="Public"/>
    <x v="0"/>
    <s v="Nyamagabe"/>
    <s v="Kamegeri"/>
    <s v="NNYU_2"/>
    <s v="Mwogo Sub-Catchment"/>
    <n v="1750.248"/>
  </r>
  <r>
    <x v="3"/>
    <s v="KAGINA"/>
    <s v="Public"/>
    <x v="0"/>
    <s v="Nyamagabe"/>
    <s v="Kamegeri"/>
    <s v="NNYU_2"/>
    <s v="Mwogo Sub-Catchment"/>
    <n v="2626.9488000000001"/>
  </r>
  <r>
    <x v="3"/>
    <s v="CANKENDE"/>
    <s v="Public"/>
    <x v="0"/>
    <s v="Nyamagabe"/>
    <s v="Kamegeri"/>
    <s v="NNYU_2"/>
    <s v="Mwogo Sub-Catchment"/>
    <n v="1313.9474400000001"/>
  </r>
  <r>
    <x v="3"/>
    <s v="KIMISEKERA"/>
    <s v="Public"/>
    <x v="0"/>
    <s v="Huye"/>
    <s v="Kigoma"/>
    <s v="NNYU_2"/>
    <s v="Mwogo Sub-Catchment"/>
    <n v="646.48800000000006"/>
  </r>
  <r>
    <x v="3"/>
    <s v="KIRERANYANA"/>
    <s v="Public"/>
    <x v="0"/>
    <s v="Huye"/>
    <s v="Kigoma"/>
    <s v="NNYU_2"/>
    <s v="Mwogo Sub-Catchment"/>
    <n v="1971.0000000000002"/>
  </r>
  <r>
    <x v="3"/>
    <s v="KABINGO"/>
    <s v="Public"/>
    <x v="0"/>
    <s v="Huye"/>
    <s v="Kigoma"/>
    <s v="NNYU_2"/>
    <s v="Mwogo Sub-Catchment"/>
    <n v="9618.4800000000014"/>
  </r>
  <r>
    <x v="3"/>
    <s v="RWANYIRAHUKU"/>
    <s v="Public"/>
    <x v="0"/>
    <s v="Huye"/>
    <s v="Kigoma"/>
    <s v="NNYU_2"/>
    <s v="Mwogo Sub-Catchment"/>
    <n v="2128.6800000000003"/>
  </r>
  <r>
    <x v="3"/>
    <s v="KAZIBA"/>
    <s v="Public"/>
    <x v="0"/>
    <s v="Huye"/>
    <s v="Kigoma"/>
    <s v="NNYU_2"/>
    <s v="Mwogo Sub-Catchment"/>
    <n v="2617.4880000000003"/>
  </r>
  <r>
    <x v="3"/>
    <s v="KANYINYA"/>
    <s v="Public"/>
    <x v="0"/>
    <s v="Huye"/>
    <s v="Kigoma"/>
    <s v="NNYU_2"/>
    <s v="Mwogo Sub-Catchment"/>
    <n v="536.11200000000008"/>
  </r>
  <r>
    <x v="3"/>
    <s v="GATENGENZI"/>
    <s v="Public"/>
    <x v="0"/>
    <s v="Huye"/>
    <s v="Kigoma"/>
    <s v="NNYU_2"/>
    <s v="Mwogo Sub-Catchment"/>
    <n v="47.303999999999995"/>
  </r>
  <r>
    <x v="3"/>
    <s v="KARAGARAGO"/>
    <s v="Public"/>
    <x v="0"/>
    <s v="Huye"/>
    <s v="Kigoma"/>
    <s v="NNYU_2"/>
    <s v="Mwogo Sub-Catchment"/>
    <n v="1214.136"/>
  </r>
  <r>
    <x v="3"/>
    <s v="RUKORANTAMBARA"/>
    <s v="Public"/>
    <x v="0"/>
    <s v="Huye"/>
    <s v="Kigoma"/>
    <s v="NNYU_2"/>
    <s v="Mwogo Sub-Catchment"/>
    <n v="1813.32"/>
  </r>
  <r>
    <x v="3"/>
    <s v="NYAKARIBA"/>
    <s v="Public"/>
    <x v="0"/>
    <s v="Huye"/>
    <s v="Kigoma"/>
    <s v="NNYU_2"/>
    <s v="Mwogo Sub-Catchment"/>
    <n v="1229.904"/>
  </r>
  <r>
    <x v="3"/>
    <s v="RWANDUHURA"/>
    <s v="Public"/>
    <x v="0"/>
    <s v="Huye"/>
    <s v="Kigoma"/>
    <s v="NNYU_2"/>
    <s v="Mwogo Sub-Catchment"/>
    <n v="788.40000000000009"/>
  </r>
  <r>
    <x v="3"/>
    <s v="GATEKE"/>
    <s v="Public"/>
    <x v="0"/>
    <s v="Huye"/>
    <s v="Kigoma"/>
    <s v="NNYU_2"/>
    <s v="Mwogo Sub-Catchment"/>
    <n v="788.40000000000009"/>
  </r>
  <r>
    <x v="3"/>
    <s v="KIRIMUMBERE"/>
    <s v="Public"/>
    <x v="0"/>
    <s v="Huye"/>
    <s v="Kigoma"/>
    <s v="NNYU_2"/>
    <s v="Mwogo Sub-Catchment"/>
    <n v="520.34400000000005"/>
  </r>
  <r>
    <x v="3"/>
    <s v="RWAKIYOVU"/>
    <s v="Public"/>
    <x v="0"/>
    <s v="Huye"/>
    <s v="Kigoma"/>
    <s v="NNYU_2"/>
    <s v="Mwogo Sub-Catchment"/>
    <n v="520.34400000000005"/>
  </r>
  <r>
    <x v="3"/>
    <s v="GATEKE"/>
    <s v="Public"/>
    <x v="0"/>
    <s v="Huye"/>
    <s v="Kigoma"/>
    <s v="NNYU_2"/>
    <s v="Mwogo Sub-Catchment"/>
    <n v="977.61599999999999"/>
  </r>
  <r>
    <x v="3"/>
    <s v="NYAMUKO"/>
    <s v="Public"/>
    <x v="0"/>
    <s v="Huye"/>
    <s v="Kigoma"/>
    <s v="NNYU_2"/>
    <s v="Mwogo Sub-Catchment"/>
    <n v="252.28800000000001"/>
  </r>
  <r>
    <x v="3"/>
    <s v="GASHONOGO"/>
    <s v="Public"/>
    <x v="0"/>
    <s v="Huye"/>
    <s v="Kigoma"/>
    <s v="NNYU_2"/>
    <s v="Mwogo Sub-Catchment"/>
    <n v="2617.4880000000003"/>
  </r>
  <r>
    <x v="3"/>
    <s v="KABINGO"/>
    <s v="Public"/>
    <x v="0"/>
    <s v="Huye"/>
    <s v="Kigoma"/>
    <s v="NNYU_2"/>
    <s v="Mwogo Sub-Catchment"/>
    <n v="1308.7440000000001"/>
  </r>
  <r>
    <x v="3"/>
    <s v="NYAMWISHWA"/>
    <s v="Public"/>
    <x v="0"/>
    <s v="Huye"/>
    <s v="Kigoma"/>
    <s v="NNYU_2"/>
    <s v="Mwogo Sub-Catchment"/>
    <n v="756.86399999999992"/>
  </r>
  <r>
    <x v="3"/>
    <s v="MICURO"/>
    <s v="Public"/>
    <x v="0"/>
    <s v="Huye"/>
    <s v="Kigoma"/>
    <s v="NNYU_2"/>
    <s v="Mwogo Sub-Catchment"/>
    <n v="126.14400000000001"/>
  </r>
  <r>
    <x v="3"/>
    <s v="MUTWARASIBO"/>
    <s v="Public"/>
    <x v="0"/>
    <s v="Huye"/>
    <s v="Kigoma"/>
    <s v="NNYU_2"/>
    <s v="Mwogo Sub-Catchment"/>
    <n v="3169.3679999999999"/>
  </r>
  <r>
    <x v="3"/>
    <s v="NYIRABIJERI"/>
    <s v="Public"/>
    <x v="0"/>
    <s v="Huye"/>
    <s v="Kigoma"/>
    <s v="NNYU_2"/>
    <s v="Mwogo Sub-Catchment"/>
    <n v="2018.3040000000001"/>
  </r>
  <r>
    <x v="3"/>
    <s v="RWAMUHUNDA"/>
    <s v="Public"/>
    <x v="0"/>
    <s v="Huye"/>
    <s v="Kigoma"/>
    <s v="NNYU_2"/>
    <s v="Mwogo Sub-Catchment"/>
    <n v="2617.4880000000003"/>
  </r>
  <r>
    <x v="3"/>
    <s v="NYAGASHANGA"/>
    <s v="Public"/>
    <x v="0"/>
    <s v="Huye"/>
    <s v="Kigoma"/>
    <s v="NNYU_2"/>
    <s v="Mwogo Sub-Catchment"/>
    <n v="788.40000000000009"/>
  </r>
  <r>
    <x v="3"/>
    <s v="NYAKARIBA"/>
    <s v="Public"/>
    <x v="0"/>
    <s v="Huye"/>
    <s v="Kigoma"/>
    <s v="NNYU_2"/>
    <s v="Mwogo Sub-Catchment"/>
    <n v="3169.3679999999999"/>
  </r>
  <r>
    <x v="3"/>
    <s v="NYAMUKO"/>
    <s v="Public"/>
    <x v="0"/>
    <s v="Huye"/>
    <s v="Kigoma"/>
    <s v="NNYU_2"/>
    <s v="Mwogo Sub-Catchment"/>
    <n v="2223.2879999999996"/>
  </r>
  <r>
    <x v="3"/>
    <s v="GISAYA"/>
    <s v="Public"/>
    <x v="0"/>
    <s v="Huye"/>
    <s v="Kigoma"/>
    <s v="NNYU_2"/>
    <s v="Mwogo Sub-Catchment"/>
    <n v="646.48800000000006"/>
  </r>
  <r>
    <x v="3"/>
    <s v="GATARE"/>
    <s v="Public"/>
    <x v="0"/>
    <s v="Huye"/>
    <s v="Kigoma"/>
    <s v="NNYU_2"/>
    <s v="Mwogo Sub-Catchment"/>
    <n v="1576.8000000000002"/>
  </r>
  <r>
    <x v="3"/>
    <s v="KANYINYA"/>
    <s v="Public"/>
    <x v="0"/>
    <s v="Huye"/>
    <s v="Kigoma"/>
    <s v="NNYU_2"/>
    <s v="Mwogo Sub-Catchment"/>
    <n v="819.93600000000004"/>
  </r>
  <r>
    <x v="3"/>
    <s v="GAHAMA"/>
    <s v="Public"/>
    <x v="0"/>
    <s v="Huye"/>
    <s v="Kigoma"/>
    <s v="NNYU_2"/>
    <s v="Mwogo Sub-Catchment"/>
    <n v="662.2560000000002"/>
  </r>
  <r>
    <x v="3"/>
    <s v="RWAGAHARA"/>
    <s v="Public"/>
    <x v="0"/>
    <s v="Huye"/>
    <s v="Kigoma"/>
    <s v="NNYU_2"/>
    <s v="Mwogo Sub-Catchment"/>
    <n v="409.96800000000002"/>
  </r>
  <r>
    <x v="3"/>
    <s v="KABINGO"/>
    <s v="Public"/>
    <x v="0"/>
    <s v="Huye"/>
    <s v="Kigoma"/>
    <s v="NNYU_2"/>
    <s v="Mwogo Sub-Catchment"/>
    <n v="567.64800000000002"/>
  </r>
  <r>
    <x v="3"/>
    <s v="RWASEBUHUKU"/>
    <s v="Public"/>
    <x v="0"/>
    <s v="Huye"/>
    <s v="Kigoma"/>
    <s v="NNYU_2"/>
    <s v="Mwogo Sub-Catchment"/>
    <n v="1151.0640000000001"/>
  </r>
  <r>
    <x v="3"/>
    <s v="GATOVU"/>
    <s v="Public"/>
    <x v="0"/>
    <s v="Huye"/>
    <s v="Kigoma"/>
    <s v="NNYU_2"/>
    <s v="Mwogo Sub-Catchment"/>
    <n v="52.034400000000005"/>
  </r>
  <r>
    <x v="3"/>
    <s v="RURONGI"/>
    <s v="Public"/>
    <x v="0"/>
    <s v="Huye"/>
    <s v="Kigoma"/>
    <s v="NNYU_2"/>
    <s v="Mwogo Sub-Catchment"/>
    <n v="1592.5680000000002"/>
  </r>
  <r>
    <x v="3"/>
    <s v="KAJINJA"/>
    <s v="Public"/>
    <x v="0"/>
    <s v="Huye"/>
    <s v="Kigoma"/>
    <s v="NNYU_2"/>
    <s v="Mwogo Sub-Catchment"/>
    <n v="1971.0000000000002"/>
  </r>
  <r>
    <x v="3"/>
    <s v="NYAMYIJIMA"/>
    <s v="Public"/>
    <x v="0"/>
    <s v="Huye"/>
    <s v="Kigoma"/>
    <s v="NNYU_2"/>
    <s v="Mwogo Sub-Catchment"/>
    <n v="2617.4880000000003"/>
  </r>
  <r>
    <x v="3"/>
    <s v="NYAGATOVU"/>
    <s v="Public"/>
    <x v="0"/>
    <s v="Huye"/>
    <s v="Kigoma"/>
    <s v="NNYU_2"/>
    <s v="Mwogo Sub-Catchment"/>
    <n v="741.09599999999989"/>
  </r>
  <r>
    <x v="3"/>
    <s v="NYAGATOKE"/>
    <s v="Public"/>
    <x v="0"/>
    <s v="Huye"/>
    <s v="Kigoma"/>
    <s v="NNYU_2"/>
    <s v="Mwogo Sub-Catchment"/>
    <n v="3942.0000000000005"/>
  </r>
  <r>
    <x v="3"/>
    <s v="GITARE"/>
    <s v="Public"/>
    <x v="0"/>
    <s v="Huye"/>
    <s v="Kigoma"/>
    <s v="NNYU_2"/>
    <s v="Mwogo Sub-Catchment"/>
    <n v="441.50400000000002"/>
  </r>
  <r>
    <x v="3"/>
    <s v="NYAMASE"/>
    <s v="Public"/>
    <x v="0"/>
    <s v="Huye"/>
    <s v="Kigoma"/>
    <s v="NNYU_2"/>
    <s v="Mwogo Sub-Catchment"/>
    <n v="1608.3359999999998"/>
  </r>
  <r>
    <x v="3"/>
    <s v="NYAKARIBA"/>
    <s v="Public"/>
    <x v="0"/>
    <s v="Huye"/>
    <s v="Kigoma"/>
    <s v="NNYU_2"/>
    <s v="Mwogo Sub-Catchment"/>
    <n v="2254.8239999999996"/>
  </r>
  <r>
    <x v="3"/>
    <s v="TIRO"/>
    <s v="Public"/>
    <x v="0"/>
    <s v="Huye"/>
    <s v="Kigoma"/>
    <s v="NNYU_2"/>
    <s v="Mwogo Sub-Catchment"/>
    <n v="646.48800000000006"/>
  </r>
  <r>
    <x v="3"/>
    <s v="RUZIBAZIBA"/>
    <s v="Public"/>
    <x v="0"/>
    <s v="Huye"/>
    <s v="Kigoma"/>
    <s v="NNYU_2"/>
    <s v="Mwogo Sub-Catchment"/>
    <n v="6007.6079999999993"/>
  </r>
  <r>
    <x v="3"/>
    <s v="MPONDWA"/>
    <s v="Public"/>
    <x v="0"/>
    <s v="Huye"/>
    <s v="Kigoma"/>
    <s v="NNYU_2"/>
    <s v="Mwogo Sub-Catchment"/>
    <n v="3279.7440000000001"/>
  </r>
  <r>
    <x v="3"/>
    <s v="KWA YOHANI"/>
    <s v="Public"/>
    <x v="0"/>
    <s v="Huye"/>
    <s v="Kigoma"/>
    <s v="NNYU_2"/>
    <s v="Mwogo Sub-Catchment"/>
    <n v="261.74880000000002"/>
  </r>
  <r>
    <x v="3"/>
    <s v="GASEKE"/>
    <s v="Public"/>
    <x v="0"/>
    <s v="Huye"/>
    <s v="Kigoma"/>
    <s v="NNYU_2"/>
    <s v="Mwogo Sub-Catchment"/>
    <n v="2380.9680000000003"/>
  </r>
  <r>
    <x v="3"/>
    <s v="KUGATARE"/>
    <s v="Public"/>
    <x v="0"/>
    <s v="Huye"/>
    <s v="Kigoma"/>
    <s v="NNYU_2"/>
    <s v="Mwogo Sub-Catchment"/>
    <n v="299.59199999999993"/>
  </r>
  <r>
    <x v="3"/>
    <s v="UMUHAMA"/>
    <s v="Public"/>
    <x v="0"/>
    <s v="Huye"/>
    <s v="Kigoma"/>
    <s v="NNYU_2"/>
    <s v="Mwogo Sub-Catchment"/>
    <n v="315.36"/>
  </r>
  <r>
    <x v="3"/>
    <s v="MUTERAHEJURU"/>
    <s v="Public"/>
    <x v="0"/>
    <s v="Huye"/>
    <s v="Kigoma"/>
    <s v="NNYU_2"/>
    <s v="Mwogo Sub-Catchment"/>
    <n v="488.80799999999999"/>
  </r>
  <r>
    <x v="3"/>
    <s v="GAKONI"/>
    <s v="Public"/>
    <x v="0"/>
    <s v="Huye"/>
    <s v="Kigoma"/>
    <s v="NNYU_2"/>
    <s v="Mwogo Sub-Catchment"/>
    <n v="867.24000000000012"/>
  </r>
  <r>
    <x v="3"/>
    <s v="GASHUNZI"/>
    <s v="Public"/>
    <x v="0"/>
    <s v="Huye"/>
    <s v="Kigoma"/>
    <s v="NNYU_2"/>
    <s v="Mwogo Sub-Catchment"/>
    <n v="47.303999999999995"/>
  </r>
  <r>
    <x v="3"/>
    <s v="KABUNGO"/>
    <s v="Public"/>
    <x v="0"/>
    <s v="Huye"/>
    <s v="Kigoma"/>
    <s v="NNYU_2"/>
    <s v="Mwogo Sub-Catchment"/>
    <n v="1608.3359999999998"/>
  </r>
  <r>
    <x v="3"/>
    <s v="NYAMWUMBE"/>
    <s v="Public"/>
    <x v="0"/>
    <s v="Huye"/>
    <s v="Kigoma"/>
    <s v="NNYU_2"/>
    <s v="Mwogo Sub-Catchment"/>
    <n v="883.00800000000004"/>
  </r>
  <r>
    <x v="3"/>
    <s v="KINENE"/>
    <s v="Public"/>
    <x v="0"/>
    <s v="Huye"/>
    <s v="Kigoma"/>
    <s v="NNYU_2"/>
    <s v="Mwogo Sub-Catchment"/>
    <n v="252.28800000000001"/>
  </r>
  <r>
    <x v="3"/>
    <s v="NYABUHORO"/>
    <s v="Public"/>
    <x v="0"/>
    <s v="Huye"/>
    <s v="Kigoma"/>
    <s v="NNYU_2"/>
    <s v="Mwogo Sub-Catchment"/>
    <n v="1308.7440000000001"/>
  </r>
  <r>
    <x v="3"/>
    <s v="KAZABAGARURA"/>
    <s v="Public"/>
    <x v="0"/>
    <s v="Huye"/>
    <s v="Kigoma"/>
    <s v="NNYU_2"/>
    <s v="Mwogo Sub-Catchment"/>
    <n v="1576.8000000000002"/>
  </r>
  <r>
    <x v="3"/>
    <s v="KAGOGO"/>
    <s v="Public"/>
    <x v="0"/>
    <s v="Huye"/>
    <s v="Kigoma"/>
    <s v="NNYU_2"/>
    <s v="Mwogo Sub-Catchment"/>
    <n v="946.08"/>
  </r>
  <r>
    <x v="3"/>
    <s v="RWABINAMA"/>
    <s v="Public"/>
    <x v="0"/>
    <s v="Huye"/>
    <s v="Kigoma"/>
    <s v="NNYU_2"/>
    <s v="Mwogo Sub-Catchment"/>
    <n v="1182.6000000000001"/>
  </r>
  <r>
    <x v="3"/>
    <s v="NYAGASEKE2"/>
    <s v="Public"/>
    <x v="0"/>
    <s v="Huye"/>
    <s v="Kigoma"/>
    <s v="NNYU_2"/>
    <s v="Mwogo Sub-Catchment"/>
    <n v="1308.7440000000001"/>
  </r>
  <r>
    <x v="3"/>
    <s v="MUTENDE"/>
    <s v="Public"/>
    <x v="0"/>
    <s v="Huye"/>
    <s v="Kigoma"/>
    <s v="NNYU_2"/>
    <s v="Mwogo Sub-Catchment"/>
    <n v="914.5440000000001"/>
  </r>
  <r>
    <x v="3"/>
    <s v="KABUSHAKIRO"/>
    <s v="Public"/>
    <x v="0"/>
    <s v="Huye"/>
    <s v="Kigoma"/>
    <s v="NNYU_2"/>
    <s v="Mwogo Sub-Catchment"/>
    <n v="520.34400000000005"/>
  </r>
  <r>
    <x v="3"/>
    <s v="NYABIHANGA"/>
    <s v="Public"/>
    <x v="0"/>
    <s v="Huye"/>
    <s v="Kigoma"/>
    <s v="NNYU_2"/>
    <s v="Mwogo Sub-Catchment"/>
    <n v="883.00800000000004"/>
  </r>
  <r>
    <x v="3"/>
    <s v="NYARUTOVU"/>
    <s v="Public"/>
    <x v="0"/>
    <s v="Huye"/>
    <s v="Kigoma"/>
    <s v="NNYU_2"/>
    <s v="Mwogo Sub-Catchment"/>
    <n v="2617.4880000000003"/>
  </r>
  <r>
    <x v="3"/>
    <s v="KAROGO"/>
    <s v="Public"/>
    <x v="0"/>
    <s v="Huye"/>
    <s v="Kigoma"/>
    <s v="NNYU_2"/>
    <s v="Mwogo Sub-Catchment"/>
    <n v="520.34400000000005"/>
  </r>
  <r>
    <x v="3"/>
    <s v="GATEKE"/>
    <s v="Public"/>
    <x v="0"/>
    <s v="Huye"/>
    <s v="Kigoma"/>
    <s v="NNYU_2"/>
    <s v="Mwogo Sub-Catchment"/>
    <n v="6748.7039999999997"/>
  </r>
  <r>
    <x v="3"/>
    <s v="NYAGASEKE1"/>
    <s v="Public"/>
    <x v="0"/>
    <s v="Huye"/>
    <s v="Kigoma"/>
    <s v="NNYU_2"/>
    <s v="Mwogo Sub-Catchment"/>
    <n v="2917.0800000000004"/>
  </r>
  <r>
    <x v="3"/>
    <s v="RWABAYANGE"/>
    <s v="Public"/>
    <x v="0"/>
    <s v="Huye"/>
    <s v="Kigoma"/>
    <s v="NNYU_2"/>
    <s v="Mwogo Sub-Catchment"/>
    <n v="457.27200000000005"/>
  </r>
  <r>
    <x v="3"/>
    <s v="NYABITARE"/>
    <s v="Public"/>
    <x v="0"/>
    <s v="Huye"/>
    <s v="Kigoma"/>
    <s v="NNYU_2"/>
    <s v="Mwogo Sub-Catchment"/>
    <n v="2380.9680000000003"/>
  </r>
  <r>
    <x v="3"/>
    <s v="NKIZICAKA"/>
    <s v="Public"/>
    <x v="0"/>
    <s v="Huye"/>
    <s v="Kigoma"/>
    <s v="NNYU_2"/>
    <s v="Mwogo Sub-Catchment"/>
    <n v="709.56"/>
  </r>
  <r>
    <x v="3"/>
    <s v="GAKOMEYE"/>
    <s v="Public"/>
    <x v="0"/>
    <s v="Huye"/>
    <s v="Kigoma"/>
    <s v="NNYU_2"/>
    <s v="Mwogo Sub-Catchment"/>
    <n v="2617.4880000000003"/>
  </r>
  <r>
    <x v="3"/>
    <s v="SIKINEGURO"/>
    <s v="Public"/>
    <x v="0"/>
    <s v="Huye"/>
    <s v="Kigoma"/>
    <s v="NNYU_2"/>
    <s v="Mwogo Sub-Catchment"/>
    <n v="1308.7440000000001"/>
  </r>
  <r>
    <x v="3"/>
    <s v="GATARE"/>
    <s v="Public"/>
    <x v="0"/>
    <s v="Huye"/>
    <s v="Kigoma"/>
    <s v="NNYU_2"/>
    <s v="Mwogo Sub-Catchment"/>
    <n v="583.41599999999994"/>
  </r>
  <r>
    <x v="3"/>
    <s v="NYAGASHUBI"/>
    <s v="Public"/>
    <x v="0"/>
    <s v="Huye"/>
    <s v="Kigoma"/>
    <s v="NNYU_2"/>
    <s v="Mwogo Sub-Catchment"/>
    <n v="1245.672"/>
  </r>
  <r>
    <x v="3"/>
    <s v="KARUHEMBE"/>
    <s v="Public"/>
    <x v="0"/>
    <s v="Huye"/>
    <s v="Kigoma"/>
    <s v="NNYU_2"/>
    <s v="Mwogo Sub-Catchment"/>
    <n v="126.14400000000001"/>
  </r>
  <r>
    <x v="3"/>
    <s v="GATAKE"/>
    <s v="Public"/>
    <x v="0"/>
    <s v="Huye"/>
    <s v="Kigoma"/>
    <s v="NNYU_2"/>
    <s v="Mwogo Sub-Catchment"/>
    <n v="2617.4880000000003"/>
  </r>
  <r>
    <x v="3"/>
    <s v="NYABITARE"/>
    <s v="Public"/>
    <x v="0"/>
    <s v="Huye"/>
    <s v="Kinazi"/>
    <s v="NNYU_2"/>
    <s v="Mwogo Sub-Catchment"/>
    <n v="3279.7440000000001"/>
  </r>
  <r>
    <x v="3"/>
    <s v="KABIRIZI"/>
    <s v="Public"/>
    <x v="0"/>
    <s v="Huye"/>
    <s v="Kinazi"/>
    <s v="NNYU_2"/>
    <s v="Mwogo Sub-Catchment"/>
    <n v="7885.5768000000007"/>
  </r>
  <r>
    <x v="3"/>
    <s v="KANABA"/>
    <s v="Public"/>
    <x v="0"/>
    <s v="Huye"/>
    <s v="Kinazi"/>
    <s v="NNYU_2"/>
    <s v="Mwogo Sub-Catchment"/>
    <n v="1971.0000000000002"/>
  </r>
  <r>
    <x v="3"/>
    <s v="KAGINA"/>
    <s v="Public"/>
    <x v="0"/>
    <s v="Huye"/>
    <s v="Kinazi"/>
    <s v="NNYU_2"/>
    <s v="Mwogo Sub-Catchment"/>
    <n v="5250.7439999999997"/>
  </r>
  <r>
    <x v="3"/>
    <s v="GATUNGWA"/>
    <s v="Public"/>
    <x v="0"/>
    <s v="Huye"/>
    <s v="Kinazi"/>
    <s v="NNYU_2"/>
    <s v="Mwogo Sub-Catchment"/>
    <n v="1176.2928000000002"/>
  </r>
  <r>
    <x v="3"/>
    <s v="KWA BERI"/>
    <s v="Public"/>
    <x v="0"/>
    <s v="Huye"/>
    <s v="Kinazi"/>
    <s v="NNYU_2"/>
    <s v="Mwogo Sub-Catchment"/>
    <n v="3169.3679999999999"/>
  </r>
  <r>
    <x v="3"/>
    <s v="KWA PAUL"/>
    <s v="Public"/>
    <x v="0"/>
    <s v="Huye"/>
    <s v="Kinazi"/>
    <s v="NNYU_2"/>
    <s v="Mwogo Sub-Catchment"/>
    <n v="1578.3767999999998"/>
  </r>
  <r>
    <x v="3"/>
    <s v="KWA ELIANE"/>
    <s v="Public"/>
    <x v="0"/>
    <s v="Huye"/>
    <s v="Kinazi"/>
    <s v="NNYU_2"/>
    <s v="Mwogo Sub-Catchment"/>
    <n v="985.50000000000011"/>
  </r>
  <r>
    <x v="3"/>
    <s v="MUKARESHYA"/>
    <s v="Public"/>
    <x v="0"/>
    <s v="Huye"/>
    <s v="Kinazi"/>
    <s v="NNYU_2"/>
    <s v="Mwogo Sub-Catchment"/>
    <n v="789.97680000000003"/>
  </r>
  <r>
    <x v="3"/>
    <s v="KWA ALOYS"/>
    <s v="Public"/>
    <x v="0"/>
    <s v="Huye"/>
    <s v="Kinazi"/>
    <s v="NNYU_2"/>
    <s v="Mwogo Sub-Catchment"/>
    <n v="1119.5279999999998"/>
  </r>
  <r>
    <x v="3"/>
    <s v="NYABIHOMBO"/>
    <s v="Public"/>
    <x v="0"/>
    <s v="Huye"/>
    <s v="Kinazi"/>
    <s v="NNYU_2"/>
    <s v="Mwogo Sub-Catchment"/>
    <n v="2626.9488000000001"/>
  </r>
  <r>
    <x v="3"/>
    <s v="CHEZ ALPHONSE"/>
    <s v="Public"/>
    <x v="0"/>
    <s v="Huye"/>
    <s v="Kinazi"/>
    <s v="NNYU_2"/>
    <s v="Mwogo Sub-Catchment"/>
    <n v="3169.3679999999999"/>
  </r>
  <r>
    <x v="3"/>
    <s v="KWAKANYAMBEBA"/>
    <s v="Public"/>
    <x v="0"/>
    <s v="Huye"/>
    <s v="Kinazi"/>
    <s v="NNYU_2"/>
    <s v="Mwogo Sub-Catchment"/>
    <n v="9462.3768"/>
  </r>
  <r>
    <x v="3"/>
    <s v="NYIRASHONDI"/>
    <s v="Public"/>
    <x v="0"/>
    <s v="Huye"/>
    <s v="Kinazi"/>
    <s v="NNYU_2"/>
    <s v="Mwogo Sub-Catchment"/>
    <n v="1313.4744000000001"/>
  </r>
  <r>
    <x v="3"/>
    <s v="KIRUHURA"/>
    <s v="Public"/>
    <x v="0"/>
    <s v="Huye"/>
    <s v="Kinazi"/>
    <s v="NNYU_2"/>
    <s v="Mwogo Sub-Catchment"/>
    <n v="2444.0400000000004"/>
  </r>
  <r>
    <x v="3"/>
    <s v="GASHYIKE"/>
    <s v="Public"/>
    <x v="0"/>
    <s v="Huye"/>
    <s v="Kinazi"/>
    <s v="NNYU_2"/>
    <s v="Mwogo Sub-Catchment"/>
    <n v="3942.0000000000005"/>
  </r>
  <r>
    <x v="3"/>
    <s v="GASEKE"/>
    <s v="Public"/>
    <x v="0"/>
    <s v="Huye"/>
    <s v="Kinazi"/>
    <s v="NNYU_2"/>
    <s v="Mwogo Sub-Catchment"/>
    <n v="2412.5039999999999"/>
  </r>
  <r>
    <x v="3"/>
    <s v="GATOKI"/>
    <s v="Public"/>
    <x v="0"/>
    <s v="Huye"/>
    <s v="Kinazi"/>
    <s v="NNYU_2"/>
    <s v="Mwogo Sub-Catchment"/>
    <n v="9855"/>
  </r>
  <r>
    <x v="3"/>
    <s v="BISHEKEJE"/>
    <s v="Public"/>
    <x v="0"/>
    <s v="Huye"/>
    <s v="Kinazi"/>
    <s v="NNYU_2"/>
    <s v="Mwogo Sub-Catchment"/>
    <n v="7885.5768000000007"/>
  </r>
  <r>
    <x v="3"/>
    <s v="GATEKE"/>
    <s v="Public"/>
    <x v="0"/>
    <s v="Huye"/>
    <s v="Kinazi"/>
    <s v="NNYU_2"/>
    <s v="Mwogo Sub-Catchment"/>
    <n v="3942.0000000000005"/>
  </r>
  <r>
    <x v="3"/>
    <s v="GATOVU"/>
    <s v="Public"/>
    <x v="0"/>
    <s v="Huye"/>
    <s v="Kinazi"/>
    <s v="NNYU_2"/>
    <s v="Mwogo Sub-Catchment"/>
    <n v="3374.3519999999999"/>
  </r>
  <r>
    <x v="3"/>
    <s v="BUHORO"/>
    <s v="Public"/>
    <x v="0"/>
    <s v="Huye"/>
    <s v="Maraba"/>
    <s v="NNYU_2"/>
    <s v="Mwogo Sub-Catchment"/>
    <n v="2838.24"/>
  </r>
  <r>
    <x v="3"/>
    <s v="MUGAHOMA"/>
    <s v="Public"/>
    <x v="0"/>
    <s v="Huye"/>
    <s v="Maraba"/>
    <s v="NNYU_2"/>
    <s v="Mwogo Sub-Catchment"/>
    <n v="252288.00000000003"/>
  </r>
  <r>
    <x v="3"/>
    <s v="MUBIMBA"/>
    <s v="Public"/>
    <x v="0"/>
    <s v="Huye"/>
    <s v="Maraba"/>
    <s v="NNYU_2"/>
    <s v="Mwogo Sub-Catchment"/>
    <n v="1419.12"/>
  </r>
  <r>
    <x v="3"/>
    <s v="GAKOMBE"/>
    <s v="Public"/>
    <x v="0"/>
    <s v="Huye"/>
    <s v="Maraba"/>
    <s v="NNYU_2"/>
    <s v="Mwogo Sub-Catchment"/>
    <n v="2522.88"/>
  </r>
  <r>
    <x v="3"/>
    <s v="RUGUNGU"/>
    <s v="Public"/>
    <x v="0"/>
    <s v="Huye"/>
    <s v="Maraba"/>
    <s v="NNYU_2"/>
    <s v="Mwogo Sub-Catchment"/>
    <n v="630.72"/>
  </r>
  <r>
    <x v="3"/>
    <s v="NYAMIGONGO"/>
    <s v="Public"/>
    <x v="0"/>
    <s v="Huye"/>
    <s v="Maraba"/>
    <s v="NNYU_2"/>
    <s v="Mwogo Sub-Catchment"/>
    <n v="2207.5200000000004"/>
  </r>
  <r>
    <x v="3"/>
    <s v="NYAKAGEZI"/>
    <s v="Public"/>
    <x v="0"/>
    <s v="Huye"/>
    <s v="Maraba"/>
    <s v="NNYU_2"/>
    <s v="Mwogo Sub-Catchment"/>
    <n v="1103.7600000000002"/>
  </r>
  <r>
    <x v="3"/>
    <s v="UMUHAGA"/>
    <s v="Public"/>
    <x v="0"/>
    <s v="Huye"/>
    <s v="Maraba"/>
    <s v="NNYU_2"/>
    <s v="Mwogo Sub-Catchment"/>
    <n v="2365.2000000000003"/>
  </r>
  <r>
    <x v="3"/>
    <s v="RWASEBIRUNDO"/>
    <s v="Public"/>
    <x v="0"/>
    <s v="Huye"/>
    <s v="Maraba"/>
    <s v="NNYU_2"/>
    <s v="Mwogo Sub-Catchment"/>
    <n v="3942.0000000000005"/>
  </r>
  <r>
    <x v="3"/>
    <s v="AKAJOGO"/>
    <s v="Public"/>
    <x v="0"/>
    <s v="Huye"/>
    <s v="Maraba"/>
    <s v="NNYU_2"/>
    <s v="Mwogo Sub-Catchment"/>
    <n v="1103.7600000000002"/>
  </r>
  <r>
    <x v="3"/>
    <s v="KIZIGURO"/>
    <s v="Public"/>
    <x v="0"/>
    <s v="Huye"/>
    <s v="Maraba"/>
    <s v="NNYU_2"/>
    <s v="Mwogo Sub-Catchment"/>
    <n v="2365.2000000000003"/>
  </r>
  <r>
    <x v="3"/>
    <s v="BUTARE"/>
    <s v="Public"/>
    <x v="0"/>
    <s v="Huye"/>
    <s v="Maraba"/>
    <s v="NNYU_2"/>
    <s v="Mwogo Sub-Catchment"/>
    <n v="3153.6000000000004"/>
  </r>
  <r>
    <x v="3"/>
    <s v="GIKOMBE"/>
    <s v="Public"/>
    <x v="0"/>
    <s v="Huye"/>
    <s v="Maraba"/>
    <s v="NNYU_2"/>
    <s v="Mwogo Sub-Catchment"/>
    <n v="1419.12"/>
  </r>
  <r>
    <x v="3"/>
    <s v="KADOBOGO"/>
    <s v="Public"/>
    <x v="0"/>
    <s v="Huye"/>
    <s v="Maraba"/>
    <s v="NNYU_2"/>
    <s v="Mwogo Sub-Catchment"/>
    <n v="2049.84"/>
  </r>
  <r>
    <x v="3"/>
    <s v="GATARE"/>
    <s v="Public"/>
    <x v="0"/>
    <s v="Huye"/>
    <s v="Maraba"/>
    <s v="NNYU_2"/>
    <s v="Mwogo Sub-Catchment"/>
    <n v="2838.24"/>
  </r>
  <r>
    <x v="3"/>
    <s v="GAHAMA"/>
    <s v="Public"/>
    <x v="0"/>
    <s v="Huye"/>
    <s v="Maraba"/>
    <s v="NNYU_2"/>
    <s v="Mwogo Sub-Catchment"/>
    <n v="189216.00000000003"/>
  </r>
  <r>
    <x v="3"/>
    <s v="KAGOMERO"/>
    <s v="Public"/>
    <x v="0"/>
    <s v="Huye"/>
    <s v="Maraba"/>
    <s v="NNYU_2"/>
    <s v="Mwogo Sub-Catchment"/>
    <n v="2365.2000000000003"/>
  </r>
  <r>
    <x v="3"/>
    <s v="NYAKAGEZI"/>
    <s v="Public"/>
    <x v="0"/>
    <s v="Huye"/>
    <s v="Maraba"/>
    <s v="NNYU_2"/>
    <s v="Mwogo Sub-Catchment"/>
    <n v="2838.24"/>
  </r>
  <r>
    <x v="3"/>
    <s v="KAVOMO"/>
    <s v="Public"/>
    <x v="0"/>
    <s v="Huye"/>
    <s v="Maraba"/>
    <s v="NNYU_2"/>
    <s v="Mwogo Sub-Catchment"/>
    <n v="2207.5200000000004"/>
  </r>
  <r>
    <x v="3"/>
    <s v="RUSAVE"/>
    <s v="Public"/>
    <x v="0"/>
    <s v="Huye"/>
    <s v="Maraba"/>
    <s v="NNYU_2"/>
    <s v="Mwogo Sub-Catchment"/>
    <n v="630.72"/>
  </r>
  <r>
    <x v="3"/>
    <s v="NYABIGOGWE"/>
    <s v="Public"/>
    <x v="0"/>
    <s v="Huye"/>
    <s v="Maraba"/>
    <s v="NNYU_2"/>
    <s v="Mwogo Sub-Catchment"/>
    <n v="2207.5200000000004"/>
  </r>
  <r>
    <x v="3"/>
    <s v="KAVOGO"/>
    <s v="Public"/>
    <x v="0"/>
    <s v="Huye"/>
    <s v="Maraba"/>
    <s v="NNYU_2"/>
    <s v="Mwogo Sub-Catchment"/>
    <n v="2680.56"/>
  </r>
  <r>
    <x v="3"/>
    <s v="GATARE"/>
    <s v="Public"/>
    <x v="0"/>
    <s v="Huye"/>
    <s v="Maraba"/>
    <s v="NNYU_2"/>
    <s v="Mwogo Sub-Catchment"/>
    <n v="2680.56"/>
  </r>
  <r>
    <x v="3"/>
    <s v="KINYOGERO"/>
    <s v="Public"/>
    <x v="0"/>
    <s v="Huye"/>
    <s v="Maraba"/>
    <s v="NNYU_2"/>
    <s v="Mwogo Sub-Catchment"/>
    <n v="946.08"/>
  </r>
  <r>
    <x v="3"/>
    <s v="NYAMAGANA"/>
    <s v="Public"/>
    <x v="0"/>
    <s v="Huye"/>
    <s v="Maraba"/>
    <s v="NNYU_2"/>
    <s v="Mwogo Sub-Catchment"/>
    <n v="1419.12"/>
  </r>
  <r>
    <x v="3"/>
    <s v="RUSEBEYA"/>
    <s v="Public"/>
    <x v="0"/>
    <s v="Huye"/>
    <s v="Maraba"/>
    <s v="NNYU_2"/>
    <s v="Mwogo Sub-Catchment"/>
    <n v="1892.16"/>
  </r>
  <r>
    <x v="3"/>
    <s v="RWANTARE"/>
    <s v="Public"/>
    <x v="0"/>
    <s v="Huye"/>
    <s v="Maraba"/>
    <s v="NNYU_2"/>
    <s v="Mwogo Sub-Catchment"/>
    <n v="1103.7600000000002"/>
  </r>
  <r>
    <x v="3"/>
    <s v="MUGATARE"/>
    <s v="Public"/>
    <x v="0"/>
    <s v="Huye"/>
    <s v="Maraba"/>
    <s v="NNYU_2"/>
    <s v="Mwogo Sub-Catchment"/>
    <n v="1734.4800000000002"/>
  </r>
  <r>
    <x v="3"/>
    <s v="NYAKAGEZI"/>
    <s v="Public"/>
    <x v="0"/>
    <s v="Huye"/>
    <s v="Maraba"/>
    <s v="NNYU_2"/>
    <s v="Mwogo Sub-Catchment"/>
    <n v="946.08"/>
  </r>
  <r>
    <x v="3"/>
    <s v="RWAKAZURU"/>
    <s v="Public"/>
    <x v="0"/>
    <s v="Huye"/>
    <s v="Maraba"/>
    <s v="NNYU_2"/>
    <s v="Mwogo Sub-Catchment"/>
    <n v="1419.12"/>
  </r>
  <r>
    <x v="3"/>
    <s v="MACIGATI"/>
    <s v="Public"/>
    <x v="0"/>
    <s v="Huye"/>
    <s v="Maraba"/>
    <s v="NNYU_2"/>
    <s v="Mwogo Sub-Catchment"/>
    <n v="3626.64"/>
  </r>
  <r>
    <x v="3"/>
    <s v="MUGIKOMBE"/>
    <s v="Public"/>
    <x v="0"/>
    <s v="Huye"/>
    <s v="Maraba"/>
    <s v="NNYU_2"/>
    <s v="Mwogo Sub-Catchment"/>
    <n v="4257.3600000000006"/>
  </r>
  <r>
    <x v="3"/>
    <s v="SEFIGI"/>
    <s v="Public"/>
    <x v="0"/>
    <s v="Huye"/>
    <s v="Maraba"/>
    <s v="NNYU_2"/>
    <s v="Mwogo Sub-Catchment"/>
    <n v="1734.4800000000002"/>
  </r>
  <r>
    <x v="3"/>
    <s v="KADUBARI"/>
    <s v="Public"/>
    <x v="0"/>
    <s v="Huye"/>
    <s v="Maraba"/>
    <s v="NNYU_2"/>
    <s v="Mwogo Sub-Catchment"/>
    <n v="2365.2000000000003"/>
  </r>
  <r>
    <x v="3"/>
    <s v="NYIRARUSINE"/>
    <s v="Public"/>
    <x v="0"/>
    <s v="Huye"/>
    <s v="Maraba"/>
    <s v="NNYU_2"/>
    <s v="Mwogo Sub-Catchment"/>
    <n v="2838.24"/>
  </r>
  <r>
    <x v="3"/>
    <s v="GATARE"/>
    <s v="Public"/>
    <x v="0"/>
    <s v="Huye"/>
    <s v="Maraba"/>
    <s v="NNYU_2"/>
    <s v="Mwogo Sub-Catchment"/>
    <n v="630.72"/>
  </r>
  <r>
    <x v="3"/>
    <s v="GATUMBAZI"/>
    <s v="Public"/>
    <x v="0"/>
    <s v="Huye"/>
    <s v="Maraba"/>
    <s v="NNYU_2"/>
    <s v="Mwogo Sub-Catchment"/>
    <n v="946.08"/>
  </r>
  <r>
    <x v="3"/>
    <s v="KANYOGO"/>
    <s v="Public"/>
    <x v="0"/>
    <s v="Huye"/>
    <s v="Maraba"/>
    <s v="NNYU_2"/>
    <s v="Mwogo Sub-Catchment"/>
    <n v="2680.56"/>
  </r>
  <r>
    <x v="3"/>
    <s v="AKASAMVURA"/>
    <s v="Public"/>
    <x v="0"/>
    <s v="Huye"/>
    <s v="Maraba"/>
    <s v="NNYU_2"/>
    <s v="Mwogo Sub-Catchment"/>
    <n v="2995.92"/>
  </r>
  <r>
    <x v="3"/>
    <s v="UWURUGANDA"/>
    <s v="Public"/>
    <x v="0"/>
    <s v="Huye"/>
    <s v="Maraba"/>
    <s v="NNYU_2"/>
    <s v="Mwogo Sub-Catchment"/>
    <n v="4730.4000000000005"/>
  </r>
  <r>
    <x v="3"/>
    <s v="GAKUZABABIRI"/>
    <s v="Public"/>
    <x v="0"/>
    <s v="Huye"/>
    <s v="Maraba"/>
    <s v="NNYU_2"/>
    <s v="Mwogo Sub-Catchment"/>
    <n v="4099.68"/>
  </r>
  <r>
    <x v="3"/>
    <s v="URUSAVE"/>
    <s v="Public"/>
    <x v="0"/>
    <s v="Huye"/>
    <s v="Maraba"/>
    <s v="NNYU_2"/>
    <s v="Mwogo Sub-Catchment"/>
    <n v="2522.88"/>
  </r>
  <r>
    <x v="3"/>
    <s v="MWOKORO"/>
    <s v="Public"/>
    <x v="0"/>
    <s v="Huye"/>
    <s v="Maraba"/>
    <s v="NNYU_2"/>
    <s v="Mwogo Sub-Catchment"/>
    <n v="1576.8000000000002"/>
  </r>
  <r>
    <x v="3"/>
    <s v="GATARE"/>
    <s v="Public"/>
    <x v="0"/>
    <s v="Huye"/>
    <s v="Maraba"/>
    <s v="NNYU_2"/>
    <s v="Mwogo Sub-Catchment"/>
    <n v="1419.12"/>
  </r>
  <r>
    <x v="3"/>
    <s v="RUBONOBONO"/>
    <s v="Public"/>
    <x v="0"/>
    <s v="Huye"/>
    <s v="Maraba"/>
    <s v="NNYU_2"/>
    <s v="Mwogo Sub-Catchment"/>
    <n v="5991.84"/>
  </r>
  <r>
    <x v="3"/>
    <s v="MUKARIBA"/>
    <s v="Public"/>
    <x v="0"/>
    <s v="Huye"/>
    <s v="Maraba"/>
    <s v="NNYU_2"/>
    <s v="Mwogo Sub-Catchment"/>
    <n v="473.04"/>
  </r>
  <r>
    <x v="3"/>
    <s v="BIRURU"/>
    <s v="Public"/>
    <x v="0"/>
    <s v="Huye"/>
    <s v="Maraba"/>
    <s v="NNYU_2"/>
    <s v="Mwogo Sub-Catchment"/>
    <n v="630.72"/>
  </r>
  <r>
    <x v="3"/>
    <s v="NYIRANDIHA"/>
    <s v="Public"/>
    <x v="0"/>
    <s v="Huye"/>
    <s v="Maraba"/>
    <s v="NNYU_2"/>
    <s v="Mwogo Sub-Catchment"/>
    <n v="4099.68"/>
  </r>
  <r>
    <x v="3"/>
    <s v="RUBUYENGE"/>
    <s v="Public"/>
    <x v="0"/>
    <s v="Huye"/>
    <s v="Maraba"/>
    <s v="NNYU_2"/>
    <s v="Mwogo Sub-Catchment"/>
    <n v="1576.8000000000002"/>
  </r>
  <r>
    <x v="3"/>
    <s v="SEKOMA"/>
    <s v="Public"/>
    <x v="0"/>
    <s v="Huye"/>
    <s v="Maraba"/>
    <s v="NNYU_2"/>
    <s v="Mwogo Sub-Catchment"/>
    <n v="3311.2799999999997"/>
  </r>
  <r>
    <x v="3"/>
    <s v="GASESERO"/>
    <s v="Public"/>
    <x v="0"/>
    <s v="Huye"/>
    <s v="Maraba"/>
    <s v="NNYU_2"/>
    <s v="Mwogo Sub-Catchment"/>
    <n v="788.40000000000009"/>
  </r>
  <r>
    <x v="3"/>
    <s v="KIGOGO"/>
    <s v="Public"/>
    <x v="0"/>
    <s v="Huye"/>
    <s v="Maraba"/>
    <s v="NNYU_2"/>
    <s v="Mwogo Sub-Catchment"/>
    <n v="2838.24"/>
  </r>
  <r>
    <x v="3"/>
    <s v="RUHOMBO"/>
    <s v="Public"/>
    <x v="0"/>
    <s v="Huye"/>
    <s v="Maraba"/>
    <s v="NNYU_2"/>
    <s v="Mwogo Sub-Catchment"/>
    <n v="3153.6000000000004"/>
  </r>
  <r>
    <x v="3"/>
    <s v="MUGAHOMA"/>
    <s v="Public"/>
    <x v="0"/>
    <s v="Huye"/>
    <s v="Maraba"/>
    <s v="NNYU_2"/>
    <s v="Mwogo Sub-Catchment"/>
    <n v="1734.4800000000002"/>
  </r>
  <r>
    <x v="3"/>
    <s v="MBONWA"/>
    <s v="Public"/>
    <x v="0"/>
    <s v="Nyamagabe"/>
    <s v="Musange"/>
    <s v="NNYU_2"/>
    <s v="Mwogo Sub-Catchment"/>
    <n v="1971.0000000000002"/>
  </r>
  <r>
    <x v="3"/>
    <s v="MUKARIBA"/>
    <s v="Public"/>
    <x v="0"/>
    <s v="Nyamagabe"/>
    <s v="Musange"/>
    <s v="NNYU_2"/>
    <s v="Mwogo Sub-Catchment"/>
    <n v="1750.248"/>
  </r>
  <r>
    <x v="3"/>
    <s v="NYAKABINGO"/>
    <s v="Public"/>
    <x v="0"/>
    <s v="Nyamagabe"/>
    <s v="Musange"/>
    <s v="NNYU_2"/>
    <s v="Mwogo Sub-Catchment"/>
    <n v="1592.5680000000002"/>
  </r>
  <r>
    <x v="3"/>
    <s v="GAHAMA"/>
    <s v="Public"/>
    <x v="0"/>
    <s v="Nyamagabe"/>
    <s v="Musange"/>
    <s v="NNYU_2"/>
    <s v="Mwogo Sub-Catchment"/>
    <n v="2759.4"/>
  </r>
  <r>
    <x v="3"/>
    <s v="GAHOSHA"/>
    <s v="Public"/>
    <x v="0"/>
    <s v="Nyamagabe"/>
    <s v="Musange"/>
    <s v="NNYU_2"/>
    <s v="Mwogo Sub-Catchment"/>
    <n v="2759.4"/>
  </r>
  <r>
    <x v="3"/>
    <s v="GATARE2"/>
    <s v="Public"/>
    <x v="0"/>
    <s v="Nyamagabe"/>
    <s v="Musange"/>
    <s v="NNYU_2"/>
    <s v="Mwogo Sub-Catchment"/>
    <n v="2317.8959999999997"/>
  </r>
  <r>
    <x v="3"/>
    <s v="GATARE"/>
    <s v="Public"/>
    <x v="0"/>
    <s v="Nyamagabe"/>
    <s v="Musange"/>
    <s v="NNYU_2"/>
    <s v="Mwogo Sub-Catchment"/>
    <n v="2626.9488000000001"/>
  </r>
  <r>
    <x v="3"/>
    <s v="NYAKAGEZI"/>
    <s v="Public"/>
    <x v="0"/>
    <s v="Nyamagabe"/>
    <s v="Musange"/>
    <s v="NNYU_2"/>
    <s v="Mwogo Sub-Catchment"/>
    <n v="1125.8352000000002"/>
  </r>
  <r>
    <x v="3"/>
    <s v="GATOKI"/>
    <s v="Public"/>
    <x v="0"/>
    <s v="Nyamagabe"/>
    <s v="Musange"/>
    <s v="NNYU_2"/>
    <s v="Mwogo Sub-Catchment"/>
    <n v="1313.9474400000001"/>
  </r>
  <r>
    <x v="3"/>
    <s v="KAMUJONGO"/>
    <s v="Public"/>
    <x v="0"/>
    <s v="Nyamagabe"/>
    <s v="Musange"/>
    <s v="NNYU_2"/>
    <s v="Mwogo Sub-Catchment"/>
    <n v="1971.0000000000002"/>
  </r>
  <r>
    <x v="3"/>
    <s v="KABUGANDA"/>
    <s v="Public"/>
    <x v="0"/>
    <s v="Nyamagabe"/>
    <s v="Musange"/>
    <s v="NNYU_2"/>
    <s v="Mwogo Sub-Catchment"/>
    <n v="1971.0000000000002"/>
  </r>
  <r>
    <x v="3"/>
    <s v="MUHURA"/>
    <s v="Public"/>
    <x v="0"/>
    <s v="Nyamagabe"/>
    <s v="Musange"/>
    <s v="NNYU_2"/>
    <s v="Mwogo Sub-Catchment"/>
    <n v="1313.4744000000001"/>
  </r>
  <r>
    <x v="3"/>
    <s v="MUNDEKA"/>
    <s v="Public"/>
    <x v="0"/>
    <s v="Nyamagabe"/>
    <s v="Musange"/>
    <s v="NNYU_2"/>
    <s v="Mwogo Sub-Catchment"/>
    <n v="1971.0000000000002"/>
  </r>
  <r>
    <x v="3"/>
    <s v="KADORWA"/>
    <s v="Public"/>
    <x v="0"/>
    <s v="Nyamagabe"/>
    <s v="Musange"/>
    <s v="NNYU_2"/>
    <s v="Mwogo Sub-Catchment"/>
    <n v="2626.9488000000001"/>
  </r>
  <r>
    <x v="3"/>
    <s v="MASONGERA"/>
    <s v="Public"/>
    <x v="0"/>
    <s v="Nyamagabe"/>
    <s v="Musange"/>
    <s v="NNYU_2"/>
    <s v="Mwogo Sub-Catchment"/>
    <n v="1750.248"/>
  </r>
  <r>
    <x v="3"/>
    <s v="CYUZI"/>
    <s v="Public"/>
    <x v="0"/>
    <s v="Nyamagabe"/>
    <s v="Musange"/>
    <s v="NNYU_2"/>
    <s v="Mwogo Sub-Catchment"/>
    <n v="1313.4744000000001"/>
  </r>
  <r>
    <x v="3"/>
    <s v="KAVOMO"/>
    <s v="Public"/>
    <x v="0"/>
    <s v="Nyamagabe"/>
    <s v="Musange"/>
    <s v="NNYU_2"/>
    <s v="Mwogo Sub-Catchment"/>
    <n v="1971.0000000000002"/>
  </r>
  <r>
    <x v="3"/>
    <s v="KADUDU"/>
    <s v="Public"/>
    <x v="0"/>
    <s v="Nyamagabe"/>
    <s v="Musange"/>
    <s v="NNYU_2"/>
    <s v="Mwogo Sub-Catchment"/>
    <n v="1313.9474400000001"/>
  </r>
  <r>
    <x v="3"/>
    <s v="GIHARARO"/>
    <s v="Public"/>
    <x v="0"/>
    <s v="Nyamagabe"/>
    <s v="Musange"/>
    <s v="NNYU_2"/>
    <s v="Mwogo Sub-Catchment"/>
    <n v="1971.0000000000002"/>
  </r>
  <r>
    <x v="3"/>
    <s v="GASAYO"/>
    <s v="Public"/>
    <x v="0"/>
    <s v="Nyamagabe"/>
    <s v="Musange"/>
    <s v="NNYU_2"/>
    <s v="Mwogo Sub-Catchment"/>
    <n v="1750.248"/>
  </r>
  <r>
    <x v="3"/>
    <s v="GATOKI"/>
    <s v="Public"/>
    <x v="0"/>
    <s v="Nyamagabe"/>
    <s v="Musange"/>
    <s v="NNYU_2"/>
    <s v="Mwogo Sub-Catchment"/>
    <n v="5250.7439999999997"/>
  </r>
  <r>
    <x v="3"/>
    <s v="KIBUMBIRO"/>
    <s v="Public"/>
    <x v="0"/>
    <s v="Nyamagabe"/>
    <s v="Musange"/>
    <s v="NNYU_2"/>
    <s v="Mwogo Sub-Catchment"/>
    <n v="2627.8948800000003"/>
  </r>
  <r>
    <x v="3"/>
    <s v="MUGAKOMBE"/>
    <s v="Public"/>
    <x v="0"/>
    <s v="Nyamagabe"/>
    <s v="Musange"/>
    <s v="NNYU_2"/>
    <s v="Mwogo Sub-Catchment"/>
    <n v="3942.0000000000005"/>
  </r>
  <r>
    <x v="3"/>
    <s v="KIBUMBIRO"/>
    <s v="Public"/>
    <x v="0"/>
    <s v="Nyamagabe"/>
    <s v="Musange"/>
    <s v="NNYU_2"/>
    <s v="Mwogo Sub-Catchment"/>
    <n v="3942.0000000000005"/>
  </r>
  <r>
    <x v="3"/>
    <s v="GATOKI"/>
    <s v="Public"/>
    <x v="0"/>
    <s v="Nyamagabe"/>
    <s v="Musange"/>
    <s v="NNYU_2"/>
    <s v="Mwogo Sub-Catchment"/>
    <n v="2759.4"/>
  </r>
  <r>
    <x v="3"/>
    <s v="KARUTOBO"/>
    <s v="Public"/>
    <x v="0"/>
    <s v="Nyamagabe"/>
    <s v="Musange"/>
    <s v="NNYU_2"/>
    <s v="Mwogo Sub-Catchment"/>
    <n v="2365.2000000000003"/>
  </r>
  <r>
    <x v="3"/>
    <s v="MUKIVUBA"/>
    <s v="Public"/>
    <x v="0"/>
    <s v="Nyamagabe"/>
    <s v="Musange"/>
    <s v="NNYU_2"/>
    <s v="Mwogo Sub-Catchment"/>
    <n v="2626.9488000000001"/>
  </r>
  <r>
    <x v="3"/>
    <s v="GATARE"/>
    <s v="Public"/>
    <x v="0"/>
    <s v="Nyamagabe"/>
    <s v="Musange"/>
    <s v="NNYU_2"/>
    <s v="Mwogo Sub-Catchment"/>
    <n v="3942.0000000000005"/>
  </r>
  <r>
    <x v="3"/>
    <s v="MUTUNTU 3"/>
    <s v="Public"/>
    <x v="0"/>
    <s v="Nyamagabe"/>
    <s v="Musange"/>
    <s v="NNYU_2"/>
    <s v="Mwogo Sub-Catchment"/>
    <n v="1750.248"/>
  </r>
  <r>
    <x v="3"/>
    <s v="MUTUNTU2"/>
    <s v="Public"/>
    <x v="0"/>
    <s v="Nyamagabe"/>
    <s v="Musange"/>
    <s v="NNYU_2"/>
    <s v="Mwogo Sub-Catchment"/>
    <n v="2626.9488000000001"/>
  </r>
  <r>
    <x v="3"/>
    <s v="KINYOGO"/>
    <s v="Public"/>
    <x v="0"/>
    <s v="Nyamagabe"/>
    <s v="Musange"/>
    <s v="NNYU_2"/>
    <s v="Mwogo Sub-Catchment"/>
    <n v="1313.4744000000001"/>
  </r>
  <r>
    <x v="3"/>
    <s v="GATARE"/>
    <s v="Public"/>
    <x v="0"/>
    <s v="Nyamagabe"/>
    <s v="Musange"/>
    <s v="NNYU_2"/>
    <s v="Mwogo Sub-Catchment"/>
    <n v="2128.6800000000003"/>
  </r>
  <r>
    <x v="3"/>
    <s v="GASIZA"/>
    <s v="Public"/>
    <x v="0"/>
    <s v="Nyamagabe"/>
    <s v="Musange"/>
    <s v="NNYU_2"/>
    <s v="Mwogo Sub-Catchment"/>
    <n v="1971.0000000000002"/>
  </r>
  <r>
    <x v="3"/>
    <s v="GASAVE"/>
    <s v="Public"/>
    <x v="0"/>
    <s v="Nyamagabe"/>
    <s v="Musange"/>
    <s v="NNYU_2"/>
    <s v="Mwogo Sub-Catchment"/>
    <n v="7884.0000000000009"/>
  </r>
  <r>
    <x v="3"/>
    <s v="MUTUNTU"/>
    <s v="Public"/>
    <x v="0"/>
    <s v="Nyamagabe"/>
    <s v="Musange"/>
    <s v="NNYU_2"/>
    <s v="Mwogo Sub-Catchment"/>
    <n v="1971.0000000000002"/>
  </r>
  <r>
    <x v="3"/>
    <s v="KANYOGO"/>
    <s v="Public"/>
    <x v="0"/>
    <s v="Nyamagabe"/>
    <s v="Musange"/>
    <s v="NNYU_2"/>
    <s v="Mwogo Sub-Catchment"/>
    <n v="525.54744000000005"/>
  </r>
  <r>
    <x v="3"/>
    <s v="GAHONDO"/>
    <s v="Public"/>
    <x v="0"/>
    <s v="Nyamagabe"/>
    <s v="Musange"/>
    <s v="NNYU_2"/>
    <s v="Mwogo Sub-Catchment"/>
    <n v="1971.0000000000002"/>
  </r>
  <r>
    <x v="3"/>
    <s v="MUHORORO"/>
    <s v="Public"/>
    <x v="0"/>
    <s v="Nyamagabe"/>
    <s v="Musange"/>
    <s v="NNYU_2"/>
    <s v="Mwogo Sub-Catchment"/>
    <n v="8751.2400000000016"/>
  </r>
  <r>
    <x v="3"/>
    <s v="GATARE"/>
    <s v="Public"/>
    <x v="0"/>
    <s v="Nyamagabe"/>
    <s v="Musange"/>
    <s v="NNYU_2"/>
    <s v="Mwogo Sub-Catchment"/>
    <n v="3942.0000000000005"/>
  </r>
  <r>
    <x v="3"/>
    <s v="MUKAGATI"/>
    <s v="Public"/>
    <x v="0"/>
    <s v="Nyamagabe"/>
    <s v="Musange"/>
    <s v="NNYU_2"/>
    <s v="Mwogo Sub-Catchment"/>
    <n v="3942.0000000000005"/>
  </r>
  <r>
    <x v="3"/>
    <s v="KIRUMBI"/>
    <s v="Public"/>
    <x v="0"/>
    <s v="Nyamagabe"/>
    <s v="Musange"/>
    <s v="NNYU_2"/>
    <s v="Mwogo Sub-Catchment"/>
    <n v="1751.8248000000001"/>
  </r>
  <r>
    <x v="3"/>
    <s v="BIGUGE"/>
    <s v="Public"/>
    <x v="0"/>
    <s v="Nyamagabe"/>
    <s v="Musange"/>
    <s v="NNYU_2"/>
    <s v="Mwogo Sub-Catchment"/>
    <n v="1971.0000000000002"/>
  </r>
  <r>
    <x v="3"/>
    <s v="NYAKABINGO"/>
    <s v="Public"/>
    <x v="0"/>
    <s v="Huye"/>
    <s v="Ruhashya"/>
    <s v="NNYU_2"/>
    <s v="Mwogo Sub-Catchment"/>
    <n v="1892.16"/>
  </r>
  <r>
    <x v="3"/>
    <s v="KWAKABAYIZA"/>
    <s v="Public"/>
    <x v="0"/>
    <s v="Huye"/>
    <s v="Ruhashya"/>
    <s v="NNYU_2"/>
    <s v="Mwogo Sub-Catchment"/>
    <n v="2365.2000000000003"/>
  </r>
  <r>
    <x v="3"/>
    <s v="KAMYORI"/>
    <s v="Public"/>
    <x v="0"/>
    <s v="Huye"/>
    <s v="Ruhashya"/>
    <s v="NNYU_2"/>
    <s v="Mwogo Sub-Catchment"/>
    <n v="1261.44"/>
  </r>
  <r>
    <x v="3"/>
    <s v="GATARE"/>
    <s v="Public"/>
    <x v="0"/>
    <s v="Huye"/>
    <s v="Ruhashya"/>
    <s v="NNYU_2"/>
    <s v="Mwogo Sub-Catchment"/>
    <n v="3468.9600000000005"/>
  </r>
  <r>
    <x v="3"/>
    <s v="NYAKAGEZI"/>
    <s v="Public"/>
    <x v="0"/>
    <s v="Huye"/>
    <s v="Ruhashya"/>
    <s v="NNYU_2"/>
    <s v="Mwogo Sub-Catchment"/>
    <n v="5834.1600000000008"/>
  </r>
  <r>
    <x v="3"/>
    <s v="KIRUHURA"/>
    <s v="Public"/>
    <x v="0"/>
    <s v="Huye"/>
    <s v="Ruhashya"/>
    <s v="NNYU_2"/>
    <s v="Mwogo Sub-Catchment"/>
    <n v="2049.84"/>
  </r>
  <r>
    <x v="3"/>
    <s v="RWABITEBA"/>
    <s v="Public"/>
    <x v="0"/>
    <s v="Huye"/>
    <s v="Ruhashya"/>
    <s v="NNYU_2"/>
    <s v="Mwogo Sub-Catchment"/>
    <n v="4099.68"/>
  </r>
  <r>
    <x v="3"/>
    <s v="NANGAMASHYONGO"/>
    <s v="Public"/>
    <x v="0"/>
    <s v="Huye"/>
    <s v="Ruhashya"/>
    <s v="NNYU_2"/>
    <s v="Mwogo Sub-Catchment"/>
    <n v="1892.16"/>
  </r>
  <r>
    <x v="3"/>
    <s v="NYAKAGEZI II"/>
    <s v="Public"/>
    <x v="0"/>
    <s v="Huye"/>
    <s v="Ruhashya"/>
    <s v="NNYU_2"/>
    <s v="Mwogo Sub-Catchment"/>
    <n v="9618.4800000000014"/>
  </r>
  <r>
    <x v="3"/>
    <s v="NYAKAGEZI I"/>
    <s v="Public"/>
    <x v="0"/>
    <s v="Huye"/>
    <s v="Ruhashya"/>
    <s v="NNYU_2"/>
    <s v="Mwogo Sub-Catchment"/>
    <n v="4730.4000000000005"/>
  </r>
  <r>
    <x v="3"/>
    <s v="RWASEMUZURA"/>
    <s v="Public"/>
    <x v="0"/>
    <s v="Huye"/>
    <s v="Ruhashya"/>
    <s v="NNYU_2"/>
    <s v="Mwogo Sub-Catchment"/>
    <n v="3153.6000000000004"/>
  </r>
  <r>
    <x v="3"/>
    <s v="SALUS"/>
    <s v="Public"/>
    <x v="0"/>
    <s v="Huye"/>
    <s v="Ruhashya"/>
    <s v="NNYU_2"/>
    <s v="Mwogo Sub-Catchment"/>
    <n v="3153.6000000000004"/>
  </r>
  <r>
    <x v="3"/>
    <s v="RWAMUHUTU"/>
    <s v="Public"/>
    <x v="0"/>
    <s v="Huye"/>
    <s v="Ruhashya"/>
    <s v="NNYU_2"/>
    <s v="Mwogo Sub-Catchment"/>
    <n v="1576.8000000000002"/>
  </r>
  <r>
    <x v="3"/>
    <s v="NYIRAKANYANA"/>
    <s v="Public"/>
    <x v="0"/>
    <s v="Huye"/>
    <s v="Ruhashya"/>
    <s v="NNYU_2"/>
    <s v="Mwogo Sub-Catchment"/>
    <n v="2365.2000000000003"/>
  </r>
  <r>
    <x v="3"/>
    <s v="AGASTANDAMIKIKO"/>
    <s v="Public"/>
    <x v="0"/>
    <s v="Huye"/>
    <s v="Ruhashya"/>
    <s v="NNYU_2"/>
    <s v="Mwogo Sub-Catchment"/>
    <n v="2365.2000000000003"/>
  </r>
  <r>
    <x v="3"/>
    <s v="GATARE A"/>
    <s v="Public"/>
    <x v="0"/>
    <s v="Huye"/>
    <s v="Ruhashya"/>
    <s v="NNYU_2"/>
    <s v="Mwogo Sub-Catchment"/>
    <n v="1103.7600000000002"/>
  </r>
  <r>
    <x v="3"/>
    <s v="GAHAMA"/>
    <s v="Public"/>
    <x v="0"/>
    <s v="Huye"/>
    <s v="Ruhashya"/>
    <s v="NNYU_2"/>
    <s v="Mwogo Sub-Catchment"/>
    <n v="1576.8000000000002"/>
  </r>
  <r>
    <x v="3"/>
    <s v="RWANYAMIHARE"/>
    <s v="Public"/>
    <x v="0"/>
    <s v="Huye"/>
    <s v="Ruhashya"/>
    <s v="NNYU_2"/>
    <s v="Mwogo Sub-Catchment"/>
    <n v="11037.6"/>
  </r>
  <r>
    <x v="3"/>
    <s v="AKARIBA"/>
    <s v="Public"/>
    <x v="0"/>
    <s v="Huye"/>
    <s v="Ruhashya"/>
    <s v="NNYU_2"/>
    <s v="Mwogo Sub-Catchment"/>
    <n v="3153.6000000000004"/>
  </r>
  <r>
    <x v="3"/>
    <s v="NYAKAGEZI"/>
    <s v="Public"/>
    <x v="0"/>
    <s v="Huye"/>
    <s v="Ruhashya"/>
    <s v="NNYU_2"/>
    <s v="Mwogo Sub-Catchment"/>
    <n v="7253.28"/>
  </r>
  <r>
    <x v="3"/>
    <s v="GITOKI"/>
    <s v="Public"/>
    <x v="0"/>
    <s v="Huye"/>
    <s v="Ruhashya"/>
    <s v="NNYU_2"/>
    <s v="Mwogo Sub-Catchment"/>
    <n v="5203.4400000000005"/>
  </r>
  <r>
    <x v="3"/>
    <s v="GACYURO"/>
    <s v="Public"/>
    <x v="0"/>
    <s v="Huye"/>
    <s v="Ruhashya"/>
    <s v="NNYU_2"/>
    <s v="Mwogo Sub-Catchment"/>
    <n v="10406.880000000001"/>
  </r>
  <r>
    <x v="3"/>
    <s v="AGAHAMA"/>
    <s v="Public"/>
    <x v="0"/>
    <s v="Huye"/>
    <s v="Ruhashya"/>
    <s v="NNYU_2"/>
    <s v="Mwogo Sub-Catchment"/>
    <n v="2522.88"/>
  </r>
  <r>
    <x v="3"/>
    <s v="RUGWA"/>
    <s v="Public"/>
    <x v="0"/>
    <s v="Huye"/>
    <s v="Ruhashya"/>
    <s v="NNYU_2"/>
    <s v="Mwogo Sub-Catchment"/>
    <n v="2207.5200000000004"/>
  </r>
  <r>
    <x v="3"/>
    <s v="RWAMUYOGORO"/>
    <s v="Public"/>
    <x v="0"/>
    <s v="Huye"/>
    <s v="Ruhashya"/>
    <s v="NNYU_2"/>
    <s v="Mwogo Sub-Catchment"/>
    <n v="8514.7200000000012"/>
  </r>
  <r>
    <x v="3"/>
    <s v="BWIYANDO"/>
    <s v="Public"/>
    <x v="0"/>
    <s v="Huye"/>
    <s v="Ruhashya"/>
    <s v="NNYU_2"/>
    <s v="Mwogo Sub-Catchment"/>
    <n v="1419.12"/>
  </r>
  <r>
    <x v="3"/>
    <s v="RWAKARORA"/>
    <s v="Public"/>
    <x v="0"/>
    <s v="Huye"/>
    <s v="Ruhashya"/>
    <s v="NNYU_2"/>
    <s v="Mwogo Sub-Catchment"/>
    <n v="3468.9600000000005"/>
  </r>
  <r>
    <x v="3"/>
    <s v="NYAKARIBA"/>
    <s v="Public"/>
    <x v="0"/>
    <s v="Huye"/>
    <s v="Ruhashya"/>
    <s v="NNYU_2"/>
    <s v="Mwogo Sub-Catchment"/>
    <n v="1734.4800000000002"/>
  </r>
  <r>
    <x v="3"/>
    <s v="HOBAHO"/>
    <s v="Public"/>
    <x v="0"/>
    <s v="Huye"/>
    <s v="Ruhashya"/>
    <s v="NNYU_2"/>
    <s v="Mwogo Sub-Catchment"/>
    <n v="1103.7600000000002"/>
  </r>
  <r>
    <x v="3"/>
    <s v="AGAKOMEYE"/>
    <s v="Public"/>
    <x v="0"/>
    <s v="Huye"/>
    <s v="Ruhashya"/>
    <s v="NNYU_2"/>
    <s v="Mwogo Sub-Catchment"/>
    <n v="1103.7600000000002"/>
  </r>
  <r>
    <x v="3"/>
    <s v="NANGAMATIKU"/>
    <s v="Public"/>
    <x v="0"/>
    <s v="Huye"/>
    <s v="Ruhashya"/>
    <s v="NNYU_2"/>
    <s v="Mwogo Sub-Catchment"/>
    <n v="1734.4800000000002"/>
  </r>
  <r>
    <x v="3"/>
    <s v="RWAGAHARA"/>
    <s v="Public"/>
    <x v="0"/>
    <s v="Huye"/>
    <s v="Ruhashya"/>
    <s v="NNYU_2"/>
    <s v="Mwogo Sub-Catchment"/>
    <n v="630.72"/>
  </r>
  <r>
    <x v="3"/>
    <s v="NYABITARE A"/>
    <s v="Public"/>
    <x v="0"/>
    <s v="Huye"/>
    <s v="Ruhashya"/>
    <s v="NNYU_2"/>
    <s v="Mwogo Sub-Catchment"/>
    <n v="1103.7600000000002"/>
  </r>
  <r>
    <x v="3"/>
    <s v="NANGA"/>
    <s v="Public"/>
    <x v="0"/>
    <s v="Huye"/>
    <s v="Ruhashya"/>
    <s v="NNYU_2"/>
    <s v="Mwogo Sub-Catchment"/>
    <n v="946.08"/>
  </r>
  <r>
    <x v="3"/>
    <s v="RWABUGEGERA"/>
    <s v="Public"/>
    <x v="0"/>
    <s v="Huye"/>
    <s v="Ruhashya"/>
    <s v="NNYU_2"/>
    <s v="Mwogo Sub-Catchment"/>
    <n v="2365.2000000000003"/>
  </r>
  <r>
    <x v="3"/>
    <s v="NYAKAGENZI"/>
    <s v="Public"/>
    <x v="0"/>
    <s v="Huye"/>
    <s v="Ruhashya"/>
    <s v="NNYU_2"/>
    <s v="Mwogo Sub-Catchment"/>
    <n v="2680.56"/>
  </r>
  <r>
    <x v="3"/>
    <s v="NYAKABINGO"/>
    <s v="Public"/>
    <x v="0"/>
    <s v="Huye"/>
    <s v="Ruhashya"/>
    <s v="NNYU_2"/>
    <s v="Mwogo Sub-Catchment"/>
    <n v="630.72"/>
  </r>
  <r>
    <x v="3"/>
    <s v="KAGINA"/>
    <s v="Public"/>
    <x v="0"/>
    <s v="Huye"/>
    <s v="Ruhashya"/>
    <s v="NNYU_2"/>
    <s v="Mwogo Sub-Catchment"/>
    <n v="2522.88"/>
  </r>
  <r>
    <x v="3"/>
    <s v="RURANGAZA"/>
    <s v="Public"/>
    <x v="0"/>
    <s v="Huye"/>
    <s v="Ruhashya"/>
    <s v="NNYU_2"/>
    <s v="Mwogo Sub-Catchment"/>
    <n v="4888.0800000000008"/>
  </r>
  <r>
    <x v="3"/>
    <s v="SEMIGABO"/>
    <s v="Public"/>
    <x v="0"/>
    <s v="Huye"/>
    <s v="Ruhashya"/>
    <s v="NNYU_2"/>
    <s v="Mwogo Sub-Catchment"/>
    <n v="1419.12"/>
  </r>
  <r>
    <x v="3"/>
    <s v="NYABITARE"/>
    <s v="Public"/>
    <x v="0"/>
    <s v="Huye"/>
    <s v="Ruhashya"/>
    <s v="NNYU_2"/>
    <s v="Mwogo Sub-Catchment"/>
    <n v="3626.64"/>
  </r>
  <r>
    <x v="3"/>
    <s v="RUNUKANGOMA"/>
    <s v="Public"/>
    <x v="0"/>
    <s v="Huye"/>
    <s v="Ruhashya"/>
    <s v="NNYU_2"/>
    <s v="Mwogo Sub-Catchment"/>
    <n v="2365.2000000000003"/>
  </r>
  <r>
    <x v="3"/>
    <s v="NYIRAKAYOBE"/>
    <s v="Public"/>
    <x v="0"/>
    <s v="Huye"/>
    <s v="Ruhashya"/>
    <s v="NNYU_2"/>
    <s v="Mwogo Sub-Catchment"/>
    <n v="1892.16"/>
  </r>
  <r>
    <x v="3"/>
    <s v="MAGANURA"/>
    <s v="Public"/>
    <x v="0"/>
    <s v="Huye"/>
    <s v="Ruhashya"/>
    <s v="NNYU_2"/>
    <s v="Mwogo Sub-Catchment"/>
    <n v="8514.7200000000012"/>
  </r>
  <r>
    <x v="3"/>
    <s v="GATARE A"/>
    <s v="Public"/>
    <x v="0"/>
    <s v="Huye"/>
    <s v="Ruhashya"/>
    <s v="NNYU_2"/>
    <s v="Mwogo Sub-Catchment"/>
    <n v="0"/>
  </r>
  <r>
    <x v="3"/>
    <s v="GATARE B"/>
    <s v="Public"/>
    <x v="0"/>
    <s v="Huye"/>
    <s v="Ruhashya"/>
    <s v="NNYU_2"/>
    <s v="Mwogo Sub-Catchment"/>
    <n v="1103.7600000000002"/>
  </r>
  <r>
    <x v="3"/>
    <s v="RWARUHARAGE"/>
    <s v="Public"/>
    <x v="0"/>
    <s v="Huye"/>
    <s v="Ruhashya"/>
    <s v="NNYU_2"/>
    <s v="Mwogo Sub-Catchment"/>
    <n v="473.04"/>
  </r>
  <r>
    <x v="3"/>
    <s v="GATARE"/>
    <s v="Public"/>
    <x v="0"/>
    <s v="Huye"/>
    <s v="Ruhashya"/>
    <s v="NNYU_2"/>
    <s v="Mwogo Sub-Catchment"/>
    <n v="788.40000000000009"/>
  </r>
  <r>
    <x v="3"/>
    <s v="RUGWA"/>
    <s v="Public"/>
    <x v="0"/>
    <s v="Huye"/>
    <s v="Ruhashya"/>
    <s v="NNYU_2"/>
    <s v="Mwogo Sub-Catchment"/>
    <n v="1419.12"/>
  </r>
  <r>
    <x v="3"/>
    <s v="KAYENZI"/>
    <s v="Public"/>
    <x v="0"/>
    <s v="Huye"/>
    <s v="Ruhashya"/>
    <s v="NNYU_2"/>
    <s v="Mwogo Sub-Catchment"/>
    <n v="946.08"/>
  </r>
  <r>
    <x v="3"/>
    <s v="MUHAYA"/>
    <s v="Public"/>
    <x v="0"/>
    <s v="Huye"/>
    <s v="Ruhashya"/>
    <s v="NNYU_2"/>
    <s v="Mwogo Sub-Catchment"/>
    <n v="473.04"/>
  </r>
  <r>
    <x v="3"/>
    <s v="KANYINYA"/>
    <s v="Public"/>
    <x v="0"/>
    <s v="Huye"/>
    <s v="Ruhashya"/>
    <s v="NNYU_2"/>
    <s v="Mwogo Sub-Catchment"/>
    <n v="630.72"/>
  </r>
  <r>
    <x v="3"/>
    <s v="GAKONI"/>
    <s v="Public"/>
    <x v="0"/>
    <s v="Huye"/>
    <s v="Ruhashya"/>
    <s v="NNYU_2"/>
    <s v="Mwogo Sub-Catchment"/>
    <n v="4572.72"/>
  </r>
  <r>
    <x v="3"/>
    <s v="MASHYOZA"/>
    <s v="Public"/>
    <x v="0"/>
    <s v="Huye"/>
    <s v="Ruhashya"/>
    <s v="NNYU_2"/>
    <s v="Mwogo Sub-Catchment"/>
    <n v="630.72"/>
  </r>
  <r>
    <x v="3"/>
    <s v="MUGAHARWE"/>
    <s v="Public"/>
    <x v="0"/>
    <s v="Nyaruguru"/>
    <s v="Ruramba"/>
    <s v="NNYU_2"/>
    <s v="Mwogo Sub-Catchment"/>
    <n v="5676.48"/>
  </r>
  <r>
    <x v="3"/>
    <s v="MUGISENYI"/>
    <s v="Public"/>
    <x v="0"/>
    <s v="Nyaruguru"/>
    <s v="Ruramba"/>
    <s v="NNYU_2"/>
    <s v="Mwogo Sub-Catchment"/>
    <n v="3468.9600000000005"/>
  </r>
  <r>
    <x v="3"/>
    <s v="MUTUBUBURU"/>
    <s v="Public"/>
    <x v="0"/>
    <s v="Nyaruguru"/>
    <s v="Ruramba"/>
    <s v="NNYU_2"/>
    <s v="Mwogo Sub-Catchment"/>
    <n v="9776.1600000000017"/>
  </r>
  <r>
    <x v="3"/>
    <s v="MURUSEKE"/>
    <s v="Public"/>
    <x v="0"/>
    <s v="Nyaruguru"/>
    <s v="Ruramba"/>
    <s v="NNYU_2"/>
    <s v="Mwogo Sub-Catchment"/>
    <n v="3468.9600000000005"/>
  </r>
  <r>
    <x v="3"/>
    <s v="UWIMIYANGE"/>
    <s v="Public"/>
    <x v="0"/>
    <s v="Nyaruguru"/>
    <s v="Ruramba"/>
    <s v="NNYU_2"/>
    <s v="Mwogo Sub-Catchment"/>
    <n v="1261.44"/>
  </r>
  <r>
    <x v="3"/>
    <s v="MUWINZOKA"/>
    <s v="Public"/>
    <x v="0"/>
    <s v="Nyaruguru"/>
    <s v="Ruramba"/>
    <s v="NNYU_2"/>
    <s v="Mwogo Sub-Catchment"/>
    <n v="4257.3600000000006"/>
  </r>
  <r>
    <x v="3"/>
    <s v="UWUMUGEZI"/>
    <s v="Public"/>
    <x v="0"/>
    <s v="Nyaruguru"/>
    <s v="Ruramba"/>
    <s v="NNYU_2"/>
    <s v="Mwogo Sub-Catchment"/>
    <n v="630.72"/>
  </r>
  <r>
    <x v="3"/>
    <s v="AGATARE"/>
    <s v="Public"/>
    <x v="0"/>
    <s v="Nyaruguru"/>
    <s v="Ruramba"/>
    <s v="NNYU_2"/>
    <s v="Mwogo Sub-Catchment"/>
    <n v="2680.56"/>
  </r>
  <r>
    <x v="3"/>
    <s v="MUGAHAMA"/>
    <s v="Public"/>
    <x v="0"/>
    <s v="Nyaruguru"/>
    <s v="Ruramba"/>
    <s v="NNYU_2"/>
    <s v="Mwogo Sub-Catchment"/>
    <n v="189216.00000000003"/>
  </r>
  <r>
    <x v="3"/>
    <s v="NYAKAGEZI"/>
    <s v="Public"/>
    <x v="0"/>
    <s v="Nyaruguru"/>
    <s v="Ruramba"/>
    <s v="NNYU_2"/>
    <s v="Mwogo Sub-Catchment"/>
    <n v="946.08"/>
  </r>
  <r>
    <x v="3"/>
    <s v="NYARWUNGO"/>
    <s v="Public"/>
    <x v="0"/>
    <s v="Nyaruguru"/>
    <s v="Ruramba"/>
    <s v="NNYU_2"/>
    <s v="Mwogo Sub-Catchment"/>
    <n v="788.40000000000009"/>
  </r>
  <r>
    <x v="3"/>
    <s v="KAZIBAZIBA"/>
    <s v="Public"/>
    <x v="0"/>
    <s v="Nyaruguru"/>
    <s v="Ruramba"/>
    <s v="NNYU_2"/>
    <s v="Mwogo Sub-Catchment"/>
    <n v="3153.6000000000004"/>
  </r>
  <r>
    <x v="3"/>
    <s v="CYARUKUSHYA"/>
    <s v="Public"/>
    <x v="0"/>
    <s v="Nyaruguru"/>
    <s v="Ruramba"/>
    <s v="NNYU_2"/>
    <s v="Mwogo Sub-Catchment"/>
    <n v="3784.32"/>
  </r>
  <r>
    <x v="3"/>
    <s v="KUKAMWUMBA"/>
    <s v="Public"/>
    <x v="0"/>
    <s v="Nyaruguru"/>
    <s v="Ruramba"/>
    <s v="NNYU_2"/>
    <s v="Mwogo Sub-Catchment"/>
    <n v="2207.5200000000004"/>
  </r>
  <r>
    <x v="3"/>
    <s v="BIBANDE"/>
    <s v="Public"/>
    <x v="0"/>
    <s v="Nyaruguru"/>
    <s v="Ruramba"/>
    <s v="NNYU_2"/>
    <s v="Mwogo Sub-Catchment"/>
    <n v="1261.44"/>
  </r>
  <r>
    <x v="3"/>
    <s v="KUKUMUGEZI"/>
    <s v="Public"/>
    <x v="0"/>
    <s v="Nyaruguru"/>
    <s v="Ruramba"/>
    <s v="NNYU_2"/>
    <s v="Mwogo Sub-Catchment"/>
    <n v="2049.84"/>
  </r>
  <r>
    <x v="3"/>
    <s v="RWIMBOGO"/>
    <s v="Public"/>
    <x v="0"/>
    <s v="Nyaruguru"/>
    <s v="Ruramba"/>
    <s v="NNYU_2"/>
    <s v="Mwogo Sub-Catchment"/>
    <n v="3942.0000000000005"/>
  </r>
  <r>
    <x v="3"/>
    <s v="UWBAJAGARI"/>
    <s v="Public"/>
    <x v="0"/>
    <s v="Nyaruguru"/>
    <s v="Ruramba"/>
    <s v="NNYU_2"/>
    <s v="Mwogo Sub-Catchment"/>
    <n v="2838.24"/>
  </r>
  <r>
    <x v="3"/>
    <s v="NYAKAGEZI"/>
    <s v="Public"/>
    <x v="0"/>
    <s v="Nyaruguru"/>
    <s v="Ruramba"/>
    <s v="NNYU_2"/>
    <s v="Mwogo Sub-Catchment"/>
    <n v="2838.24"/>
  </r>
  <r>
    <x v="3"/>
    <s v="CYAMUGUGE"/>
    <s v="Public"/>
    <x v="0"/>
    <s v="Nyaruguru"/>
    <s v="Ruramba"/>
    <s v="NNYU_2"/>
    <s v="Mwogo Sub-Catchment"/>
    <n v="1576.8000000000002"/>
  </r>
  <r>
    <x v="3"/>
    <s v="GASEKE"/>
    <s v="Public"/>
    <x v="0"/>
    <s v="Nyaruguru"/>
    <s v="Ruramba"/>
    <s v="NNYU_2"/>
    <s v="Mwogo Sub-Catchment"/>
    <n v="2049.84"/>
  </r>
  <r>
    <x v="3"/>
    <s v="RWINKWARE"/>
    <s v="Public"/>
    <x v="0"/>
    <s v="Nyaruguru"/>
    <s v="Ruramba"/>
    <s v="NNYU_2"/>
    <s v="Mwogo Sub-Catchment"/>
    <n v="5518.8"/>
  </r>
  <r>
    <x v="3"/>
    <s v="RYUNGA"/>
    <s v="Public"/>
    <x v="0"/>
    <s v="Nyaruguru"/>
    <s v="Ruramba"/>
    <s v="NNYU_2"/>
    <s v="Mwogo Sub-Catchment"/>
    <n v="1734.4800000000002"/>
  </r>
  <r>
    <x v="3"/>
    <s v="KAGEZI"/>
    <s v="Public"/>
    <x v="0"/>
    <s v="Nyaruguru"/>
    <s v="Ruramba"/>
    <s v="NNYU_2"/>
    <s v="Mwogo Sub-Catchment"/>
    <n v="1261.44"/>
  </r>
  <r>
    <x v="3"/>
    <s v="KARUBONDO"/>
    <s v="Public"/>
    <x v="0"/>
    <s v="Nyaruguru"/>
    <s v="Ruramba"/>
    <s v="NNYU_2"/>
    <s v="Mwogo Sub-Catchment"/>
    <n v="1734.4800000000002"/>
  </r>
  <r>
    <x v="3"/>
    <s v="NYAMUKO"/>
    <s v="Public"/>
    <x v="0"/>
    <s v="Huye"/>
    <s v="Rusatira"/>
    <s v="NNYU_2"/>
    <s v="Mwogo Sub-Catchment"/>
    <n v="1040.6880000000001"/>
  </r>
  <r>
    <x v="3"/>
    <s v="RWANKUBA"/>
    <s v="Public"/>
    <x v="0"/>
    <s v="Huye"/>
    <s v="Rusatira"/>
    <s v="NNYU_2"/>
    <s v="Mwogo Sub-Catchment"/>
    <n v="1734.4800000000002"/>
  </r>
  <r>
    <x v="3"/>
    <s v="KWANTENGATA"/>
    <s v="Public"/>
    <x v="0"/>
    <s v="Huye"/>
    <s v="Rusatira"/>
    <s v="NNYU_2"/>
    <s v="Mwogo Sub-Catchment"/>
    <n v="10406.880000000001"/>
  </r>
  <r>
    <x v="3"/>
    <s v="GATOKI"/>
    <s v="Public"/>
    <x v="0"/>
    <s v="Huye"/>
    <s v="Rusatira"/>
    <s v="NNYU_2"/>
    <s v="Mwogo Sub-Catchment"/>
    <n v="6937.920000000001"/>
  </r>
  <r>
    <x v="3"/>
    <s v="KABINGO"/>
    <s v="Public"/>
    <x v="0"/>
    <s v="Huye"/>
    <s v="Rusatira"/>
    <s v="NNYU_2"/>
    <s v="Mwogo Sub-Catchment"/>
    <n v="1892.16"/>
  </r>
  <r>
    <x v="3"/>
    <s v="NYAMUKO"/>
    <s v="Public"/>
    <x v="0"/>
    <s v="Huye"/>
    <s v="Rusatira"/>
    <s v="NNYU_2"/>
    <s v="Mwogo Sub-Catchment"/>
    <n v="3153.6000000000004"/>
  </r>
  <r>
    <x v="3"/>
    <s v="RUTABURA"/>
    <s v="Public"/>
    <x v="0"/>
    <s v="Huye"/>
    <s v="Rusatira"/>
    <s v="NNYU_2"/>
    <s v="Mwogo Sub-Catchment"/>
    <n v="473.04"/>
  </r>
  <r>
    <x v="3"/>
    <s v="KIBYEYI"/>
    <s v="Public"/>
    <x v="0"/>
    <s v="Huye"/>
    <s v="Rusatira"/>
    <s v="NNYU_2"/>
    <s v="Mwogo Sub-Catchment"/>
    <n v="409.96800000000002"/>
  </r>
  <r>
    <x v="3"/>
    <s v="RUVUGIRANA"/>
    <s v="Public"/>
    <x v="0"/>
    <s v="Huye"/>
    <s v="Rusatira"/>
    <s v="NNYU_2"/>
    <s v="Mwogo Sub-Catchment"/>
    <n v="1734.4800000000002"/>
  </r>
  <r>
    <x v="3"/>
    <s v="NYAGASHANGA"/>
    <s v="Public"/>
    <x v="0"/>
    <s v="Huye"/>
    <s v="Rusatira"/>
    <s v="NNYU_2"/>
    <s v="Mwogo Sub-Catchment"/>
    <n v="0"/>
  </r>
  <r>
    <x v="3"/>
    <s v="KANYAMA"/>
    <s v="Public"/>
    <x v="0"/>
    <s v="Huye"/>
    <s v="Rusatira"/>
    <s v="NNYU_2"/>
    <s v="Mwogo Sub-Catchment"/>
    <n v="2207.5200000000004"/>
  </r>
  <r>
    <x v="3"/>
    <s v="MUKO"/>
    <s v="Public"/>
    <x v="0"/>
    <s v="Huye"/>
    <s v="Rusatira"/>
    <s v="NNYU_2"/>
    <s v="Mwogo Sub-Catchment"/>
    <n v="1419.12"/>
  </r>
  <r>
    <x v="3"/>
    <s v="MURWANDABANDISHYE"/>
    <s v="Public"/>
    <x v="0"/>
    <s v="Huye"/>
    <s v="Rusatira"/>
    <s v="NNYU_2"/>
    <s v="Mwogo Sub-Catchment"/>
    <n v="0"/>
  </r>
  <r>
    <x v="3"/>
    <s v="MUKO"/>
    <s v="Public"/>
    <x v="0"/>
    <s v="Huye"/>
    <s v="Rusatira"/>
    <s v="NNYU_2"/>
    <s v="Mwogo Sub-Catchment"/>
    <n v="3311.2799999999997"/>
  </r>
  <r>
    <x v="3"/>
    <s v="KAYENZI"/>
    <s v="Public"/>
    <x v="0"/>
    <s v="Huye"/>
    <s v="Rusatira"/>
    <s v="NNYU_2"/>
    <s v="Mwogo Sub-Catchment"/>
    <n v="394.20000000000005"/>
  </r>
  <r>
    <x v="3"/>
    <s v="NYAKARIBA"/>
    <s v="Public"/>
    <x v="0"/>
    <s v="Huye"/>
    <s v="Rusatira"/>
    <s v="NNYU_2"/>
    <s v="Mwogo Sub-Catchment"/>
    <n v="2522.88"/>
  </r>
  <r>
    <x v="3"/>
    <s v="MUWIMANA"/>
    <s v="Public"/>
    <x v="0"/>
    <s v="Huye"/>
    <s v="Rusatira"/>
    <s v="NNYU_2"/>
    <s v="Mwogo Sub-Catchment"/>
    <n v="2995.92"/>
  </r>
  <r>
    <x v="3"/>
    <s v="GATOKI A"/>
    <s v="Public"/>
    <x v="0"/>
    <s v="Huye"/>
    <s v="Rusatira"/>
    <s v="NNYU_2"/>
    <s v="Mwogo Sub-Catchment"/>
    <n v="2522.88"/>
  </r>
  <r>
    <x v="3"/>
    <s v="NYAMUKO"/>
    <s v="Public"/>
    <x v="0"/>
    <s v="Huye"/>
    <s v="Rusatira"/>
    <s v="NNYU_2"/>
    <s v="Mwogo Sub-Catchment"/>
    <n v="2207.5200000000004"/>
  </r>
  <r>
    <x v="3"/>
    <s v="NYABIHANGA"/>
    <s v="Public"/>
    <x v="0"/>
    <s v="Huye"/>
    <s v="Rusatira"/>
    <s v="NNYU_2"/>
    <s v="Mwogo Sub-Catchment"/>
    <n v="1576.8000000000002"/>
  </r>
  <r>
    <x v="3"/>
    <s v="BIRUMBA"/>
    <s v="Public"/>
    <x v="0"/>
    <s v="Huye"/>
    <s v="Rusatira"/>
    <s v="NNYU_2"/>
    <s v="Mwogo Sub-Catchment"/>
    <n v="1103.7600000000002"/>
  </r>
  <r>
    <x v="3"/>
    <s v="RUBONA"/>
    <s v="Public"/>
    <x v="0"/>
    <s v="Huye"/>
    <s v="Rusatira"/>
    <s v="NNYU_2"/>
    <s v="Mwogo Sub-Catchment"/>
    <n v="3311.2799999999997"/>
  </r>
  <r>
    <x v="3"/>
    <s v="NYIRANKOKOMA"/>
    <s v="Public"/>
    <x v="0"/>
    <s v="Huye"/>
    <s v="Rusatira"/>
    <s v="NNYU_2"/>
    <s v="Mwogo Sub-Catchment"/>
    <n v="1576.8000000000002"/>
  </r>
  <r>
    <x v="3"/>
    <s v="NYAMUKANGAGA"/>
    <s v="Public"/>
    <x v="0"/>
    <s v="Huye"/>
    <s v="Rusatira"/>
    <s v="NNYU_2"/>
    <s v="Mwogo Sub-Catchment"/>
    <n v="315.36"/>
  </r>
  <r>
    <x v="3"/>
    <s v="NANGAMAHANE"/>
    <s v="Public"/>
    <x v="0"/>
    <s v="Huye"/>
    <s v="Rusatira"/>
    <s v="NNYU_2"/>
    <s v="Mwogo Sub-Catchment"/>
    <n v="788.40000000000009"/>
  </r>
  <r>
    <x v="3"/>
    <s v="NYAKIBYEYI"/>
    <s v="Public"/>
    <x v="0"/>
    <s v="Huye"/>
    <s v="Rusatira"/>
    <s v="NNYU_2"/>
    <s v="Mwogo Sub-Catchment"/>
    <n v="1419.12"/>
  </r>
  <r>
    <x v="3"/>
    <s v="KANOMBE"/>
    <s v="Public"/>
    <x v="0"/>
    <s v="Huye"/>
    <s v="Rusatira"/>
    <s v="NNYU_2"/>
    <s v="Mwogo Sub-Catchment"/>
    <n v="5834.1600000000008"/>
  </r>
  <r>
    <x v="3"/>
    <s v="NYAMIVU"/>
    <s v="Public"/>
    <x v="0"/>
    <s v="Huye"/>
    <s v="Rusatira"/>
    <s v="NNYU_2"/>
    <s v="Mwogo Sub-Catchment"/>
    <n v="1576.8000000000002"/>
  </r>
  <r>
    <x v="3"/>
    <s v="SUBUKINIRO"/>
    <s v="Public"/>
    <x v="0"/>
    <s v="Huye"/>
    <s v="Rusatira"/>
    <s v="NNYU_2"/>
    <s v="Mwogo Sub-Catchment"/>
    <n v="4257.3600000000006"/>
  </r>
  <r>
    <x v="3"/>
    <s v="NYAKARIBA"/>
    <s v="Public"/>
    <x v="0"/>
    <s v="Huye"/>
    <s v="Rusatira"/>
    <s v="NNYU_2"/>
    <s v="Mwogo Sub-Catchment"/>
    <n v="1261.44"/>
  </r>
  <r>
    <x v="3"/>
    <s v="RWABIGALI"/>
    <s v="Public"/>
    <x v="0"/>
    <s v="Huye"/>
    <s v="Rusatira"/>
    <s v="NNYU_2"/>
    <s v="Mwogo Sub-Catchment"/>
    <n v="1576.8000000000002"/>
  </r>
  <r>
    <x v="3"/>
    <s v="RWANKIKO"/>
    <s v="Public"/>
    <x v="0"/>
    <s v="Huye"/>
    <s v="Rusatira"/>
    <s v="NNYU_2"/>
    <s v="Mwogo Sub-Catchment"/>
    <n v="2680.56"/>
  </r>
  <r>
    <x v="3"/>
    <s v="NYAMATA"/>
    <s v="Public"/>
    <x v="0"/>
    <s v="Huye"/>
    <s v="Rusatira"/>
    <s v="NNYU_2"/>
    <s v="Mwogo Sub-Catchment"/>
    <n v="2365.2000000000003"/>
  </r>
  <r>
    <x v="3"/>
    <s v="NYAKAGEZI"/>
    <s v="Public"/>
    <x v="0"/>
    <s v="Huye"/>
    <s v="Rusatira"/>
    <s v="NNYU_2"/>
    <s v="Mwogo Sub-Catchment"/>
    <n v="12299.040000000003"/>
  </r>
  <r>
    <x v="3"/>
    <s v="URUHONGO"/>
    <s v="Public"/>
    <x v="0"/>
    <s v="Huye"/>
    <s v="Rusatira"/>
    <s v="NNYU_2"/>
    <s v="Mwogo Sub-Catchment"/>
    <n v="7884.0000000000009"/>
  </r>
  <r>
    <x v="3"/>
    <s v="NYABITARE"/>
    <s v="Public"/>
    <x v="0"/>
    <s v="Huye"/>
    <s v="Rusatira"/>
    <s v="NNYU_2"/>
    <s v="Mwogo Sub-Catchment"/>
    <n v="3153.6000000000004"/>
  </r>
  <r>
    <x v="3"/>
    <s v="NYABITARE"/>
    <s v="Public"/>
    <x v="0"/>
    <s v="Nyanza"/>
    <s v="Rwabicuma"/>
    <s v="NNYU_2"/>
    <s v="Mwogo Sub-Catchment"/>
    <n v="990.23039999999992"/>
  </r>
  <r>
    <x v="3"/>
    <s v="GAKOMBE"/>
    <s v="Public"/>
    <x v="0"/>
    <s v="Nyanza"/>
    <s v="Rwabicuma"/>
    <s v="NNYU_2"/>
    <s v="Mwogo Sub-Catchment"/>
    <n v="1676.1383999999998"/>
  </r>
  <r>
    <x v="3"/>
    <s v="MUTOBO"/>
    <s v="Public"/>
    <x v="0"/>
    <s v="Nyanza"/>
    <s v="Rwabicuma"/>
    <s v="NNYU_2"/>
    <s v="Mwogo Sub-Catchment"/>
    <n v="867.24000000000012"/>
  </r>
  <r>
    <x v="3"/>
    <s v="KAGIMBU"/>
    <s v="Public"/>
    <x v="0"/>
    <s v="Nyanza"/>
    <s v="Rwabicuma"/>
    <s v="NNYU_2"/>
    <s v="Mwogo Sub-Catchment"/>
    <n v="985.50000000000011"/>
  </r>
  <r>
    <x v="3"/>
    <s v="GASEBEYA"/>
    <s v="Public"/>
    <x v="0"/>
    <s v="Nyanza"/>
    <s v="Rwabicuma"/>
    <s v="NNYU_2"/>
    <s v="Mwogo Sub-Catchment"/>
    <n v="1387.5839999999998"/>
  </r>
  <r>
    <x v="3"/>
    <s v="KABINGO"/>
    <s v="Public"/>
    <x v="0"/>
    <s v="Nyanza"/>
    <s v="Rwabicuma"/>
    <s v="NNYU_2"/>
    <s v="Mwogo Sub-Catchment"/>
    <n v="1671.4080000000001"/>
  </r>
  <r>
    <x v="3"/>
    <s v="GASENYI"/>
    <s v="Public"/>
    <x v="0"/>
    <s v="Nyanza"/>
    <s v="Rwabicuma"/>
    <s v="NNYU_2"/>
    <s v="Mwogo Sub-Catchment"/>
    <n v="867.24000000000012"/>
  </r>
  <r>
    <x v="3"/>
    <s v="KAVOMO"/>
    <s v="Public"/>
    <x v="0"/>
    <s v="Nyanza"/>
    <s v="Rwabicuma"/>
    <s v="NNYU_2"/>
    <s v="Mwogo Sub-Catchment"/>
    <n v="4746.1679999999997"/>
  </r>
  <r>
    <x v="3"/>
    <s v="KAMAGONDI"/>
    <s v="Public"/>
    <x v="0"/>
    <s v="Nyanza"/>
    <s v="Rwabicuma"/>
    <s v="NNYU_2"/>
    <s v="Mwogo Sub-Catchment"/>
    <n v="961.84799999999996"/>
  </r>
  <r>
    <x v="3"/>
    <s v="RWABARUTA"/>
    <s v="Public"/>
    <x v="0"/>
    <s v="Nyanza"/>
    <s v="Rwabicuma"/>
    <s v="NNYU_2"/>
    <s v="Mwogo Sub-Catchment"/>
    <n v="1324.5120000000004"/>
  </r>
  <r>
    <x v="3"/>
    <s v="KABABA"/>
    <s v="Public"/>
    <x v="0"/>
    <s v="Nyanza"/>
    <s v="Rwabicuma"/>
    <s v="NNYU_2"/>
    <s v="Mwogo Sub-Catchment"/>
    <n v="1971.0000000000002"/>
  </r>
  <r>
    <x v="3"/>
    <s v="NYAKARIBA"/>
    <s v="Public"/>
    <x v="0"/>
    <s v="Nyanza"/>
    <s v="Rwabicuma"/>
    <s v="NNYU_2"/>
    <s v="Mwogo Sub-Catchment"/>
    <n v="457.27200000000005"/>
  </r>
  <r>
    <x v="3"/>
    <s v="NYAMISEKE 2"/>
    <s v="Public"/>
    <x v="0"/>
    <s v="Nyanza"/>
    <s v="Rwabicuma"/>
    <s v="NNYU_2"/>
    <s v="Mwogo Sub-Catchment"/>
    <n v="1977.3072000000002"/>
  </r>
  <r>
    <x v="3"/>
    <s v="KIBINGO"/>
    <s v="Public"/>
    <x v="0"/>
    <s v="Nyanza"/>
    <s v="Rwabicuma"/>
    <s v="NNYU_2"/>
    <s v="Mwogo Sub-Catchment"/>
    <n v="2053.3089600000003"/>
  </r>
  <r>
    <x v="3"/>
    <s v="NYABITARE 2"/>
    <s v="Public"/>
    <x v="0"/>
    <s v="Nyanza"/>
    <s v="Rwabicuma"/>
    <s v="NNYU_2"/>
    <s v="Mwogo Sub-Catchment"/>
    <n v="520.34400000000005"/>
  </r>
  <r>
    <x v="3"/>
    <s v="GASHYUNZI"/>
    <s v="Public"/>
    <x v="0"/>
    <s v="Nyanza"/>
    <s v="Rwabicuma"/>
    <s v="NNYU_2"/>
    <s v="Mwogo Sub-Catchment"/>
    <n v="577.10879999999997"/>
  </r>
  <r>
    <x v="3"/>
    <s v="NYABITARE"/>
    <s v="Public"/>
    <x v="0"/>
    <s v="Nyanza"/>
    <s v="Rwabicuma"/>
    <s v="NNYU_2"/>
    <s v="Mwogo Sub-Catchment"/>
    <n v="2018.3040000000001"/>
  </r>
  <r>
    <x v="3"/>
    <s v="GATARE"/>
    <s v="Public"/>
    <x v="0"/>
    <s v="Nyanza"/>
    <s v="Rwabicuma"/>
    <s v="NNYU_2"/>
    <s v="Mwogo Sub-Catchment"/>
    <n v="1214.136"/>
  </r>
  <r>
    <x v="3"/>
    <s v="NYAMISEKE"/>
    <s v="Public"/>
    <x v="0"/>
    <s v="Nyanza"/>
    <s v="Rwabicuma"/>
    <s v="NNYU_2"/>
    <s v="Mwogo Sub-Catchment"/>
    <n v="3169.3679999999999"/>
  </r>
  <r>
    <x v="3"/>
    <s v="NYAMYISHWA"/>
    <s v="Public"/>
    <x v="0"/>
    <s v="Nyanza"/>
    <s v="Rwabicuma"/>
    <s v="NNYU_2"/>
    <s v="Mwogo Sub-Catchment"/>
    <n v="4746.1679999999997"/>
  </r>
  <r>
    <x v="3"/>
    <s v="GASHUNZI"/>
    <s v="Public"/>
    <x v="0"/>
    <s v="Nyanza"/>
    <s v="Rwabicuma"/>
    <s v="NNYU_2"/>
    <s v="Mwogo Sub-Catchment"/>
    <n v="1315.0511999999999"/>
  </r>
  <r>
    <x v="3"/>
    <s v="GAKINDO"/>
    <s v="Public"/>
    <x v="0"/>
    <s v="Nyanza"/>
    <s v="Rwabicuma"/>
    <s v="NNYU_2"/>
    <s v="Mwogo Sub-Catchment"/>
    <n v="816.78240000000005"/>
  </r>
  <r>
    <x v="3"/>
    <s v="GAKONI"/>
    <s v="Public"/>
    <x v="0"/>
    <s v="Nyanza"/>
    <s v="Rwabicuma"/>
    <s v="NNYU_2"/>
    <s v="Mwogo Sub-Catchment"/>
    <n v="2626.9488000000001"/>
  </r>
  <r>
    <x v="3"/>
    <s v="GATARE 2"/>
    <s v="Public"/>
    <x v="0"/>
    <s v="Nyanza"/>
    <s v="Rwabicuma"/>
    <s v="NNYU_2"/>
    <s v="Mwogo Sub-Catchment"/>
    <n v="1087.9920000000002"/>
  </r>
  <r>
    <x v="3"/>
    <s v="NDIZI"/>
    <s v="Public"/>
    <x v="0"/>
    <s v="Nyanza"/>
    <s v="Rwabicuma"/>
    <s v="NNYU_2"/>
    <s v="Mwogo Sub-Catchment"/>
    <n v="1617.7968000000003"/>
  </r>
  <r>
    <x v="3"/>
    <s v="NYAMUGARI"/>
    <s v="Public"/>
    <x v="0"/>
    <s v="Nyanza"/>
    <s v="Rwabicuma"/>
    <s v="NNYU_2"/>
    <s v="Mwogo Sub-Catchment"/>
    <n v="693.79199999999992"/>
  </r>
  <r>
    <x v="3"/>
    <s v="RWAMASHINGA"/>
    <s v="Public"/>
    <x v="0"/>
    <s v="Nyanza"/>
    <s v="Rwabicuma"/>
    <s v="NNYU_2"/>
    <s v="Mwogo Sub-Catchment"/>
    <n v="1009.152"/>
  </r>
  <r>
    <x v="3"/>
    <s v="KABYOGO"/>
    <s v="Public"/>
    <x v="0"/>
    <s v="Nyanza"/>
    <s v="Rwabicuma"/>
    <s v="NNYU_2"/>
    <s v="Mwogo Sub-Catchment"/>
    <n v="1311.8976"/>
  </r>
  <r>
    <x v="3"/>
    <s v="KABASINE"/>
    <s v="Public"/>
    <x v="0"/>
    <s v="Nyanza"/>
    <s v="Rwabicuma"/>
    <s v="NNYU_2"/>
    <s v="Mwogo Sub-Catchment"/>
    <n v="583.41599999999994"/>
  </r>
  <r>
    <x v="3"/>
    <s v="PANGARASI"/>
    <s v="Public"/>
    <x v="0"/>
    <s v="Nyanza"/>
    <s v="Rwabicuma"/>
    <s v="NNYU_2"/>
    <s v="Mwogo Sub-Catchment"/>
    <n v="1620.9503999999999"/>
  </r>
  <r>
    <x v="3"/>
    <s v="KIRUHURA"/>
    <s v="Public"/>
    <x v="0"/>
    <s v="Nyanza"/>
    <s v="Rwabicuma"/>
    <s v="NNYU_2"/>
    <s v="Mwogo Sub-Catchment"/>
    <n v="870.39359999999999"/>
  </r>
  <r>
    <x v="3"/>
    <s v="KABASINE 2"/>
    <s v="Public"/>
    <x v="0"/>
    <s v="Nyanza"/>
    <s v="Rwabicuma"/>
    <s v="NNYU_2"/>
    <s v="Mwogo Sub-Catchment"/>
    <n v="1009.152"/>
  </r>
  <r>
    <x v="3"/>
    <s v="KIGINA"/>
    <s v="Public"/>
    <x v="0"/>
    <s v="Nyanza"/>
    <s v="Rwabicuma"/>
    <s v="NNYU_2"/>
    <s v="Mwogo Sub-Catchment"/>
    <n v="1308.7440000000001"/>
  </r>
  <r>
    <x v="3"/>
    <s v="GAKONI"/>
    <s v="Public"/>
    <x v="0"/>
    <s v="Nyanza"/>
    <s v="Rwabicuma"/>
    <s v="NNYU_2"/>
    <s v="Mwogo Sub-Catchment"/>
    <n v="867.24000000000012"/>
  </r>
  <r>
    <x v="3"/>
    <s v="MUNDEGE"/>
    <s v="Public"/>
    <x v="0"/>
    <s v="Nyanza"/>
    <s v="Rwabicuma"/>
    <s v="NNYU_2"/>
    <s v="Mwogo Sub-Catchment"/>
    <n v="3169.3679999999999"/>
  </r>
  <r>
    <x v="3"/>
    <s v="CYAHAFI"/>
    <s v="Public"/>
    <x v="0"/>
    <s v="Nyanza"/>
    <s v="Rwabicuma"/>
    <s v="NNYU_2"/>
    <s v="Mwogo Sub-Catchment"/>
    <n v="602.33759999999984"/>
  </r>
  <r>
    <x v="3"/>
    <s v="CYOGANYONI"/>
    <s v="Public"/>
    <x v="0"/>
    <s v="Nyanza"/>
    <s v="Rwabicuma"/>
    <s v="NNYU_2"/>
    <s v="Mwogo Sub-Catchment"/>
    <n v="867.24000000000012"/>
  </r>
  <r>
    <x v="3"/>
    <s v="KWA MUSA"/>
    <s v="Public"/>
    <x v="0"/>
    <s v="Nyanza"/>
    <s v="Rwabicuma"/>
    <s v="NNYU_2"/>
    <s v="Mwogo Sub-Catchment"/>
    <n v="693.79199999999992"/>
  </r>
  <r>
    <x v="3"/>
    <s v="KAZABAGARURA"/>
    <s v="Public"/>
    <x v="0"/>
    <s v="Nyanza"/>
    <s v="Rwabicuma"/>
    <s v="NNYU_2"/>
    <s v="Mwogo Sub-Catchment"/>
    <n v="807.32159999999999"/>
  </r>
  <r>
    <x v="3"/>
    <s v="KIBERANYA"/>
    <s v="Public"/>
    <x v="0"/>
    <s v="Nyanza"/>
    <s v="Rwabicuma"/>
    <s v="NNYU_2"/>
    <s v="Mwogo Sub-Catchment"/>
    <n v="3169.3679999999999"/>
  </r>
  <r>
    <x v="3"/>
    <s v="KAGATI"/>
    <s v="Public"/>
    <x v="0"/>
    <s v="Nyanza"/>
    <s v="Rwabicuma"/>
    <s v="NNYU_2"/>
    <s v="Mwogo Sub-Catchment"/>
    <n v="599.18399999999986"/>
  </r>
  <r>
    <x v="3"/>
    <s v="NYABITARE"/>
    <s v="Public"/>
    <x v="0"/>
    <s v="Nyanza"/>
    <s v="Rwabicuma"/>
    <s v="NNYU_2"/>
    <s v="Mwogo Sub-Catchment"/>
    <n v="504.57600000000002"/>
  </r>
  <r>
    <x v="3"/>
    <s v="GASEKE"/>
    <s v="Public"/>
    <x v="0"/>
    <s v="Nyanza"/>
    <s v="Rwabicuma"/>
    <s v="NNYU_2"/>
    <s v="Mwogo Sub-Catchment"/>
    <n v="808.89840000000015"/>
  </r>
  <r>
    <x v="3"/>
    <s v="RWAGIKUBANYI"/>
    <s v="Public"/>
    <x v="0"/>
    <s v="Nyanza"/>
    <s v="Rwabicuma"/>
    <s v="NNYU_2"/>
    <s v="Mwogo Sub-Catchment"/>
    <n v="583.41599999999994"/>
  </r>
  <r>
    <x v="3"/>
    <s v="CYARWA"/>
    <s v="Public"/>
    <x v="0"/>
    <s v="Nyanza"/>
    <s v="Rwabicuma"/>
    <s v="NNYU_2"/>
    <s v="Mwogo Sub-Catchment"/>
    <n v="1460.1168"/>
  </r>
  <r>
    <x v="3"/>
    <s v="KAZIGO"/>
    <s v="Public"/>
    <x v="0"/>
    <s v="Nyanza"/>
    <s v="Rwabicuma"/>
    <s v="NNYU_2"/>
    <s v="Mwogo Sub-Catchment"/>
    <n v="2169.6768000000002"/>
  </r>
  <r>
    <x v="3"/>
    <s v="CYAHAFI"/>
    <s v="Public"/>
    <x v="0"/>
    <s v="Nyanza"/>
    <s v="Rwabicuma"/>
    <s v="NNYU_2"/>
    <s v="Mwogo Sub-Catchment"/>
    <n v="1876.3920000000003"/>
  </r>
  <r>
    <x v="3"/>
    <s v="KARUMUHINZI"/>
    <s v="Public"/>
    <x v="0"/>
    <s v="Nyanza"/>
    <s v="Rwabicuma"/>
    <s v="NNYU_2"/>
    <s v="Mwogo Sub-Catchment"/>
    <n v="5255.4743999999992"/>
  </r>
  <r>
    <x v="3"/>
    <s v="GATARE"/>
    <s v="Public"/>
    <x v="0"/>
    <s v="Nyanza"/>
    <s v="Rwabicuma"/>
    <s v="NNYU_2"/>
    <s v="Mwogo Sub-Catchment"/>
    <n v="1750.248"/>
  </r>
  <r>
    <x v="3"/>
    <s v="KABASEKERWA"/>
    <s v="Public"/>
    <x v="0"/>
    <s v="Nyanza"/>
    <s v="Rwabicuma"/>
    <s v="NNYU_2"/>
    <s v="Mwogo Sub-Catchment"/>
    <n v="1316.6280000000002"/>
  </r>
  <r>
    <x v="3"/>
    <s v="NYAKIRIBA"/>
    <s v="Public"/>
    <x v="0"/>
    <s v="Nyanza"/>
    <s v="Rwabicuma"/>
    <s v="NNYU_2"/>
    <s v="Mwogo Sub-Catchment"/>
    <n v="1750.248"/>
  </r>
  <r>
    <x v="3"/>
    <s v="KADANDI"/>
    <s v="Public"/>
    <x v="0"/>
    <s v="Nyanza"/>
    <s v="Rwabicuma"/>
    <s v="NNYU_2"/>
    <s v="Mwogo Sub-Catchment"/>
    <n v="867.24000000000012"/>
  </r>
  <r>
    <x v="3"/>
    <s v="RWINKENDE"/>
    <s v="Public"/>
    <x v="0"/>
    <s v="Nyanza"/>
    <s v="Rwabicuma"/>
    <s v="NNYU_2"/>
    <s v="Mwogo Sub-Catchment"/>
    <n v="1212.8745600000002"/>
  </r>
  <r>
    <x v="3"/>
    <s v="KWA KABERA"/>
    <s v="Public"/>
    <x v="0"/>
    <s v="Nyanza"/>
    <s v="Rwabicuma"/>
    <s v="NNYU_2"/>
    <s v="Mwogo Sub-Catchment"/>
    <n v="1751.9824799999997"/>
  </r>
  <r>
    <x v="3"/>
    <s v="NYAKAVOMO"/>
    <s v="Public"/>
    <x v="0"/>
    <s v="Nyanza"/>
    <s v="Rwabicuma"/>
    <s v="NNYU_2"/>
    <s v="Mwogo Sub-Catchment"/>
    <n v="655.94880000000001"/>
  </r>
  <r>
    <x v="3"/>
    <s v="MUHAMA"/>
    <s v="Public"/>
    <x v="0"/>
    <s v="Nyanza"/>
    <s v="Rwabicuma"/>
    <s v="NNYU_2"/>
    <s v="Mwogo Sub-Catchment"/>
    <n v="1996.2288000000001"/>
  </r>
  <r>
    <x v="3"/>
    <s v="KAGINA"/>
    <s v="Public"/>
    <x v="0"/>
    <s v="Nyanza"/>
    <s v="Rwabicuma"/>
    <s v="NNYU_2"/>
    <s v="Mwogo Sub-Catchment"/>
    <n v="525.54744000000005"/>
  </r>
  <r>
    <x v="3"/>
    <s v="NYAMYOHA"/>
    <s v="Public"/>
    <x v="0"/>
    <s v="Nyanza"/>
    <s v="Rwabicuma"/>
    <s v="NNYU_2"/>
    <s v="Mwogo Sub-Catchment"/>
    <n v="315.36"/>
  </r>
  <r>
    <x v="3"/>
    <s v="NYAMUGARI"/>
    <s v="Public"/>
    <x v="0"/>
    <s v="Nyanza"/>
    <s v="Rwabicuma"/>
    <s v="NNYU_2"/>
    <s v="Mwogo Sub-Catchment"/>
    <n v="394.20000000000005"/>
  </r>
  <r>
    <x v="3"/>
    <s v="NYAMUGARI"/>
    <s v="Public"/>
    <x v="0"/>
    <s v="Nyanza"/>
    <s v="Rwabicuma"/>
    <s v="NNYU_2"/>
    <s v="Mwogo Sub-Catchment"/>
    <n v="299.59199999999993"/>
  </r>
  <r>
    <x v="3"/>
    <s v="RWINKENDE"/>
    <s v="Public"/>
    <x v="0"/>
    <s v="Nyanza"/>
    <s v="Rwabicuma"/>
    <s v="NNYU_2"/>
    <s v="Mwogo Sub-Catchment"/>
    <n v="551.88000000000011"/>
  </r>
  <r>
    <x v="3"/>
    <s v="RWANTABARA"/>
    <s v="Public"/>
    <x v="0"/>
    <s v="Nyanza"/>
    <s v="Rwabicuma"/>
    <s v="NNYU_2"/>
    <s v="Mwogo Sub-Catchment"/>
    <n v="268.05600000000004"/>
  </r>
  <r>
    <x v="3"/>
    <s v="RWAKIVUMU"/>
    <s v="Public"/>
    <x v="0"/>
    <s v="Nyanza"/>
    <s v="Rwabicuma"/>
    <s v="NNYU_2"/>
    <s v="Mwogo Sub-Catchment"/>
    <n v="473.04"/>
  </r>
  <r>
    <x v="3"/>
    <s v="ROHERO"/>
    <s v="Public"/>
    <x v="0"/>
    <s v="Nyanza"/>
    <s v="Rwabicuma"/>
    <s v="NNYU_2"/>
    <s v="Mwogo Sub-Catchment"/>
    <n v="378.43199999999996"/>
  </r>
  <r>
    <x v="3"/>
    <s v="NYARUTOVU"/>
    <s v="Public"/>
    <x v="0"/>
    <s v="Nyanza"/>
    <s v="Rwabicuma"/>
    <s v="NNYU_2"/>
    <s v="Mwogo Sub-Catchment"/>
    <n v="315.36"/>
  </r>
  <r>
    <x v="3"/>
    <s v="NYARUTOVU"/>
    <s v="Public"/>
    <x v="0"/>
    <s v="Nyanza"/>
    <s v="Rwabicuma"/>
    <s v="NNYU_2"/>
    <s v="Mwogo Sub-Catchment"/>
    <n v="299.59199999999993"/>
  </r>
  <r>
    <x v="3"/>
    <s v="NYAKABINGO"/>
    <s v="Public"/>
    <x v="0"/>
    <s v="Nyanza"/>
    <s v="Rwabicuma"/>
    <s v="NNYU_2"/>
    <s v="Mwogo Sub-Catchment"/>
    <n v="457.27200000000005"/>
  </r>
  <r>
    <x v="3"/>
    <s v="NYAGAKO"/>
    <s v="Public"/>
    <x v="0"/>
    <s v="Nyanza"/>
    <s v="Rwabicuma"/>
    <s v="NNYU_2"/>
    <s v="Mwogo Sub-Catchment"/>
    <n v="473.04"/>
  </r>
  <r>
    <x v="3"/>
    <s v="NYAGAHANGA"/>
    <s v="Public"/>
    <x v="0"/>
    <s v="Nyanza"/>
    <s v="Rwabicuma"/>
    <s v="NNYU_2"/>
    <s v="Mwogo Sub-Catchment"/>
    <n v="252.28800000000001"/>
  </r>
  <r>
    <x v="3"/>
    <s v="NYABYONDO"/>
    <s v="Public"/>
    <x v="0"/>
    <s v="Nyanza"/>
    <s v="Rwabicuma"/>
    <s v="NNYU_2"/>
    <s v="Mwogo Sub-Catchment"/>
    <n v="268.05600000000004"/>
  </r>
  <r>
    <x v="3"/>
    <s v="NYABITARE"/>
    <s v="Public"/>
    <x v="0"/>
    <s v="Nyanza"/>
    <s v="Rwabicuma"/>
    <s v="NNYU_2"/>
    <s v="Mwogo Sub-Catchment"/>
    <n v="551.88000000000011"/>
  </r>
  <r>
    <x v="3"/>
    <s v="NGANZO"/>
    <s v="Public"/>
    <x v="0"/>
    <s v="Nyanza"/>
    <s v="Rwabicuma"/>
    <s v="NNYU_2"/>
    <s v="Mwogo Sub-Catchment"/>
    <n v="551.88000000000011"/>
  </r>
  <r>
    <x v="3"/>
    <s v="MUTOBO"/>
    <s v="Public"/>
    <x v="0"/>
    <s v="Nyanza"/>
    <s v="Rwabicuma"/>
    <s v="NNYU_2"/>
    <s v="Mwogo Sub-Catchment"/>
    <n v="315.36"/>
  </r>
  <r>
    <x v="3"/>
    <s v="MUHANGA"/>
    <s v="Public"/>
    <x v="0"/>
    <s v="Nyanza"/>
    <s v="Rwabicuma"/>
    <s v="NNYU_2"/>
    <s v="Mwogo Sub-Catchment"/>
    <n v="283.82400000000001"/>
  </r>
  <r>
    <x v="3"/>
    <s v="MUHAMA"/>
    <s v="Public"/>
    <x v="0"/>
    <s v="Nyanza"/>
    <s v="Rwabicuma"/>
    <s v="NNYU_2"/>
    <s v="Mwogo Sub-Catchment"/>
    <n v="473.04"/>
  </r>
  <r>
    <x v="3"/>
    <s v="MAKWAKWA"/>
    <s v="Public"/>
    <x v="0"/>
    <s v="Nyanza"/>
    <s v="Rwabicuma"/>
    <s v="NNYU_2"/>
    <s v="Mwogo Sub-Catchment"/>
    <n v="252.28800000000001"/>
  </r>
  <r>
    <x v="3"/>
    <s v="KIROBA"/>
    <s v="Public"/>
    <x v="0"/>
    <s v="Nyanza"/>
    <s v="Rwabicuma"/>
    <s v="NNYU_2"/>
    <s v="Mwogo Sub-Catchment"/>
    <n v="441.50400000000002"/>
  </r>
  <r>
    <x v="3"/>
    <s v="KIDATURWA"/>
    <s v="Public"/>
    <x v="0"/>
    <s v="Nyanza"/>
    <s v="Rwabicuma"/>
    <s v="NNYU_2"/>
    <s v="Mwogo Sub-Catchment"/>
    <n v="268.05600000000004"/>
  </r>
  <r>
    <x v="3"/>
    <s v="KARUZIGAMANZI"/>
    <s v="Public"/>
    <x v="0"/>
    <s v="Nyanza"/>
    <s v="Rwabicuma"/>
    <s v="NNYU_2"/>
    <s v="Mwogo Sub-Catchment"/>
    <n v="315.36"/>
  </r>
  <r>
    <x v="3"/>
    <s v="KAREMAGOMA"/>
    <s v="Public"/>
    <x v="0"/>
    <s v="Nyanza"/>
    <s v="Rwabicuma"/>
    <s v="NNYU_2"/>
    <s v="Mwogo Sub-Catchment"/>
    <n v="315.36"/>
  </r>
  <r>
    <x v="3"/>
    <s v="KAGUNZU"/>
    <s v="Public"/>
    <x v="0"/>
    <s v="Nyanza"/>
    <s v="Rwabicuma"/>
    <s v="NNYU_2"/>
    <s v="Mwogo Sub-Catchment"/>
    <n v="315.36"/>
  </r>
  <r>
    <x v="3"/>
    <s v="KABYOGO"/>
    <s v="Public"/>
    <x v="0"/>
    <s v="Nyanza"/>
    <s v="Rwabicuma"/>
    <s v="NNYU_2"/>
    <s v="Mwogo Sub-Catchment"/>
    <n v="315.36"/>
  </r>
  <r>
    <x v="3"/>
    <s v="GASEKE"/>
    <s v="Public"/>
    <x v="0"/>
    <s v="Nyanza"/>
    <s v="Rwabicuma"/>
    <s v="NNYU_2"/>
    <s v="Mwogo Sub-Catchment"/>
    <n v="299.59199999999993"/>
  </r>
  <r>
    <x v="3"/>
    <s v="GASEKE"/>
    <s v="Public"/>
    <x v="0"/>
    <s v="Nyanza"/>
    <s v="Rwabicuma"/>
    <s v="NNYU_2"/>
    <s v="Mwogo Sub-Catchment"/>
    <n v="394.20000000000005"/>
  </r>
  <r>
    <x v="3"/>
    <s v="CYAHAFI"/>
    <s v="Public"/>
    <x v="0"/>
    <s v="Nyanza"/>
    <s v="Rwabicuma"/>
    <s v="NNYU_2"/>
    <s v="Mwogo Sub-Catchment"/>
    <n v="473.04"/>
  </r>
  <r>
    <x v="3"/>
    <s v="AKOSHYA"/>
    <s v="Public"/>
    <x v="0"/>
    <s v="Nyanza"/>
    <s v="Rwabicuma"/>
    <s v="NNYU_2"/>
    <s v="Mwogo Sub-Catchment"/>
    <n v="315.36"/>
  </r>
  <r>
    <x v="3"/>
    <s v="AKARAMBO"/>
    <s v="Public"/>
    <x v="0"/>
    <s v="Nyanza"/>
    <s v="Rwabicuma"/>
    <s v="NNYU_2"/>
    <s v="Mwogo Sub-Catchment"/>
    <n v="315.36"/>
  </r>
  <r>
    <x v="3"/>
    <s v="AGAKOMBE"/>
    <s v="Public"/>
    <x v="0"/>
    <s v="Nyanza"/>
    <s v="Rwabicuma"/>
    <s v="NNYU_2"/>
    <s v="Mwogo Sub-Catchment"/>
    <n v="315.36"/>
  </r>
  <r>
    <x v="3"/>
    <s v="NANGAMURIMBO"/>
    <s v="Public"/>
    <x v="0"/>
    <s v="Huye"/>
    <s v="Rwaniro"/>
    <s v="NNYU_2"/>
    <s v="Mwogo Sub-Catchment"/>
    <n v="630.72"/>
  </r>
  <r>
    <x v="3"/>
    <s v="RWANZUNGA"/>
    <s v="Public"/>
    <x v="0"/>
    <s v="Huye"/>
    <s v="Rwaniro"/>
    <s v="NNYU_2"/>
    <s v="Mwogo Sub-Catchment"/>
    <n v="1892.16"/>
  </r>
  <r>
    <x v="3"/>
    <s v="GASHOBA"/>
    <s v="Public"/>
    <x v="0"/>
    <s v="Huye"/>
    <s v="Rwaniro"/>
    <s v="NNYU_2"/>
    <s v="Mwogo Sub-Catchment"/>
    <n v="1103.7600000000002"/>
  </r>
  <r>
    <x v="3"/>
    <s v="KAMATANA"/>
    <s v="Public"/>
    <x v="0"/>
    <s v="Huye"/>
    <s v="Rwaniro"/>
    <s v="NNYU_2"/>
    <s v="Mwogo Sub-Catchment"/>
    <n v="1734.4800000000002"/>
  </r>
  <r>
    <x v="3"/>
    <s v="GATARE"/>
    <s v="Public"/>
    <x v="0"/>
    <s v="Huye"/>
    <s v="Rwaniro"/>
    <s v="NNYU_2"/>
    <s v="Mwogo Sub-Catchment"/>
    <n v="2207.5200000000004"/>
  </r>
  <r>
    <x v="3"/>
    <s v="RUBUYE"/>
    <s v="Public"/>
    <x v="0"/>
    <s v="Huye"/>
    <s v="Rwaniro"/>
    <s v="NNYU_2"/>
    <s v="Mwogo Sub-Catchment"/>
    <n v="1419.12"/>
  </r>
  <r>
    <x v="3"/>
    <s v="RUSILIBANA"/>
    <s v="Public"/>
    <x v="0"/>
    <s v="Huye"/>
    <s v="Rwaniro"/>
    <s v="NNYU_2"/>
    <s v="Mwogo Sub-Catchment"/>
    <n v="473.04"/>
  </r>
  <r>
    <x v="3"/>
    <s v="KANYINYA"/>
    <s v="Public"/>
    <x v="0"/>
    <s v="Huye"/>
    <s v="Rwaniro"/>
    <s v="NNYU_2"/>
    <s v="Mwogo Sub-Catchment"/>
    <n v="3942.0000000000005"/>
  </r>
  <r>
    <x v="3"/>
    <s v="KUBIBUMBIRO"/>
    <s v="Public"/>
    <x v="0"/>
    <s v="Huye"/>
    <s v="Rwaniro"/>
    <s v="NNYU_2"/>
    <s v="Mwogo Sub-Catchment"/>
    <n v="630.72"/>
  </r>
  <r>
    <x v="3"/>
    <s v="KABAHORA"/>
    <s v="Public"/>
    <x v="0"/>
    <s v="Huye"/>
    <s v="Rwaniro"/>
    <s v="NNYU_2"/>
    <s v="Mwogo Sub-Catchment"/>
    <n v="1419.12"/>
  </r>
  <r>
    <x v="3"/>
    <s v="RURAMIRABAGENZI"/>
    <s v="Public"/>
    <x v="0"/>
    <s v="Huye"/>
    <s v="Rwaniro"/>
    <s v="NNYU_2"/>
    <s v="Mwogo Sub-Catchment"/>
    <n v="5203.4400000000005"/>
  </r>
  <r>
    <x v="3"/>
    <s v="RWAMUZIBANYI"/>
    <s v="Public"/>
    <x v="0"/>
    <s v="Huye"/>
    <s v="Rwaniro"/>
    <s v="NNYU_2"/>
    <s v="Mwogo Sub-Catchment"/>
    <n v="946.08"/>
  </r>
  <r>
    <x v="3"/>
    <s v="MBONYEBYOMBI"/>
    <s v="Public"/>
    <x v="0"/>
    <s v="Huye"/>
    <s v="Rwaniro"/>
    <s v="NNYU_2"/>
    <s v="Mwogo Sub-Catchment"/>
    <n v="1419.12"/>
  </r>
  <r>
    <x v="3"/>
    <s v="KIMBOGO"/>
    <s v="Public"/>
    <x v="0"/>
    <s v="Huye"/>
    <s v="Rwaniro"/>
    <s v="NNYU_2"/>
    <s v="Mwogo Sub-Catchment"/>
    <n v="157.68"/>
  </r>
  <r>
    <x v="3"/>
    <s v="GATARE"/>
    <s v="Public"/>
    <x v="0"/>
    <s v="Huye"/>
    <s v="Rwaniro"/>
    <s v="NNYU_2"/>
    <s v="Mwogo Sub-Catchment"/>
    <n v="1261.44"/>
  </r>
  <r>
    <x v="3"/>
    <s v="RWONGA"/>
    <s v="Public"/>
    <x v="0"/>
    <s v="Huye"/>
    <s v="Rwaniro"/>
    <s v="NNYU_2"/>
    <s v="Mwogo Sub-Catchment"/>
    <n v="157.68"/>
  </r>
  <r>
    <x v="3"/>
    <s v="KABIRIZI"/>
    <s v="Public"/>
    <x v="0"/>
    <s v="Huye"/>
    <s v="Rwaniro"/>
    <s v="NNYU_2"/>
    <s v="Mwogo Sub-Catchment"/>
    <n v="788.40000000000009"/>
  </r>
  <r>
    <x v="3"/>
    <s v="MUKAJERI"/>
    <s v="Public"/>
    <x v="0"/>
    <s v="Huye"/>
    <s v="Rwaniro"/>
    <s v="NNYU_2"/>
    <s v="Mwogo Sub-Catchment"/>
    <n v="1261.44"/>
  </r>
  <r>
    <x v="3"/>
    <s v="RUSULI"/>
    <s v="Public"/>
    <x v="0"/>
    <s v="Huye"/>
    <s v="Rwaniro"/>
    <s v="NNYU_2"/>
    <s v="Mwogo Sub-Catchment"/>
    <n v="473.04"/>
  </r>
  <r>
    <x v="3"/>
    <s v="KABINGO"/>
    <s v="Public"/>
    <x v="0"/>
    <s v="Huye"/>
    <s v="Rwaniro"/>
    <s v="NNYU_2"/>
    <s v="Mwogo Sub-Catchment"/>
    <n v="1261.44"/>
  </r>
  <r>
    <x v="3"/>
    <s v="RWAMUJYAMBERE"/>
    <s v="Public"/>
    <x v="0"/>
    <s v="Huye"/>
    <s v="Rwaniro"/>
    <s v="NNYU_2"/>
    <s v="Mwogo Sub-Catchment"/>
    <n v="946.08"/>
  </r>
  <r>
    <x v="3"/>
    <s v="NYAKARIBA"/>
    <s v="Public"/>
    <x v="0"/>
    <s v="Huye"/>
    <s v="Rwaniro"/>
    <s v="NNYU_2"/>
    <s v="Mwogo Sub-Catchment"/>
    <n v="630.72"/>
  </r>
  <r>
    <x v="3"/>
    <s v="NYAMUKO"/>
    <s v="Public"/>
    <x v="0"/>
    <s v="Huye"/>
    <s v="Rwaniro"/>
    <s v="NNYU_2"/>
    <s v="Mwogo Sub-Catchment"/>
    <n v="2207.5200000000004"/>
  </r>
  <r>
    <x v="3"/>
    <s v="NYAKARIBA"/>
    <s v="Public"/>
    <x v="0"/>
    <s v="Huye"/>
    <s v="Rwaniro"/>
    <s v="NNYU_2"/>
    <s v="Mwogo Sub-Catchment"/>
    <n v="1103.7600000000002"/>
  </r>
  <r>
    <x v="3"/>
    <s v="GASHUNZI"/>
    <s v="Public"/>
    <x v="0"/>
    <s v="Huye"/>
    <s v="Rwaniro"/>
    <s v="NNYU_2"/>
    <s v="Mwogo Sub-Catchment"/>
    <n v="946.08"/>
  </r>
  <r>
    <x v="3"/>
    <s v="RWANTONGA"/>
    <s v="Public"/>
    <x v="0"/>
    <s v="Huye"/>
    <s v="Rwaniro"/>
    <s v="NNYU_2"/>
    <s v="Mwogo Sub-Catchment"/>
    <n v="2680.56"/>
  </r>
  <r>
    <x v="3"/>
    <s v="NYABIHANGA"/>
    <s v="Public"/>
    <x v="0"/>
    <s v="Huye"/>
    <s v="Rwaniro"/>
    <s v="NNYU_2"/>
    <s v="Mwogo Sub-Catchment"/>
    <n v="946.08"/>
  </r>
  <r>
    <x v="3"/>
    <s v="GATONGATI"/>
    <s v="Public"/>
    <x v="0"/>
    <s v="Huye"/>
    <s v="Rwaniro"/>
    <s v="NNYU_2"/>
    <s v="Mwogo Sub-Catchment"/>
    <n v="157.68"/>
  </r>
  <r>
    <x v="3"/>
    <s v="KAGOGO"/>
    <s v="Public"/>
    <x v="0"/>
    <s v="Huye"/>
    <s v="Rwaniro"/>
    <s v="NNYU_2"/>
    <s v="Mwogo Sub-Catchment"/>
    <n v="2207.5200000000004"/>
  </r>
  <r>
    <x v="3"/>
    <s v="NYABITARE"/>
    <s v="Public"/>
    <x v="0"/>
    <s v="Huye"/>
    <s v="Rwaniro"/>
    <s v="NNYU_2"/>
    <s v="Mwogo Sub-Catchment"/>
    <n v="946.08"/>
  </r>
  <r>
    <x v="3"/>
    <s v="NANGAMATIKU"/>
    <s v="Public"/>
    <x v="0"/>
    <s v="Huye"/>
    <s v="Rwaniro"/>
    <s v="NNYU_2"/>
    <s v="Mwogo Sub-Catchment"/>
    <n v="1576.8000000000002"/>
  </r>
  <r>
    <x v="3"/>
    <s v="GSHUNZI"/>
    <s v="Public"/>
    <x v="0"/>
    <s v="Huye"/>
    <s v="Rwaniro"/>
    <s v="NNYU_2"/>
    <s v="Mwogo Sub-Catchment"/>
    <n v="2838.24"/>
  </r>
  <r>
    <x v="3"/>
    <s v="RWAGAHONA"/>
    <s v="Public"/>
    <x v="0"/>
    <s v="Huye"/>
    <s v="Rwaniro"/>
    <s v="NNYU_2"/>
    <s v="Mwogo Sub-Catchment"/>
    <n v="4730.4000000000005"/>
  </r>
  <r>
    <x v="3"/>
    <s v="SUBUKINIRO"/>
    <s v="Public"/>
    <x v="0"/>
    <s v="Huye"/>
    <s v="Rwaniro"/>
    <s v="NNYU_2"/>
    <s v="Mwogo Sub-Catchment"/>
    <n v="4730.4000000000005"/>
  </r>
  <r>
    <x v="3"/>
    <s v="GAFEFE"/>
    <s v="Public"/>
    <x v="0"/>
    <s v="Huye"/>
    <s v="Rwaniro"/>
    <s v="NNYU_2"/>
    <s v="Mwogo Sub-Catchment"/>
    <n v="473.04"/>
  </r>
  <r>
    <x v="3"/>
    <s v="NYAKARIBA"/>
    <s v="Public"/>
    <x v="0"/>
    <s v="Huye"/>
    <s v="Rwaniro"/>
    <s v="NNYU_2"/>
    <s v="Mwogo Sub-Catchment"/>
    <n v="3311.2799999999997"/>
  </r>
  <r>
    <x v="3"/>
    <s v="NTAWUTARIVOMA"/>
    <s v="Public"/>
    <x v="0"/>
    <s v="Huye"/>
    <s v="Rwaniro"/>
    <s v="NNYU_2"/>
    <s v="Mwogo Sub-Catchment"/>
    <n v="2207.5200000000004"/>
  </r>
  <r>
    <x v="3"/>
    <s v="NKUYE"/>
    <s v="Public"/>
    <x v="0"/>
    <s v="Huye"/>
    <s v="Rwaniro"/>
    <s v="NNYU_2"/>
    <s v="Mwogo Sub-Catchment"/>
    <n v="946.08"/>
  </r>
  <r>
    <x v="3"/>
    <s v="NYIRAKWEZI"/>
    <s v="Public"/>
    <x v="0"/>
    <s v="Huye"/>
    <s v="Rwaniro"/>
    <s v="NNYU_2"/>
    <s v="Mwogo Sub-Catchment"/>
    <n v="3468.9600000000005"/>
  </r>
  <r>
    <x v="3"/>
    <s v="GATOKI"/>
    <s v="Public"/>
    <x v="0"/>
    <s v="Huye"/>
    <s v="Rwaniro"/>
    <s v="NNYU_2"/>
    <s v="Mwogo Sub-Catchment"/>
    <n v="1419.12"/>
  </r>
  <r>
    <x v="3"/>
    <s v="BIRERE"/>
    <s v="Public"/>
    <x v="0"/>
    <s v="Huye"/>
    <s v="Rwaniro"/>
    <s v="NNYU_2"/>
    <s v="Mwogo Sub-Catchment"/>
    <n v="3942.0000000000005"/>
  </r>
  <r>
    <x v="3"/>
    <s v="KAGENDE"/>
    <s v="Public"/>
    <x v="0"/>
    <s v="Huye"/>
    <s v="Rwaniro"/>
    <s v="NNYU_2"/>
    <s v="Mwogo Sub-Catchment"/>
    <n v="3468.9600000000005"/>
  </r>
  <r>
    <x v="3"/>
    <s v="GAHONDO"/>
    <s v="Public"/>
    <x v="0"/>
    <s v="Huye"/>
    <s v="Rwaniro"/>
    <s v="NNYU_2"/>
    <s v="Mwogo Sub-Catchment"/>
    <n v="189216.00000000003"/>
  </r>
  <r>
    <x v="3"/>
    <s v="KAGINA"/>
    <s v="Public"/>
    <x v="0"/>
    <s v="Huye"/>
    <s v="Rwaniro"/>
    <s v="NNYU_2"/>
    <s v="Mwogo Sub-Catchment"/>
    <n v="3311.2799999999997"/>
  </r>
  <r>
    <x v="3"/>
    <s v="NYAMUKO"/>
    <s v="Public"/>
    <x v="0"/>
    <s v="Huye"/>
    <s v="Rwaniro"/>
    <s v="NNYU_2"/>
    <s v="Mwogo Sub-Catchment"/>
    <n v="1103.7600000000002"/>
  </r>
  <r>
    <x v="3"/>
    <s v="GATARE"/>
    <s v="Public"/>
    <x v="0"/>
    <s v="Huye"/>
    <s v="Rwaniro"/>
    <s v="NNYU_2"/>
    <s v="Mwogo Sub-Catchment"/>
    <n v="2365.2000000000003"/>
  </r>
  <r>
    <x v="3"/>
    <s v="RWASEGAKINDI"/>
    <s v="Public"/>
    <x v="0"/>
    <s v="Huye"/>
    <s v="Rwaniro"/>
    <s v="NNYU_2"/>
    <s v="Mwogo Sub-Catchment"/>
    <n v="4257.3600000000006"/>
  </r>
  <r>
    <x v="3"/>
    <s v="BUROHA"/>
    <s v="Public"/>
    <x v="0"/>
    <s v="Huye"/>
    <s v="Rwaniro"/>
    <s v="NNYU_2"/>
    <s v="Mwogo Sub-Catchment"/>
    <n v="2838.24"/>
  </r>
  <r>
    <x v="3"/>
    <s v="NYAKABINGO"/>
    <s v="Public"/>
    <x v="0"/>
    <s v="Huye"/>
    <s v="Rwaniro"/>
    <s v="NNYU_2"/>
    <s v="Mwogo Sub-Catchment"/>
    <n v="3311.2799999999997"/>
  </r>
  <r>
    <x v="3"/>
    <s v="KIRUHURA"/>
    <s v="Public"/>
    <x v="0"/>
    <s v="Huye"/>
    <s v="Rwaniro"/>
    <s v="NNYU_2"/>
    <s v="Mwogo Sub-Catchment"/>
    <n v="2522.88"/>
  </r>
  <r>
    <x v="3"/>
    <s v="GASHIHA"/>
    <s v="Public"/>
    <x v="0"/>
    <s v="Huye"/>
    <s v="Rwaniro"/>
    <s v="NNYU_2"/>
    <s v="Mwogo Sub-Catchment"/>
    <n v="1734.4800000000002"/>
  </r>
  <r>
    <x v="3"/>
    <s v="MIRAMA"/>
    <s v="Public"/>
    <x v="0"/>
    <s v="Huye"/>
    <s v="Rwaniro"/>
    <s v="NNYU_2"/>
    <s v="Mwogo Sub-Catchment"/>
    <n v="157.68"/>
  </r>
  <r>
    <x v="3"/>
    <s v="GAKERI"/>
    <s v="Public"/>
    <x v="0"/>
    <s v="Huye"/>
    <s v="Rwaniro"/>
    <s v="NNYU_2"/>
    <s v="Mwogo Sub-Catchment"/>
    <n v="1734.4800000000002"/>
  </r>
  <r>
    <x v="3"/>
    <s v="KANNYOGO"/>
    <s v="Public"/>
    <x v="0"/>
    <s v="Huye"/>
    <s v="Simbi"/>
    <s v="NNYU_2"/>
    <s v="Mwogo Sub-Catchment"/>
    <n v="1576.8000000000002"/>
  </r>
  <r>
    <x v="3"/>
    <s v="SUBUKINIRO"/>
    <s v="Public"/>
    <x v="0"/>
    <s v="Huye"/>
    <s v="Simbi"/>
    <s v="NNYU_2"/>
    <s v="Mwogo Sub-Catchment"/>
    <n v="5361.12"/>
  </r>
  <r>
    <x v="3"/>
    <s v="KIRUHURA"/>
    <s v="Public"/>
    <x v="0"/>
    <s v="Huye"/>
    <s v="Simbi"/>
    <s v="NNYU_2"/>
    <s v="Mwogo Sub-Catchment"/>
    <n v="4572.72"/>
  </r>
  <r>
    <x v="3"/>
    <s v="KIVUZO II"/>
    <s v="Public"/>
    <x v="0"/>
    <s v="Huye"/>
    <s v="Simbi"/>
    <s v="NNYU_2"/>
    <s v="Mwogo Sub-Catchment"/>
    <n v="788.40000000000009"/>
  </r>
  <r>
    <x v="3"/>
    <s v="CYABEGA"/>
    <s v="Public"/>
    <x v="0"/>
    <s v="Huye"/>
    <s v="Simbi"/>
    <s v="NNYU_2"/>
    <s v="Mwogo Sub-Catchment"/>
    <n v="1892.16"/>
  </r>
  <r>
    <x v="3"/>
    <s v="GAHAMA"/>
    <s v="Public"/>
    <x v="0"/>
    <s v="Huye"/>
    <s v="Simbi"/>
    <s v="NNYU_2"/>
    <s v="Mwogo Sub-Catchment"/>
    <n v="1103.7600000000002"/>
  </r>
  <r>
    <x v="3"/>
    <s v="RUNUKANGOMA"/>
    <s v="Public"/>
    <x v="0"/>
    <s v="Huye"/>
    <s v="Simbi"/>
    <s v="NNYU_2"/>
    <s v="Mwogo Sub-Catchment"/>
    <n v="473.04"/>
  </r>
  <r>
    <x v="3"/>
    <s v="GATOVU"/>
    <s v="Public"/>
    <x v="0"/>
    <s v="Huye"/>
    <s v="Simbi"/>
    <s v="NNYU_2"/>
    <s v="Mwogo Sub-Catchment"/>
    <n v="3942.0000000000005"/>
  </r>
  <r>
    <x v="3"/>
    <s v="KIVUZO I"/>
    <s v="Public"/>
    <x v="0"/>
    <s v="Huye"/>
    <s v="Simbi"/>
    <s v="NNYU_2"/>
    <s v="Mwogo Sub-Catchment"/>
    <n v="473.04"/>
  </r>
  <r>
    <x v="3"/>
    <s v="KIGARAMA II"/>
    <s v="Public"/>
    <x v="0"/>
    <s v="Huye"/>
    <s v="Simbi"/>
    <s v="NNYU_2"/>
    <s v="Mwogo Sub-Catchment"/>
    <n v="157.68"/>
  </r>
  <r>
    <x v="3"/>
    <s v="KIGWA"/>
    <s v="Public"/>
    <x v="0"/>
    <s v="Huye"/>
    <s v="Simbi"/>
    <s v="NNYU_2"/>
    <s v="Mwogo Sub-Catchment"/>
    <n v="1103.7600000000002"/>
  </r>
  <r>
    <x v="3"/>
    <s v="RUNUKANGOMA"/>
    <s v="Public"/>
    <x v="0"/>
    <s v="Huye"/>
    <s v="Simbi"/>
    <s v="NNYU_2"/>
    <s v="Mwogo Sub-Catchment"/>
    <n v="630.72"/>
  </r>
  <r>
    <x v="3"/>
    <s v="MPAZA"/>
    <s v="Public"/>
    <x v="0"/>
    <s v="Huye"/>
    <s v="Simbi"/>
    <s v="NNYU_2"/>
    <s v="Mwogo Sub-Catchment"/>
    <n v="7095.6"/>
  </r>
  <r>
    <x v="3"/>
    <s v="NYABITARE"/>
    <s v="Public"/>
    <x v="0"/>
    <s v="Huye"/>
    <s v="Simbi"/>
    <s v="NNYU_2"/>
    <s v="Mwogo Sub-Catchment"/>
    <n v="1419.12"/>
  </r>
  <r>
    <x v="3"/>
    <s v="NYAKARIBA"/>
    <s v="Public"/>
    <x v="0"/>
    <s v="Huye"/>
    <s v="Simbi"/>
    <s v="NNYU_2"/>
    <s v="Mwogo Sub-Catchment"/>
    <n v="3311.2799999999997"/>
  </r>
  <r>
    <x v="3"/>
    <s v="KAGINA"/>
    <s v="Public"/>
    <x v="0"/>
    <s v="Huye"/>
    <s v="Simbi"/>
    <s v="NNYU_2"/>
    <s v="Mwogo Sub-Catchment"/>
    <n v="2207.5200000000004"/>
  </r>
  <r>
    <x v="3"/>
    <s v="NANGA"/>
    <s v="Public"/>
    <x v="0"/>
    <s v="Huye"/>
    <s v="Simbi"/>
    <s v="NNYU_2"/>
    <s v="Mwogo Sub-Catchment"/>
    <n v="788.40000000000009"/>
  </r>
  <r>
    <x v="3"/>
    <s v="KIGARAMA I"/>
    <s v="Public"/>
    <x v="0"/>
    <s v="Huye"/>
    <s v="Simbi"/>
    <s v="NNYU_2"/>
    <s v="Mwogo Sub-Catchment"/>
    <n v="4730.4000000000005"/>
  </r>
  <r>
    <x v="3"/>
    <s v="KIBINGO"/>
    <s v="Public"/>
    <x v="0"/>
    <s v="Huye"/>
    <s v="Simbi"/>
    <s v="NNYU_2"/>
    <s v="Mwogo Sub-Catchment"/>
    <n v="2207.5200000000004"/>
  </r>
  <r>
    <x v="3"/>
    <s v="GASUMA"/>
    <s v="Public"/>
    <x v="0"/>
    <s v="Huye"/>
    <s v="Simbi"/>
    <s v="NNYU_2"/>
    <s v="Mwogo Sub-Catchment"/>
    <n v="1261.44"/>
  </r>
  <r>
    <x v="3"/>
    <s v="GASATURA"/>
    <s v="Public"/>
    <x v="0"/>
    <s v="Huye"/>
    <s v="Simbi"/>
    <s v="NNYU_2"/>
    <s v="Mwogo Sub-Catchment"/>
    <n v="788.40000000000009"/>
  </r>
  <r>
    <x v="3"/>
    <s v="KAVURE"/>
    <s v="Public"/>
    <x v="0"/>
    <s v="Huye"/>
    <s v="Simbi"/>
    <s v="NNYU_2"/>
    <s v="Mwogo Sub-Catchment"/>
    <n v="630.72"/>
  </r>
  <r>
    <x v="3"/>
    <s v="RWABAHIRIMBIRI"/>
    <s v="Public"/>
    <x v="0"/>
    <s v="Huye"/>
    <s v="Simbi"/>
    <s v="NNYU_2"/>
    <s v="Mwogo Sub-Catchment"/>
    <n v="1103.7600000000002"/>
  </r>
  <r>
    <x v="3"/>
    <s v="GAKERI"/>
    <s v="Public"/>
    <x v="0"/>
    <s v="Huye"/>
    <s v="Simbi"/>
    <s v="NNYU_2"/>
    <s v="Mwogo Sub-Catchment"/>
    <n v="2207.5200000000004"/>
  </r>
  <r>
    <x v="3"/>
    <s v="NYAMIREMBEII"/>
    <s v="Public"/>
    <x v="0"/>
    <s v="Huye"/>
    <s v="Simbi"/>
    <s v="NNYU_2"/>
    <s v="Mwogo Sub-Catchment"/>
    <n v="1419.12"/>
  </r>
  <r>
    <x v="3"/>
    <s v="NYAMIREMBE I"/>
    <s v="Public"/>
    <x v="0"/>
    <s v="Huye"/>
    <s v="Simbi"/>
    <s v="NNYU_2"/>
    <s v="Mwogo Sub-Catchment"/>
    <n v="2680.56"/>
  </r>
  <r>
    <x v="3"/>
    <s v="GISANYI"/>
    <s v="Public"/>
    <x v="0"/>
    <s v="Huye"/>
    <s v="Simbi"/>
    <s v="NNYU_2"/>
    <s v="Mwogo Sub-Catchment"/>
    <n v="788.40000000000009"/>
  </r>
  <r>
    <x v="3"/>
    <s v="KABAKENE"/>
    <s v="Public"/>
    <x v="0"/>
    <s v="Huye"/>
    <s v="Simbi"/>
    <s v="NNYU_2"/>
    <s v="Mwogo Sub-Catchment"/>
    <n v="946.08"/>
  </r>
  <r>
    <x v="3"/>
    <s v="NYAGATOVU"/>
    <s v="Public"/>
    <x v="0"/>
    <s v="Huye"/>
    <s v="Simbi"/>
    <s v="NNYU_2"/>
    <s v="Mwogo Sub-Catchment"/>
    <n v="946.08"/>
  </r>
  <r>
    <x v="3"/>
    <s v="GATARE"/>
    <s v="Public"/>
    <x v="0"/>
    <s v="Huye"/>
    <s v="Simbi"/>
    <s v="NNYU_2"/>
    <s v="Mwogo Sub-Catchment"/>
    <n v="2207.5200000000004"/>
  </r>
  <r>
    <x v="3"/>
    <s v="GACACA"/>
    <s v="Public"/>
    <x v="0"/>
    <s v="Huye"/>
    <s v="Simbi"/>
    <s v="NNYU_2"/>
    <s v="Mwogo Sub-Catchment"/>
    <n v="946.08"/>
  </r>
  <r>
    <x v="3"/>
    <s v="RWAANGARAMA"/>
    <s v="Public"/>
    <x v="0"/>
    <s v="Huye"/>
    <s v="Simbi"/>
    <s v="NNYU_2"/>
    <s v="Mwogo Sub-Catchment"/>
    <n v="1419.12"/>
  </r>
  <r>
    <x v="3"/>
    <s v="CYAHAFI"/>
    <s v="Public"/>
    <x v="0"/>
    <s v="Huye"/>
    <s v="Simbi"/>
    <s v="NNYU_2"/>
    <s v="Mwogo Sub-Catchment"/>
    <n v="3311.2799999999997"/>
  </r>
  <r>
    <x v="3"/>
    <s v="BUHOGO"/>
    <s v="Public"/>
    <x v="0"/>
    <s v="Huye"/>
    <s v="Simbi"/>
    <s v="NNYU_2"/>
    <s v="Mwogo Sub-Catchment"/>
    <n v="5518.8"/>
  </r>
  <r>
    <x v="3"/>
    <s v="MWANAMA"/>
    <s v="Public"/>
    <x v="0"/>
    <s v="Huye"/>
    <s v="Simbi"/>
    <s v="NNYU_2"/>
    <s v="Mwogo Sub-Catchment"/>
    <n v="788.40000000000009"/>
  </r>
  <r>
    <x v="3"/>
    <s v="GATARE"/>
    <s v="Public"/>
    <x v="0"/>
    <s v="Huye"/>
    <s v="Simbi"/>
    <s v="NNYU_2"/>
    <s v="Mwogo Sub-Catchment"/>
    <n v="630.72"/>
  </r>
  <r>
    <x v="3"/>
    <s v="NANGAMAHANE"/>
    <s v="Public"/>
    <x v="0"/>
    <s v="Huye"/>
    <s v="Simbi"/>
    <s v="NNYU_2"/>
    <s v="Mwogo Sub-Catchment"/>
    <n v="630.72"/>
  </r>
  <r>
    <x v="3"/>
    <s v="NYARUTOVU"/>
    <s v="Public"/>
    <x v="0"/>
    <s v="Huye"/>
    <s v="Simbi"/>
    <s v="NNYU_2"/>
    <s v="Mwogo Sub-Catchment"/>
    <n v="1261.44"/>
  </r>
  <r>
    <x v="3"/>
    <s v="NYIRAMANUMA"/>
    <s v="Public"/>
    <x v="0"/>
    <s v="Huye"/>
    <s v="Simbi"/>
    <s v="NNYU_2"/>
    <s v="Mwogo Sub-Catchment"/>
    <n v="2207.5200000000004"/>
  </r>
  <r>
    <x v="3"/>
    <s v="RWINTARE"/>
    <s v="Public"/>
    <x v="0"/>
    <s v="Huye"/>
    <s v="Simbi"/>
    <s v="NNYU_2"/>
    <s v="Mwogo Sub-Catchment"/>
    <n v="2838.24"/>
  </r>
  <r>
    <x v="3"/>
    <s v="KABINGO"/>
    <s v="Public"/>
    <x v="0"/>
    <s v="Huye"/>
    <s v="Simbi"/>
    <s v="NNYU_2"/>
    <s v="Mwogo Sub-Catchment"/>
    <n v="946.08"/>
  </r>
  <r>
    <x v="3"/>
    <s v="KIBINDI"/>
    <s v="Public"/>
    <x v="0"/>
    <s v="Huye"/>
    <s v="Simbi"/>
    <s v="NNYU_2"/>
    <s v="Mwogo Sub-Catchment"/>
    <n v="1419.12"/>
  </r>
  <r>
    <x v="3"/>
    <s v="NYAGASOZI"/>
    <s v="Public"/>
    <x v="0"/>
    <s v="Huye"/>
    <s v="Simbi"/>
    <s v="NNYU_2"/>
    <s v="Mwogo Sub-Catchment"/>
    <n v="3311.2799999999997"/>
  </r>
  <r>
    <x v="3"/>
    <s v="RWINTAMA"/>
    <s v="Public"/>
    <x v="0"/>
    <s v="Huye"/>
    <s v="Simbi"/>
    <s v="NNYU_2"/>
    <s v="Mwogo Sub-Catchment"/>
    <n v="2049.84"/>
  </r>
  <r>
    <x v="3"/>
    <s v="RWAMISI"/>
    <s v="Public"/>
    <x v="0"/>
    <s v="Huye"/>
    <s v="Simbi"/>
    <s v="NNYU_2"/>
    <s v="Mwogo Sub-Catchment"/>
    <n v="1103.7600000000002"/>
  </r>
  <r>
    <x v="3"/>
    <s v="MURINDI"/>
    <s v="Public"/>
    <x v="0"/>
    <s v="Huye"/>
    <s v="Simbi"/>
    <s v="NNYU_2"/>
    <s v="Mwogo Sub-Catchment"/>
    <n v="157.68"/>
  </r>
  <r>
    <x v="3"/>
    <s v="KANORERE"/>
    <s v="Public"/>
    <x v="0"/>
    <s v="Huye"/>
    <s v="Simbi"/>
    <s v="NNYU_2"/>
    <s v="Mwogo Sub-Catchment"/>
    <n v="3468.9600000000005"/>
  </r>
  <r>
    <x v="3"/>
    <s v="GATANGA"/>
    <s v="Public"/>
    <x v="0"/>
    <s v="Huye"/>
    <s v="Simbi"/>
    <s v="NNYU_2"/>
    <s v="Mwogo Sub-Catchment"/>
    <n v="630.72"/>
  </r>
  <r>
    <x v="3"/>
    <s v="BIRURU"/>
    <s v="Public"/>
    <x v="0"/>
    <s v="Huye"/>
    <s v="Simbi"/>
    <s v="NNYU_2"/>
    <s v="Mwogo Sub-Catchment"/>
    <n v="157.68"/>
  </r>
  <r>
    <x v="3"/>
    <s v="AGAHAMA"/>
    <s v="Public"/>
    <x v="0"/>
    <s v="Huye"/>
    <s v="Simbi"/>
    <s v="NNYU_2"/>
    <s v="Mwogo Sub-Catchment"/>
    <n v="2207.5200000000004"/>
  </r>
  <r>
    <x v="3"/>
    <s v="KWA MANYONI"/>
    <s v="Public"/>
    <x v="0"/>
    <s v="Huye"/>
    <s v="Simbi"/>
    <s v="NNYU_2"/>
    <s v="Mwogo Sub-Catchment"/>
    <n v="3942.0000000000005"/>
  </r>
  <r>
    <x v="3"/>
    <s v="NYAKAGEZI"/>
    <s v="Public"/>
    <x v="0"/>
    <s v="Huye"/>
    <s v="Simbi"/>
    <s v="NNYU_2"/>
    <s v="Mwogo Sub-Catchment"/>
    <n v="788.40000000000009"/>
  </r>
  <r>
    <x v="3"/>
    <s v="KANYONI"/>
    <s v="Public"/>
    <x v="0"/>
    <s v="Huye"/>
    <s v="Simbi"/>
    <s v="NNYU_2"/>
    <s v="Mwogo Sub-Catchment"/>
    <n v="4572.72"/>
  </r>
  <r>
    <x v="3"/>
    <s v="RWINGWE"/>
    <s v="Public"/>
    <x v="0"/>
    <s v="Huye"/>
    <s v="Simbi"/>
    <s v="NNYU_2"/>
    <s v="Mwogo Sub-Catchment"/>
    <n v="2838.24"/>
  </r>
  <r>
    <x v="3"/>
    <s v="KWARYABONA"/>
    <s v="Public"/>
    <x v="0"/>
    <s v="Huye"/>
    <s v="Simbi"/>
    <s v="NNYU_2"/>
    <s v="Mwogo Sub-Catchment"/>
    <n v="1261.44"/>
  </r>
  <r>
    <x v="3"/>
    <s v="GASENYI"/>
    <s v="Public"/>
    <x v="0"/>
    <s v="Huye"/>
    <s v="Simbi"/>
    <s v="NNYU_2"/>
    <s v="Mwogo Sub-Catchment"/>
    <n v="788.40000000000009"/>
  </r>
  <r>
    <x v="3"/>
    <s v="KWA SEKAMANA"/>
    <s v="Public"/>
    <x v="0"/>
    <s v="Huye"/>
    <s v="Simbi"/>
    <s v="NNYU_2"/>
    <s v="Mwogo Sub-Catchment"/>
    <n v="2049.84"/>
  </r>
  <r>
    <x v="3"/>
    <s v="NYAMUGALI"/>
    <s v="Public"/>
    <x v="0"/>
    <s v="Huye"/>
    <s v="Simbi"/>
    <s v="NNYU_2"/>
    <s v="Mwogo Sub-Catchment"/>
    <n v="2049.84"/>
  </r>
  <r>
    <x v="3"/>
    <s v="RWONGA"/>
    <s v="Public"/>
    <x v="0"/>
    <s v="Huye"/>
    <s v="Simbi"/>
    <s v="NNYU_2"/>
    <s v="Mwogo Sub-Catchment"/>
    <n v="3468.9600000000005"/>
  </r>
  <r>
    <x v="3"/>
    <s v="RYARUHOZANGABO"/>
    <s v="Public"/>
    <x v="0"/>
    <s v="Huye"/>
    <s v="Simbi"/>
    <s v="NNYU_2"/>
    <s v="Mwogo Sub-Catchment"/>
    <n v="2049.84"/>
  </r>
  <r>
    <x v="3"/>
    <s v="KAZABAGARURA"/>
    <s v="Public"/>
    <x v="0"/>
    <s v="Huye"/>
    <s v="Simbi"/>
    <s v="NNYU_2"/>
    <s v="Mwogo Sub-Catchment"/>
    <n v="3468.9600000000005"/>
  </r>
  <r>
    <x v="3"/>
    <s v="GASEKE"/>
    <s v="Public"/>
    <x v="0"/>
    <s v="Nyamagabe"/>
    <s v="Tare"/>
    <s v="NNYU_2"/>
    <s v="Mwogo Sub-Catchment"/>
    <n v="3942.0000000000005"/>
  </r>
  <r>
    <x v="3"/>
    <s v="RWABOSHYA"/>
    <s v="Public"/>
    <x v="0"/>
    <s v="Nyamagabe"/>
    <s v="Tare"/>
    <s v="NNYU_2"/>
    <s v="Mwogo Sub-Catchment"/>
    <n v="1971.0000000000002"/>
  </r>
  <r>
    <x v="3"/>
    <s v="GIHONDOHONDO"/>
    <s v="Public"/>
    <x v="0"/>
    <s v="Nyamagabe"/>
    <s v="Tare"/>
    <s v="NNYU_2"/>
    <s v="Mwogo Sub-Catchment"/>
    <n v="1592.5680000000002"/>
  </r>
  <r>
    <x v="3"/>
    <s v="KAGENDE"/>
    <s v="Public"/>
    <x v="0"/>
    <s v="Nyamagabe"/>
    <s v="Tare"/>
    <s v="NNYU_2"/>
    <s v="Mwogo Sub-Catchment"/>
    <n v="274.36320000000001"/>
  </r>
  <r>
    <x v="3"/>
    <s v="RUGOMERO"/>
    <s v="Public"/>
    <x v="0"/>
    <s v="Nyamagabe"/>
    <s v="Tare"/>
    <s v="NNYU_2"/>
    <s v="Mwogo Sub-Catchment"/>
    <n v="1592.5680000000002"/>
  </r>
  <r>
    <x v="3"/>
    <s v="NYAKAGEZI"/>
    <s v="Public"/>
    <x v="0"/>
    <s v="Nyamagabe"/>
    <s v="Tare"/>
    <s v="NNYU_2"/>
    <s v="Mwogo Sub-Catchment"/>
    <n v="7899.768"/>
  </r>
  <r>
    <x v="3"/>
    <s v="GASEKE"/>
    <s v="Public"/>
    <x v="0"/>
    <s v="Nyamagabe"/>
    <s v="Tare"/>
    <s v="NNYU_2"/>
    <s v="Mwogo Sub-Catchment"/>
    <n v="3942.0000000000005"/>
  </r>
  <r>
    <x v="3"/>
    <s v="RWABUTIMBA"/>
    <s v="Public"/>
    <x v="0"/>
    <s v="Nyamagabe"/>
    <s v="Tare"/>
    <s v="NNYU_2"/>
    <s v="Mwogo Sub-Catchment"/>
    <n v="1313.9474400000001"/>
  </r>
  <r>
    <x v="3"/>
    <s v="RWABUHURA"/>
    <s v="Public"/>
    <x v="0"/>
    <s v="Nyamagabe"/>
    <s v="Tare"/>
    <s v="NNYU_2"/>
    <s v="Mwogo Sub-Catchment"/>
    <n v="5250.7439999999997"/>
  </r>
  <r>
    <x v="3"/>
    <s v="BUTARA"/>
    <s v="Public"/>
    <x v="0"/>
    <s v="Nyamagabe"/>
    <s v="Tare"/>
    <s v="NNYU_2"/>
    <s v="Mwogo Sub-Catchment"/>
    <n v="1351.3175999999999"/>
  </r>
  <r>
    <x v="3"/>
    <s v="GAHAMA"/>
    <s v="Public"/>
    <x v="0"/>
    <s v="Nyamagabe"/>
    <s v="Tare"/>
    <s v="NNYU_2"/>
    <s v="Mwogo Sub-Catchment"/>
    <n v="2626.9488000000001"/>
  </r>
  <r>
    <x v="3"/>
    <s v="KABINGO"/>
    <s v="Public"/>
    <x v="0"/>
    <s v="Nyamagabe"/>
    <s v="Tare"/>
    <s v="NNYU_2"/>
    <s v="Mwogo Sub-Catchment"/>
    <n v="1751.8248000000001"/>
  </r>
  <r>
    <x v="3"/>
    <s v="KAVOMO"/>
    <s v="Public"/>
    <x v="0"/>
    <s v="Nyamagabe"/>
    <s v="Tare"/>
    <s v="NNYU_2"/>
    <s v="Mwogo Sub-Catchment"/>
    <n v="5629.1760000000004"/>
  </r>
  <r>
    <x v="3"/>
    <s v="NYABUGUGU"/>
    <s v="Public"/>
    <x v="0"/>
    <s v="Nyamagabe"/>
    <s v="Tare"/>
    <s v="NNYU_2"/>
    <s v="Mwogo Sub-Catchment"/>
    <n v="10006.372800000001"/>
  </r>
  <r>
    <x v="3"/>
    <s v="GATUNTU"/>
    <s v="Public"/>
    <x v="0"/>
    <s v="Nyamagabe"/>
    <s v="Tare"/>
    <s v="NNYU_2"/>
    <s v="Mwogo Sub-Catchment"/>
    <n v="1592.5680000000002"/>
  </r>
  <r>
    <x v="3"/>
    <s v="RYAMUNANI"/>
    <s v="Public"/>
    <x v="0"/>
    <s v="Nyamagabe"/>
    <s v="Tare"/>
    <s v="NNYU_2"/>
    <s v="Mwogo Sub-Catchment"/>
    <n v="1971.0000000000002"/>
  </r>
  <r>
    <x v="3"/>
    <s v="BUSUKI"/>
    <s v="Public"/>
    <x v="0"/>
    <s v="Nyamagabe"/>
    <s v="Tare"/>
    <s v="NNYU_2"/>
    <s v="Mwogo Sub-Catchment"/>
    <n v="1750.248"/>
  </r>
  <r>
    <x v="3"/>
    <s v="RUSHUBI"/>
    <s v="Public"/>
    <x v="0"/>
    <s v="Nyamagabe"/>
    <s v="Tare"/>
    <s v="NNYU_2"/>
    <s v="Mwogo Sub-Catchment"/>
    <n v="2626.9488000000001"/>
  </r>
  <r>
    <x v="3"/>
    <s v="NYAMUKAZA"/>
    <s v="Public"/>
    <x v="0"/>
    <s v="Nyamagabe"/>
    <s v="Tare"/>
    <s v="NNYU_2"/>
    <s v="Mwogo Sub-Catchment"/>
    <n v="2626.9488000000001"/>
  </r>
  <r>
    <x v="3"/>
    <s v="KASEHENE"/>
    <s v="Public"/>
    <x v="0"/>
    <s v="Nyamagabe"/>
    <s v="Tare"/>
    <s v="NNYU_2"/>
    <s v="Mwogo Sub-Catchment"/>
    <n v="1313.9474400000001"/>
  </r>
  <r>
    <x v="3"/>
    <s v="N.BATEGUZI"/>
    <s v="Public"/>
    <x v="0"/>
    <s v="Nyamagabe"/>
    <s v="Tare"/>
    <s v="NNYU_2"/>
    <s v="Mwogo Sub-Catchment"/>
    <n v="3169.3679999999999"/>
  </r>
  <r>
    <x v="3"/>
    <s v="KABAKENE"/>
    <s v="Public"/>
    <x v="0"/>
    <s v="Nyamagabe"/>
    <s v="Tare"/>
    <s v="NNYU_2"/>
    <s v="Mwogo Sub-Catchment"/>
    <n v="9460.8000000000011"/>
  </r>
  <r>
    <x v="3"/>
    <s v="KABARERA"/>
    <s v="Public"/>
    <x v="0"/>
    <s v="Nyamagabe"/>
    <s v="Tare"/>
    <s v="NNYU_2"/>
    <s v="Mwogo Sub-Catchment"/>
    <n v="985.50000000000011"/>
  </r>
  <r>
    <x v="3"/>
    <s v="KARUHARA"/>
    <s v="Public"/>
    <x v="0"/>
    <s v="Nyamagabe"/>
    <s v="Tare"/>
    <s v="NNYU_2"/>
    <s v="Mwogo Sub-Catchment"/>
    <n v="1734.4800000000002"/>
  </r>
  <r>
    <x v="3"/>
    <s v="AGATARE"/>
    <s v="Public"/>
    <x v="0"/>
    <s v="Nyamagabe"/>
    <s v="Tare"/>
    <s v="NNYU_2"/>
    <s v="Mwogo Sub-Catchment"/>
    <n v="4746.1679999999997"/>
  </r>
  <r>
    <x v="3"/>
    <s v="GISHONGO"/>
    <s v="Public"/>
    <x v="0"/>
    <s v="Nyamagabe"/>
    <s v="Tare"/>
    <s v="NNYU_2"/>
    <s v="Mwogo Sub-Catchment"/>
    <n v="2239.0559999999996"/>
  </r>
  <r>
    <x v="3"/>
    <s v="GATARE"/>
    <s v="Public"/>
    <x v="0"/>
    <s v="Nyamagabe"/>
    <s v="Tare"/>
    <s v="NNYU_2"/>
    <s v="Mwogo Sub-Catchment"/>
    <n v="3942.0000000000005"/>
  </r>
  <r>
    <x v="3"/>
    <s v="GAKOMA"/>
    <s v="Public"/>
    <x v="0"/>
    <s v="Nyamagabe"/>
    <s v="Tare"/>
    <s v="NNYU_2"/>
    <s v="Mwogo Sub-Catchment"/>
    <n v="1313.9474400000001"/>
  </r>
  <r>
    <x v="3"/>
    <s v="KABARERA 2"/>
    <s v="Public"/>
    <x v="0"/>
    <s v="Nyamagabe"/>
    <s v="Tare"/>
    <s v="NNYU_2"/>
    <s v="Mwogo Sub-Catchment"/>
    <n v="1750.248"/>
  </r>
  <r>
    <x v="3"/>
    <s v="NYARUGETI"/>
    <s v="Public"/>
    <x v="0"/>
    <s v="Nyamagabe"/>
    <s v="Tare"/>
    <s v="NNYU_2"/>
    <s v="Mwogo Sub-Catchment"/>
    <n v="1734.4800000000002"/>
  </r>
  <r>
    <x v="3"/>
    <s v="MUKOZI"/>
    <s v="Public"/>
    <x v="0"/>
    <s v="Nyamagabe"/>
    <s v="Tare"/>
    <s v="NNYU_2"/>
    <s v="Mwogo Sub-Catchment"/>
    <n v="1971.0000000000002"/>
  </r>
  <r>
    <x v="3"/>
    <s v="NYAKAGEZI"/>
    <s v="Public"/>
    <x v="0"/>
    <s v="Nyamagabe"/>
    <s v="Tare"/>
    <s v="NNYU_2"/>
    <s v="Mwogo Sub-Catchment"/>
    <n v="8672.4000000000015"/>
  </r>
  <r>
    <x v="3"/>
    <s v="AKABERE"/>
    <s v="Public"/>
    <x v="0"/>
    <s v="Nyamagabe"/>
    <s v="Tare"/>
    <s v="NNYU_2"/>
    <s v="Mwogo Sub-Catchment"/>
    <n v="2626.9488000000001"/>
  </r>
  <r>
    <x v="3"/>
    <s v="KABAKOBWA"/>
    <s v="Public"/>
    <x v="0"/>
    <s v="Nyamagabe"/>
    <s v="Tare"/>
    <s v="NNYU_2"/>
    <s v="Mwogo Sub-Catchment"/>
    <n v="1750.248"/>
  </r>
  <r>
    <x v="3"/>
    <s v="CYASEBAHARA"/>
    <s v="Public"/>
    <x v="0"/>
    <s v="Nyamagabe"/>
    <s v="Tare"/>
    <s v="NNYU_2"/>
    <s v="Mwogo Sub-Catchment"/>
    <n v="1750.248"/>
  </r>
  <r>
    <x v="3"/>
    <s v="RYATORINGABO"/>
    <s v="Public"/>
    <x v="0"/>
    <s v="Nyamagabe"/>
    <s v="Tare"/>
    <s v="NNYU_2"/>
    <s v="Mwogo Sub-Catchment"/>
    <n v="1313.9474400000001"/>
  </r>
  <r>
    <x v="3"/>
    <s v="MUGATIBA"/>
    <s v="Public"/>
    <x v="0"/>
    <s v="Nyamagabe"/>
    <s v="Tare"/>
    <s v="NNYU_2"/>
    <s v="Mwogo Sub-Catchment"/>
    <n v="3468.9600000000005"/>
  </r>
  <r>
    <x v="3"/>
    <s v="KAJAGI"/>
    <s v="Public"/>
    <x v="0"/>
    <s v="Nyamagabe"/>
    <s v="Tare"/>
    <s v="NNYU_2"/>
    <s v="Mwogo Sub-Catchment"/>
    <n v="2388.8520000000003"/>
  </r>
  <r>
    <x v="3"/>
    <s v="MIKANO"/>
    <s v="Public"/>
    <x v="0"/>
    <s v="Nyamagabe"/>
    <s v="Tare"/>
    <s v="NNYU_2"/>
    <s v="Mwogo Sub-Catchment"/>
    <n v="2626.9488000000001"/>
  </r>
  <r>
    <x v="3"/>
    <s v="GATARE"/>
    <s v="Public"/>
    <x v="0"/>
    <s v="Nyamagabe"/>
    <s v="Tare"/>
    <s v="NNYU_2"/>
    <s v="Mwogo Sub-Catchment"/>
    <n v="3942.0000000000005"/>
  </r>
  <r>
    <x v="3"/>
    <s v="UWAREMEZO"/>
    <s v="Public"/>
    <x v="0"/>
    <s v="Nyamagabe"/>
    <s v="Tare"/>
    <s v="NNYU_2"/>
    <s v="Mwogo Sub-Catchment"/>
    <n v="3468.9600000000005"/>
  </r>
  <r>
    <x v="3"/>
    <s v="BARITA"/>
    <s v="Public"/>
    <x v="0"/>
    <s v="Nyamagabe"/>
    <s v="Tare"/>
    <s v="NNYU_2"/>
    <s v="Mwogo Sub-Catchment"/>
    <n v="8672.4000000000015"/>
  </r>
  <r>
    <x v="3"/>
    <s v="RYARUVUSHA"/>
    <s v="Public"/>
    <x v="0"/>
    <s v="Nyamagabe"/>
    <s v="Tare"/>
    <s v="NNYU_2"/>
    <s v="Mwogo Sub-Catchment"/>
    <n v="1971.0000000000002"/>
  </r>
  <r>
    <x v="3"/>
    <s v="UWARUKIRA"/>
    <s v="Public"/>
    <x v="0"/>
    <s v="Nyamagabe"/>
    <s v="Tare"/>
    <s v="NNYU_2"/>
    <s v="Mwogo Sub-Catchment"/>
    <n v="1592.5680000000002"/>
  </r>
  <r>
    <x v="3"/>
    <s v="MPAMA"/>
    <s v="Public"/>
    <x v="0"/>
    <s v="Nyamagabe"/>
    <s v="Tare"/>
    <s v="NNYU_2"/>
    <s v="Mwogo Sub-Catchment"/>
    <n v="2388.8520000000003"/>
  </r>
  <r>
    <x v="3"/>
    <s v="UWANKOMEJE"/>
    <s v="Public"/>
    <x v="0"/>
    <s v="Nyamagabe"/>
    <s v="Tare"/>
    <s v="NNYU_2"/>
    <s v="Mwogo Sub-Catchment"/>
    <n v="3942.0000000000005"/>
  </r>
  <r>
    <x v="3"/>
    <s v="MURUBARE2"/>
    <s v="Public"/>
    <x v="0"/>
    <s v="Nyamagabe"/>
    <s v="Tare"/>
    <s v="NNYU_2"/>
    <s v="Mwogo Sub-Catchment"/>
    <n v="3153.6000000000004"/>
  </r>
  <r>
    <x v="3"/>
    <s v="KABUMBA"/>
    <s v="Public"/>
    <x v="0"/>
    <s v="Nyamagabe"/>
    <s v="Tare"/>
    <s v="NNYU_2"/>
    <s v="Mwogo Sub-Catchment"/>
    <n v="3153.6000000000004"/>
  </r>
  <r>
    <x v="3"/>
    <s v="KABERE"/>
    <s v="Public"/>
    <x v="0"/>
    <s v="Nyamagabe"/>
    <s v="Tare"/>
    <s v="NNYU_2"/>
    <s v="Mwogo Sub-Catchment"/>
    <n v="2365.2000000000003"/>
  </r>
  <r>
    <x v="3"/>
    <s v="KAGARAMA"/>
    <s v="Public"/>
    <x v="0"/>
    <s v="Nyamagabe"/>
    <s v="Tare"/>
    <s v="NNYU_2"/>
    <s v="Mwogo Sub-Catchment"/>
    <n v="2626.9488000000001"/>
  </r>
  <r>
    <x v="3"/>
    <s v="KABUMBA 2"/>
    <s v="Public"/>
    <x v="0"/>
    <s v="Nyamagabe"/>
    <s v="Tare"/>
    <s v="NNYU_2"/>
    <s v="Mwogo Sub-Catchment"/>
    <n v="2626.9488000000001"/>
  </r>
  <r>
    <x v="3"/>
    <s v="RUBARE1"/>
    <s v="Public"/>
    <x v="0"/>
    <s v="Nyamagabe"/>
    <s v="Tare"/>
    <s v="NNYU_2"/>
    <s v="Mwogo Sub-Catchment"/>
    <n v="3942.0000000000005"/>
  </r>
  <r>
    <x v="3"/>
    <s v="CYAHAFI"/>
    <s v="Public"/>
    <x v="0"/>
    <s v="Nyamagabe"/>
    <s v="Tare"/>
    <s v="NNYU_2"/>
    <s v="Mwogo Sub-Catchment"/>
    <n v="867.24000000000012"/>
  </r>
  <r>
    <x v="3"/>
    <s v="RUGOMERO"/>
    <s v="Public"/>
    <x v="0"/>
    <s v="Nyamagabe"/>
    <s v="Tare"/>
    <s v="NNYU_2"/>
    <s v="Mwogo Sub-Catchment"/>
    <n v="867.24000000000012"/>
  </r>
  <r>
    <x v="3"/>
    <s v="GATARE2"/>
    <s v="Public"/>
    <x v="0"/>
    <s v="Nyamagabe"/>
    <s v="Tare"/>
    <s v="NNYU_2"/>
    <s v="Mwogo Sub-Catchment"/>
    <n v="5834.1600000000008"/>
  </r>
  <r>
    <x v="3"/>
    <s v="KIMINAZI"/>
    <s v="Public"/>
    <x v="0"/>
    <s v="Nyamagabe"/>
    <s v="Tare"/>
    <s v="NNYU_2"/>
    <s v="Mwogo Sub-Catchment"/>
    <n v="3942.0000000000005"/>
  </r>
  <r>
    <x v="3"/>
    <s v="MATUNU"/>
    <s v="Public"/>
    <x v="0"/>
    <s v="Nyamagabe"/>
    <s v="Tare"/>
    <s v="NNYU_2"/>
    <s v="Mwogo Sub-Catchment"/>
    <n v="1244.0952"/>
  </r>
  <r>
    <x v="3"/>
    <s v="RWUNGUYE"/>
    <s v="Public"/>
    <x v="0"/>
    <s v="Nyamagabe"/>
    <s v="Tare"/>
    <s v="NNYU_2"/>
    <s v="Mwogo Sub-Catchment"/>
    <n v="3468.9600000000005"/>
  </r>
  <r>
    <x v="3"/>
    <s v="BUNINDA"/>
    <s v="Public"/>
    <x v="0"/>
    <s v="Nyamagabe"/>
    <s v="Tare"/>
    <s v="NNYU_2"/>
    <s v="Mwogo Sub-Catchment"/>
    <n v="1971.0000000000002"/>
  </r>
  <r>
    <x v="3"/>
    <s v="NYIRARENDE"/>
    <s v="Public"/>
    <x v="0"/>
    <s v="Nyamagabe"/>
    <s v="Tare"/>
    <s v="NNYU_2"/>
    <s v="Mwogo Sub-Catchment"/>
    <n v="1592.5680000000002"/>
  </r>
  <r>
    <x v="3"/>
    <s v="GITINDA"/>
    <s v="Public"/>
    <x v="0"/>
    <s v="Nyamagabe"/>
    <s v="Tare"/>
    <s v="NNYU_2"/>
    <s v="Mwogo Sub-Catchment"/>
    <n v="2626.9488000000001"/>
  </r>
  <r>
    <x v="3"/>
    <s v="GATOMVU"/>
    <s v="Public"/>
    <x v="0"/>
    <s v="Nyamagabe"/>
    <s v="Tare"/>
    <s v="NNYU_2"/>
    <s v="Mwogo Sub-Catchment"/>
    <n v="867.24000000000012"/>
  </r>
  <r>
    <x v="3"/>
    <s v="KWAMUZIGE"/>
    <s v="Public"/>
    <x v="0"/>
    <s v="Nyamagabe"/>
    <s v="Tare"/>
    <s v="NNYU_2"/>
    <s v="Mwogo Sub-Catchment"/>
    <n v="525.07440000000008"/>
  </r>
  <r>
    <x v="3"/>
    <s v="KABINGO"/>
    <s v="Public"/>
    <x v="0"/>
    <s v="Nyamagabe"/>
    <s v="Tare"/>
    <s v="NNYU_2"/>
    <s v="Mwogo Sub-Catchment"/>
    <n v="2806.7039999999997"/>
  </r>
  <r>
    <x v="3"/>
    <s v="CYAJISHO"/>
    <s v="Public"/>
    <x v="0"/>
    <s v="Nyamagabe"/>
    <s v="Tare"/>
    <s v="NNYU_2"/>
    <s v="Mwogo Sub-Catchment"/>
    <n v="3942.0000000000005"/>
  </r>
  <r>
    <x v="3"/>
    <s v="RWERINKA"/>
    <s v="Public"/>
    <x v="0"/>
    <s v="Nyamagabe"/>
    <s v="Tare"/>
    <s v="NNYU_2"/>
    <s v="Mwogo Sub-Catchment"/>
    <n v="1750.248"/>
  </r>
  <r>
    <x v="3"/>
    <s v="MUBUDACA"/>
    <s v="Public"/>
    <x v="0"/>
    <s v="Nyamagabe"/>
    <s v="Tare"/>
    <s v="NNYU_2"/>
    <s v="Mwogo Sub-Catchment"/>
    <n v="1751.8248000000001"/>
  </r>
  <r>
    <x v="3"/>
    <s v="KUMWARO"/>
    <s v="Public"/>
    <x v="0"/>
    <s v="Nyamagabe"/>
    <s v="Tare"/>
    <s v="NNYU_2"/>
    <s v="Mwogo Sub-Catchment"/>
    <n v="8672.4000000000015"/>
  </r>
  <r>
    <x v="3"/>
    <s v="KAGARAMA"/>
    <s v="Public"/>
    <x v="0"/>
    <s v="Nyamagabe"/>
    <s v="Tare"/>
    <s v="NNYU_2"/>
    <s v="Mwogo Sub-Catchment"/>
    <n v="1313.9474400000001"/>
  </r>
  <r>
    <x v="3"/>
    <s v="RUGANZA"/>
    <s v="Public"/>
    <x v="0"/>
    <s v="Nyamagabe"/>
    <s v="Tare"/>
    <s v="NNYU_2"/>
    <s v="Mwogo Sub-Catchment"/>
    <n v="1592.5680000000002"/>
  </r>
  <r>
    <x v="3"/>
    <s v="RWANYA"/>
    <s v="Public"/>
    <x v="0"/>
    <s v="Nyamagabe"/>
    <s v="Tare"/>
    <s v="NNYU_2"/>
    <s v="Mwogo Sub-Catchment"/>
    <n v="1592.5680000000002"/>
  </r>
  <r>
    <x v="3"/>
    <s v="RUGOMERO"/>
    <s v="Public"/>
    <x v="0"/>
    <s v="Nyamagabe"/>
    <s v="Tare"/>
    <s v="NNYU_2"/>
    <s v="Mwogo Sub-Catchment"/>
    <n v="3942.0000000000005"/>
  </r>
  <r>
    <x v="3"/>
    <s v="SOHORINGABO"/>
    <s v="Public"/>
    <x v="0"/>
    <s v="Nyamagabe"/>
    <s v="Tare"/>
    <s v="NNYU_2"/>
    <s v="Mwogo Sub-Catchment"/>
    <n v="985.50000000000011"/>
  </r>
  <r>
    <x v="3"/>
    <s v="KARUSESWA"/>
    <s v="Public"/>
    <x v="0"/>
    <s v="Nyamagabe"/>
    <s v="Tare"/>
    <s v="NNYU_2"/>
    <s v="Mwogo Sub-Catchment"/>
    <n v="2626.9488000000001"/>
  </r>
  <r>
    <x v="3"/>
    <s v="MPIMBA"/>
    <s v="Public"/>
    <x v="0"/>
    <s v="Nyamagabe"/>
    <s v="Uwinkingi"/>
    <s v="NNYU_2"/>
    <s v="Mwogo Sub-Catchment"/>
    <n v="2626.9488000000001"/>
  </r>
  <r>
    <x v="3"/>
    <s v="BITABA"/>
    <s v="Public"/>
    <x v="0"/>
    <s v="Nyamagabe"/>
    <s v="Uwinkingi"/>
    <s v="NNYU_2"/>
    <s v="Mwogo Sub-Catchment"/>
    <n v="1971.0000000000002"/>
  </r>
  <r>
    <x v="3"/>
    <s v="GIKUKU"/>
    <s v="Public"/>
    <x v="0"/>
    <s v="Nyamagabe"/>
    <s v="Uwinkingi"/>
    <s v="NNYU_2"/>
    <s v="Mwogo Sub-Catchment"/>
    <n v="2626.9488000000001"/>
  </r>
  <r>
    <x v="3"/>
    <s v="BUDACA"/>
    <s v="Public"/>
    <x v="0"/>
    <s v="Nyamagabe"/>
    <s v="Uwinkingi"/>
    <s v="NNYU_2"/>
    <s v="Mwogo Sub-Catchment"/>
    <n v="2743.6320000000001"/>
  </r>
  <r>
    <x v="3"/>
    <s v="RUHOROBERO"/>
    <s v="Public"/>
    <x v="0"/>
    <s v="Nyamagabe"/>
    <s v="Uwinkingi"/>
    <s v="NNYU_2"/>
    <s v="Mwogo Sub-Catchment"/>
    <n v="1971.0000000000002"/>
  </r>
  <r>
    <x v="3"/>
    <s v="GAKERI"/>
    <s v="Public"/>
    <x v="0"/>
    <s v="Nyamagabe"/>
    <s v="Uwinkingi"/>
    <s v="NNYU_2"/>
    <s v="Mwogo Sub-Catchment"/>
    <n v="3942.0000000000005"/>
  </r>
  <r>
    <x v="3"/>
    <s v="MUKARISHE"/>
    <s v="Public"/>
    <x v="0"/>
    <s v="Nyamagabe"/>
    <s v="Uwinkingi"/>
    <s v="NNYU_2"/>
    <s v="Mwogo Sub-Catchment"/>
    <n v="1750.248"/>
  </r>
  <r>
    <x v="3"/>
    <s v="RUTOVU 2"/>
    <s v="Public"/>
    <x v="0"/>
    <s v="Nyamagabe"/>
    <s v="Uwinkingi"/>
    <s v="NNYU_2"/>
    <s v="Mwogo Sub-Catchment"/>
    <n v="1125.8352000000002"/>
  </r>
  <r>
    <x v="3"/>
    <s v="KANEGE"/>
    <s v="Public"/>
    <x v="0"/>
    <s v="Nyamagabe"/>
    <s v="Uwinkingi"/>
    <s v="NNYU_2"/>
    <s v="Mwogo Sub-Catchment"/>
    <n v="1313.9474400000001"/>
  </r>
  <r>
    <x v="3"/>
    <s v="RUTOVU"/>
    <s v="Public"/>
    <x v="0"/>
    <s v="Nyamagabe"/>
    <s v="Uwinkingi"/>
    <s v="NNYU_2"/>
    <s v="Mwogo Sub-Catchment"/>
    <n v="2743.6320000000001"/>
  </r>
  <r>
    <x v="3"/>
    <s v="KANYAMPONGA"/>
    <s v="Public"/>
    <x v="0"/>
    <s v="Nyamagabe"/>
    <s v="Uwinkingi"/>
    <s v="NNYU_2"/>
    <s v="Mwogo Sub-Catchment"/>
    <n v="3942.0000000000005"/>
  </r>
  <r>
    <x v="3"/>
    <s v="MUNYEGE"/>
    <s v="Public"/>
    <x v="0"/>
    <s v="Nyamagabe"/>
    <s v="Uwinkingi"/>
    <s v="NNYU_2"/>
    <s v="Mwogo Sub-Catchment"/>
    <n v="525.07440000000008"/>
  </r>
  <r>
    <x v="3"/>
    <s v="KANEGE 2"/>
    <s v="Public"/>
    <x v="0"/>
    <s v="Nyamagabe"/>
    <s v="Uwinkingi"/>
    <s v="NNYU_2"/>
    <s v="Mwogo Sub-Catchment"/>
    <n v="1971.0000000000002"/>
  </r>
  <r>
    <x v="3"/>
    <s v="RUGORWE"/>
    <s v="Public"/>
    <x v="0"/>
    <s v="Nyamagabe"/>
    <s v="Uwinkingi"/>
    <s v="NNYU_2"/>
    <s v="Mwogo Sub-Catchment"/>
    <n v="2617.4880000000003"/>
  </r>
  <r>
    <x v="3"/>
    <s v="MUBAHIRI"/>
    <s v="Public"/>
    <x v="0"/>
    <s v="Nyamagabe"/>
    <s v="Uwinkingi"/>
    <s v="NNYU_2"/>
    <s v="Mwogo Sub-Catchment"/>
    <n v="2317.8959999999997"/>
  </r>
  <r>
    <x v="3"/>
    <s v="AKABERE"/>
    <s v="Public"/>
    <x v="0"/>
    <s v="Nyamagabe"/>
    <s v="Uwinkingi"/>
    <s v="NNYU_2"/>
    <s v="Mwogo Sub-Catchment"/>
    <n v="1313.4744000000001"/>
  </r>
  <r>
    <x v="3"/>
    <s v="MUSHYINGO"/>
    <s v="Public"/>
    <x v="0"/>
    <s v="Nyamagabe"/>
    <s v="Uwinkingi"/>
    <s v="NNYU_2"/>
    <s v="Mwogo Sub-Catchment"/>
    <n v="2759.4"/>
  </r>
  <r>
    <x v="3"/>
    <s v="RWISHWA"/>
    <s v="Public"/>
    <x v="0"/>
    <s v="Nyamagabe"/>
    <s v="Uwinkingi"/>
    <s v="NNYU_2"/>
    <s v="Mwogo Sub-Catchment"/>
    <n v="3942.0000000000005"/>
  </r>
  <r>
    <x v="3"/>
    <s v="MUBASHYA"/>
    <s v="Public"/>
    <x v="0"/>
    <s v="Nyamagabe"/>
    <s v="Uwinkingi"/>
    <s v="NNYU_2"/>
    <s v="Mwogo Sub-Catchment"/>
    <n v="1313.4744000000001"/>
  </r>
  <r>
    <x v="3"/>
    <s v="BUNYUNYU"/>
    <s v="Public"/>
    <x v="0"/>
    <s v="Nyamagabe"/>
    <s v="Uwinkingi"/>
    <s v="NNYU_2"/>
    <s v="Mwogo Sub-Catchment"/>
    <n v="394.20000000000005"/>
  </r>
  <r>
    <x v="3"/>
    <s v="KWABUNANI"/>
    <s v="Public"/>
    <x v="0"/>
    <s v="Nyamagabe"/>
    <s v="Uwinkingi"/>
    <s v="NNYU_2"/>
    <s v="Mwogo Sub-Catchment"/>
    <n v="2317.8959999999997"/>
  </r>
  <r>
    <x v="3"/>
    <s v="GASHAYAYA"/>
    <s v="Public"/>
    <x v="0"/>
    <s v="Nyamagabe"/>
    <s v="Uwinkingi"/>
    <s v="NNYU_2"/>
    <s v="Mwogo Sub-Catchment"/>
    <n v="1313.4744000000001"/>
  </r>
  <r>
    <x v="3"/>
    <s v="MURUDAGA"/>
    <s v="Public"/>
    <x v="0"/>
    <s v="Nyamagabe"/>
    <s v="Uwinkingi"/>
    <s v="NNYU_2"/>
    <s v="Mwogo Sub-Catchment"/>
    <n v="3689.7120000000009"/>
  </r>
  <r>
    <x v="3"/>
    <s v="NYIRABAHIRE"/>
    <s v="Public"/>
    <x v="0"/>
    <s v="Nyamagabe"/>
    <s v="Uwinkingi"/>
    <s v="NNYU_2"/>
    <s v="Mwogo Sub-Catchment"/>
    <n v="1971.0000000000002"/>
  </r>
  <r>
    <x v="3"/>
    <s v="GASEKE 2"/>
    <s v="Public"/>
    <x v="0"/>
    <s v="Nyamagabe"/>
    <s v="Uwinkingi"/>
    <s v="NNYU_2"/>
    <s v="Mwogo Sub-Catchment"/>
    <n v="525.07440000000008"/>
  </r>
  <r>
    <x v="3"/>
    <s v="IRYAKIGAJU"/>
    <s v="Public"/>
    <x v="0"/>
    <s v="Nyamagabe"/>
    <s v="Uwinkingi"/>
    <s v="NNYU_2"/>
    <s v="Mwogo Sub-Catchment"/>
    <n v="2617.4880000000003"/>
  </r>
  <r>
    <x v="3"/>
    <s v="GASEKE"/>
    <s v="Public"/>
    <x v="0"/>
    <s v="Nyamagabe"/>
    <s v="Uwinkingi"/>
    <s v="NNYU_2"/>
    <s v="Mwogo Sub-Catchment"/>
    <n v="788.40000000000009"/>
  </r>
  <r>
    <x v="3"/>
    <s v="GATABA"/>
    <s v="Public"/>
    <x v="0"/>
    <s v="Nyamagabe"/>
    <s v="Uwinkingi"/>
    <s v="NNYU_2"/>
    <s v="Mwogo Sub-Catchment"/>
    <n v="2444.0400000000004"/>
  </r>
  <r>
    <x v="3"/>
    <s v="TUBWAKAZI"/>
    <s v="Public"/>
    <x v="0"/>
    <s v="Nyamagabe"/>
    <s v="Uwinkingi"/>
    <s v="NNYU_2"/>
    <s v="Mwogo Sub-Catchment"/>
    <n v="2626.9488000000001"/>
  </r>
  <r>
    <x v="3"/>
    <s v="NYIRAMABUNGO"/>
    <s v="Public"/>
    <x v="0"/>
    <s v="Nyamagabe"/>
    <s v="Uwinkingi"/>
    <s v="NNYU_2"/>
    <s v="Mwogo Sub-Catchment"/>
    <n v="1971.0000000000002"/>
  </r>
  <r>
    <x v="3"/>
    <s v="RYASONGA"/>
    <s v="Public"/>
    <x v="0"/>
    <s v="Nyamagabe"/>
    <s v="Uwinkingi"/>
    <s v="NNYU_2"/>
    <s v="Mwogo Sub-Catchment"/>
    <n v="1971.0000000000002"/>
  </r>
  <r>
    <x v="3"/>
    <s v="UWANTWARI"/>
    <s v="Public"/>
    <x v="0"/>
    <s v="Nyamagabe"/>
    <s v="Uwinkingi"/>
    <s v="NNYU_2"/>
    <s v="Mwogo Sub-Catchment"/>
    <n v="1313.9474400000001"/>
  </r>
  <r>
    <x v="3"/>
    <s v="MUKABERE"/>
    <s v="Public"/>
    <x v="0"/>
    <s v="Nyamagabe"/>
    <s v="Uwinkingi"/>
    <s v="NNYU_2"/>
    <s v="Mwogo Sub-Catchment"/>
    <n v="2626.9488000000001"/>
  </r>
  <r>
    <x v="3"/>
    <s v="MUBASHYA"/>
    <s v="Public"/>
    <x v="0"/>
    <s v="Nyamagabe"/>
    <s v="Uwinkingi"/>
    <s v="NNYU_2"/>
    <s v="Mwogo Sub-Catchment"/>
    <n v="2626.9488000000001"/>
  </r>
  <r>
    <x v="3"/>
    <s v="MURUKUMBA"/>
    <s v="Public"/>
    <x v="0"/>
    <s v="Nyamagabe"/>
    <s v="Uwinkingi"/>
    <s v="NNYU_2"/>
    <s v="Mwogo Sub-Catchment"/>
    <n v="1313.4744000000001"/>
  </r>
  <r>
    <x v="3"/>
    <s v="GATABA"/>
    <s v="Public"/>
    <x v="0"/>
    <s v="Nyamagabe"/>
    <s v="Uwinkingi"/>
    <s v="NNYU_2"/>
    <s v="Mwogo Sub-Catchment"/>
    <n v="1971.0000000000002"/>
  </r>
  <r>
    <x v="3"/>
    <s v="RYAMAKWENI"/>
    <s v="Public"/>
    <x v="0"/>
    <s v="Nyamagabe"/>
    <s v="Uwinkingi"/>
    <s v="NNYU_2"/>
    <s v="Mwogo Sub-Catchment"/>
    <n v="2626.9488000000001"/>
  </r>
  <r>
    <x v="3"/>
    <s v="CYUMUGANZA"/>
    <s v="Public"/>
    <x v="0"/>
    <s v="Nyamagabe"/>
    <s v="Uwinkingi"/>
    <s v="NNYU_2"/>
    <s v="Mwogo Sub-Catchment"/>
    <n v="2626.9488000000001"/>
  </r>
  <r>
    <x v="3"/>
    <s v="NYIRANGENDO"/>
    <s v="Public"/>
    <x v="0"/>
    <s v="Nyamagabe"/>
    <s v="Uwinkingi"/>
    <s v="NNYU_2"/>
    <s v="Mwogo Sub-Catchment"/>
    <n v="2759.4"/>
  </r>
  <r>
    <x v="3"/>
    <s v="NGARUKIYE"/>
    <s v="Public"/>
    <x v="0"/>
    <s v="Nyamagabe"/>
    <s v="Uwinkingi"/>
    <s v="NNYU_2"/>
    <s v="Mwogo Sub-Catchment"/>
    <n v="3942.0000000000005"/>
  </r>
  <r>
    <x v="3"/>
    <s v="KAMUGASA"/>
    <s v="Public"/>
    <x v="0"/>
    <s v="Nyamagabe"/>
    <s v="Uwinkingi"/>
    <s v="NNYU_2"/>
    <s v="Mwogo Sub-Catchment"/>
    <n v="1592.5680000000002"/>
  </r>
  <r>
    <x v="3"/>
    <s v="GAKANGAGA"/>
    <s v="Public"/>
    <x v="0"/>
    <s v="Nyamagabe"/>
    <s v="Uwinkingi"/>
    <s v="NNYU_2"/>
    <s v="Mwogo Sub-Catchment"/>
    <n v="2759.4"/>
  </r>
  <r>
    <x v="3"/>
    <s v="NYIRABUNYONI"/>
    <s v="Public"/>
    <x v="0"/>
    <s v="Nyamagabe"/>
    <s v="Uwinkingi"/>
    <s v="NNYU_2"/>
    <s v="Mwogo Sub-Catchment"/>
    <n v="1592.5680000000002"/>
  </r>
  <r>
    <x v="3"/>
    <s v="NYABIHANGA"/>
    <s v="Public"/>
    <x v="0"/>
    <s v="Nyamagabe"/>
    <s v="Uwinkingi"/>
    <s v="NNYU_2"/>
    <s v="Mwogo Sub-Catchment"/>
    <n v="2759.4"/>
  </r>
  <r>
    <x v="3"/>
    <s v="MUDUTARE"/>
    <s v="Public"/>
    <x v="0"/>
    <s v="Nyamagabe"/>
    <s v="Uwinkingi"/>
    <s v="NNYU_2"/>
    <s v="Mwogo Sub-Catchment"/>
    <n v="1592.5680000000002"/>
  </r>
  <r>
    <x v="3"/>
    <s v="MUBAKENGA"/>
    <s v="Public"/>
    <x v="0"/>
    <s v="Nyamagabe"/>
    <s v="Uwinkingi"/>
    <s v="NNYU_2"/>
    <s v="Mwogo Sub-Catchment"/>
    <n v="1313.4744000000001"/>
  </r>
  <r>
    <x v="3"/>
    <s v="MAGUMIRA"/>
    <s v="Public"/>
    <x v="0"/>
    <s v="Nyamagabe"/>
    <s v="Uwinkingi"/>
    <s v="NNYU_2"/>
    <s v="Mwogo Sub-Catchment"/>
    <n v="2759.4"/>
  </r>
  <r>
    <x v="3"/>
    <s v="RUTAHANYONI"/>
    <s v="Public"/>
    <x v="0"/>
    <s v="Nyamagabe"/>
    <s v="Uwinkingi"/>
    <s v="NNYU_2"/>
    <s v="Mwogo Sub-Catchment"/>
    <n v="1592.5680000000002"/>
  </r>
  <r>
    <x v="3"/>
    <s v="MUNGANZO"/>
    <s v="Public"/>
    <x v="0"/>
    <s v="Nyamagabe"/>
    <s v="Uwinkingi"/>
    <s v="NNYU_2"/>
    <s v="Mwogo Sub-Catchment"/>
    <n v="2743.6320000000001"/>
  </r>
  <r>
    <x v="3"/>
    <s v="KIGARAMA"/>
    <s v="Public"/>
    <x v="0"/>
    <s v="Nyamagabe"/>
    <s v="Uwinkingi"/>
    <s v="NNYU_2"/>
    <s v="Mwogo Sub-Catchment"/>
    <n v="2626.9488000000001"/>
  </r>
  <r>
    <x v="3"/>
    <s v="UWINKERI"/>
    <s v="Public"/>
    <x v="0"/>
    <s v="Nyamagabe"/>
    <s v="Uwinkingi"/>
    <s v="NNYU_2"/>
    <s v="Mwogo Sub-Catchment"/>
    <n v="2617.4880000000003"/>
  </r>
  <r>
    <x v="3"/>
    <s v="KURUTARE"/>
    <s v="Public"/>
    <x v="0"/>
    <s v="Nyamagabe"/>
    <s v="Uwinkingi"/>
    <s v="NNYU_2"/>
    <s v="Mwogo Sub-Catchment"/>
    <n v="3942.0000000000005"/>
  </r>
  <r>
    <x v="3"/>
    <s v="GACABARI"/>
    <s v="Public"/>
    <x v="0"/>
    <s v="Nyamagabe"/>
    <s v="Uwinkingi"/>
    <s v="NNYU_2"/>
    <s v="Mwogo Sub-Catchment"/>
    <n v="3942.0000000000005"/>
  </r>
  <r>
    <x v="3"/>
    <s v="BISHYA"/>
    <s v="Public"/>
    <x v="0"/>
    <s v="Nyamagabe"/>
    <s v="Uwinkingi"/>
    <s v="NNYU_2"/>
    <s v="Mwogo Sub-Catchment"/>
    <n v="1592.5680000000002"/>
  </r>
  <r>
    <x v="3"/>
    <s v="MUNINI"/>
    <s v="Public"/>
    <x v="0"/>
    <s v="Nyamagabe"/>
    <s v="Uwinkingi"/>
    <s v="NNYU_2"/>
    <s v="Mwogo Sub-Catchment"/>
    <n v="2617.4880000000003"/>
  </r>
  <r>
    <x v="3"/>
    <s v="GATEKO"/>
    <s v="Public"/>
    <x v="0"/>
    <s v="Nyamagabe"/>
    <s v="Uwinkingi"/>
    <s v="NNYU_2"/>
    <s v="Mwogo Sub-Catchment"/>
    <n v="1592.5680000000002"/>
  </r>
  <r>
    <x v="3"/>
    <s v="KABUGA"/>
    <s v="Public"/>
    <x v="0"/>
    <s v="Nyamagabe"/>
    <s v="Uwinkingi"/>
    <s v="NNYU_2"/>
    <s v="Mwogo Sub-Catchment"/>
    <n v="1592.5680000000002"/>
  </r>
  <r>
    <x v="3"/>
    <s v="MATITI"/>
    <s v="Public"/>
    <x v="0"/>
    <s v="Nyamagabe"/>
    <s v="Uwinkingi"/>
    <s v="NNYU_2"/>
    <s v="Mwogo Sub-Catchment"/>
    <n v="1313.9474400000001"/>
  </r>
  <r>
    <x v="3"/>
    <s v="KIVUKO"/>
    <s v="Public"/>
    <x v="0"/>
    <s v="Nyamagabe"/>
    <s v="Uwinkingi"/>
    <s v="NNYU_2"/>
    <s v="Mwogo Sub-Catchment"/>
    <n v="2759.4"/>
  </r>
  <r>
    <x v="3"/>
    <s v="NYABWANGA"/>
    <s v="Public"/>
    <x v="0"/>
    <s v="Nyamagabe"/>
    <s v="Uwinkingi"/>
    <s v="NNYU_2"/>
    <s v="Mwogo Sub-Catchment"/>
    <n v="1592.5680000000002"/>
  </r>
  <r>
    <x v="3"/>
    <s v="MABENDE"/>
    <s v="Public"/>
    <x v="0"/>
    <s v="Nyamagabe"/>
    <s v="Uwinkingi"/>
    <s v="NNYU_2"/>
    <s v="Mwogo Sub-Catchment"/>
    <n v="1313.4744000000001"/>
  </r>
  <r>
    <x v="3"/>
    <s v="GASHARU"/>
    <s v="Public"/>
    <x v="0"/>
    <s v="Nyamagabe"/>
    <s v="Uwinkingi"/>
    <s v="NNYU_2"/>
    <s v="Mwogo Sub-Catchment"/>
    <n v="1592.5680000000002"/>
  </r>
  <r>
    <x v="3"/>
    <s v="NYABINONI"/>
    <s v="Public"/>
    <x v="0"/>
    <s v="Nyamagabe"/>
    <s v="Uwinkingi"/>
    <s v="NNYU_2"/>
    <s v="Mwogo Sub-Catchment"/>
    <n v="3942.0000000000005"/>
  </r>
  <r>
    <x v="3"/>
    <s v="NYAMUGALI"/>
    <s v="Public"/>
    <x v="0"/>
    <s v="Nyamagabe"/>
    <s v="Uwinkingi"/>
    <s v="NNYU_2"/>
    <s v="Mwogo Sub-Catchment"/>
    <n v="1313.4744000000001"/>
  </r>
  <r>
    <x v="3"/>
    <s v="RUSUBYO"/>
    <s v="Public"/>
    <x v="0"/>
    <s v="Nyamagabe"/>
    <s v="Uwinkingi"/>
    <s v="NNYU_2"/>
    <s v="Mwogo Sub-Catchment"/>
    <n v="525.07440000000008"/>
  </r>
  <r>
    <x v="3"/>
    <s v="MWISHONGWE"/>
    <s v="Public"/>
    <x v="0"/>
    <s v="Nyamagabe"/>
    <s v="Uwinkingi"/>
    <s v="NNYU_2"/>
    <s v="Mwogo Sub-Catchment"/>
    <n v="2617.4880000000003"/>
  </r>
  <r>
    <x v="3"/>
    <s v="UWABATEZI"/>
    <s v="Public"/>
    <x v="0"/>
    <s v="Nyamagabe"/>
    <s v="Uwinkingi"/>
    <s v="NNYU_2"/>
    <s v="Mwogo Sub-Catchment"/>
    <n v="525.07440000000008"/>
  </r>
  <r>
    <x v="3"/>
    <s v="BUDAGA"/>
    <s v="Public"/>
    <x v="0"/>
    <s v="Nyamagabe"/>
    <s v="Uwinkingi"/>
    <s v="NNYU_2"/>
    <s v="Mwogo Sub-Catchment"/>
    <n v="1971.0000000000002"/>
  </r>
  <r>
    <x v="3"/>
    <s v="KAGINA"/>
    <s v="Public"/>
    <x v="0"/>
    <s v="Ruhango"/>
    <s v="Bweramana"/>
    <s v="NNYU_3"/>
    <s v="Nyabarongo Upstream Sub-Catchment"/>
    <n v="394.20000000000005"/>
  </r>
  <r>
    <x v="3"/>
    <s v="KABINGO"/>
    <s v="Public"/>
    <x v="0"/>
    <s v="Ruhango"/>
    <s v="Bweramana"/>
    <s v="NNYU_3"/>
    <s v="Nyabarongo Upstream Sub-Catchment"/>
    <n v="262.69488000000007"/>
  </r>
  <r>
    <x v="3"/>
    <s v="BYIMANA"/>
    <s v="Public"/>
    <x v="0"/>
    <s v="Ruhango"/>
    <s v="Bweramana"/>
    <s v="NNYU_3"/>
    <s v="Nyabarongo Upstream Sub-Catchment"/>
    <n v="357.93359999999996"/>
  </r>
  <r>
    <x v="3"/>
    <s v="RUKONJA"/>
    <s v="Public"/>
    <x v="0"/>
    <s v="Ruhango"/>
    <s v="Bweramana"/>
    <s v="NNYU_3"/>
    <s v="Nyabarongo Upstream Sub-Catchment"/>
    <n v="1313.9474400000001"/>
  </r>
  <r>
    <x v="3"/>
    <s v="KAMONYI"/>
    <s v="Public"/>
    <x v="0"/>
    <s v="Ruhango"/>
    <s v="Bweramana"/>
    <s v="NNYU_3"/>
    <s v="Nyabarongo Upstream Sub-Catchment"/>
    <n v="350.36496000000005"/>
  </r>
  <r>
    <x v="3"/>
    <s v="KWARUKARA"/>
    <s v="Public"/>
    <x v="0"/>
    <s v="Ruhango"/>
    <s v="Bweramana"/>
    <s v="NNYU_3"/>
    <s v="Nyabarongo Upstream Sub-Catchment"/>
    <n v="262.69488000000007"/>
  </r>
  <r>
    <x v="3"/>
    <s v="NTOSHO"/>
    <s v="Public"/>
    <x v="0"/>
    <s v="Ruhango"/>
    <s v="Bweramana"/>
    <s v="NNYU_3"/>
    <s v="Nyabarongo Upstream Sub-Catchment"/>
    <n v="525.07440000000008"/>
  </r>
  <r>
    <x v="3"/>
    <s v="KIDAHOKWA"/>
    <s v="Public"/>
    <x v="0"/>
    <s v="Ruhango"/>
    <s v="Bweramana"/>
    <s v="NNYU_3"/>
    <s v="Nyabarongo Upstream Sub-Catchment"/>
    <n v="506.15279999999996"/>
  </r>
  <r>
    <x v="3"/>
    <s v="SEBAKWE"/>
    <s v="Public"/>
    <x v="0"/>
    <s v="Ruhango"/>
    <s v="Bweramana"/>
    <s v="NNYU_3"/>
    <s v="Nyabarongo Upstream Sub-Catchment"/>
    <n v="394.20000000000005"/>
  </r>
  <r>
    <x v="3"/>
    <s v="RWAMUTARA"/>
    <s v="Public"/>
    <x v="0"/>
    <s v="Ruhango"/>
    <s v="Bweramana"/>
    <s v="NNYU_3"/>
    <s v="Nyabarongo Upstream Sub-Catchment"/>
    <n v="1971.0000000000002"/>
  </r>
  <r>
    <x v="3"/>
    <s v="GATENGA"/>
    <s v="Public"/>
    <x v="0"/>
    <s v="Ruhango"/>
    <s v="Bweramana"/>
    <s v="NNYU_3"/>
    <s v="Nyabarongo Upstream Sub-Catchment"/>
    <n v="2626.9488000000001"/>
  </r>
  <r>
    <x v="3"/>
    <s v="NYAMUKO"/>
    <s v="Public"/>
    <x v="0"/>
    <s v="Ruhango"/>
    <s v="Bweramana"/>
    <s v="NNYU_3"/>
    <s v="Nyabarongo Upstream Sub-Catchment"/>
    <n v="788.40000000000009"/>
  </r>
  <r>
    <x v="3"/>
    <s v="RWAMIHANA"/>
    <s v="Public"/>
    <x v="0"/>
    <s v="Ruhango"/>
    <s v="Bweramana"/>
    <s v="NNYU_3"/>
    <s v="Nyabarongo Upstream Sub-Catchment"/>
    <n v="1125.8352000000002"/>
  </r>
  <r>
    <x v="3"/>
    <s v="MASAMBU"/>
    <s v="Public"/>
    <x v="0"/>
    <s v="Ruhango"/>
    <s v="Bweramana"/>
    <s v="NNYU_3"/>
    <s v="Nyabarongo Upstream Sub-Catchment"/>
    <n v="1971.0000000000002"/>
  </r>
  <r>
    <x v="3"/>
    <s v="NYABITARE"/>
    <s v="Public"/>
    <x v="0"/>
    <s v="Ruhango"/>
    <s v="Bweramana"/>
    <s v="NNYU_3"/>
    <s v="Nyabarongo Upstream Sub-Catchment"/>
    <n v="7884.0000000000009"/>
  </r>
  <r>
    <x v="3"/>
    <s v="NYABITARE2"/>
    <s v="Public"/>
    <x v="0"/>
    <s v="Ruhango"/>
    <s v="Bweramana"/>
    <s v="NNYU_3"/>
    <s v="Nyabarongo Upstream Sub-Catchment"/>
    <n v="2995.92"/>
  </r>
  <r>
    <x v="3"/>
    <s v="KUMUNIGO"/>
    <s v="Public"/>
    <x v="0"/>
    <s v="Ruhango"/>
    <s v="Bweramana"/>
    <s v="NNYU_3"/>
    <s v="Nyabarongo Upstream Sub-Catchment"/>
    <n v="1125.8352000000002"/>
  </r>
  <r>
    <x v="3"/>
    <s v="KAGWA"/>
    <s v="Public"/>
    <x v="0"/>
    <s v="Ruhango"/>
    <s v="Bweramana"/>
    <s v="NNYU_3"/>
    <s v="Nyabarongo Upstream Sub-Catchment"/>
    <n v="394.20000000000005"/>
  </r>
  <r>
    <x v="3"/>
    <s v="GIHAMA"/>
    <s v="Public"/>
    <x v="0"/>
    <s v="Ruhango"/>
    <s v="Bweramana"/>
    <s v="NNYU_3"/>
    <s v="Nyabarongo Upstream Sub-Catchment"/>
    <n v="1313.9474400000001"/>
  </r>
  <r>
    <x v="3"/>
    <s v="BUNDANGA"/>
    <s v="Public"/>
    <x v="0"/>
    <s v="Ruhango"/>
    <s v="Bweramana"/>
    <s v="NNYU_3"/>
    <s v="Nyabarongo Upstream Sub-Catchment"/>
    <n v="1313.9474400000001"/>
  </r>
  <r>
    <x v="3"/>
    <s v="RWISOVU"/>
    <s v="Public"/>
    <x v="0"/>
    <s v="Ruhango"/>
    <s v="Bweramana"/>
    <s v="NNYU_3"/>
    <s v="Nyabarongo Upstream Sub-Catchment"/>
    <n v="1971.0000000000002"/>
  </r>
  <r>
    <x v="3"/>
    <s v="BIHUNDIRO"/>
    <s v="Public"/>
    <x v="0"/>
    <s v="Ruhango"/>
    <s v="Bweramana"/>
    <s v="NNYU_3"/>
    <s v="Nyabarongo Upstream Sub-Catchment"/>
    <n v="1313.4744000000001"/>
  </r>
  <r>
    <x v="3"/>
    <s v="kwa ZABRON"/>
    <s v="Public"/>
    <x v="0"/>
    <s v="Ruhango"/>
    <s v="Bweramana"/>
    <s v="NNYU_3"/>
    <s v="Nyabarongo Upstream Sub-Catchment"/>
    <n v="1575.2232000000001"/>
  </r>
  <r>
    <x v="3"/>
    <s v="KIRUHURA"/>
    <s v="Public"/>
    <x v="0"/>
    <s v="Ruhango"/>
    <s v="Bweramana"/>
    <s v="NNYU_3"/>
    <s v="Nyabarongo Upstream Sub-Catchment"/>
    <n v="1592.5680000000002"/>
  </r>
  <r>
    <x v="3"/>
    <s v="KIGEREKE"/>
    <s v="Public"/>
    <x v="0"/>
    <s v="Ruhango"/>
    <s v="Bweramana"/>
    <s v="NNYU_3"/>
    <s v="Nyabarongo Upstream Sub-Catchment"/>
    <n v="1313.9474400000001"/>
  </r>
  <r>
    <x v="3"/>
    <s v="KAYOGO"/>
    <s v="Public"/>
    <x v="0"/>
    <s v="Ruhango"/>
    <s v="Bweramana"/>
    <s v="NNYU_3"/>
    <s v="Nyabarongo Upstream Sub-Catchment"/>
    <n v="788.40000000000009"/>
  </r>
  <r>
    <x v="3"/>
    <s v="HUYE"/>
    <s v="Public"/>
    <x v="0"/>
    <s v="Ruhango"/>
    <s v="Bweramana"/>
    <s v="NNYU_3"/>
    <s v="Nyabarongo Upstream Sub-Catchment"/>
    <n v="1313.4744000000001"/>
  </r>
  <r>
    <x v="3"/>
    <s v="KAZIBAZIBA"/>
    <s v="Public"/>
    <x v="0"/>
    <s v="Ruhango"/>
    <s v="Bweramana"/>
    <s v="NNYU_3"/>
    <s v="Nyabarongo Upstream Sub-Catchment"/>
    <n v="394.20000000000005"/>
  </r>
  <r>
    <x v="3"/>
    <s v="GASASA"/>
    <s v="Public"/>
    <x v="0"/>
    <s v="Ruhango"/>
    <s v="Bweramana"/>
    <s v="NNYU_3"/>
    <s v="Nyabarongo Upstream Sub-Catchment"/>
    <n v="750.55680000000018"/>
  </r>
  <r>
    <x v="3"/>
    <s v="N.RAMUTUKURA"/>
    <s v="Public"/>
    <x v="0"/>
    <s v="Ruhango"/>
    <s v="Bweramana"/>
    <s v="NNYU_3"/>
    <s v="Nyabarongo Upstream Sub-Catchment"/>
    <n v="1592.5680000000002"/>
  </r>
  <r>
    <x v="3"/>
    <s v="KAGINA"/>
    <s v="Public"/>
    <x v="0"/>
    <s v="Ruhango"/>
    <s v="Bweramana"/>
    <s v="NNYU_3"/>
    <s v="Nyabarongo Upstream Sub-Catchment"/>
    <n v="1050.1488000000002"/>
  </r>
  <r>
    <x v="3"/>
    <s v="GASUMA"/>
    <s v="Public"/>
    <x v="0"/>
    <s v="Ruhango"/>
    <s v="Bweramana"/>
    <s v="NNYU_3"/>
    <s v="Nyabarongo Upstream Sub-Catchment"/>
    <n v="985.50000000000011"/>
  </r>
  <r>
    <x v="3"/>
    <s v="GAKOMEYE"/>
    <s v="Public"/>
    <x v="0"/>
    <s v="Ruhango"/>
    <s v="Bweramana"/>
    <s v="NNYU_3"/>
    <s v="Nyabarongo Upstream Sub-Catchment"/>
    <n v="788.40000000000009"/>
  </r>
  <r>
    <x v="3"/>
    <s v="KAZIBAZIBA"/>
    <s v="Public"/>
    <x v="0"/>
    <s v="Ruhango"/>
    <s v="Bweramana"/>
    <s v="NNYU_3"/>
    <s v="Nyabarongo Upstream Sub-Catchment"/>
    <n v="1125.8352000000002"/>
  </r>
  <r>
    <x v="3"/>
    <s v="KWAMUGARA"/>
    <s v="Public"/>
    <x v="0"/>
    <s v="Ruhango"/>
    <s v="Bweramana"/>
    <s v="NNYU_3"/>
    <s v="Nyabarongo Upstream Sub-Catchment"/>
    <n v="1592.5680000000002"/>
  </r>
  <r>
    <x v="3"/>
    <s v="NYAKABINGO"/>
    <s v="Public"/>
    <x v="0"/>
    <s v="Ruhango"/>
    <s v="Bweramana"/>
    <s v="NNYU_3"/>
    <s v="Nyabarongo Upstream Sub-Catchment"/>
    <n v="3942.0000000000005"/>
  </r>
  <r>
    <x v="3"/>
    <s v="KABUGITA"/>
    <s v="Public"/>
    <x v="0"/>
    <s v="Ruhango"/>
    <s v="Bweramana"/>
    <s v="NNYU_3"/>
    <s v="Nyabarongo Upstream Sub-Catchment"/>
    <n v="1750.248"/>
  </r>
  <r>
    <x v="3"/>
    <s v="KAGARAMA"/>
    <s v="Public"/>
    <x v="0"/>
    <s v="Ruhango"/>
    <s v="Bweramana"/>
    <s v="NNYU_3"/>
    <s v="Nyabarongo Upstream Sub-Catchment"/>
    <n v="394.20000000000005"/>
  </r>
  <r>
    <x v="3"/>
    <s v="MUKARIBA"/>
    <s v="Public"/>
    <x v="0"/>
    <s v="Ruhango"/>
    <s v="Bweramana"/>
    <s v="NNYU_3"/>
    <s v="Nyabarongo Upstream Sub-Catchment"/>
    <n v="261.74880000000002"/>
  </r>
  <r>
    <x v="3"/>
    <s v="kwa PASCAL"/>
    <s v="Public"/>
    <x v="0"/>
    <s v="Ruhango"/>
    <s v="Bweramana"/>
    <s v="NNYU_3"/>
    <s v="Nyabarongo Upstream Sub-Catchment"/>
    <n v="875.12400000000002"/>
  </r>
  <r>
    <x v="3"/>
    <s v="RWAKAMU"/>
    <s v="Public"/>
    <x v="0"/>
    <s v="Ruhango"/>
    <s v="Bweramana"/>
    <s v="NNYU_3"/>
    <s v="Nyabarongo Upstream Sub-Catchment"/>
    <n v="1751.8248000000001"/>
  </r>
  <r>
    <x v="3"/>
    <s v="GATARE"/>
    <s v="Public"/>
    <x v="0"/>
    <s v="Ruhango"/>
    <s v="Bweramana"/>
    <s v="NNYU_3"/>
    <s v="Nyabarongo Upstream Sub-Catchment"/>
    <n v="1125.8352000000002"/>
  </r>
  <r>
    <x v="3"/>
    <s v="KABANO"/>
    <s v="Public"/>
    <x v="0"/>
    <s v="Ruhango"/>
    <s v="Bweramana"/>
    <s v="NNYU_3"/>
    <s v="Nyabarongo Upstream Sub-Catchment"/>
    <n v="741.09599999999989"/>
  </r>
  <r>
    <x v="3"/>
    <s v="KARAMBO"/>
    <s v="Public"/>
    <x v="0"/>
    <s v="Ruhango"/>
    <s v="Bweramana"/>
    <s v="NNYU_3"/>
    <s v="Nyabarongo Upstream Sub-Catchment"/>
    <n v="1125.8352000000002"/>
  </r>
  <r>
    <x v="3"/>
    <s v="MUNANIRA"/>
    <s v="Public"/>
    <x v="0"/>
    <s v="Ruhango"/>
    <s v="Bweramana"/>
    <s v="NNYU_3"/>
    <s v="Nyabarongo Upstream Sub-Catchment"/>
    <n v="1750.248"/>
  </r>
  <r>
    <x v="3"/>
    <s v="FUKUYE"/>
    <s v="Public"/>
    <x v="0"/>
    <s v="Ruhango"/>
    <s v="Bweramana"/>
    <s v="NNYU_3"/>
    <s v="Nyabarongo Upstream Sub-Catchment"/>
    <n v="2626.9488000000001"/>
  </r>
  <r>
    <x v="3"/>
    <s v="KARAMBO2"/>
    <s v="Public"/>
    <x v="0"/>
    <s v="Ruhango"/>
    <s v="Bweramana"/>
    <s v="NNYU_3"/>
    <s v="Nyabarongo Upstream Sub-Catchment"/>
    <n v="867.24000000000012"/>
  </r>
  <r>
    <x v="3"/>
    <s v="KAGOTA"/>
    <s v="Public"/>
    <x v="0"/>
    <s v="Ruhango"/>
    <s v="Bweramana"/>
    <s v="NNYU_3"/>
    <s v="Nyabarongo Upstream Sub-Catchment"/>
    <n v="1313.9474400000001"/>
  </r>
  <r>
    <x v="3"/>
    <s v="GISUMA"/>
    <s v="Public"/>
    <x v="0"/>
    <s v="Ruhango"/>
    <s v="Bweramana"/>
    <s v="NNYU_3"/>
    <s v="Nyabarongo Upstream Sub-Catchment"/>
    <n v="220.75200000000001"/>
  </r>
  <r>
    <x v="3"/>
    <s v="KAPEDALI"/>
    <s v="Public"/>
    <x v="0"/>
    <s v="Ruhango"/>
    <s v="Bweramana"/>
    <s v="NNYU_3"/>
    <s v="Nyabarongo Upstream Sub-Catchment"/>
    <n v="346.89599999999996"/>
  </r>
  <r>
    <x v="3"/>
    <s v="MUSAMANZUKI"/>
    <s v="Public"/>
    <x v="0"/>
    <s v="Ruhango"/>
    <s v="Bweramana"/>
    <s v="NNYU_3"/>
    <s v="Nyabarongo Upstream Sub-Catchment"/>
    <n v="261.74880000000002"/>
  </r>
  <r>
    <x v="3"/>
    <s v="KWAMAYIRA"/>
    <s v="Public"/>
    <x v="0"/>
    <s v="Ruhango"/>
    <s v="Bweramana"/>
    <s v="NNYU_3"/>
    <s v="Nyabarongo Upstream Sub-Catchment"/>
    <n v="220.75200000000001"/>
  </r>
  <r>
    <x v="3"/>
    <s v="MPAYAMAGURU"/>
    <s v="Public"/>
    <x v="0"/>
    <s v="Ruhango"/>
    <s v="Bweramana"/>
    <s v="NNYU_3"/>
    <s v="Nyabarongo Upstream Sub-Catchment"/>
    <n v="875.12400000000002"/>
  </r>
  <r>
    <x v="3"/>
    <s v="KABERE"/>
    <s v="Public"/>
    <x v="0"/>
    <s v="Ruhango"/>
    <s v="Bweramana"/>
    <s v="NNYU_3"/>
    <s v="Nyabarongo Upstream Sub-Catchment"/>
    <n v="709.56"/>
  </r>
  <r>
    <x v="3"/>
    <s v="NYUNGANIRA"/>
    <s v="Public"/>
    <x v="0"/>
    <s v="Ruhango"/>
    <s v="Bweramana"/>
    <s v="NNYU_3"/>
    <s v="Nyabarongo Upstream Sub-Catchment"/>
    <n v="394.20000000000005"/>
  </r>
  <r>
    <x v="3"/>
    <s v="MPARAZI"/>
    <s v="Public"/>
    <x v="0"/>
    <s v="Ruhango"/>
    <s v="Bweramana"/>
    <s v="NNYU_3"/>
    <s v="Nyabarongo Upstream Sub-Catchment"/>
    <n v="2626.9488000000001"/>
  </r>
  <r>
    <x v="3"/>
    <s v="SAGAHUTU"/>
    <s v="Public"/>
    <x v="0"/>
    <s v="Ruhango"/>
    <s v="Bweramana"/>
    <s v="NNYU_3"/>
    <s v="Nyabarongo Upstream Sub-Catchment"/>
    <n v="261.74880000000002"/>
  </r>
  <r>
    <x v="3"/>
    <s v="RUDONDOGORO"/>
    <s v="Public"/>
    <x v="0"/>
    <s v="Ruhango"/>
    <s v="Bweramana"/>
    <s v="NNYU_3"/>
    <s v="Nyabarongo Upstream Sub-Catchment"/>
    <n v="5250.7439999999997"/>
  </r>
  <r>
    <x v="3"/>
    <s v="SINGARIZI"/>
    <s v="Public"/>
    <x v="0"/>
    <s v="Ruhango"/>
    <s v="Bweramana"/>
    <s v="NNYU_3"/>
    <s v="Nyabarongo Upstream Sub-Catchment"/>
    <n v="1497.96"/>
  </r>
  <r>
    <x v="3"/>
    <s v="GISUGUSUGU"/>
    <s v="Public"/>
    <x v="0"/>
    <s v="Ruhango"/>
    <s v="Bweramana"/>
    <s v="NNYU_3"/>
    <s v="Nyabarongo Upstream Sub-Catchment"/>
    <n v="2365.2000000000003"/>
  </r>
  <r>
    <x v="3"/>
    <s v="GAHAMURO"/>
    <s v="Public"/>
    <x v="0"/>
    <s v="Ngororero"/>
    <s v="Bwira"/>
    <s v="NNYU_3"/>
    <s v="Nyabarongo Upstream Sub-Catchment"/>
    <n v="788.40000000000009"/>
  </r>
  <r>
    <x v="3"/>
    <s v="CYAVURO"/>
    <s v="Public"/>
    <x v="0"/>
    <s v="Ngororero"/>
    <s v="Bwira"/>
    <s v="NNYU_3"/>
    <s v="Nyabarongo Upstream Sub-Catchment"/>
    <n v="946.08"/>
  </r>
  <r>
    <x v="3"/>
    <s v="KIREGAMAZI"/>
    <s v="Public"/>
    <x v="0"/>
    <s v="Ngororero"/>
    <s v="Bwira"/>
    <s v="NNYU_3"/>
    <s v="Nyabarongo Upstream Sub-Catchment"/>
    <n v="788.40000000000009"/>
  </r>
  <r>
    <x v="3"/>
    <s v="RUBINDI B"/>
    <s v="Public"/>
    <x v="0"/>
    <s v="Ngororero"/>
    <s v="Bwira"/>
    <s v="NNYU_3"/>
    <s v="Nyabarongo Upstream Sub-Catchment"/>
    <n v="473.04"/>
  </r>
  <r>
    <x v="3"/>
    <s v="GAHAMA B"/>
    <s v="Public"/>
    <x v="0"/>
    <s v="Ngororero"/>
    <s v="Bwira"/>
    <s v="NNYU_3"/>
    <s v="Nyabarongo Upstream Sub-Catchment"/>
    <n v="315.36"/>
  </r>
  <r>
    <x v="3"/>
    <s v="KARAMBO"/>
    <s v="Public"/>
    <x v="0"/>
    <s v="Ngororero"/>
    <s v="Bwira"/>
    <s v="NNYU_3"/>
    <s v="Nyabarongo Upstream Sub-Catchment"/>
    <n v="2049.84"/>
  </r>
  <r>
    <x v="3"/>
    <s v="RUBINDI A"/>
    <s v="Public"/>
    <x v="0"/>
    <s v="Ngororero"/>
    <s v="Bwira"/>
    <s v="NNYU_3"/>
    <s v="Nyabarongo Upstream Sub-Catchment"/>
    <n v="630.72"/>
  </r>
  <r>
    <x v="3"/>
    <s v="NYAGAHONDO"/>
    <s v="Public"/>
    <x v="0"/>
    <s v="Ngororero"/>
    <s v="Bwira"/>
    <s v="NNYU_3"/>
    <s v="Nyabarongo Upstream Sub-Catchment"/>
    <n v="3626.64"/>
  </r>
  <r>
    <x v="3"/>
    <s v="CYIVUGIZA B"/>
    <s v="Public"/>
    <x v="0"/>
    <s v="Ngororero"/>
    <s v="Bwira"/>
    <s v="NNYU_3"/>
    <s v="Nyabarongo Upstream Sub-Catchment"/>
    <n v="1734.4800000000002"/>
  </r>
  <r>
    <x v="3"/>
    <s v="RUBINDI II"/>
    <s v="Public"/>
    <x v="0"/>
    <s v="Ngororero"/>
    <s v="Bwira"/>
    <s v="NNYU_3"/>
    <s v="Nyabarongo Upstream Sub-Catchment"/>
    <n v="473.04"/>
  </r>
  <r>
    <x v="3"/>
    <s v="GATARE"/>
    <s v="Public"/>
    <x v="0"/>
    <s v="Ngororero"/>
    <s v="Bwira"/>
    <s v="NNYU_3"/>
    <s v="Nyabarongo Upstream Sub-Catchment"/>
    <n v="2680.56"/>
  </r>
  <r>
    <x v="3"/>
    <s v="NYIRAGAHOBE"/>
    <s v="Public"/>
    <x v="0"/>
    <s v="Ngororero"/>
    <s v="Bwira"/>
    <s v="NNYU_3"/>
    <s v="Nyabarongo Upstream Sub-Catchment"/>
    <n v="946.08"/>
  </r>
  <r>
    <x v="3"/>
    <s v="JOMBA"/>
    <s v="Public"/>
    <x v="0"/>
    <s v="Ngororero"/>
    <s v="Bwira"/>
    <s v="NNYU_3"/>
    <s v="Nyabarongo Upstream Sub-Catchment"/>
    <n v="4099.68"/>
  </r>
  <r>
    <x v="3"/>
    <s v="GASAMBU"/>
    <s v="Public"/>
    <x v="0"/>
    <s v="Ngororero"/>
    <s v="Bwira"/>
    <s v="NNYU_3"/>
    <s v="Nyabarongo Upstream Sub-Catchment"/>
    <n v="788.40000000000009"/>
  </r>
  <r>
    <x v="3"/>
    <s v="KABIRIZI"/>
    <s v="Public"/>
    <x v="0"/>
    <s v="Ngororero"/>
    <s v="Bwira"/>
    <s v="NNYU_3"/>
    <s v="Nyabarongo Upstream Sub-Catchment"/>
    <n v="2207.5200000000004"/>
  </r>
  <r>
    <x v="3"/>
    <s v="RUBINDI I"/>
    <s v="Public"/>
    <x v="0"/>
    <s v="Ngororero"/>
    <s v="Bwira"/>
    <s v="NNYU_3"/>
    <s v="Nyabarongo Upstream Sub-Catchment"/>
    <n v="315.36"/>
  </r>
  <r>
    <x v="3"/>
    <s v="KIMISAMBI II"/>
    <s v="Public"/>
    <x v="0"/>
    <s v="Ngororero"/>
    <s v="Bwira"/>
    <s v="NNYU_3"/>
    <s v="Nyabarongo Upstream Sub-Catchment"/>
    <n v="5518.8"/>
  </r>
  <r>
    <x v="3"/>
    <s v="BUKIRIRO II"/>
    <s v="Public"/>
    <x v="0"/>
    <s v="Ngororero"/>
    <s v="Bwira"/>
    <s v="NNYU_3"/>
    <s v="Nyabarongo Upstream Sub-Catchment"/>
    <n v="473.04"/>
  </r>
  <r>
    <x v="3"/>
    <s v="CYIVUGIZA"/>
    <s v="Public"/>
    <x v="0"/>
    <s v="Ngororero"/>
    <s v="Bwira"/>
    <s v="NNYU_3"/>
    <s v="Nyabarongo Upstream Sub-Catchment"/>
    <n v="4730.4000000000005"/>
  </r>
  <r>
    <x v="3"/>
    <s v="GAHAMA"/>
    <s v="Public"/>
    <x v="0"/>
    <s v="Ngororero"/>
    <s v="Bwira"/>
    <s v="NNYU_3"/>
    <s v="Nyabarongo Upstream Sub-Catchment"/>
    <n v="630.72"/>
  </r>
  <r>
    <x v="3"/>
    <s v="KARAMBO"/>
    <s v="Public"/>
    <x v="0"/>
    <s v="Ngororero"/>
    <s v="Bwira"/>
    <s v="NNYU_3"/>
    <s v="Nyabarongo Upstream Sub-Catchment"/>
    <n v="946.08"/>
  </r>
  <r>
    <x v="3"/>
    <s v="GISEKURO"/>
    <s v="Public"/>
    <x v="0"/>
    <s v="Ngororero"/>
    <s v="Bwira"/>
    <s v="NNYU_3"/>
    <s v="Nyabarongo Upstream Sub-Catchment"/>
    <n v="630.72"/>
  </r>
  <r>
    <x v="3"/>
    <s v="NYAMIGOGO I"/>
    <s v="Public"/>
    <x v="0"/>
    <s v="Ngororero"/>
    <s v="Bwira"/>
    <s v="NNYU_3"/>
    <s v="Nyabarongo Upstream Sub-Catchment"/>
    <n v="1103.7600000000002"/>
  </r>
  <r>
    <x v="3"/>
    <s v="RUBURANKONO I"/>
    <s v="Public"/>
    <x v="0"/>
    <s v="Ngororero"/>
    <s v="Bwira"/>
    <s v="NNYU_3"/>
    <s v="Nyabarongo Upstream Sub-Catchment"/>
    <n v="1419.12"/>
  </r>
  <r>
    <x v="3"/>
    <s v="RUBURANKONO II"/>
    <s v="Public"/>
    <x v="0"/>
    <s v="Ngororero"/>
    <s v="Bwira"/>
    <s v="NNYU_3"/>
    <s v="Nyabarongo Upstream Sub-Catchment"/>
    <n v="1261.44"/>
  </r>
  <r>
    <x v="3"/>
    <s v="NYAKIBANDE III"/>
    <s v="Public"/>
    <x v="0"/>
    <s v="Ngororero"/>
    <s v="Bwira"/>
    <s v="NNYU_3"/>
    <s v="Nyabarongo Upstream Sub-Catchment"/>
    <n v="1419.12"/>
  </r>
  <r>
    <x v="3"/>
    <s v="BUGARURA I"/>
    <s v="Public"/>
    <x v="0"/>
    <s v="Ngororero"/>
    <s v="Bwira"/>
    <s v="NNYU_3"/>
    <s v="Nyabarongo Upstream Sub-Catchment"/>
    <n v="1261.44"/>
  </r>
  <r>
    <x v="3"/>
    <s v="KIGANDA II"/>
    <s v="Public"/>
    <x v="0"/>
    <s v="Ngororero"/>
    <s v="Bwira"/>
    <s v="NNYU_3"/>
    <s v="Nyabarongo Upstream Sub-Catchment"/>
    <n v="788.40000000000009"/>
  </r>
  <r>
    <x v="3"/>
    <s v="GAHOBOBO"/>
    <s v="Public"/>
    <x v="0"/>
    <s v="Ngororero"/>
    <s v="Bwira"/>
    <s v="NNYU_3"/>
    <s v="Nyabarongo Upstream Sub-Catchment"/>
    <n v="788.40000000000009"/>
  </r>
  <r>
    <x v="3"/>
    <s v="RWANKURI"/>
    <s v="Public"/>
    <x v="0"/>
    <s v="Ngororero"/>
    <s v="Bwira"/>
    <s v="NNYU_3"/>
    <s v="Nyabarongo Upstream Sub-Catchment"/>
    <n v="946.08"/>
  </r>
  <r>
    <x v="3"/>
    <s v="BUGARURA II"/>
    <s v="Public"/>
    <x v="0"/>
    <s v="Ngororero"/>
    <s v="Bwira"/>
    <s v="NNYU_3"/>
    <s v="Nyabarongo Upstream Sub-Catchment"/>
    <n v="946.08"/>
  </r>
  <r>
    <x v="3"/>
    <s v="RUKOMANSYO"/>
    <s v="Public"/>
    <x v="0"/>
    <s v="Ngororero"/>
    <s v="Bwira"/>
    <s v="NNYU_3"/>
    <s v="Nyabarongo Upstream Sub-Catchment"/>
    <n v="473.04"/>
  </r>
  <r>
    <x v="3"/>
    <s v="KIGANDA I"/>
    <s v="Public"/>
    <x v="0"/>
    <s v="Ngororero"/>
    <s v="Bwira"/>
    <s v="NNYU_3"/>
    <s v="Nyabarongo Upstream Sub-Catchment"/>
    <n v="1261.44"/>
  </r>
  <r>
    <x v="3"/>
    <s v="RUHUHA"/>
    <s v="Public"/>
    <x v="0"/>
    <s v="Ngororero"/>
    <s v="Bwira"/>
    <s v="NNYU_3"/>
    <s v="Nyabarongo Upstream Sub-Catchment"/>
    <n v="315.36"/>
  </r>
  <r>
    <x v="3"/>
    <s v="RUVUMBU"/>
    <s v="Public"/>
    <x v="0"/>
    <s v="Ngororero"/>
    <s v="Bwira"/>
    <s v="NNYU_3"/>
    <s v="Nyabarongo Upstream Sub-Catchment"/>
    <n v="788.40000000000009"/>
  </r>
  <r>
    <x v="3"/>
    <s v="RUHUHA II"/>
    <s v="Public"/>
    <x v="0"/>
    <s v="Ngororero"/>
    <s v="Bwira"/>
    <s v="NNYU_3"/>
    <s v="Nyabarongo Upstream Sub-Catchment"/>
    <n v="6307.2000000000007"/>
  </r>
  <r>
    <x v="3"/>
    <s v="MUTUGEZI"/>
    <s v="Public"/>
    <x v="0"/>
    <s v="Ngororero"/>
    <s v="Bwira"/>
    <s v="NNYU_3"/>
    <s v="Nyabarongo Upstream Sub-Catchment"/>
    <n v="1261.44"/>
  </r>
  <r>
    <x v="3"/>
    <s v="GASHINGE"/>
    <s v="Public"/>
    <x v="0"/>
    <s v="Ngororero"/>
    <s v="Bwira"/>
    <s v="NNYU_3"/>
    <s v="Nyabarongo Upstream Sub-Catchment"/>
    <n v="3153.6000000000004"/>
  </r>
  <r>
    <x v="3"/>
    <s v="NYAKIBANDE I"/>
    <s v="Public"/>
    <x v="0"/>
    <s v="Ngororero"/>
    <s v="Bwira"/>
    <s v="NNYU_3"/>
    <s v="Nyabarongo Upstream Sub-Catchment"/>
    <n v="788.40000000000009"/>
  </r>
  <r>
    <x v="3"/>
    <s v="RUTENGA"/>
    <s v="Public"/>
    <x v="0"/>
    <s v="Ngororero"/>
    <s v="Bwira"/>
    <s v="NNYU_3"/>
    <s v="Nyabarongo Upstream Sub-Catchment"/>
    <n v="473.04"/>
  </r>
  <r>
    <x v="3"/>
    <s v="RWANGUSHO II"/>
    <s v="Public"/>
    <x v="0"/>
    <s v="Ngororero"/>
    <s v="Bwira"/>
    <s v="NNYU_3"/>
    <s v="Nyabarongo Upstream Sub-Catchment"/>
    <n v="1419.12"/>
  </r>
  <r>
    <x v="3"/>
    <s v="NYAKIBANDE II"/>
    <s v="Public"/>
    <x v="0"/>
    <s v="Ngororero"/>
    <s v="Bwira"/>
    <s v="NNYU_3"/>
    <s v="Nyabarongo Upstream Sub-Catchment"/>
    <n v="2838.24"/>
  </r>
  <r>
    <x v="3"/>
    <s v="RUTSO II"/>
    <s v="Public"/>
    <x v="0"/>
    <s v="Ngororero"/>
    <s v="Bwira"/>
    <s v="NNYU_3"/>
    <s v="Nyabarongo Upstream Sub-Catchment"/>
    <n v="473.04"/>
  </r>
  <r>
    <x v="3"/>
    <s v="RUTSO I"/>
    <s v="Public"/>
    <x v="0"/>
    <s v="Ngororero"/>
    <s v="Bwira"/>
    <s v="NNYU_3"/>
    <s v="Nyabarongo Upstream Sub-Catchment"/>
    <n v="3626.64"/>
  </r>
  <r>
    <x v="3"/>
    <s v="KAGOMERO"/>
    <s v="Public"/>
    <x v="0"/>
    <s v="Ngororero"/>
    <s v="Bwira"/>
    <s v="NNYU_3"/>
    <s v="Nyabarongo Upstream Sub-Catchment"/>
    <n v="2680.56"/>
  </r>
  <r>
    <x v="3"/>
    <s v="TAMIHONDO"/>
    <s v="Public"/>
    <x v="0"/>
    <s v="Ngororero"/>
    <s v="Bwira"/>
    <s v="NNYU_3"/>
    <s v="Nyabarongo Upstream Sub-Catchment"/>
    <n v="788.40000000000009"/>
  </r>
  <r>
    <x v="3"/>
    <s v="NYARUSHISHI"/>
    <s v="Public"/>
    <x v="0"/>
    <s v="Ngororero"/>
    <s v="Bwira"/>
    <s v="NNYU_3"/>
    <s v="Nyabarongo Upstream Sub-Catchment"/>
    <n v="1261.44"/>
  </r>
  <r>
    <x v="3"/>
    <s v="CYARWERU II"/>
    <s v="Public"/>
    <x v="0"/>
    <s v="Ngororero"/>
    <s v="Bwira"/>
    <s v="NNYU_3"/>
    <s v="Nyabarongo Upstream Sub-Catchment"/>
    <n v="1103.7600000000002"/>
  </r>
  <r>
    <x v="3"/>
    <s v="KABABAGAZI"/>
    <s v="Public"/>
    <x v="0"/>
    <s v="Ngororero"/>
    <s v="Bwira"/>
    <s v="NNYU_3"/>
    <s v="Nyabarongo Upstream Sub-Catchment"/>
    <n v="630.72"/>
  </r>
  <r>
    <x v="3"/>
    <s v="RWINTARE"/>
    <s v="Public"/>
    <x v="0"/>
    <s v="Ngororero"/>
    <s v="Bwira"/>
    <s v="NNYU_3"/>
    <s v="Nyabarongo Upstream Sub-Catchment"/>
    <n v="157.68"/>
  </r>
  <r>
    <x v="3"/>
    <s v="RUHONDO"/>
    <s v="Public"/>
    <x v="0"/>
    <s v="Ngororero"/>
    <s v="Bwira"/>
    <s v="NNYU_3"/>
    <s v="Nyabarongo Upstream Sub-Catchment"/>
    <n v="1261.44"/>
  </r>
  <r>
    <x v="3"/>
    <s v="NKUSHURI"/>
    <s v="Public"/>
    <x v="0"/>
    <s v="Ngororero"/>
    <s v="Bwira"/>
    <s v="NNYU_3"/>
    <s v="Nyabarongo Upstream Sub-Catchment"/>
    <n v="157.68"/>
  </r>
  <r>
    <x v="3"/>
    <s v="KAMIRANTAMA"/>
    <s v="Public"/>
    <x v="0"/>
    <s v="Ngororero"/>
    <s v="Bwira"/>
    <s v="NNYU_3"/>
    <s v="Nyabarongo Upstream Sub-Catchment"/>
    <n v="7884.0000000000009"/>
  </r>
  <r>
    <x v="3"/>
    <s v="RYAMUJURA"/>
    <s v="Public"/>
    <x v="0"/>
    <s v="Ngororero"/>
    <s v="Bwira"/>
    <s v="NNYU_3"/>
    <s v="Nyabarongo Upstream Sub-Catchment"/>
    <n v="2522.88"/>
  </r>
  <r>
    <x v="3"/>
    <s v="RUBINDI"/>
    <s v="Public"/>
    <x v="0"/>
    <s v="Ngororero"/>
    <s v="Bwira"/>
    <s v="NNYU_3"/>
    <s v="Nyabarongo Upstream Sub-Catchment"/>
    <n v="7884.0000000000009"/>
  </r>
  <r>
    <x v="3"/>
    <s v="RUGARAGARA"/>
    <s v="Public"/>
    <x v="0"/>
    <s v="Ngororero"/>
    <s v="Bwira"/>
    <s v="NNYU_3"/>
    <s v="Nyabarongo Upstream Sub-Catchment"/>
    <n v="2365.2000000000003"/>
  </r>
  <r>
    <x v="3"/>
    <s v="NYIRAGUNGA I"/>
    <s v="Public"/>
    <x v="0"/>
    <s v="Ngororero"/>
    <s v="Bwira"/>
    <s v="NNYU_3"/>
    <s v="Nyabarongo Upstream Sub-Catchment"/>
    <n v="1419.12"/>
  </r>
  <r>
    <x v="3"/>
    <s v="GIKUKU"/>
    <s v="Public"/>
    <x v="0"/>
    <s v="Ngororero"/>
    <s v="Bwira"/>
    <s v="NNYU_3"/>
    <s v="Nyabarongo Upstream Sub-Catchment"/>
    <n v="3311.2799999999997"/>
  </r>
  <r>
    <x v="3"/>
    <s v="RYAMUSAMBI"/>
    <s v="Public"/>
    <x v="0"/>
    <s v="Ngororero"/>
    <s v="Bwira"/>
    <s v="NNYU_3"/>
    <s v="Nyabarongo Upstream Sub-Catchment"/>
    <n v="9460.8000000000011"/>
  </r>
  <r>
    <x v="3"/>
    <s v="NYIRAGUNGA II"/>
    <s v="Public"/>
    <x v="0"/>
    <s v="Ngororero"/>
    <s v="Bwira"/>
    <s v="NNYU_3"/>
    <s v="Nyabarongo Upstream Sub-Catchment"/>
    <n v="1261.44"/>
  </r>
  <r>
    <x v="3"/>
    <s v="SINGAYUBWENGO"/>
    <s v="Public"/>
    <x v="0"/>
    <s v="Ngororero"/>
    <s v="Bwira"/>
    <s v="NNYU_3"/>
    <s v="Nyabarongo Upstream Sub-Catchment"/>
    <n v="1576.8000000000002"/>
  </r>
  <r>
    <x v="3"/>
    <s v="NYAGATOVU"/>
    <s v="Public"/>
    <x v="0"/>
    <s v="Ngororero"/>
    <s v="Bwira"/>
    <s v="NNYU_3"/>
    <s v="Nyabarongo Upstream Sub-Catchment"/>
    <n v="6307.2000000000007"/>
  </r>
  <r>
    <x v="3"/>
    <s v="KIGUTI"/>
    <s v="Public"/>
    <x v="0"/>
    <s v="Ngororero"/>
    <s v="Bwira"/>
    <s v="NNYU_3"/>
    <s v="Nyabarongo Upstream Sub-Catchment"/>
    <n v="1261.44"/>
  </r>
  <r>
    <x v="3"/>
    <s v="BYERWA I"/>
    <s v="Public"/>
    <x v="0"/>
    <s v="Ngororero"/>
    <s v="Bwira"/>
    <s v="NNYU_3"/>
    <s v="Nyabarongo Upstream Sub-Catchment"/>
    <n v="9776.1600000000017"/>
  </r>
  <r>
    <x v="3"/>
    <s v="BYEGWA II"/>
    <s v="Public"/>
    <x v="0"/>
    <s v="Ngororero"/>
    <s v="Bwira"/>
    <s v="NNYU_3"/>
    <s v="Nyabarongo Upstream Sub-Catchment"/>
    <n v="473.04"/>
  </r>
  <r>
    <x v="3"/>
    <s v="GIHONDOHONDO"/>
    <s v="Public"/>
    <x v="0"/>
    <s v="Ngororero"/>
    <s v="Bwira"/>
    <s v="NNYU_3"/>
    <s v="Nyabarongo Upstream Sub-Catchment"/>
    <n v="1419.12"/>
  </r>
  <r>
    <x v="3"/>
    <s v="RUTOYI  I"/>
    <s v="Public"/>
    <x v="0"/>
    <s v="Ngororero"/>
    <s v="Bwira"/>
    <s v="NNYU_3"/>
    <s v="Nyabarongo Upstream Sub-Catchment"/>
    <n v="630.72"/>
  </r>
  <r>
    <x v="3"/>
    <s v="RUTOYI  II"/>
    <s v="Public"/>
    <x v="0"/>
    <s v="Ngororero"/>
    <s v="Bwira"/>
    <s v="NNYU_3"/>
    <s v="Nyabarongo Upstream Sub-Catchment"/>
    <n v="473.04"/>
  </r>
  <r>
    <x v="3"/>
    <s v="RUSEBEYA"/>
    <s v="Public"/>
    <x v="0"/>
    <s v="Ngororero"/>
    <s v="Bwira"/>
    <s v="NNYU_3"/>
    <s v="Nyabarongo Upstream Sub-Catchment"/>
    <n v="6307.2000000000007"/>
  </r>
  <r>
    <x v="3"/>
    <s v="GASEKE"/>
    <s v="Public"/>
    <x v="0"/>
    <s v="Ngororero"/>
    <s v="Bwira"/>
    <s v="NNYU_3"/>
    <s v="Nyabarongo Upstream Sub-Catchment"/>
    <n v="3942.0000000000005"/>
  </r>
  <r>
    <x v="3"/>
    <s v="GITAZI"/>
    <s v="Public"/>
    <x v="0"/>
    <s v="Ngororero"/>
    <s v="Bwira"/>
    <s v="NNYU_3"/>
    <s v="Nyabarongo Upstream Sub-Catchment"/>
    <n v="3626.64"/>
  </r>
  <r>
    <x v="3"/>
    <s v="TWABUGEZI II"/>
    <s v="Public"/>
    <x v="0"/>
    <s v="Ngororero"/>
    <s v="Bwira"/>
    <s v="NNYU_3"/>
    <s v="Nyabarongo Upstream Sub-Catchment"/>
    <n v="3942.0000000000005"/>
  </r>
  <r>
    <x v="3"/>
    <s v="NYARUNWA"/>
    <s v="Public"/>
    <x v="0"/>
    <s v="Ngororero"/>
    <s v="Bwira"/>
    <s v="NNYU_3"/>
    <s v="Nyabarongo Upstream Sub-Catchment"/>
    <n v="9460.8000000000011"/>
  </r>
  <r>
    <x v="3"/>
    <s v="NYAMYISHYWA"/>
    <s v="Public"/>
    <x v="0"/>
    <s v="Ngororero"/>
    <s v="Bwira"/>
    <s v="NNYU_3"/>
    <s v="Nyabarongo Upstream Sub-Catchment"/>
    <n v="11826.000000000002"/>
  </r>
  <r>
    <x v="3"/>
    <s v="KADEHERO"/>
    <s v="Public"/>
    <x v="0"/>
    <s v="Ngororero"/>
    <s v="Bwira"/>
    <s v="NNYU_3"/>
    <s v="Nyabarongo Upstream Sub-Catchment"/>
    <n v="630.72"/>
  </r>
  <r>
    <x v="3"/>
    <s v="RUSEKE"/>
    <s v="Public"/>
    <x v="0"/>
    <s v="Ngororero"/>
    <s v="Bwira"/>
    <s v="NNYU_3"/>
    <s v="Nyabarongo Upstream Sub-Catchment"/>
    <n v="1419.12"/>
  </r>
  <r>
    <x v="3"/>
    <s v="KIVURUGA  I"/>
    <s v="Public"/>
    <x v="0"/>
    <s v="Ngororero"/>
    <s v="Bwira"/>
    <s v="NNYU_3"/>
    <s v="Nyabarongo Upstream Sub-Catchment"/>
    <n v="1419.12"/>
  </r>
  <r>
    <x v="3"/>
    <s v="RUKOPFU"/>
    <s v="Public"/>
    <x v="0"/>
    <s v="Ngororero"/>
    <s v="Bwira"/>
    <s v="NNYU_3"/>
    <s v="Nyabarongo Upstream Sub-Catchment"/>
    <n v="788.40000000000009"/>
  </r>
  <r>
    <x v="3"/>
    <s v="TWABUGEZI I"/>
    <s v="Public"/>
    <x v="0"/>
    <s v="Ngororero"/>
    <s v="Bwira"/>
    <s v="NNYU_3"/>
    <s v="Nyabarongo Upstream Sub-Catchment"/>
    <n v="1576.8000000000002"/>
  </r>
  <r>
    <x v="3"/>
    <s v="TWABUGEZI"/>
    <s v="Public"/>
    <x v="0"/>
    <s v="Ngororero"/>
    <s v="Bwira"/>
    <s v="NNYU_3"/>
    <s v="Nyabarongo Upstream Sub-Catchment"/>
    <n v="2365.2000000000003"/>
  </r>
  <r>
    <x v="3"/>
    <s v="RUZIBAZIBA"/>
    <s v="Public"/>
    <x v="0"/>
    <s v="Ngororero"/>
    <s v="Bwira"/>
    <s v="NNYU_3"/>
    <s v="Nyabarongo Upstream Sub-Catchment"/>
    <n v="3468.9600000000005"/>
  </r>
  <r>
    <x v="3"/>
    <s v="KARAMBO A"/>
    <s v="Public"/>
    <x v="0"/>
    <s v="Ngororero"/>
    <s v="Bwira"/>
    <s v="NNYU_3"/>
    <s v="Nyabarongo Upstream Sub-Catchment"/>
    <n v="788.40000000000009"/>
  </r>
  <r>
    <x v="3"/>
    <s v="RUGARAMA I"/>
    <s v="Public"/>
    <x v="0"/>
    <s v="Ngororero"/>
    <s v="Bwira"/>
    <s v="NNYU_3"/>
    <s v="Nyabarongo Upstream Sub-Catchment"/>
    <n v="3153.6000000000004"/>
  </r>
  <r>
    <x v="3"/>
    <s v="KARAMBO  B"/>
    <s v="Public"/>
    <x v="0"/>
    <s v="Ngororero"/>
    <s v="Bwira"/>
    <s v="NNYU_3"/>
    <s v="Nyabarongo Upstream Sub-Catchment"/>
    <n v="2049.84"/>
  </r>
  <r>
    <x v="3"/>
    <s v="MUSHENYI"/>
    <s v="Public"/>
    <x v="0"/>
    <s v="Ngororero"/>
    <s v="Bwira"/>
    <s v="NNYU_3"/>
    <s v="Nyabarongo Upstream Sub-Catchment"/>
    <n v="3153.6000000000004"/>
  </r>
  <r>
    <x v="3"/>
    <s v="GATARE"/>
    <s v="Public"/>
    <x v="0"/>
    <s v="Ngororero"/>
    <s v="Bwira"/>
    <s v="NNYU_3"/>
    <s v="Nyabarongo Upstream Sub-Catchment"/>
    <n v="3153.6000000000004"/>
  </r>
  <r>
    <x v="3"/>
    <s v="KAGOMERO"/>
    <s v="Public"/>
    <x v="0"/>
    <s v="Ngororero"/>
    <s v="Bwira"/>
    <s v="NNYU_3"/>
    <s v="Nyabarongo Upstream Sub-Catchment"/>
    <n v="6464.88"/>
  </r>
  <r>
    <x v="3"/>
    <s v="KIBAYA"/>
    <s v="Public"/>
    <x v="0"/>
    <s v="Ngororero"/>
    <s v="Bwira"/>
    <s v="NNYU_3"/>
    <s v="Nyabarongo Upstream Sub-Catchment"/>
    <n v="1419.12"/>
  </r>
  <r>
    <x v="3"/>
    <s v="RUHONDO  I"/>
    <s v="Public"/>
    <x v="0"/>
    <s v="Ngororero"/>
    <s v="Bwira"/>
    <s v="NNYU_3"/>
    <s v="Nyabarongo Upstream Sub-Catchment"/>
    <n v="788.40000000000009"/>
  </r>
  <r>
    <x v="3"/>
    <s v="KAGEGE"/>
    <s v="Public"/>
    <x v="0"/>
    <s v="Ngororero"/>
    <s v="Bwira"/>
    <s v="NNYU_3"/>
    <s v="Nyabarongo Upstream Sub-Catchment"/>
    <n v="4730.4000000000005"/>
  </r>
  <r>
    <x v="3"/>
    <s v="KABYAZA"/>
    <s v="Public"/>
    <x v="0"/>
    <s v="Ngororero"/>
    <s v="Bwira"/>
    <s v="NNYU_3"/>
    <s v="Nyabarongo Upstream Sub-Catchment"/>
    <n v="1261.44"/>
  </r>
  <r>
    <x v="3"/>
    <s v="KARAMBO  C"/>
    <s v="Public"/>
    <x v="0"/>
    <s v="Ngororero"/>
    <s v="Bwira"/>
    <s v="NNYU_3"/>
    <s v="Nyabarongo Upstream Sub-Catchment"/>
    <n v="1576.8000000000002"/>
  </r>
  <r>
    <x v="3"/>
    <s v="KAZIBAZIBA"/>
    <s v="Public"/>
    <x v="0"/>
    <s v="Ngororero"/>
    <s v="Bwira"/>
    <s v="NNYU_3"/>
    <s v="Nyabarongo Upstream Sub-Catchment"/>
    <n v="3153.6000000000004"/>
  </r>
  <r>
    <x v="3"/>
    <s v="RWUNGA"/>
    <s v="Public"/>
    <x v="0"/>
    <s v="Ngororero"/>
    <s v="Bwira"/>
    <s v="NNYU_3"/>
    <s v="Nyabarongo Upstream Sub-Catchment"/>
    <n v="17344.800000000003"/>
  </r>
  <r>
    <x v="3"/>
    <s v="MIGESHI"/>
    <s v="Public"/>
    <x v="0"/>
    <s v="Ngororero"/>
    <s v="Bwira"/>
    <s v="NNYU_3"/>
    <s v="Nyabarongo Upstream Sub-Catchment"/>
    <n v="2207.5200000000004"/>
  </r>
  <r>
    <x v="3"/>
    <s v="RUBUTIBUTI"/>
    <s v="Public"/>
    <x v="0"/>
    <s v="Ngororero"/>
    <s v="Bwira"/>
    <s v="NNYU_3"/>
    <s v="Nyabarongo Upstream Sub-Catchment"/>
    <n v="630.72"/>
  </r>
  <r>
    <x v="3"/>
    <s v="NYABISINDU"/>
    <s v="Public"/>
    <x v="0"/>
    <s v="Ngororero"/>
    <s v="Bwira"/>
    <s v="NNYU_3"/>
    <s v="Nyabarongo Upstream Sub-Catchment"/>
    <n v="1419.12"/>
  </r>
  <r>
    <x v="3"/>
    <s v="RUHANGA III"/>
    <s v="Public"/>
    <x v="0"/>
    <s v="Ngororero"/>
    <s v="Bwira"/>
    <s v="NNYU_3"/>
    <s v="Nyabarongo Upstream Sub-Catchment"/>
    <n v="630.72"/>
  </r>
  <r>
    <x v="3"/>
    <s v="RUHANGA II"/>
    <s v="Public"/>
    <x v="0"/>
    <s v="Ngororero"/>
    <s v="Bwira"/>
    <s v="NNYU_3"/>
    <s v="Nyabarongo Upstream Sub-Catchment"/>
    <n v="473.04"/>
  </r>
  <r>
    <x v="3"/>
    <s v="KABOTOTERA"/>
    <s v="Public"/>
    <x v="0"/>
    <s v="Ngororero"/>
    <s v="Bwira"/>
    <s v="NNYU_3"/>
    <s v="Nyabarongo Upstream Sub-Catchment"/>
    <n v="4888.0800000000008"/>
  </r>
  <r>
    <x v="3"/>
    <s v="RUKONJA I"/>
    <s v="Public"/>
    <x v="0"/>
    <s v="Ngororero"/>
    <s v="Bwira"/>
    <s v="NNYU_3"/>
    <s v="Nyabarongo Upstream Sub-Catchment"/>
    <n v="4730.4000000000005"/>
  </r>
  <r>
    <x v="3"/>
    <s v="RUHANGA I"/>
    <s v="Public"/>
    <x v="0"/>
    <s v="Ngororero"/>
    <s v="Bwira"/>
    <s v="NNYU_3"/>
    <s v="Nyabarongo Upstream Sub-Catchment"/>
    <n v="1261.44"/>
  </r>
  <r>
    <x v="3"/>
    <s v="RUMENANKONO"/>
    <s v="Public"/>
    <x v="0"/>
    <s v="Ngororero"/>
    <s v="Bwira"/>
    <s v="NNYU_3"/>
    <s v="Nyabarongo Upstream Sub-Catchment"/>
    <n v="1261.44"/>
  </r>
  <r>
    <x v="3"/>
    <s v="RUKONJA II"/>
    <s v="Public"/>
    <x v="0"/>
    <s v="Ngororero"/>
    <s v="Bwira"/>
    <s v="NNYU_3"/>
    <s v="Nyabarongo Upstream Sub-Catchment"/>
    <n v="5991.84"/>
  </r>
  <r>
    <x v="3"/>
    <s v="KAZIBAZIBA II"/>
    <s v="Public"/>
    <x v="0"/>
    <s v="Ngororero"/>
    <s v="Bwira"/>
    <s v="NNYU_3"/>
    <s v="Nyabarongo Upstream Sub-Catchment"/>
    <n v="1734.4800000000002"/>
  </r>
  <r>
    <x v="3"/>
    <s v="KAZIBAZIBA I"/>
    <s v="Public"/>
    <x v="0"/>
    <s v="Ngororero"/>
    <s v="Bwira"/>
    <s v="NNYU_3"/>
    <s v="Nyabarongo Upstream Sub-Catchment"/>
    <n v="1261.44"/>
  </r>
  <r>
    <x v="3"/>
    <s v="BANNYAHE"/>
    <s v="Public"/>
    <x v="0"/>
    <s v="Ngororero"/>
    <s v="Bwira"/>
    <s v="NNYU_3"/>
    <s v="Nyabarongo Upstream Sub-Catchment"/>
    <n v="3942.0000000000005"/>
  </r>
  <r>
    <x v="3"/>
    <s v="NYAKABINGO"/>
    <s v="Public"/>
    <x v="0"/>
    <s v="Ngororero"/>
    <s v="Bwira"/>
    <s v="NNYU_3"/>
    <s v="Nyabarongo Upstream Sub-Catchment"/>
    <n v="4888.0800000000008"/>
  </r>
  <r>
    <x v="3"/>
    <s v="GAKARANKA II"/>
    <s v="Public"/>
    <x v="0"/>
    <s v="Ngororero"/>
    <s v="Bwira"/>
    <s v="NNYU_3"/>
    <s v="Nyabarongo Upstream Sub-Catchment"/>
    <n v="1576.8000000000002"/>
  </r>
  <r>
    <x v="3"/>
    <s v="BISIZI"/>
    <s v="Public"/>
    <x v="0"/>
    <s v="Ngororero"/>
    <s v="Bwira"/>
    <s v="NNYU_3"/>
    <s v="Nyabarongo Upstream Sub-Catchment"/>
    <n v="1734.4800000000002"/>
  </r>
  <r>
    <x v="3"/>
    <s v="RUTURIRWA"/>
    <s v="Public"/>
    <x v="0"/>
    <s v="Ngororero"/>
    <s v="Bwira"/>
    <s v="NNYU_3"/>
    <s v="Nyabarongo Upstream Sub-Catchment"/>
    <n v="3153.6000000000004"/>
  </r>
  <r>
    <x v="3"/>
    <s v="GASHARU  II"/>
    <s v="Public"/>
    <x v="0"/>
    <s v="Ngororero"/>
    <s v="Bwira"/>
    <s v="NNYU_3"/>
    <s v="Nyabarongo Upstream Sub-Catchment"/>
    <n v="1576.8000000000002"/>
  </r>
  <r>
    <x v="3"/>
    <s v="GASHARU  I"/>
    <s v="Public"/>
    <x v="0"/>
    <s v="Ngororero"/>
    <s v="Bwira"/>
    <s v="NNYU_3"/>
    <s v="Nyabarongo Upstream Sub-Catchment"/>
    <n v="1103.7600000000002"/>
  </r>
  <r>
    <x v="3"/>
    <s v="KIBARA"/>
    <s v="Public"/>
    <x v="0"/>
    <s v="Ngororero"/>
    <s v="Bwira"/>
    <s v="NNYU_3"/>
    <s v="Nyabarongo Upstream Sub-Catchment"/>
    <n v="3942.0000000000005"/>
  </r>
  <r>
    <x v="3"/>
    <s v="RUTANZOGERA I"/>
    <s v="Public"/>
    <x v="0"/>
    <s v="Ngororero"/>
    <s v="Bwira"/>
    <s v="NNYU_3"/>
    <s v="Nyabarongo Upstream Sub-Catchment"/>
    <n v="2522.88"/>
  </r>
  <r>
    <x v="3"/>
    <s v="KAMASHYA"/>
    <s v="Public"/>
    <x v="0"/>
    <s v="Ngororero"/>
    <s v="Bwira"/>
    <s v="NNYU_3"/>
    <s v="Nyabarongo Upstream Sub-Catchment"/>
    <n v="2680.56"/>
  </r>
  <r>
    <x v="3"/>
    <s v="NYAMUKO 2"/>
    <s v="Public"/>
    <x v="0"/>
    <s v="Ruhango"/>
    <s v="Byimana"/>
    <s v="NNYU_3"/>
    <s v="Nyabarongo Upstream Sub-Catchment"/>
    <n v="2251.6704000000004"/>
  </r>
  <r>
    <x v="3"/>
    <s v="BAGIYE"/>
    <s v="Public"/>
    <x v="0"/>
    <s v="Ruhango"/>
    <s v="Byimana"/>
    <s v="NNYU_3"/>
    <s v="Nyabarongo Upstream Sub-Catchment"/>
    <n v="261.74880000000002"/>
  </r>
  <r>
    <x v="3"/>
    <s v="HIRWA"/>
    <s v="Public"/>
    <x v="0"/>
    <s v="Ruhango"/>
    <s v="Byimana"/>
    <s v="NNYU_3"/>
    <s v="Nyabarongo Upstream Sub-Catchment"/>
    <n v="1592.5680000000002"/>
  </r>
  <r>
    <x v="3"/>
    <s v="CYAHAFI"/>
    <s v="Public"/>
    <x v="0"/>
    <s v="Ruhango"/>
    <s v="Byimana"/>
    <s v="NNYU_3"/>
    <s v="Nyabarongo Upstream Sub-Catchment"/>
    <n v="1125.8352000000002"/>
  </r>
  <r>
    <x v="3"/>
    <s v="KIBUMBA"/>
    <s v="Public"/>
    <x v="0"/>
    <s v="Ruhango"/>
    <s v="Byimana"/>
    <s v="NNYU_3"/>
    <s v="Nyabarongo Upstream Sub-Catchment"/>
    <n v="1639.8720000000001"/>
  </r>
  <r>
    <x v="3"/>
    <s v="BINGAGA"/>
    <s v="Public"/>
    <x v="0"/>
    <s v="Ruhango"/>
    <s v="Byimana"/>
    <s v="NNYU_3"/>
    <s v="Nyabarongo Upstream Sub-Catchment"/>
    <n v="709.56"/>
  </r>
  <r>
    <x v="3"/>
    <s v="NYAKIGEZI"/>
    <s v="Public"/>
    <x v="0"/>
    <s v="Ruhango"/>
    <s v="Byimana"/>
    <s v="NNYU_3"/>
    <s v="Nyabarongo Upstream Sub-Catchment"/>
    <n v="914.5440000000001"/>
  </r>
  <r>
    <x v="3"/>
    <s v="NYAMATA"/>
    <s v="Public"/>
    <x v="0"/>
    <s v="Ruhango"/>
    <s v="Byimana"/>
    <s v="NNYU_3"/>
    <s v="Nyabarongo Upstream Sub-Catchment"/>
    <n v="1135.296"/>
  </r>
  <r>
    <x v="3"/>
    <s v="NYAMUKO"/>
    <s v="Public"/>
    <x v="0"/>
    <s v="Ruhango"/>
    <s v="Byimana"/>
    <s v="NNYU_3"/>
    <s v="Nyabarongo Upstream Sub-Catchment"/>
    <n v="261.74880000000002"/>
  </r>
  <r>
    <x v="3"/>
    <s v="RWAGATARE"/>
    <s v="Public"/>
    <x v="0"/>
    <s v="Ruhango"/>
    <s v="Byimana"/>
    <s v="NNYU_3"/>
    <s v="Nyabarongo Upstream Sub-Catchment"/>
    <n v="262.69488000000007"/>
  </r>
  <r>
    <x v="3"/>
    <s v="NGANDO"/>
    <s v="Public"/>
    <x v="0"/>
    <s v="Ruhango"/>
    <s v="Byimana"/>
    <s v="NNYU_3"/>
    <s v="Nyabarongo Upstream Sub-Catchment"/>
    <n v="1971.0000000000002"/>
  </r>
  <r>
    <x v="3"/>
    <s v="NYIRANDIZI"/>
    <s v="Public"/>
    <x v="0"/>
    <s v="Ruhango"/>
    <s v="Byimana"/>
    <s v="NNYU_3"/>
    <s v="Nyabarongo Upstream Sub-Catchment"/>
    <n v="350.04960000000005"/>
  </r>
  <r>
    <x v="3"/>
    <s v="GASEKE"/>
    <s v="Public"/>
    <x v="0"/>
    <s v="Ruhango"/>
    <s v="Byimana"/>
    <s v="NNYU_3"/>
    <s v="Nyabarongo Upstream Sub-Catchment"/>
    <n v="1050.1488000000002"/>
  </r>
  <r>
    <x v="3"/>
    <s v="GATEKE"/>
    <s v="Public"/>
    <x v="0"/>
    <s v="Ruhango"/>
    <s v="Byimana"/>
    <s v="NNYU_3"/>
    <s v="Nyabarongo Upstream Sub-Catchment"/>
    <n v="520.34400000000005"/>
  </r>
  <r>
    <x v="3"/>
    <s v="SONDASI"/>
    <s v="Public"/>
    <x v="0"/>
    <s v="Ruhango"/>
    <s v="Byimana"/>
    <s v="NNYU_3"/>
    <s v="Nyabarongo Upstream Sub-Catchment"/>
    <n v="1971.0000000000002"/>
  </r>
  <r>
    <x v="3"/>
    <s v="NKONDOGORO"/>
    <s v="Public"/>
    <x v="0"/>
    <s v="Ruhango"/>
    <s v="Byimana"/>
    <s v="NNYU_3"/>
    <s v="Nyabarongo Upstream Sub-Catchment"/>
    <n v="1592.5680000000002"/>
  </r>
  <r>
    <x v="3"/>
    <s v="GATARE"/>
    <s v="Public"/>
    <x v="0"/>
    <s v="Ruhango"/>
    <s v="Byimana"/>
    <s v="NNYU_3"/>
    <s v="Nyabarongo Upstream Sub-Catchment"/>
    <n v="525.07440000000008"/>
  </r>
  <r>
    <x v="3"/>
    <s v="KADUHA"/>
    <s v="Public"/>
    <x v="0"/>
    <s v="Ruhango"/>
    <s v="Byimana"/>
    <s v="NNYU_3"/>
    <s v="Nyabarongo Upstream Sub-Catchment"/>
    <n v="525.07440000000008"/>
  </r>
  <r>
    <x v="3"/>
    <s v="NKONDOGORO 2"/>
    <s v="Public"/>
    <x v="0"/>
    <s v="Ruhango"/>
    <s v="Byimana"/>
    <s v="NNYU_3"/>
    <s v="Nyabarongo Upstream Sub-Catchment"/>
    <n v="1277.2080000000001"/>
  </r>
  <r>
    <x v="3"/>
    <s v="KIGANDA"/>
    <s v="Public"/>
    <x v="0"/>
    <s v="Ruhango"/>
    <s v="Byimana"/>
    <s v="NNYU_3"/>
    <s v="Nyabarongo Upstream Sub-Catchment"/>
    <n v="1125.8352000000002"/>
  </r>
  <r>
    <x v="3"/>
    <s v="MUREHWE"/>
    <s v="Public"/>
    <x v="0"/>
    <s v="Ruhango"/>
    <s v="Byimana"/>
    <s v="NNYU_3"/>
    <s v="Nyabarongo Upstream Sub-Catchment"/>
    <n v="520.34400000000005"/>
  </r>
  <r>
    <x v="3"/>
    <s v="GASUNA"/>
    <s v="Public"/>
    <x v="0"/>
    <s v="Ruhango"/>
    <s v="Byimana"/>
    <s v="NNYU_3"/>
    <s v="Nyabarongo Upstream Sub-Catchment"/>
    <n v="1125.8352000000002"/>
  </r>
  <r>
    <x v="3"/>
    <s v="BAHIMBA"/>
    <s v="Public"/>
    <x v="0"/>
    <s v="Ruhango"/>
    <s v="Byimana"/>
    <s v="NNYU_3"/>
    <s v="Nyabarongo Upstream Sub-Catchment"/>
    <n v="436.77359999999999"/>
  </r>
  <r>
    <x v="3"/>
    <s v="GASEKE"/>
    <s v="Public"/>
    <x v="0"/>
    <s v="Ruhango"/>
    <s v="Byimana"/>
    <s v="NNYU_3"/>
    <s v="Nyabarongo Upstream Sub-Catchment"/>
    <n v="674.87040000000002"/>
  </r>
  <r>
    <x v="3"/>
    <s v="NYAMUTITA"/>
    <s v="Public"/>
    <x v="0"/>
    <s v="Ruhango"/>
    <s v="Byimana"/>
    <s v="NNYU_3"/>
    <s v="Nyabarongo Upstream Sub-Catchment"/>
    <n v="2626.9488000000001"/>
  </r>
  <r>
    <x v="3"/>
    <s v="GATARE"/>
    <s v="Public"/>
    <x v="0"/>
    <s v="Ruhango"/>
    <s v="Byimana"/>
    <s v="NNYU_3"/>
    <s v="Nyabarongo Upstream Sub-Catchment"/>
    <n v="525.07440000000008"/>
  </r>
  <r>
    <x v="3"/>
    <s v="NANGAMAHU"/>
    <s v="Public"/>
    <x v="0"/>
    <s v="Ruhango"/>
    <s v="Byimana"/>
    <s v="NNYU_3"/>
    <s v="Nyabarongo Upstream Sub-Catchment"/>
    <n v="875.12400000000002"/>
  </r>
  <r>
    <x v="3"/>
    <s v="CYARUKARA"/>
    <s v="Public"/>
    <x v="0"/>
    <s v="Ruhango"/>
    <s v="Byimana"/>
    <s v="NNYU_3"/>
    <s v="Nyabarongo Upstream Sub-Catchment"/>
    <n v="3504.4380000000001"/>
  </r>
  <r>
    <x v="3"/>
    <s v="NYABYUNYU"/>
    <s v="Public"/>
    <x v="0"/>
    <s v="Ruhango"/>
    <s v="Byimana"/>
    <s v="NNYU_3"/>
    <s v="Nyabarongo Upstream Sub-Catchment"/>
    <n v="542.41920000000005"/>
  </r>
  <r>
    <x v="3"/>
    <s v="KAJANGWE"/>
    <s v="Public"/>
    <x v="0"/>
    <s v="Ruhango"/>
    <s v="Byimana"/>
    <s v="NNYU_3"/>
    <s v="Nyabarongo Upstream Sub-Catchment"/>
    <n v="402.08399999999995"/>
  </r>
  <r>
    <x v="3"/>
    <s v="KIBWIJA"/>
    <s v="Public"/>
    <x v="0"/>
    <s v="Ruhango"/>
    <s v="Byimana"/>
    <s v="NNYU_3"/>
    <s v="Nyabarongo Upstream Sub-Catchment"/>
    <n v="1592.5680000000002"/>
  </r>
  <r>
    <x v="3"/>
    <s v="RWABADAHA"/>
    <s v="Public"/>
    <x v="0"/>
    <s v="Ruhango"/>
    <s v="Byimana"/>
    <s v="NNYU_3"/>
    <s v="Nyabarongo Upstream Sub-Catchment"/>
    <n v="875.12400000000002"/>
  </r>
  <r>
    <x v="3"/>
    <s v="GAHAMA"/>
    <s v="Public"/>
    <x v="0"/>
    <s v="Ruhango"/>
    <s v="Byimana"/>
    <s v="NNYU_3"/>
    <s v="Nyabarongo Upstream Sub-Catchment"/>
    <n v="3942.0000000000005"/>
  </r>
  <r>
    <x v="3"/>
    <s v="MUGOMERO"/>
    <s v="Public"/>
    <x v="0"/>
    <s v="Ruhango"/>
    <s v="Byimana"/>
    <s v="NNYU_3"/>
    <s v="Nyabarongo Upstream Sub-Catchment"/>
    <n v="525.07440000000008"/>
  </r>
  <r>
    <x v="3"/>
    <s v="MAYEZI"/>
    <s v="Public"/>
    <x v="0"/>
    <s v="Ruhango"/>
    <s v="Byimana"/>
    <s v="NNYU_3"/>
    <s v="Nyabarongo Upstream Sub-Catchment"/>
    <n v="2626.9488000000001"/>
  </r>
  <r>
    <x v="3"/>
    <s v="RYAMARUMA"/>
    <s v="Public"/>
    <x v="0"/>
    <s v="Ruhango"/>
    <s v="Byimana"/>
    <s v="NNYU_3"/>
    <s v="Nyabarongo Upstream Sub-Catchment"/>
    <n v="394.20000000000005"/>
  </r>
  <r>
    <x v="3"/>
    <s v="RYAMARAMU"/>
    <s v="Public"/>
    <x v="0"/>
    <s v="Ruhango"/>
    <s v="Byimana"/>
    <s v="NNYU_3"/>
    <s v="Nyabarongo Upstream Sub-Catchment"/>
    <n v="449.38800000000003"/>
  </r>
  <r>
    <x v="3"/>
    <s v="MAGANURA"/>
    <s v="Public"/>
    <x v="0"/>
    <s v="Ruhango"/>
    <s v="Byimana"/>
    <s v="NNYU_3"/>
    <s v="Nyabarongo Upstream Sub-Catchment"/>
    <n v="1313.4744000000001"/>
  </r>
  <r>
    <x v="3"/>
    <s v="MPISHABANZI"/>
    <s v="Public"/>
    <x v="0"/>
    <s v="Ruhango"/>
    <s v="Byimana"/>
    <s v="NNYU_3"/>
    <s v="Nyabarongo Upstream Sub-Catchment"/>
    <n v="262.69488000000007"/>
  </r>
  <r>
    <x v="3"/>
    <s v="CYUKI"/>
    <s v="Public"/>
    <x v="0"/>
    <s v="Ruhango"/>
    <s v="Byimana"/>
    <s v="NNYU_3"/>
    <s v="Nyabarongo Upstream Sub-Catchment"/>
    <n v="394.20000000000005"/>
  </r>
  <r>
    <x v="3"/>
    <s v="GATOKI"/>
    <s v="Public"/>
    <x v="0"/>
    <s v="Ruhango"/>
    <s v="Byimana"/>
    <s v="NNYU_3"/>
    <s v="Nyabarongo Upstream Sub-Catchment"/>
    <n v="1125.8352000000002"/>
  </r>
  <r>
    <x v="3"/>
    <s v="KABYIBUSHA"/>
    <s v="Public"/>
    <x v="0"/>
    <s v="Ruhango"/>
    <s v="Byimana"/>
    <s v="NNYU_3"/>
    <s v="Nyabarongo Upstream Sub-Catchment"/>
    <n v="875.91240000000005"/>
  </r>
  <r>
    <x v="3"/>
    <s v="GISEKE"/>
    <s v="Public"/>
    <x v="0"/>
    <s v="Ruhango"/>
    <s v="Byimana"/>
    <s v="NNYU_3"/>
    <s v="Nyabarongo Upstream Sub-Catchment"/>
    <n v="1313.9474400000001"/>
  </r>
  <r>
    <x v="3"/>
    <s v="KAVURE"/>
    <s v="Public"/>
    <x v="0"/>
    <s v="Ruhango"/>
    <s v="Byimana"/>
    <s v="NNYU_3"/>
    <s v="Nyabarongo Upstream Sub-Catchment"/>
    <n v="2626.9488000000001"/>
  </r>
  <r>
    <x v="3"/>
    <s v="KAMONYI"/>
    <s v="Public"/>
    <x v="0"/>
    <s v="Ruhango"/>
    <s v="Byimana"/>
    <s v="NNYU_3"/>
    <s v="Nyabarongo Upstream Sub-Catchment"/>
    <n v="394.20000000000005"/>
  </r>
  <r>
    <x v="3"/>
    <s v="KAZIBAZIBA"/>
    <s v="Public"/>
    <x v="0"/>
    <s v="Ruhango"/>
    <s v="Byimana"/>
    <s v="NNYU_3"/>
    <s v="Nyabarongo Upstream Sub-Catchment"/>
    <n v="1050.1488000000002"/>
  </r>
  <r>
    <x v="3"/>
    <s v="KANSANGWA"/>
    <s v="Public"/>
    <x v="0"/>
    <s v="Ruhango"/>
    <s v="Byimana"/>
    <s v="NNYU_3"/>
    <s v="Nyabarongo Upstream Sub-Catchment"/>
    <n v="1050.1488000000002"/>
  </r>
  <r>
    <x v="3"/>
    <s v="RUGARURA"/>
    <s v="Public"/>
    <x v="0"/>
    <s v="Ruhango"/>
    <s v="Byimana"/>
    <s v="NNYU_3"/>
    <s v="Nyabarongo Upstream Sub-Catchment"/>
    <n v="3942.0000000000005"/>
  </r>
  <r>
    <x v="3"/>
    <s v="RUSENGE"/>
    <s v="Public"/>
    <x v="0"/>
    <s v="Ruhango"/>
    <s v="Byimana"/>
    <s v="NNYU_3"/>
    <s v="Nyabarongo Upstream Sub-Catchment"/>
    <n v="655.94880000000001"/>
  </r>
  <r>
    <x v="3"/>
    <s v="GATEKE"/>
    <s v="Public"/>
    <x v="0"/>
    <s v="Ruhango"/>
    <s v="Byimana"/>
    <s v="NNYU_3"/>
    <s v="Nyabarongo Upstream Sub-Catchment"/>
    <n v="262.69488000000007"/>
  </r>
  <r>
    <x v="3"/>
    <s v="NYAKIRIBA"/>
    <s v="Public"/>
    <x v="0"/>
    <s v="Ruhango"/>
    <s v="Byimana"/>
    <s v="NNYU_3"/>
    <s v="Nyabarongo Upstream Sub-Catchment"/>
    <n v="655.94880000000001"/>
  </r>
  <r>
    <x v="3"/>
    <s v="BIHOSHA"/>
    <s v="Public"/>
    <x v="0"/>
    <s v="Ruhango"/>
    <s v="Byimana"/>
    <s v="NNYU_3"/>
    <s v="Nyabarongo Upstream Sub-Catchment"/>
    <n v="741.09599999999989"/>
  </r>
  <r>
    <x v="3"/>
    <s v="GACYOKOMO"/>
    <s v="Public"/>
    <x v="0"/>
    <s v="Ruhango"/>
    <s v="Byimana"/>
    <s v="NNYU_3"/>
    <s v="Nyabarongo Upstream Sub-Catchment"/>
    <n v="985.50000000000011"/>
  </r>
  <r>
    <x v="3"/>
    <s v="KARENGE"/>
    <s v="Public"/>
    <x v="0"/>
    <s v="Ruhango"/>
    <s v="Byimana"/>
    <s v="NNYU_3"/>
    <s v="Nyabarongo Upstream Sub-Catchment"/>
    <n v="2626.9488000000001"/>
  </r>
  <r>
    <x v="3"/>
    <s v="GATARE"/>
    <s v="Public"/>
    <x v="0"/>
    <s v="Ruhango"/>
    <s v="Byimana"/>
    <s v="NNYU_3"/>
    <s v="Nyabarongo Upstream Sub-Catchment"/>
    <n v="1971.0000000000002"/>
  </r>
  <r>
    <x v="3"/>
    <s v="MPANDA"/>
    <s v="Public"/>
    <x v="0"/>
    <s v="Ruhango"/>
    <s v="Byimana"/>
    <s v="NNYU_3"/>
    <s v="Nyabarongo Upstream Sub-Catchment"/>
    <n v="2626.9488000000001"/>
  </r>
  <r>
    <x v="3"/>
    <s v="NYABITARE"/>
    <s v="Public"/>
    <x v="0"/>
    <s v="Ruhango"/>
    <s v="Byimana"/>
    <s v="NNYU_3"/>
    <s v="Nyabarongo Upstream Sub-Catchment"/>
    <n v="1750.248"/>
  </r>
  <r>
    <x v="3"/>
    <s v="GAKONI"/>
    <s v="Public"/>
    <x v="0"/>
    <s v="Ruhango"/>
    <s v="Byimana"/>
    <s v="NNYU_3"/>
    <s v="Nyabarongo Upstream Sub-Catchment"/>
    <n v="1750.248"/>
  </r>
  <r>
    <x v="3"/>
    <s v="KAJAGI"/>
    <s v="Public"/>
    <x v="0"/>
    <s v="Ruhango"/>
    <s v="Byimana"/>
    <s v="NNYU_3"/>
    <s v="Nyabarongo Upstream Sub-Catchment"/>
    <n v="1971.0000000000002"/>
  </r>
  <r>
    <x v="3"/>
    <s v="CYUMBA"/>
    <s v="Public"/>
    <x v="0"/>
    <s v="Ruhango"/>
    <s v="Byimana"/>
    <s v="NNYU_3"/>
    <s v="Nyabarongo Upstream Sub-Catchment"/>
    <n v="789.97680000000003"/>
  </r>
  <r>
    <x v="3"/>
    <s v="KAGINA"/>
    <s v="Public"/>
    <x v="0"/>
    <s v="Ruhango"/>
    <s v="Byimana"/>
    <s v="NNYU_3"/>
    <s v="Nyabarongo Upstream Sub-Catchment"/>
    <n v="655.94880000000001"/>
  </r>
  <r>
    <x v="3"/>
    <s v="BYERWA"/>
    <s v="Public"/>
    <x v="0"/>
    <s v="Ruhango"/>
    <s v="Byimana"/>
    <s v="NNYU_3"/>
    <s v="Nyabarongo Upstream Sub-Catchment"/>
    <n v="2232.7487999999998"/>
  </r>
  <r>
    <x v="3"/>
    <s v="NGUGU"/>
    <s v="Public"/>
    <x v="0"/>
    <s v="Ruhango"/>
    <s v="Byimana"/>
    <s v="NNYU_3"/>
    <s v="Nyabarongo Upstream Sub-Catchment"/>
    <n v="655.94880000000001"/>
  </r>
  <r>
    <x v="3"/>
    <s v="MUSHONGORE"/>
    <s v="Public"/>
    <x v="0"/>
    <s v="Ruhango"/>
    <s v="Byimana"/>
    <s v="NNYU_3"/>
    <s v="Nyabarongo Upstream Sub-Catchment"/>
    <n v="655.94880000000001"/>
  </r>
  <r>
    <x v="3"/>
    <s v="BAHIMBA"/>
    <s v="Public"/>
    <x v="0"/>
    <s v="Ruhango"/>
    <s v="Byimana"/>
    <s v="NNYU_3"/>
    <s v="Nyabarongo Upstream Sub-Catchment"/>
    <n v="1971.0000000000002"/>
  </r>
  <r>
    <x v="3"/>
    <s v="RUGUNDA"/>
    <s v="Public"/>
    <x v="0"/>
    <s v="Ruhango"/>
    <s v="Byimana"/>
    <s v="NNYU_3"/>
    <s v="Nyabarongo Upstream Sub-Catchment"/>
    <n v="2626.9488000000001"/>
  </r>
  <r>
    <x v="3"/>
    <s v="RUSEKE"/>
    <s v="Public"/>
    <x v="0"/>
    <s v="Ruhango"/>
    <s v="Byimana"/>
    <s v="NNYU_3"/>
    <s v="Nyabarongo Upstream Sub-Catchment"/>
    <n v="3169.3679999999999"/>
  </r>
  <r>
    <x v="3"/>
    <s v="GASANGANYA"/>
    <s v="Public"/>
    <x v="0"/>
    <s v="Ruhango"/>
    <s v="Byimana"/>
    <s v="NNYU_3"/>
    <s v="Nyabarongo Upstream Sub-Catchment"/>
    <n v="2626.9488000000001"/>
  </r>
  <r>
    <x v="3"/>
    <s v="KIRUHURA"/>
    <s v="Public"/>
    <x v="0"/>
    <s v="Ruhango"/>
    <s v="Byimana"/>
    <s v="NNYU_3"/>
    <s v="Nyabarongo Upstream Sub-Catchment"/>
    <n v="1750.248"/>
  </r>
  <r>
    <x v="3"/>
    <s v="NYAKABINGO"/>
    <s v="Public"/>
    <x v="0"/>
    <s v="Ruhango"/>
    <s v="Byimana"/>
    <s v="NNYU_3"/>
    <s v="Nyabarongo Upstream Sub-Catchment"/>
    <n v="262.69488000000007"/>
  </r>
  <r>
    <x v="3"/>
    <s v="BINYUGUNYUGU"/>
    <s v="Public"/>
    <x v="0"/>
    <s v="Muhanga"/>
    <s v="Cyeza"/>
    <s v="NNYU_3"/>
    <s v="Nyabarongo Upstream Sub-Catchment"/>
    <n v="3153.6000000000004"/>
  </r>
  <r>
    <x v="3"/>
    <s v="KANYEGERO"/>
    <s v="Public"/>
    <x v="0"/>
    <s v="Muhanga"/>
    <s v="Cyeza"/>
    <s v="NNYU_3"/>
    <s v="Nyabarongo Upstream Sub-Catchment"/>
    <n v="6307.2000000000007"/>
  </r>
  <r>
    <x v="3"/>
    <s v="KWA HILARIYA"/>
    <s v="Public"/>
    <x v="0"/>
    <s v="Muhanga"/>
    <s v="Cyeza"/>
    <s v="NNYU_3"/>
    <s v="Nyabarongo Upstream Sub-Catchment"/>
    <n v="9460.8000000000011"/>
  </r>
  <r>
    <x v="3"/>
    <s v="KIBAHIMA"/>
    <s v="Public"/>
    <x v="0"/>
    <s v="Muhanga"/>
    <s v="Cyeza"/>
    <s v="NNYU_3"/>
    <s v="Nyabarongo Upstream Sub-Catchment"/>
    <n v="3942.0000000000005"/>
  </r>
  <r>
    <x v="3"/>
    <s v="GATARE"/>
    <s v="Public"/>
    <x v="0"/>
    <s v="Muhanga"/>
    <s v="Cyeza"/>
    <s v="NNYU_3"/>
    <s v="Nyabarongo Upstream Sub-Catchment"/>
    <n v="2365.2000000000003"/>
  </r>
  <r>
    <x v="3"/>
    <s v="KARUBANDA"/>
    <s v="Public"/>
    <x v="0"/>
    <s v="Muhanga"/>
    <s v="Cyeza"/>
    <s v="NNYU_3"/>
    <s v="Nyabarongo Upstream Sub-Catchment"/>
    <n v="6307.2000000000007"/>
  </r>
  <r>
    <x v="3"/>
    <s v="nyaruseke"/>
    <s v="Public"/>
    <x v="0"/>
    <s v="Muhanga"/>
    <s v="Cyeza"/>
    <s v="NNYU_3"/>
    <s v="Nyabarongo Upstream Sub-Catchment"/>
    <n v="4730.4000000000005"/>
  </r>
  <r>
    <x v="3"/>
    <s v="KABASENGEREZI"/>
    <s v="Public"/>
    <x v="0"/>
    <s v="Ngororero"/>
    <s v="Gatumba"/>
    <s v="NNYU_3"/>
    <s v="Nyabarongo Upstream Sub-Catchment"/>
    <n v="473.04"/>
  </r>
  <r>
    <x v="3"/>
    <s v="NYAMATA III"/>
    <s v="Public"/>
    <x v="0"/>
    <s v="Ngororero"/>
    <s v="Gatumba"/>
    <s v="NNYU_3"/>
    <s v="Nyabarongo Upstream Sub-Catchment"/>
    <n v="1103.7600000000002"/>
  </r>
  <r>
    <x v="3"/>
    <s v="NYAMATA II"/>
    <s v="Public"/>
    <x v="0"/>
    <s v="Ngororero"/>
    <s v="Gatumba"/>
    <s v="NNYU_3"/>
    <s v="Nyabarongo Upstream Sub-Catchment"/>
    <n v="1261.44"/>
  </r>
  <r>
    <x v="3"/>
    <s v="RUKOMBE"/>
    <s v="Public"/>
    <x v="0"/>
    <s v="Ngororero"/>
    <s v="Gatumba"/>
    <s v="NNYU_3"/>
    <s v="Nyabarongo Upstream Sub-Catchment"/>
    <n v="1261.44"/>
  </r>
  <r>
    <x v="3"/>
    <s v="KURUGANDA"/>
    <s v="Public"/>
    <x v="0"/>
    <s v="Ngororero"/>
    <s v="Gatumba"/>
    <s v="NNYU_3"/>
    <s v="Nyabarongo Upstream Sub-Catchment"/>
    <n v="473.04"/>
  </r>
  <r>
    <x v="3"/>
    <s v="MATWENGE  A"/>
    <s v="Public"/>
    <x v="0"/>
    <s v="Ngororero"/>
    <s v="Gatumba"/>
    <s v="NNYU_3"/>
    <s v="Nyabarongo Upstream Sub-Catchment"/>
    <n v="1103.7600000000002"/>
  </r>
  <r>
    <x v="3"/>
    <s v="RUGUNDU"/>
    <s v="Public"/>
    <x v="0"/>
    <s v="Ngororero"/>
    <s v="Gatumba"/>
    <s v="NNYU_3"/>
    <s v="Nyabarongo Upstream Sub-Catchment"/>
    <n v="630.72"/>
  </r>
  <r>
    <x v="3"/>
    <s v="NYAGACECE II"/>
    <s v="Public"/>
    <x v="0"/>
    <s v="Ngororero"/>
    <s v="Gatumba"/>
    <s v="NNYU_3"/>
    <s v="Nyabarongo Upstream Sub-Catchment"/>
    <n v="788.40000000000009"/>
  </r>
  <r>
    <x v="3"/>
    <s v="KATINJIRA"/>
    <s v="Public"/>
    <x v="0"/>
    <s v="Ngororero"/>
    <s v="Gatumba"/>
    <s v="NNYU_3"/>
    <s v="Nyabarongo Upstream Sub-Catchment"/>
    <n v="473.04"/>
  </r>
  <r>
    <x v="3"/>
    <s v="CYOME"/>
    <s v="Public"/>
    <x v="0"/>
    <s v="Ngororero"/>
    <s v="Gatumba"/>
    <s v="NNYU_3"/>
    <s v="Nyabarongo Upstream Sub-Catchment"/>
    <n v="788.40000000000009"/>
  </r>
  <r>
    <x v="3"/>
    <s v="MVURA"/>
    <s v="Public"/>
    <x v="0"/>
    <s v="Ngororero"/>
    <s v="Gatumba"/>
    <s v="NNYU_3"/>
    <s v="Nyabarongo Upstream Sub-Catchment"/>
    <n v="630.72"/>
  </r>
  <r>
    <x v="3"/>
    <s v="NYAGACECE"/>
    <s v="Public"/>
    <x v="0"/>
    <s v="Ngororero"/>
    <s v="Gatumba"/>
    <s v="NNYU_3"/>
    <s v="Nyabarongo Upstream Sub-Catchment"/>
    <n v="473.04"/>
  </r>
  <r>
    <x v="3"/>
    <s v="RUBONA"/>
    <s v="Public"/>
    <x v="0"/>
    <s v="Ngororero"/>
    <s v="Gatumba"/>
    <s v="NNYU_3"/>
    <s v="Nyabarongo Upstream Sub-Catchment"/>
    <n v="788.40000000000009"/>
  </r>
  <r>
    <x v="3"/>
    <s v="NYAGATEKERI"/>
    <s v="Public"/>
    <x v="0"/>
    <s v="Ngororero"/>
    <s v="Gatumba"/>
    <s v="NNYU_3"/>
    <s v="Nyabarongo Upstream Sub-Catchment"/>
    <n v="630.72"/>
  </r>
  <r>
    <x v="3"/>
    <s v="NYAGACECE III"/>
    <s v="Public"/>
    <x v="0"/>
    <s v="Ngororero"/>
    <s v="Gatumba"/>
    <s v="NNYU_3"/>
    <s v="Nyabarongo Upstream Sub-Catchment"/>
    <n v="315.36"/>
  </r>
  <r>
    <x v="3"/>
    <s v="BUTARE II"/>
    <s v="Public"/>
    <x v="0"/>
    <s v="Ngororero"/>
    <s v="Gatumba"/>
    <s v="NNYU_3"/>
    <s v="Nyabarongo Upstream Sub-Catchment"/>
    <n v="473.04"/>
  </r>
  <r>
    <x v="3"/>
    <s v="KARAMBO"/>
    <s v="Public"/>
    <x v="0"/>
    <s v="Ngororero"/>
    <s v="Gatumba"/>
    <s v="NNYU_3"/>
    <s v="Nyabarongo Upstream Sub-Catchment"/>
    <n v="946.08"/>
  </r>
  <r>
    <x v="3"/>
    <s v="SEREGE"/>
    <s v="Public"/>
    <x v="0"/>
    <s v="Ngororero"/>
    <s v="Gatumba"/>
    <s v="NNYU_3"/>
    <s v="Nyabarongo Upstream Sub-Catchment"/>
    <n v="630.72"/>
  </r>
  <r>
    <x v="3"/>
    <s v="MARIRAKABIRI"/>
    <s v="Public"/>
    <x v="0"/>
    <s v="Ngororero"/>
    <s v="Gatumba"/>
    <s v="NNYU_3"/>
    <s v="Nyabarongo Upstream Sub-Catchment"/>
    <n v="3942.0000000000005"/>
  </r>
  <r>
    <x v="3"/>
    <s v="CYAHAFI  B"/>
    <s v="Public"/>
    <x v="0"/>
    <s v="Ngororero"/>
    <s v="Gatumba"/>
    <s v="NNYU_3"/>
    <s v="Nyabarongo Upstream Sub-Catchment"/>
    <n v="473.04"/>
  </r>
  <r>
    <x v="3"/>
    <s v="BIREMERA"/>
    <s v="Public"/>
    <x v="0"/>
    <s v="Ngororero"/>
    <s v="Gatumba"/>
    <s v="NNYU_3"/>
    <s v="Nyabarongo Upstream Sub-Catchment"/>
    <n v="2365.2000000000003"/>
  </r>
  <r>
    <x v="3"/>
    <s v="MUKONI"/>
    <s v="Public"/>
    <x v="0"/>
    <s v="Ngororero"/>
    <s v="Gatumba"/>
    <s v="NNYU_3"/>
    <s v="Nyabarongo Upstream Sub-Catchment"/>
    <n v="473.04"/>
  </r>
  <r>
    <x v="3"/>
    <s v="BINYERI"/>
    <s v="Public"/>
    <x v="0"/>
    <s v="Ngororero"/>
    <s v="Gatumba"/>
    <s v="NNYU_3"/>
    <s v="Nyabarongo Upstream Sub-Catchment"/>
    <n v="630.72"/>
  </r>
  <r>
    <x v="3"/>
    <s v="KAGIMBU"/>
    <s v="Public"/>
    <x v="0"/>
    <s v="Ngororero"/>
    <s v="Gatumba"/>
    <s v="NNYU_3"/>
    <s v="Nyabarongo Upstream Sub-Catchment"/>
    <n v="473.04"/>
  </r>
  <r>
    <x v="3"/>
    <s v="GATARE"/>
    <s v="Public"/>
    <x v="0"/>
    <s v="Ngororero"/>
    <s v="Gatumba"/>
    <s v="NNYU_3"/>
    <s v="Nyabarongo Upstream Sub-Catchment"/>
    <n v="946.08"/>
  </r>
  <r>
    <x v="3"/>
    <s v="RWASANKUBA"/>
    <s v="Public"/>
    <x v="0"/>
    <s v="Ngororero"/>
    <s v="Gatumba"/>
    <s v="NNYU_3"/>
    <s v="Nyabarongo Upstream Sub-Catchment"/>
    <n v="630.72"/>
  </r>
  <r>
    <x v="3"/>
    <s v="NDABUKIYE"/>
    <s v="Public"/>
    <x v="0"/>
    <s v="Ngororero"/>
    <s v="Gatumba"/>
    <s v="NNYU_3"/>
    <s v="Nyabarongo Upstream Sub-Catchment"/>
    <n v="788.40000000000009"/>
  </r>
  <r>
    <x v="3"/>
    <s v="BUTARE I"/>
    <s v="Public"/>
    <x v="0"/>
    <s v="Ngororero"/>
    <s v="Gatumba"/>
    <s v="NNYU_3"/>
    <s v="Nyabarongo Upstream Sub-Catchment"/>
    <n v="1261.44"/>
  </r>
  <r>
    <x v="3"/>
    <s v="GASAMBA I"/>
    <s v="Public"/>
    <x v="0"/>
    <s v="Ngororero"/>
    <s v="Gatumba"/>
    <s v="NNYU_3"/>
    <s v="Nyabarongo Upstream Sub-Catchment"/>
    <n v="315.36"/>
  </r>
  <r>
    <x v="3"/>
    <s v="GASAMBA II"/>
    <s v="Public"/>
    <x v="0"/>
    <s v="Ngororero"/>
    <s v="Gatumba"/>
    <s v="NNYU_3"/>
    <s v="Nyabarongo Upstream Sub-Catchment"/>
    <n v="1576.8000000000002"/>
  </r>
  <r>
    <x v="3"/>
    <s v="NYAKALIBA"/>
    <s v="Public"/>
    <x v="0"/>
    <s v="Ngororero"/>
    <s v="Gatumba"/>
    <s v="NNYU_3"/>
    <s v="Nyabarongo Upstream Sub-Catchment"/>
    <n v="946.08"/>
  </r>
  <r>
    <x v="3"/>
    <s v="RWAMASARO"/>
    <s v="Public"/>
    <x v="0"/>
    <s v="Ngororero"/>
    <s v="Gatumba"/>
    <s v="NNYU_3"/>
    <s v="Nyabarongo Upstream Sub-Catchment"/>
    <n v="473.04"/>
  </r>
  <r>
    <x v="3"/>
    <s v="MUSAGARA I"/>
    <s v="Public"/>
    <x v="0"/>
    <s v="Ngororero"/>
    <s v="Gatumba"/>
    <s v="NNYU_3"/>
    <s v="Nyabarongo Upstream Sub-Catchment"/>
    <n v="946.08"/>
  </r>
  <r>
    <x v="3"/>
    <s v="TSIMBANIRO"/>
    <s v="Public"/>
    <x v="0"/>
    <s v="Ngororero"/>
    <s v="Gatumba"/>
    <s v="NNYU_3"/>
    <s v="Nyabarongo Upstream Sub-Catchment"/>
    <n v="1734.4800000000002"/>
  </r>
  <r>
    <x v="3"/>
    <s v="GASAGARA"/>
    <s v="Public"/>
    <x v="0"/>
    <s v="Ngororero"/>
    <s v="Gatumba"/>
    <s v="NNYU_3"/>
    <s v="Nyabarongo Upstream Sub-Catchment"/>
    <n v="788.40000000000009"/>
  </r>
  <r>
    <x v="3"/>
    <s v="NYAKAGEZI"/>
    <s v="Public"/>
    <x v="0"/>
    <s v="Ngororero"/>
    <s v="Gatumba"/>
    <s v="NNYU_3"/>
    <s v="Nyabarongo Upstream Sub-Catchment"/>
    <n v="473.04"/>
  </r>
  <r>
    <x v="3"/>
    <s v="KANYOVE"/>
    <s v="Public"/>
    <x v="0"/>
    <s v="Ngororero"/>
    <s v="Gatumba"/>
    <s v="NNYU_3"/>
    <s v="Nyabarongo Upstream Sub-Catchment"/>
    <n v="788.40000000000009"/>
  </r>
  <r>
    <x v="3"/>
    <s v="GAKOMA"/>
    <s v="Public"/>
    <x v="0"/>
    <s v="Ngororero"/>
    <s v="Gatumba"/>
    <s v="NNYU_3"/>
    <s v="Nyabarongo Upstream Sub-Catchment"/>
    <n v="1419.12"/>
  </r>
  <r>
    <x v="3"/>
    <s v="GISUMA"/>
    <s v="Public"/>
    <x v="0"/>
    <s v="Ngororero"/>
    <s v="Gatumba"/>
    <s v="NNYU_3"/>
    <s v="Nyabarongo Upstream Sub-Catchment"/>
    <n v="630.72"/>
  </r>
  <r>
    <x v="3"/>
    <s v="BYIMANA"/>
    <s v="Public"/>
    <x v="0"/>
    <s v="Ngororero"/>
    <s v="Gatumba"/>
    <s v="NNYU_3"/>
    <s v="Nyabarongo Upstream Sub-Catchment"/>
    <n v="946.08"/>
  </r>
  <r>
    <x v="3"/>
    <s v="KIYORO"/>
    <s v="Public"/>
    <x v="0"/>
    <s v="Ngororero"/>
    <s v="Gatumba"/>
    <s v="NNYU_3"/>
    <s v="Nyabarongo Upstream Sub-Catchment"/>
    <n v="630.72"/>
  </r>
  <r>
    <x v="3"/>
    <s v="MURANGO"/>
    <s v="Public"/>
    <x v="0"/>
    <s v="Ngororero"/>
    <s v="Gatumba"/>
    <s v="NNYU_3"/>
    <s v="Nyabarongo Upstream Sub-Catchment"/>
    <n v="788.40000000000009"/>
  </r>
  <r>
    <x v="3"/>
    <s v="NYAMWERU"/>
    <s v="Public"/>
    <x v="0"/>
    <s v="Ngororero"/>
    <s v="Gatumba"/>
    <s v="NNYU_3"/>
    <s v="Nyabarongo Upstream Sub-Catchment"/>
    <n v="4730.4000000000005"/>
  </r>
  <r>
    <x v="3"/>
    <s v="NYAMUTANGA"/>
    <s v="Public"/>
    <x v="0"/>
    <s v="Ngororero"/>
    <s v="Gatumba"/>
    <s v="NNYU_3"/>
    <s v="Nyabarongo Upstream Sub-Catchment"/>
    <n v="788.40000000000009"/>
  </r>
  <r>
    <x v="3"/>
    <s v="NYABYONDO"/>
    <s v="Public"/>
    <x v="0"/>
    <s v="Ngororero"/>
    <s v="Gatumba"/>
    <s v="NNYU_3"/>
    <s v="Nyabarongo Upstream Sub-Catchment"/>
    <n v="946.08"/>
  </r>
  <r>
    <x v="3"/>
    <s v="KIYORO"/>
    <s v="Public"/>
    <x v="0"/>
    <s v="Ngororero"/>
    <s v="Gatumba"/>
    <s v="NNYU_3"/>
    <s v="Nyabarongo Upstream Sub-Catchment"/>
    <n v="1892.16"/>
  </r>
  <r>
    <x v="3"/>
    <s v="MIDUHA"/>
    <s v="Public"/>
    <x v="0"/>
    <s v="Ngororero"/>
    <s v="Gatumba"/>
    <s v="NNYU_3"/>
    <s v="Nyabarongo Upstream Sub-Catchment"/>
    <n v="1419.12"/>
  </r>
  <r>
    <x v="3"/>
    <s v="RUSEKE"/>
    <s v="Public"/>
    <x v="0"/>
    <s v="Ngororero"/>
    <s v="Gatumba"/>
    <s v="NNYU_3"/>
    <s v="Nyabarongo Upstream Sub-Catchment"/>
    <n v="1576.8000000000002"/>
  </r>
  <r>
    <x v="3"/>
    <s v="RWISHYWA"/>
    <s v="Public"/>
    <x v="0"/>
    <s v="Ngororero"/>
    <s v="Gatumba"/>
    <s v="NNYU_3"/>
    <s v="Nyabarongo Upstream Sub-Catchment"/>
    <n v="5676.48"/>
  </r>
  <r>
    <x v="3"/>
    <s v="MAGANURA"/>
    <s v="Public"/>
    <x v="0"/>
    <s v="Ngororero"/>
    <s v="Gatumba"/>
    <s v="NNYU_3"/>
    <s v="Nyabarongo Upstream Sub-Catchment"/>
    <n v="1261.44"/>
  </r>
  <r>
    <x v="3"/>
    <s v="GAHAMA"/>
    <s v="Public"/>
    <x v="0"/>
    <s v="Ngororero"/>
    <s v="Gatumba"/>
    <s v="NNYU_3"/>
    <s v="Nyabarongo Upstream Sub-Catchment"/>
    <n v="2365.2000000000003"/>
  </r>
  <r>
    <x v="3"/>
    <s v="NTABISIGA"/>
    <s v="Public"/>
    <x v="0"/>
    <s v="Ngororero"/>
    <s v="Gatumba"/>
    <s v="NNYU_3"/>
    <s v="Nyabarongo Upstream Sub-Catchment"/>
    <n v="3311.2799999999997"/>
  </r>
  <r>
    <x v="3"/>
    <s v="NYABIGUGU"/>
    <s v="Public"/>
    <x v="0"/>
    <s v="Ngororero"/>
    <s v="Gatumba"/>
    <s v="NNYU_3"/>
    <s v="Nyabarongo Upstream Sub-Catchment"/>
    <n v="1419.12"/>
  </r>
  <r>
    <x v="3"/>
    <s v="KADUHA"/>
    <s v="Public"/>
    <x v="0"/>
    <s v="Ngororero"/>
    <s v="Gatumba"/>
    <s v="NNYU_3"/>
    <s v="Nyabarongo Upstream Sub-Catchment"/>
    <n v="1576.8000000000002"/>
  </r>
  <r>
    <x v="3"/>
    <s v="KAMIDOGORO"/>
    <s v="Public"/>
    <x v="0"/>
    <s v="Ngororero"/>
    <s v="Gatumba"/>
    <s v="NNYU_3"/>
    <s v="Nyabarongo Upstream Sub-Catchment"/>
    <n v="2049.84"/>
  </r>
  <r>
    <x v="3"/>
    <s v="NYAKABANDE"/>
    <s v="Public"/>
    <x v="0"/>
    <s v="Ngororero"/>
    <s v="Gatumba"/>
    <s v="NNYU_3"/>
    <s v="Nyabarongo Upstream Sub-Catchment"/>
    <n v="1103.7600000000002"/>
  </r>
  <r>
    <x v="3"/>
    <s v="BYIMANA"/>
    <s v="Public"/>
    <x v="0"/>
    <s v="Ngororero"/>
    <s v="Gatumba"/>
    <s v="NNYU_3"/>
    <s v="Nyabarongo Upstream Sub-Catchment"/>
    <n v="2680.56"/>
  </r>
  <r>
    <x v="3"/>
    <s v="KADAHOKWA"/>
    <s v="Public"/>
    <x v="0"/>
    <s v="Ngororero"/>
    <s v="Gatumba"/>
    <s v="NNYU_3"/>
    <s v="Nyabarongo Upstream Sub-Catchment"/>
    <n v="5045.76"/>
  </r>
  <r>
    <x v="3"/>
    <s v="GATOVU"/>
    <s v="Public"/>
    <x v="0"/>
    <s v="Ngororero"/>
    <s v="Gatumba"/>
    <s v="NNYU_3"/>
    <s v="Nyabarongo Upstream Sub-Catchment"/>
    <n v="3942.0000000000005"/>
  </r>
  <r>
    <x v="3"/>
    <s v="NYAGAKO"/>
    <s v="Public"/>
    <x v="0"/>
    <s v="Ngororero"/>
    <s v="Gatumba"/>
    <s v="NNYU_3"/>
    <s v="Nyabarongo Upstream Sub-Catchment"/>
    <n v="7095.6"/>
  </r>
  <r>
    <x v="3"/>
    <s v="RUKINGU I"/>
    <s v="Public"/>
    <x v="0"/>
    <s v="Ngororero"/>
    <s v="Gatumba"/>
    <s v="NNYU_3"/>
    <s v="Nyabarongo Upstream Sub-Catchment"/>
    <n v="630.72"/>
  </r>
  <r>
    <x v="3"/>
    <s v="KAMIHE"/>
    <s v="Public"/>
    <x v="0"/>
    <s v="Ngororero"/>
    <s v="Gatumba"/>
    <s v="NNYU_3"/>
    <s v="Nyabarongo Upstream Sub-Catchment"/>
    <n v="630.72"/>
  </r>
  <r>
    <x v="3"/>
    <s v="MURAMBI"/>
    <s v="Public"/>
    <x v="0"/>
    <s v="Ngororero"/>
    <s v="Gatumba"/>
    <s v="NNYU_3"/>
    <s v="Nyabarongo Upstream Sub-Catchment"/>
    <n v="630.72"/>
  </r>
  <r>
    <x v="3"/>
    <s v="RWABITANA"/>
    <s v="Public"/>
    <x v="0"/>
    <s v="Ngororero"/>
    <s v="Gatumba"/>
    <s v="NNYU_3"/>
    <s v="Nyabarongo Upstream Sub-Catchment"/>
    <n v="2049.84"/>
  </r>
  <r>
    <x v="3"/>
    <s v="RUKERI"/>
    <s v="Public"/>
    <x v="0"/>
    <s v="Ngororero"/>
    <s v="Gatumba"/>
    <s v="NNYU_3"/>
    <s v="Nyabarongo Upstream Sub-Catchment"/>
    <n v="5203.4400000000005"/>
  </r>
  <r>
    <x v="3"/>
    <s v="RYAMINYAGO"/>
    <s v="Public"/>
    <x v="0"/>
    <s v="Ngororero"/>
    <s v="Gatumba"/>
    <s v="NNYU_3"/>
    <s v="Nyabarongo Upstream Sub-Catchment"/>
    <n v="3311.2799999999997"/>
  </r>
  <r>
    <x v="3"/>
    <s v="BUSHOKA"/>
    <s v="Public"/>
    <x v="0"/>
    <s v="Ngororero"/>
    <s v="Gatumba"/>
    <s v="NNYU_3"/>
    <s v="Nyabarongo Upstream Sub-Catchment"/>
    <n v="3153.6000000000004"/>
  </r>
  <r>
    <x v="3"/>
    <s v="MAKARA"/>
    <s v="Public"/>
    <x v="0"/>
    <s v="Ngororero"/>
    <s v="Gatumba"/>
    <s v="NNYU_3"/>
    <s v="Nyabarongo Upstream Sub-Catchment"/>
    <n v="3626.64"/>
  </r>
  <r>
    <x v="3"/>
    <s v="KONDO"/>
    <s v="Public"/>
    <x v="0"/>
    <s v="Ngororero"/>
    <s v="Gatumba"/>
    <s v="NNYU_3"/>
    <s v="Nyabarongo Upstream Sub-Catchment"/>
    <n v="1103.7600000000002"/>
  </r>
  <r>
    <x v="3"/>
    <s v="GIHUKU"/>
    <s v="Public"/>
    <x v="0"/>
    <s v="Ngororero"/>
    <s v="Gatumba"/>
    <s v="NNYU_3"/>
    <s v="Nyabarongo Upstream Sub-Catchment"/>
    <n v="1261.44"/>
  </r>
  <r>
    <x v="3"/>
    <s v="RUTENGA"/>
    <s v="Public"/>
    <x v="0"/>
    <s v="Ngororero"/>
    <s v="Gatumba"/>
    <s v="NNYU_3"/>
    <s v="Nyabarongo Upstream Sub-Catchment"/>
    <n v="315.36"/>
  </r>
  <r>
    <x v="3"/>
    <s v="GASUMO"/>
    <s v="Public"/>
    <x v="0"/>
    <s v="Ngororero"/>
    <s v="Gatumba"/>
    <s v="NNYU_3"/>
    <s v="Nyabarongo Upstream Sub-Catchment"/>
    <n v="3468.9600000000005"/>
  </r>
  <r>
    <x v="3"/>
    <s v="NYIRARANDA"/>
    <s v="Public"/>
    <x v="0"/>
    <s v="Ngororero"/>
    <s v="Gatumba"/>
    <s v="NNYU_3"/>
    <s v="Nyabarongo Upstream Sub-Catchment"/>
    <n v="3626.64"/>
  </r>
  <r>
    <x v="3"/>
    <s v="KAZIBAZIBA"/>
    <s v="Public"/>
    <x v="0"/>
    <s v="Ngororero"/>
    <s v="Gatumba"/>
    <s v="NNYU_3"/>
    <s v="Nyabarongo Upstream Sub-Catchment"/>
    <n v="1261.44"/>
  </r>
  <r>
    <x v="3"/>
    <s v="RUKINGU II"/>
    <s v="Public"/>
    <x v="0"/>
    <s v="Ngororero"/>
    <s v="Gatumba"/>
    <s v="NNYU_3"/>
    <s v="Nyabarongo Upstream Sub-Catchment"/>
    <n v="1261.44"/>
  </r>
  <r>
    <x v="3"/>
    <s v="NYAKAGEI"/>
    <s v="Public"/>
    <x v="0"/>
    <s v="Ngororero"/>
    <s v="Gatumba"/>
    <s v="NNYU_3"/>
    <s v="Nyabarongo Upstream Sub-Catchment"/>
    <n v="1261.44"/>
  </r>
  <r>
    <x v="3"/>
    <s v="NYABISINDU"/>
    <s v="Public"/>
    <x v="0"/>
    <s v="Ngororero"/>
    <s v="Gatumba"/>
    <s v="NNYU_3"/>
    <s v="Nyabarongo Upstream Sub-Catchment"/>
    <n v="3311.2799999999997"/>
  </r>
  <r>
    <x v="3"/>
    <s v="GAHAMA II"/>
    <s v="Public"/>
    <x v="0"/>
    <s v="Ngororero"/>
    <s v="Gatumba"/>
    <s v="NNYU_3"/>
    <s v="Nyabarongo Upstream Sub-Catchment"/>
    <n v="473.04"/>
  </r>
  <r>
    <x v="3"/>
    <s v="GAKINGA"/>
    <s v="Public"/>
    <x v="0"/>
    <s v="Ngororero"/>
    <s v="Gatumba"/>
    <s v="NNYU_3"/>
    <s v="Nyabarongo Upstream Sub-Catchment"/>
    <n v="1419.12"/>
  </r>
  <r>
    <x v="3"/>
    <s v="MUSHENYI"/>
    <s v="Public"/>
    <x v="0"/>
    <s v="Ngororero"/>
    <s v="Gatumba"/>
    <s v="NNYU_3"/>
    <s v="Nyabarongo Upstream Sub-Catchment"/>
    <n v="1734.4800000000002"/>
  </r>
  <r>
    <x v="3"/>
    <s v="RUSEKE II"/>
    <s v="Public"/>
    <x v="0"/>
    <s v="Ngororero"/>
    <s v="Gatumba"/>
    <s v="NNYU_3"/>
    <s v="Nyabarongo Upstream Sub-Catchment"/>
    <n v="1734.4800000000002"/>
  </r>
  <r>
    <x v="3"/>
    <s v="RUVUMU"/>
    <s v="Public"/>
    <x v="0"/>
    <s v="Ngororero"/>
    <s v="Gatumba"/>
    <s v="NNYU_3"/>
    <s v="Nyabarongo Upstream Sub-Catchment"/>
    <n v="946.08"/>
  </r>
  <r>
    <x v="3"/>
    <s v="RUVUMURA"/>
    <s v="Public"/>
    <x v="0"/>
    <s v="Ngororero"/>
    <s v="Gatumba"/>
    <s v="NNYU_3"/>
    <s v="Nyabarongo Upstream Sub-Catchment"/>
    <n v="3153.6000000000004"/>
  </r>
  <r>
    <x v="3"/>
    <s v="KANYEGENYEGE II"/>
    <s v="Public"/>
    <x v="0"/>
    <s v="Ngororero"/>
    <s v="Gatumba"/>
    <s v="NNYU_3"/>
    <s v="Nyabarongo Upstream Sub-Catchment"/>
    <n v="14191.2"/>
  </r>
  <r>
    <x v="3"/>
    <s v="MBOGO"/>
    <s v="Public"/>
    <x v="0"/>
    <s v="Ngororero"/>
    <s v="Gatumba"/>
    <s v="NNYU_3"/>
    <s v="Nyabarongo Upstream Sub-Catchment"/>
    <n v="2995.92"/>
  </r>
  <r>
    <x v="3"/>
    <s v="GATARE"/>
    <s v="Public"/>
    <x v="0"/>
    <s v="Ngororero"/>
    <s v="Gatumba"/>
    <s v="NNYU_3"/>
    <s v="Nyabarongo Upstream Sub-Catchment"/>
    <n v="3311.2799999999997"/>
  </r>
  <r>
    <x v="3"/>
    <s v="KANYEGENYEGE I"/>
    <s v="Public"/>
    <x v="0"/>
    <s v="Ngororero"/>
    <s v="Gatumba"/>
    <s v="NNYU_3"/>
    <s v="Nyabarongo Upstream Sub-Catchment"/>
    <n v="2680.56"/>
  </r>
  <r>
    <x v="3"/>
    <s v="NYAKAGEZI"/>
    <s v="Public"/>
    <x v="0"/>
    <s v="Ngororero"/>
    <s v="Gatumba"/>
    <s v="NNYU_3"/>
    <s v="Nyabarongo Upstream Sub-Catchment"/>
    <n v="473.04"/>
  </r>
  <r>
    <x v="3"/>
    <s v="GIKOMBE I"/>
    <s v="Public"/>
    <x v="0"/>
    <s v="Ngororero"/>
    <s v="Gatumba"/>
    <s v="NNYU_3"/>
    <s v="Nyabarongo Upstream Sub-Catchment"/>
    <n v="3942.0000000000005"/>
  </r>
  <r>
    <x v="3"/>
    <s v="KABAGARA"/>
    <s v="Public"/>
    <x v="0"/>
    <s v="Ngororero"/>
    <s v="Gatumba"/>
    <s v="NNYU_3"/>
    <s v="Nyabarongo Upstream Sub-Catchment"/>
    <n v="1419.12"/>
  </r>
  <r>
    <x v="3"/>
    <s v="RUSEKE"/>
    <s v="Public"/>
    <x v="0"/>
    <s v="Ngororero"/>
    <s v="Gatumba"/>
    <s v="NNYU_3"/>
    <s v="Nyabarongo Upstream Sub-Catchment"/>
    <n v="1734.4800000000002"/>
  </r>
  <r>
    <x v="3"/>
    <s v="NYIRABARENGERA"/>
    <s v="Public"/>
    <x v="0"/>
    <s v="Ngororero"/>
    <s v="Gatumba"/>
    <s v="NNYU_3"/>
    <s v="Nyabarongo Upstream Sub-Catchment"/>
    <n v="788.40000000000009"/>
  </r>
  <r>
    <x v="3"/>
    <s v="KANYEGENYEGE"/>
    <s v="Public"/>
    <x v="0"/>
    <s v="Ngororero"/>
    <s v="Gatumba"/>
    <s v="NNYU_3"/>
    <s v="Nyabarongo Upstream Sub-Catchment"/>
    <n v="946.08"/>
  </r>
  <r>
    <x v="3"/>
    <s v="KAGWENE  B"/>
    <s v="Public"/>
    <x v="0"/>
    <s v="Ngororero"/>
    <s v="Gatumba"/>
    <s v="NNYU_3"/>
    <s v="Nyabarongo Upstream Sub-Catchment"/>
    <n v="1419.12"/>
  </r>
  <r>
    <x v="3"/>
    <s v="KAGWENE"/>
    <s v="Public"/>
    <x v="0"/>
    <s v="Ngororero"/>
    <s v="Gatumba"/>
    <s v="NNYU_3"/>
    <s v="Nyabarongo Upstream Sub-Catchment"/>
    <n v="1103.7600000000002"/>
  </r>
  <r>
    <x v="3"/>
    <s v="RUSHISHI"/>
    <s v="Public"/>
    <x v="0"/>
    <s v="Ngororero"/>
    <s v="Gatumba"/>
    <s v="NNYU_3"/>
    <s v="Nyabarongo Upstream Sub-Catchment"/>
    <n v="3942.0000000000005"/>
  </r>
  <r>
    <x v="3"/>
    <s v="MWUFE"/>
    <s v="Public"/>
    <x v="0"/>
    <s v="Ngororero"/>
    <s v="Gatumba"/>
    <s v="NNYU_3"/>
    <s v="Nyabarongo Upstream Sub-Catchment"/>
    <n v="788.40000000000009"/>
  </r>
  <r>
    <x v="3"/>
    <s v="NYAKAGEZI"/>
    <s v="Public"/>
    <x v="0"/>
    <s v="Ngororero"/>
    <s v="Gatumba"/>
    <s v="NNYU_3"/>
    <s v="Nyabarongo Upstream Sub-Catchment"/>
    <n v="4415.0400000000009"/>
  </r>
  <r>
    <x v="3"/>
    <s v="KIDIBIRI"/>
    <s v="Public"/>
    <x v="0"/>
    <s v="Ngororero"/>
    <s v="Gatumba"/>
    <s v="NNYU_3"/>
    <s v="Nyabarongo Upstream Sub-Catchment"/>
    <n v="946.08"/>
  </r>
  <r>
    <x v="3"/>
    <s v="KIDIBIRI"/>
    <s v="Public"/>
    <x v="0"/>
    <s v="Ngororero"/>
    <s v="Gatumba"/>
    <s v="NNYU_3"/>
    <s v="Nyabarongo Upstream Sub-Catchment"/>
    <n v="946.08"/>
  </r>
  <r>
    <x v="3"/>
    <s v="GASHARU"/>
    <s v="Public"/>
    <x v="0"/>
    <s v="Ngororero"/>
    <s v="Gatumba"/>
    <s v="NNYU_3"/>
    <s v="Nyabarongo Upstream Sub-Catchment"/>
    <n v="630.72"/>
  </r>
  <r>
    <x v="3"/>
    <s v="RUKORE"/>
    <s v="Public"/>
    <x v="0"/>
    <s v="Ngororero"/>
    <s v="Gatumba"/>
    <s v="NNYU_3"/>
    <s v="Nyabarongo Upstream Sub-Catchment"/>
    <n v="2049.84"/>
  </r>
  <r>
    <x v="3"/>
    <s v="GITEGA"/>
    <s v="Public"/>
    <x v="0"/>
    <s v="Ngororero"/>
    <s v="Gatumba"/>
    <s v="NNYU_3"/>
    <s v="Nyabarongo Upstream Sub-Catchment"/>
    <n v="1261.44"/>
  </r>
  <r>
    <x v="3"/>
    <s v="RUSEKE II"/>
    <s v="Public"/>
    <x v="0"/>
    <s v="Ngororero"/>
    <s v="Gatumba"/>
    <s v="NNYU_3"/>
    <s v="Nyabarongo Upstream Sub-Catchment"/>
    <n v="4415.0400000000009"/>
  </r>
  <r>
    <x v="3"/>
    <s v="NYIRABUSHASHI"/>
    <s v="Public"/>
    <x v="0"/>
    <s v="Ngororero"/>
    <s v="Gatumba"/>
    <s v="NNYU_3"/>
    <s v="Nyabarongo Upstream Sub-Catchment"/>
    <n v="788.40000000000009"/>
  </r>
  <r>
    <x v="3"/>
    <s v="GASEKE"/>
    <s v="Public"/>
    <x v="0"/>
    <s v="Ngororero"/>
    <s v="Gatumba"/>
    <s v="NNYU_3"/>
    <s v="Nyabarongo Upstream Sub-Catchment"/>
    <n v="2365.2000000000003"/>
  </r>
  <r>
    <x v="3"/>
    <s v="RUKUBI"/>
    <s v="Public"/>
    <x v="0"/>
    <s v="Ngororero"/>
    <s v="Gatumba"/>
    <s v="NNYU_3"/>
    <s v="Nyabarongo Upstream Sub-Catchment"/>
    <n v="3311.2799999999997"/>
  </r>
  <r>
    <x v="3"/>
    <s v="KABAKENGA"/>
    <s v="Public"/>
    <x v="0"/>
    <s v="Ngororero"/>
    <s v="Gatumba"/>
    <s v="NNYU_3"/>
    <s v="Nyabarongo Upstream Sub-Catchment"/>
    <n v="7884.0000000000009"/>
  </r>
  <r>
    <x v="3"/>
    <s v="GAHONDO"/>
    <s v="Public"/>
    <x v="0"/>
    <s v="Ngororero"/>
    <s v="Gatumba"/>
    <s v="NNYU_3"/>
    <s v="Nyabarongo Upstream Sub-Catchment"/>
    <n v="4888.0800000000008"/>
  </r>
  <r>
    <x v="3"/>
    <s v="RUKOMA"/>
    <s v="Public"/>
    <x v="0"/>
    <s v="Ngororero"/>
    <s v="Gatumba"/>
    <s v="NNYU_3"/>
    <s v="Nyabarongo Upstream Sub-Catchment"/>
    <n v="3942.0000000000005"/>
  </r>
  <r>
    <x v="3"/>
    <s v="KINZUKI"/>
    <s v="Public"/>
    <x v="0"/>
    <s v="Ngororero"/>
    <s v="Gatumba"/>
    <s v="NNYU_3"/>
    <s v="Nyabarongo Upstream Sub-Catchment"/>
    <n v="315.36"/>
  </r>
  <r>
    <x v="3"/>
    <s v="GIKOMBE II"/>
    <s v="Public"/>
    <x v="0"/>
    <s v="Ngororero"/>
    <s v="Gatumba"/>
    <s v="NNYU_3"/>
    <s v="Nyabarongo Upstream Sub-Catchment"/>
    <n v="630.72"/>
  </r>
  <r>
    <x v="3"/>
    <s v="GAKONI"/>
    <s v="Public"/>
    <x v="0"/>
    <s v="Ngororero"/>
    <s v="Hindiro"/>
    <s v="NNYU_3"/>
    <s v="Nyabarongo Upstream Sub-Catchment"/>
    <n v="3626.64"/>
  </r>
  <r>
    <x v="3"/>
    <s v="BAHIMBA II"/>
    <s v="Public"/>
    <x v="0"/>
    <s v="Ngororero"/>
    <s v="Hindiro"/>
    <s v="NNYU_3"/>
    <s v="Nyabarongo Upstream Sub-Catchment"/>
    <n v="1103.7600000000002"/>
  </r>
  <r>
    <x v="3"/>
    <s v="NYIRAKAZIBAZIBA"/>
    <s v="Public"/>
    <x v="0"/>
    <s v="Ngororero"/>
    <s v="Hindiro"/>
    <s v="NNYU_3"/>
    <s v="Nyabarongo Upstream Sub-Catchment"/>
    <n v="1103.7600000000002"/>
  </r>
  <r>
    <x v="3"/>
    <s v="NYAKABINGO 2"/>
    <s v="Public"/>
    <x v="0"/>
    <s v="Ngororero"/>
    <s v="Hindiro"/>
    <s v="NNYU_3"/>
    <s v="Nyabarongo Upstream Sub-Catchment"/>
    <n v="1103.7600000000002"/>
  </r>
  <r>
    <x v="3"/>
    <s v="BUHINDA"/>
    <s v="Public"/>
    <x v="0"/>
    <s v="Ngororero"/>
    <s v="Hindiro"/>
    <s v="NNYU_3"/>
    <s v="Nyabarongo Upstream Sub-Catchment"/>
    <n v="946.08"/>
  </r>
  <r>
    <x v="3"/>
    <s v="RUTEMBA I"/>
    <s v="Public"/>
    <x v="0"/>
    <s v="Ngororero"/>
    <s v="Hindiro"/>
    <s v="NNYU_3"/>
    <s v="Nyabarongo Upstream Sub-Catchment"/>
    <n v="946.08"/>
  </r>
  <r>
    <x v="3"/>
    <s v="GASAYO"/>
    <s v="Public"/>
    <x v="0"/>
    <s v="Ngororero"/>
    <s v="Hindiro"/>
    <s v="NNYU_3"/>
    <s v="Nyabarongo Upstream Sub-Catchment"/>
    <n v="1576.8000000000002"/>
  </r>
  <r>
    <x v="3"/>
    <s v="GATARE"/>
    <s v="Public"/>
    <x v="0"/>
    <s v="Ngororero"/>
    <s v="Hindiro"/>
    <s v="NNYU_3"/>
    <s v="Nyabarongo Upstream Sub-Catchment"/>
    <n v="3311.2799999999997"/>
  </r>
  <r>
    <x v="3"/>
    <s v="NYIRAKAVUZO"/>
    <s v="Public"/>
    <x v="0"/>
    <s v="Ngororero"/>
    <s v="Hindiro"/>
    <s v="NNYU_3"/>
    <s v="Nyabarongo Upstream Sub-Catchment"/>
    <n v="788.40000000000009"/>
  </r>
  <r>
    <x v="3"/>
    <s v="NTAKAVURO"/>
    <s v="Public"/>
    <x v="0"/>
    <s v="Ngororero"/>
    <s v="Hindiro"/>
    <s v="NNYU_3"/>
    <s v="Nyabarongo Upstream Sub-Catchment"/>
    <n v="473.04"/>
  </r>
  <r>
    <x v="3"/>
    <s v="GISAYO"/>
    <s v="Public"/>
    <x v="0"/>
    <s v="Ngororero"/>
    <s v="Hindiro"/>
    <s v="NNYU_3"/>
    <s v="Nyabarongo Upstream Sub-Catchment"/>
    <n v="1734.4800000000002"/>
  </r>
  <r>
    <x v="3"/>
    <s v="NYAKILIBA"/>
    <s v="Public"/>
    <x v="0"/>
    <s v="Ngororero"/>
    <s v="Hindiro"/>
    <s v="NNYU_3"/>
    <s v="Nyabarongo Upstream Sub-Catchment"/>
    <n v="1576.8000000000002"/>
  </r>
  <r>
    <x v="3"/>
    <s v="NDABUKIYE"/>
    <s v="Public"/>
    <x v="0"/>
    <s v="Ngororero"/>
    <s v="Hindiro"/>
    <s v="NNYU_3"/>
    <s v="Nyabarongo Upstream Sub-Catchment"/>
    <n v="946.08"/>
  </r>
  <r>
    <x v="3"/>
    <s v="KIREHE"/>
    <s v="Public"/>
    <x v="0"/>
    <s v="Ngororero"/>
    <s v="Hindiro"/>
    <s v="NNYU_3"/>
    <s v="Nyabarongo Upstream Sub-Catchment"/>
    <n v="788.40000000000009"/>
  </r>
  <r>
    <x v="3"/>
    <s v="KABIRUSHYA"/>
    <s v="Public"/>
    <x v="0"/>
    <s v="Ngororero"/>
    <s v="Hindiro"/>
    <s v="NNYU_3"/>
    <s v="Nyabarongo Upstream Sub-Catchment"/>
    <n v="1734.4800000000002"/>
  </r>
  <r>
    <x v="3"/>
    <s v="NYABIHANGA"/>
    <s v="Public"/>
    <x v="0"/>
    <s v="Ngororero"/>
    <s v="Hindiro"/>
    <s v="NNYU_3"/>
    <s v="Nyabarongo Upstream Sub-Catchment"/>
    <n v="1103.7600000000002"/>
  </r>
  <r>
    <x v="3"/>
    <s v="BUGANURA"/>
    <s v="Public"/>
    <x v="0"/>
    <s v="Ngororero"/>
    <s v="Hindiro"/>
    <s v="NNYU_3"/>
    <s v="Nyabarongo Upstream Sub-Catchment"/>
    <n v="473.04"/>
  </r>
  <r>
    <x v="3"/>
    <s v="KAYENZI"/>
    <s v="Public"/>
    <x v="0"/>
    <s v="Ngororero"/>
    <s v="Hindiro"/>
    <s v="NNYU_3"/>
    <s v="Nyabarongo Upstream Sub-Catchment"/>
    <n v="788.40000000000009"/>
  </r>
  <r>
    <x v="3"/>
    <s v="NYAGATARE I"/>
    <s v="Public"/>
    <x v="0"/>
    <s v="Ngororero"/>
    <s v="Hindiro"/>
    <s v="NNYU_3"/>
    <s v="Nyabarongo Upstream Sub-Catchment"/>
    <n v="2207.5200000000004"/>
  </r>
  <r>
    <x v="3"/>
    <s v="NKOMANE"/>
    <s v="Public"/>
    <x v="0"/>
    <s v="Ngororero"/>
    <s v="Hindiro"/>
    <s v="NNYU_3"/>
    <s v="Nyabarongo Upstream Sub-Catchment"/>
    <n v="3626.64"/>
  </r>
  <r>
    <x v="3"/>
    <s v="NYIRABIYUZI"/>
    <s v="Public"/>
    <x v="0"/>
    <s v="Ngororero"/>
    <s v="Hindiro"/>
    <s v="NNYU_3"/>
    <s v="Nyabarongo Upstream Sub-Catchment"/>
    <n v="946.08"/>
  </r>
  <r>
    <x v="3"/>
    <s v="KIBAHIMA"/>
    <s v="Public"/>
    <x v="0"/>
    <s v="Ngororero"/>
    <s v="Hindiro"/>
    <s v="NNYU_3"/>
    <s v="Nyabarongo Upstream Sub-Catchment"/>
    <n v="473.04"/>
  </r>
  <r>
    <x v="3"/>
    <s v="GASAVE"/>
    <s v="Public"/>
    <x v="0"/>
    <s v="Ngororero"/>
    <s v="Hindiro"/>
    <s v="NNYU_3"/>
    <s v="Nyabarongo Upstream Sub-Catchment"/>
    <n v="946.08"/>
  </r>
  <r>
    <x v="3"/>
    <s v="NYAGATARE II"/>
    <s v="Public"/>
    <x v="0"/>
    <s v="Ngororero"/>
    <s v="Hindiro"/>
    <s v="NNYU_3"/>
    <s v="Nyabarongo Upstream Sub-Catchment"/>
    <n v="1103.7600000000002"/>
  </r>
  <r>
    <x v="3"/>
    <s v="GASEKE"/>
    <s v="Public"/>
    <x v="0"/>
    <s v="Ngororero"/>
    <s v="Hindiro"/>
    <s v="NNYU_3"/>
    <s v="Nyabarongo Upstream Sub-Catchment"/>
    <n v="1103.7600000000002"/>
  </r>
  <r>
    <x v="3"/>
    <s v="MARONGI"/>
    <s v="Public"/>
    <x v="0"/>
    <s v="Ngororero"/>
    <s v="Hindiro"/>
    <s v="NNYU_3"/>
    <s v="Nyabarongo Upstream Sub-Catchment"/>
    <n v="1261.44"/>
  </r>
  <r>
    <x v="3"/>
    <s v="BAHIMBA I"/>
    <s v="Public"/>
    <x v="0"/>
    <s v="Ngororero"/>
    <s v="Hindiro"/>
    <s v="NNYU_3"/>
    <s v="Nyabarongo Upstream Sub-Catchment"/>
    <n v="1103.7600000000002"/>
  </r>
  <r>
    <x v="3"/>
    <s v="NYAKAGEZI"/>
    <s v="Public"/>
    <x v="0"/>
    <s v="Ngororero"/>
    <s v="Hindiro"/>
    <s v="NNYU_3"/>
    <s v="Nyabarongo Upstream Sub-Catchment"/>
    <n v="1103.7600000000002"/>
  </r>
  <r>
    <x v="3"/>
    <s v="CYAHAFI III"/>
    <s v="Public"/>
    <x v="0"/>
    <s v="Ngororero"/>
    <s v="Hindiro"/>
    <s v="NNYU_3"/>
    <s v="Nyabarongo Upstream Sub-Catchment"/>
    <n v="788.40000000000009"/>
  </r>
  <r>
    <x v="3"/>
    <s v="CYAHAFI II"/>
    <s v="Public"/>
    <x v="0"/>
    <s v="Ngororero"/>
    <s v="Hindiro"/>
    <s v="NNYU_3"/>
    <s v="Nyabarongo Upstream Sub-Catchment"/>
    <n v="788.40000000000009"/>
  </r>
  <r>
    <x v="3"/>
    <s v="KABAMADO"/>
    <s v="Public"/>
    <x v="0"/>
    <s v="Ngororero"/>
    <s v="Hindiro"/>
    <s v="NNYU_3"/>
    <s v="Nyabarongo Upstream Sub-Catchment"/>
    <n v="3942.0000000000005"/>
  </r>
  <r>
    <x v="3"/>
    <s v="NYAKABINGO I"/>
    <s v="Public"/>
    <x v="0"/>
    <s v="Ngororero"/>
    <s v="Hindiro"/>
    <s v="NNYU_3"/>
    <s v="Nyabarongo Upstream Sub-Catchment"/>
    <n v="946.08"/>
  </r>
  <r>
    <x v="3"/>
    <s v="BISOKO"/>
    <s v="Public"/>
    <x v="0"/>
    <s v="Ngororero"/>
    <s v="Hindiro"/>
    <s v="NNYU_3"/>
    <s v="Nyabarongo Upstream Sub-Catchment"/>
    <n v="2049.84"/>
  </r>
  <r>
    <x v="3"/>
    <s v="KAGARAMA"/>
    <s v="Public"/>
    <x v="0"/>
    <s v="Ngororero"/>
    <s v="Hindiro"/>
    <s v="NNYU_3"/>
    <s v="Nyabarongo Upstream Sub-Catchment"/>
    <n v="2207.5200000000004"/>
  </r>
  <r>
    <x v="3"/>
    <s v="KARUGORI"/>
    <s v="Public"/>
    <x v="0"/>
    <s v="Ngororero"/>
    <s v="Hindiro"/>
    <s v="NNYU_3"/>
    <s v="Nyabarongo Upstream Sub-Catchment"/>
    <n v="788.40000000000009"/>
  </r>
  <r>
    <x v="3"/>
    <s v="KARUNYINYA"/>
    <s v="Public"/>
    <x v="0"/>
    <s v="Ngororero"/>
    <s v="Hindiro"/>
    <s v="NNYU_3"/>
    <s v="Nyabarongo Upstream Sub-Catchment"/>
    <n v="1419.12"/>
  </r>
  <r>
    <x v="3"/>
    <s v="NYAGAHONDO"/>
    <s v="Public"/>
    <x v="0"/>
    <s v="Ngororero"/>
    <s v="Hindiro"/>
    <s v="NNYU_3"/>
    <s v="Nyabarongo Upstream Sub-Catchment"/>
    <n v="2522.88"/>
  </r>
  <r>
    <x v="3"/>
    <s v="RUSESA"/>
    <s v="Public"/>
    <x v="0"/>
    <s v="Ngororero"/>
    <s v="Hindiro"/>
    <s v="NNYU_3"/>
    <s v="Nyabarongo Upstream Sub-Catchment"/>
    <n v="2995.92"/>
  </r>
  <r>
    <x v="3"/>
    <s v="NYARUTOVU"/>
    <s v="Public"/>
    <x v="0"/>
    <s v="Ngororero"/>
    <s v="Hindiro"/>
    <s v="NNYU_3"/>
    <s v="Nyabarongo Upstream Sub-Catchment"/>
    <n v="788.40000000000009"/>
  </r>
  <r>
    <x v="3"/>
    <s v="NYAKALIBA"/>
    <s v="Public"/>
    <x v="0"/>
    <s v="Ngororero"/>
    <s v="Hindiro"/>
    <s v="NNYU_3"/>
    <s v="Nyabarongo Upstream Sub-Catchment"/>
    <n v="1419.12"/>
  </r>
  <r>
    <x v="3"/>
    <s v="GITABA II"/>
    <s v="Public"/>
    <x v="0"/>
    <s v="Ngororero"/>
    <s v="Hindiro"/>
    <s v="NNYU_3"/>
    <s v="Nyabarongo Upstream Sub-Catchment"/>
    <n v="2049.84"/>
  </r>
  <r>
    <x v="3"/>
    <s v="MUKAGANO"/>
    <s v="Public"/>
    <x v="0"/>
    <s v="Ngororero"/>
    <s v="Hindiro"/>
    <s v="NNYU_3"/>
    <s v="Nyabarongo Upstream Sub-Catchment"/>
    <n v="1103.7600000000002"/>
  </r>
  <r>
    <x v="3"/>
    <s v="CYIMBA"/>
    <s v="Public"/>
    <x v="0"/>
    <s v="Ngororero"/>
    <s v="Hindiro"/>
    <s v="NNYU_3"/>
    <s v="Nyabarongo Upstream Sub-Catchment"/>
    <n v="946.08"/>
  </r>
  <r>
    <x v="3"/>
    <s v="RUKARAGATA I"/>
    <s v="Public"/>
    <x v="0"/>
    <s v="Ngororero"/>
    <s v="Hindiro"/>
    <s v="NNYU_3"/>
    <s v="Nyabarongo Upstream Sub-Catchment"/>
    <n v="2049.84"/>
  </r>
  <r>
    <x v="3"/>
    <s v="GAHANGA"/>
    <s v="Public"/>
    <x v="0"/>
    <s v="Ngororero"/>
    <s v="Hindiro"/>
    <s v="NNYU_3"/>
    <s v="Nyabarongo Upstream Sub-Catchment"/>
    <n v="473.04"/>
  </r>
  <r>
    <x v="3"/>
    <s v="MASENGA"/>
    <s v="Public"/>
    <x v="0"/>
    <s v="Ngororero"/>
    <s v="Hindiro"/>
    <s v="NNYU_3"/>
    <s v="Nyabarongo Upstream Sub-Catchment"/>
    <n v="1103.7600000000002"/>
  </r>
  <r>
    <x v="3"/>
    <s v="CYAHAFI"/>
    <s v="Public"/>
    <x v="0"/>
    <s v="Ngororero"/>
    <s v="Hindiro"/>
    <s v="NNYU_3"/>
    <s v="Nyabarongo Upstream Sub-Catchment"/>
    <n v="1261.44"/>
  </r>
  <r>
    <x v="3"/>
    <s v="KARAMBO 2"/>
    <s v="Public"/>
    <x v="0"/>
    <s v="Ngororero"/>
    <s v="Hindiro"/>
    <s v="NNYU_3"/>
    <s v="Nyabarongo Upstream Sub-Catchment"/>
    <n v="1419.12"/>
  </r>
  <r>
    <x v="3"/>
    <s v="NYAKABINGO"/>
    <s v="Public"/>
    <x v="0"/>
    <s v="Ngororero"/>
    <s v="Hindiro"/>
    <s v="NNYU_3"/>
    <s v="Nyabarongo Upstream Sub-Catchment"/>
    <n v="1103.7600000000002"/>
  </r>
  <r>
    <x v="3"/>
    <s v="NYAKAGEZI 2"/>
    <s v="Public"/>
    <x v="0"/>
    <s v="Ngororero"/>
    <s v="Hindiro"/>
    <s v="NNYU_3"/>
    <s v="Nyabarongo Upstream Sub-Catchment"/>
    <n v="2522.88"/>
  </r>
  <r>
    <x v="3"/>
    <s v="KIMBA III"/>
    <s v="Public"/>
    <x v="0"/>
    <s v="Ngororero"/>
    <s v="Hindiro"/>
    <s v="NNYU_3"/>
    <s v="Nyabarongo Upstream Sub-Catchment"/>
    <n v="2049.84"/>
  </r>
  <r>
    <x v="3"/>
    <s v="GASUMO"/>
    <s v="Public"/>
    <x v="0"/>
    <s v="Ngororero"/>
    <s v="Hindiro"/>
    <s v="NNYU_3"/>
    <s v="Nyabarongo Upstream Sub-Catchment"/>
    <n v="788.40000000000009"/>
  </r>
  <r>
    <x v="3"/>
    <s v="NYARUKORE"/>
    <s v="Public"/>
    <x v="0"/>
    <s v="Ngororero"/>
    <s v="Hindiro"/>
    <s v="NNYU_3"/>
    <s v="Nyabarongo Upstream Sub-Catchment"/>
    <n v="1419.12"/>
  </r>
  <r>
    <x v="3"/>
    <s v="MUKAGANO"/>
    <s v="Public"/>
    <x v="0"/>
    <s v="Ngororero"/>
    <s v="Hindiro"/>
    <s v="NNYU_3"/>
    <s v="Nyabarongo Upstream Sub-Catchment"/>
    <n v="946.08"/>
  </r>
  <r>
    <x v="3"/>
    <s v="BIHORA"/>
    <s v="Public"/>
    <x v="0"/>
    <s v="Ngororero"/>
    <s v="Hindiro"/>
    <s v="NNYU_3"/>
    <s v="Nyabarongo Upstream Sub-Catchment"/>
    <n v="1419.12"/>
  </r>
  <r>
    <x v="3"/>
    <s v="KIMBA I"/>
    <s v="Public"/>
    <x v="0"/>
    <s v="Ngororero"/>
    <s v="Hindiro"/>
    <s v="NNYU_3"/>
    <s v="Nyabarongo Upstream Sub-Catchment"/>
    <n v="3626.64"/>
  </r>
  <r>
    <x v="3"/>
    <s v="MUKIRANGA"/>
    <s v="Public"/>
    <x v="0"/>
    <s v="Ngororero"/>
    <s v="Hindiro"/>
    <s v="NNYU_3"/>
    <s v="Nyabarongo Upstream Sub-Catchment"/>
    <n v="946.08"/>
  </r>
  <r>
    <x v="3"/>
    <s v="NYABULIBA I"/>
    <s v="Public"/>
    <x v="0"/>
    <s v="Ngororero"/>
    <s v="Hindiro"/>
    <s v="NNYU_3"/>
    <s v="Nyabarongo Upstream Sub-Catchment"/>
    <n v="1419.12"/>
  </r>
  <r>
    <x v="3"/>
    <s v="NYABULIBA II"/>
    <s v="Public"/>
    <x v="0"/>
    <s v="Ngororero"/>
    <s v="Hindiro"/>
    <s v="NNYU_3"/>
    <s v="Nyabarongo Upstream Sub-Catchment"/>
    <n v="3942.0000000000005"/>
  </r>
  <r>
    <x v="3"/>
    <s v="GATSIBO"/>
    <s v="Public"/>
    <x v="0"/>
    <s v="Ngororero"/>
    <s v="Hindiro"/>
    <s v="NNYU_3"/>
    <s v="Nyabarongo Upstream Sub-Catchment"/>
    <n v="2049.84"/>
  </r>
  <r>
    <x v="3"/>
    <s v="NYAKAGEZI"/>
    <s v="Public"/>
    <x v="0"/>
    <s v="Ngororero"/>
    <s v="Hindiro"/>
    <s v="NNYU_3"/>
    <s v="Nyabarongo Upstream Sub-Catchment"/>
    <n v="1103.7600000000002"/>
  </r>
  <r>
    <x v="3"/>
    <s v="NYARUBINGO  II"/>
    <s v="Public"/>
    <x v="0"/>
    <s v="Ngororero"/>
    <s v="Hindiro"/>
    <s v="NNYU_3"/>
    <s v="Nyabarongo Upstream Sub-Catchment"/>
    <n v="946.08"/>
  </r>
  <r>
    <x v="3"/>
    <s v="NYARUBINGO  I"/>
    <s v="Public"/>
    <x v="0"/>
    <s v="Ngororero"/>
    <s v="Hindiro"/>
    <s v="NNYU_3"/>
    <s v="Nyabarongo Upstream Sub-Catchment"/>
    <n v="630.72"/>
  </r>
  <r>
    <x v="3"/>
    <s v="NYABULIBA III"/>
    <s v="Public"/>
    <x v="0"/>
    <s v="Ngororero"/>
    <s v="Hindiro"/>
    <s v="NNYU_3"/>
    <s v="Nyabarongo Upstream Sub-Catchment"/>
    <n v="788.40000000000009"/>
  </r>
  <r>
    <x v="3"/>
    <s v="RUSEKE"/>
    <s v="Public"/>
    <x v="0"/>
    <s v="Ngororero"/>
    <s v="Hindiro"/>
    <s v="NNYU_3"/>
    <s v="Nyabarongo Upstream Sub-Catchment"/>
    <n v="2680.56"/>
  </r>
  <r>
    <x v="3"/>
    <s v="RUZIBAZIBA"/>
    <s v="Public"/>
    <x v="0"/>
    <s v="Ngororero"/>
    <s v="Hindiro"/>
    <s v="NNYU_3"/>
    <s v="Nyabarongo Upstream Sub-Catchment"/>
    <n v="2838.24"/>
  </r>
  <r>
    <x v="3"/>
    <s v="KANYIRAMUGISHA"/>
    <s v="Public"/>
    <x v="0"/>
    <s v="Ngororero"/>
    <s v="Hindiro"/>
    <s v="NNYU_3"/>
    <s v="Nyabarongo Upstream Sub-Catchment"/>
    <n v="788.40000000000009"/>
  </r>
  <r>
    <x v="3"/>
    <s v="KANYUGUNYUGU"/>
    <s v="Public"/>
    <x v="0"/>
    <s v="Ngororero"/>
    <s v="Hindiro"/>
    <s v="NNYU_3"/>
    <s v="Nyabarongo Upstream Sub-Catchment"/>
    <n v="630.72"/>
  </r>
  <r>
    <x v="3"/>
    <s v="RUTOYI"/>
    <s v="Public"/>
    <x v="0"/>
    <s v="Ngororero"/>
    <s v="Hindiro"/>
    <s v="NNYU_3"/>
    <s v="Nyabarongo Upstream Sub-Catchment"/>
    <n v="946.08"/>
  </r>
  <r>
    <x v="3"/>
    <s v="KIMBA II"/>
    <s v="Public"/>
    <x v="0"/>
    <s v="Ngororero"/>
    <s v="Hindiro"/>
    <s v="NNYU_3"/>
    <s v="Nyabarongo Upstream Sub-Catchment"/>
    <n v="1576.8000000000002"/>
  </r>
  <r>
    <x v="3"/>
    <s v="NYAGAHONDO I"/>
    <s v="Public"/>
    <x v="0"/>
    <s v="Ngororero"/>
    <s v="Hindiro"/>
    <s v="NNYU_3"/>
    <s v="Nyabarongo Upstream Sub-Catchment"/>
    <n v="1734.4800000000002"/>
  </r>
  <r>
    <x v="3"/>
    <s v="RUCYAMO"/>
    <s v="Public"/>
    <x v="0"/>
    <s v="Ngororero"/>
    <s v="Hindiro"/>
    <s v="NNYU_3"/>
    <s v="Nyabarongo Upstream Sub-Catchment"/>
    <n v="473.04"/>
  </r>
  <r>
    <x v="3"/>
    <s v="MASHENYI"/>
    <s v="Public"/>
    <x v="0"/>
    <s v="Ngororero"/>
    <s v="Hindiro"/>
    <s v="NNYU_3"/>
    <s v="Nyabarongo Upstream Sub-Catchment"/>
    <n v="1103.7600000000002"/>
  </r>
  <r>
    <x v="3"/>
    <s v="RUHATI  II"/>
    <s v="Public"/>
    <x v="0"/>
    <s v="Ngororero"/>
    <s v="Hindiro"/>
    <s v="NNYU_3"/>
    <s v="Nyabarongo Upstream Sub-Catchment"/>
    <n v="2680.56"/>
  </r>
  <r>
    <x v="3"/>
    <s v="RUKARISHYA"/>
    <s v="Public"/>
    <x v="0"/>
    <s v="Ngororero"/>
    <s v="Hindiro"/>
    <s v="NNYU_3"/>
    <s v="Nyabarongo Upstream Sub-Catchment"/>
    <n v="946.08"/>
  </r>
  <r>
    <x v="3"/>
    <s v="NYAMUGARI"/>
    <s v="Public"/>
    <x v="0"/>
    <s v="Ngororero"/>
    <s v="Hindiro"/>
    <s v="NNYU_3"/>
    <s v="Nyabarongo Upstream Sub-Catchment"/>
    <n v="2680.56"/>
  </r>
  <r>
    <x v="3"/>
    <s v="GATARE"/>
    <s v="Public"/>
    <x v="0"/>
    <s v="Ngororero"/>
    <s v="Hindiro"/>
    <s v="NNYU_3"/>
    <s v="Nyabarongo Upstream Sub-Catchment"/>
    <n v="7884.0000000000009"/>
  </r>
  <r>
    <x v="3"/>
    <s v="GAPFURA"/>
    <s v="Public"/>
    <x v="0"/>
    <s v="Ngororero"/>
    <s v="Hindiro"/>
    <s v="NNYU_3"/>
    <s v="Nyabarongo Upstream Sub-Catchment"/>
    <n v="3311.2799999999997"/>
  </r>
  <r>
    <x v="3"/>
    <s v="RUHEZAMYENDA"/>
    <s v="Public"/>
    <x v="0"/>
    <s v="Ngororero"/>
    <s v="Hindiro"/>
    <s v="NNYU_3"/>
    <s v="Nyabarongo Upstream Sub-Catchment"/>
    <n v="2049.84"/>
  </r>
  <r>
    <x v="3"/>
    <s v="KINNYOGO I"/>
    <s v="Public"/>
    <x v="0"/>
    <s v="Ngororero"/>
    <s v="Hindiro"/>
    <s v="NNYU_3"/>
    <s v="Nyabarongo Upstream Sub-Catchment"/>
    <n v="1419.12"/>
  </r>
  <r>
    <x v="3"/>
    <s v="GITABA"/>
    <s v="Public"/>
    <x v="0"/>
    <s v="Ngororero"/>
    <s v="Hindiro"/>
    <s v="NNYU_3"/>
    <s v="Nyabarongo Upstream Sub-Catchment"/>
    <n v="4888.0800000000008"/>
  </r>
  <r>
    <x v="3"/>
    <s v="NYARUGEZI"/>
    <s v="Public"/>
    <x v="0"/>
    <s v="Ngororero"/>
    <s v="Hindiro"/>
    <s v="NNYU_3"/>
    <s v="Nyabarongo Upstream Sub-Catchment"/>
    <n v="2207.5200000000004"/>
  </r>
  <r>
    <x v="3"/>
    <s v="MIYOVE  II"/>
    <s v="Public"/>
    <x v="0"/>
    <s v="Ngororero"/>
    <s v="Hindiro"/>
    <s v="NNYU_3"/>
    <s v="Nyabarongo Upstream Sub-Catchment"/>
    <n v="473.04"/>
  </r>
  <r>
    <x v="3"/>
    <s v="KIBAHIMA"/>
    <s v="Public"/>
    <x v="0"/>
    <s v="Ngororero"/>
    <s v="Hindiro"/>
    <s v="NNYU_3"/>
    <s v="Nyabarongo Upstream Sub-Catchment"/>
    <n v="1261.44"/>
  </r>
  <r>
    <x v="3"/>
    <s v="KARARO"/>
    <s v="Public"/>
    <x v="0"/>
    <s v="Ngororero"/>
    <s v="Hindiro"/>
    <s v="NNYU_3"/>
    <s v="Nyabarongo Upstream Sub-Catchment"/>
    <n v="1734.4800000000002"/>
  </r>
  <r>
    <x v="3"/>
    <s v="RUGARI"/>
    <s v="Public"/>
    <x v="0"/>
    <s v="Ngororero"/>
    <s v="Hindiro"/>
    <s v="NNYU_3"/>
    <s v="Nyabarongo Upstream Sub-Catchment"/>
    <n v="788.40000000000009"/>
  </r>
  <r>
    <x v="3"/>
    <s v="MARONGI  II"/>
    <s v="Public"/>
    <x v="0"/>
    <s v="Ngororero"/>
    <s v="Hindiro"/>
    <s v="NNYU_3"/>
    <s v="Nyabarongo Upstream Sub-Catchment"/>
    <n v="788.40000000000009"/>
  </r>
  <r>
    <x v="3"/>
    <s v="KABITEKERI  II"/>
    <s v="Public"/>
    <x v="0"/>
    <s v="Ngororero"/>
    <s v="Hindiro"/>
    <s v="NNYU_3"/>
    <s v="Nyabarongo Upstream Sub-Catchment"/>
    <n v="473.04"/>
  </r>
  <r>
    <x v="3"/>
    <s v="KIBAHIMA II"/>
    <s v="Public"/>
    <x v="0"/>
    <s v="Ngororero"/>
    <s v="Hindiro"/>
    <s v="NNYU_3"/>
    <s v="Nyabarongo Upstream Sub-Catchment"/>
    <n v="630.72"/>
  </r>
  <r>
    <x v="3"/>
    <s v="KABITEKERI  I"/>
    <s v="Public"/>
    <x v="0"/>
    <s v="Ngororero"/>
    <s v="Hindiro"/>
    <s v="NNYU_3"/>
    <s v="Nyabarongo Upstream Sub-Catchment"/>
    <n v="2207.5200000000004"/>
  </r>
  <r>
    <x v="3"/>
    <s v="MIYOVE  I"/>
    <s v="Public"/>
    <x v="0"/>
    <s v="Ngororero"/>
    <s v="Hindiro"/>
    <s v="NNYU_3"/>
    <s v="Nyabarongo Upstream Sub-Catchment"/>
    <n v="630.72"/>
  </r>
  <r>
    <x v="3"/>
    <s v="NYABITARE"/>
    <s v="Public"/>
    <x v="0"/>
    <s v="Muhanga"/>
    <s v="Kabacuzi"/>
    <s v="NNYU_3"/>
    <s v="Nyabarongo Upstream Sub-Catchment"/>
    <n v="4730.4000000000005"/>
  </r>
  <r>
    <x v="3"/>
    <s v="NYAMIHOVU"/>
    <s v="Public"/>
    <x v="0"/>
    <s v="Muhanga"/>
    <s v="Kabacuzi"/>
    <s v="NNYU_3"/>
    <s v="Nyabarongo Upstream Sub-Catchment"/>
    <n v="6307.2000000000007"/>
  </r>
  <r>
    <x v="3"/>
    <s v="RWAMUSHOZI"/>
    <s v="Public"/>
    <x v="0"/>
    <s v="Muhanga"/>
    <s v="Kabacuzi"/>
    <s v="NNYU_3"/>
    <s v="Nyabarongo Upstream Sub-Catchment"/>
    <n v="315.36"/>
  </r>
  <r>
    <x v="3"/>
    <s v="NYAGAKANGAGA"/>
    <s v="Public"/>
    <x v="0"/>
    <s v="Muhanga"/>
    <s v="Kabacuzi"/>
    <s v="NNYU_3"/>
    <s v="Nyabarongo Upstream Sub-Catchment"/>
    <n v="15.768000000000001"/>
  </r>
  <r>
    <x v="3"/>
    <s v="NYARINDI"/>
    <s v="Public"/>
    <x v="0"/>
    <s v="Muhanga"/>
    <s v="Kabacuzi"/>
    <s v="NNYU_3"/>
    <s v="Nyabarongo Upstream Sub-Catchment"/>
    <n v="473.04"/>
  </r>
  <r>
    <x v="3"/>
    <s v="RWINYANGE"/>
    <s v="Public"/>
    <x v="0"/>
    <s v="Muhanga"/>
    <s v="Kabacuzi"/>
    <s v="NNYU_3"/>
    <s v="Nyabarongo Upstream Sub-Catchment"/>
    <n v="3153.6000000000004"/>
  </r>
  <r>
    <x v="3"/>
    <s v="NYAKARIBA"/>
    <s v="Public"/>
    <x v="0"/>
    <s v="Muhanga"/>
    <s v="Kabacuzi"/>
    <s v="NNYU_3"/>
    <s v="Nyabarongo Upstream Sub-Catchment"/>
    <n v="3153.6000000000004"/>
  </r>
  <r>
    <x v="3"/>
    <s v="NYARUTOVU II"/>
    <s v="Public"/>
    <x v="0"/>
    <s v="Muhanga"/>
    <s v="Kabacuzi"/>
    <s v="NNYU_3"/>
    <s v="Nyabarongo Upstream Sub-Catchment"/>
    <n v="473.04"/>
  </r>
  <r>
    <x v="3"/>
    <s v="NYARUTOVU I"/>
    <s v="Public"/>
    <x v="0"/>
    <s v="Muhanga"/>
    <s v="Kabacuzi"/>
    <s v="NNYU_3"/>
    <s v="Nyabarongo Upstream Sub-Catchment"/>
    <n v="315.36"/>
  </r>
  <r>
    <x v="3"/>
    <s v="CYAHAFI II"/>
    <s v="Public"/>
    <x v="0"/>
    <s v="Muhanga"/>
    <s v="Kabacuzi"/>
    <s v="NNYU_3"/>
    <s v="Nyabarongo Upstream Sub-Catchment"/>
    <n v="3153.6000000000004"/>
  </r>
  <r>
    <x v="3"/>
    <s v="NYAGAKANGAGA"/>
    <s v="Public"/>
    <x v="0"/>
    <s v="Muhanga"/>
    <s v="Kabacuzi"/>
    <s v="NNYU_3"/>
    <s v="Nyabarongo Upstream Sub-Catchment"/>
    <n v="4730.4000000000005"/>
  </r>
  <r>
    <x v="3"/>
    <s v="CYAHAFI"/>
    <s v="Public"/>
    <x v="0"/>
    <s v="Muhanga"/>
    <s v="Kabacuzi"/>
    <s v="NNYU_3"/>
    <s v="Nyabarongo Upstream Sub-Catchment"/>
    <n v="3153.6000000000004"/>
  </r>
  <r>
    <x v="3"/>
    <s v="KAGITURE"/>
    <s v="Public"/>
    <x v="0"/>
    <s v="Muhanga"/>
    <s v="Kabacuzi"/>
    <s v="NNYU_3"/>
    <s v="Nyabarongo Upstream Sub-Catchment"/>
    <n v="4730.4000000000005"/>
  </r>
  <r>
    <x v="3"/>
    <s v="NYAKARIBA"/>
    <s v="Public"/>
    <x v="0"/>
    <s v="Muhanga"/>
    <s v="Kabacuzi"/>
    <s v="NNYU_3"/>
    <s v="Nyabarongo Upstream Sub-Catchment"/>
    <n v="469477.69344000012"/>
  </r>
  <r>
    <x v="3"/>
    <s v="GASAYO"/>
    <s v="Public"/>
    <x v="0"/>
    <s v="Muhanga"/>
    <s v="Kabacuzi"/>
    <s v="NNYU_3"/>
    <s v="Nyabarongo Upstream Sub-Catchment"/>
    <n v="4730.4000000000005"/>
  </r>
  <r>
    <x v="3"/>
    <s v="KAGOMBERO II"/>
    <s v="Public"/>
    <x v="0"/>
    <s v="Muhanga"/>
    <s v="Kabacuzi"/>
    <s v="NNYU_3"/>
    <s v="Nyabarongo Upstream Sub-Catchment"/>
    <n v="3153.6000000000004"/>
  </r>
  <r>
    <x v="3"/>
    <s v="NYAMUKO II"/>
    <s v="Public"/>
    <x v="0"/>
    <s v="Muhanga"/>
    <s v="Kabacuzi"/>
    <s v="NNYU_3"/>
    <s v="Nyabarongo Upstream Sub-Catchment"/>
    <n v="6307.2000000000007"/>
  </r>
  <r>
    <x v="3"/>
    <s v="KAJAGI"/>
    <s v="Public"/>
    <x v="0"/>
    <s v="Muhanga"/>
    <s v="Kabacuzi"/>
    <s v="NNYU_3"/>
    <s v="Nyabarongo Upstream Sub-Catchment"/>
    <n v="315.36"/>
  </r>
  <r>
    <x v="3"/>
    <s v="KAGOMBERO"/>
    <s v="Public"/>
    <x v="0"/>
    <s v="Muhanga"/>
    <s v="Kabacuzi"/>
    <s v="NNYU_3"/>
    <s v="Nyabarongo Upstream Sub-Catchment"/>
    <n v="0"/>
  </r>
  <r>
    <x v="3"/>
    <s v="GATARE"/>
    <s v="Public"/>
    <x v="0"/>
    <s v="Muhanga"/>
    <s v="Kabacuzi"/>
    <s v="NNYU_3"/>
    <s v="Nyabarongo Upstream Sub-Catchment"/>
    <n v="4730.4000000000005"/>
  </r>
  <r>
    <x v="3"/>
    <s v="RUBERE"/>
    <s v="Public"/>
    <x v="0"/>
    <s v="Muhanga"/>
    <s v="Kabacuzi"/>
    <s v="NNYU_3"/>
    <s v="Nyabarongo Upstream Sub-Catchment"/>
    <n v="9460.8000000000011"/>
  </r>
  <r>
    <x v="3"/>
    <s v="KARUGOMBWA"/>
    <s v="Public"/>
    <x v="0"/>
    <s v="Muhanga"/>
    <s v="Kabacuzi"/>
    <s v="NNYU_3"/>
    <s v="Nyabarongo Upstream Sub-Catchment"/>
    <n v="0"/>
  </r>
  <r>
    <x v="3"/>
    <s v="RUSEKE"/>
    <s v="Public"/>
    <x v="0"/>
    <s v="Muhanga"/>
    <s v="Kabacuzi"/>
    <s v="NNYU_3"/>
    <s v="Nyabarongo Upstream Sub-Catchment"/>
    <n v="4730.4000000000005"/>
  </r>
  <r>
    <x v="3"/>
    <s v="NYAMUKO I"/>
    <s v="Public"/>
    <x v="0"/>
    <s v="Muhanga"/>
    <s v="Kabacuzi"/>
    <s v="NNYU_3"/>
    <s v="Nyabarongo Upstream Sub-Catchment"/>
    <n v="788.40000000000009"/>
  </r>
  <r>
    <x v="3"/>
    <s v="RUSEKE II"/>
    <s v="Public"/>
    <x v="0"/>
    <s v="Muhanga"/>
    <s v="Kabacuzi"/>
    <s v="NNYU_3"/>
    <s v="Nyabarongo Upstream Sub-Catchment"/>
    <n v="1103.7600000000002"/>
  </r>
  <r>
    <x v="3"/>
    <s v="MUTUMBA"/>
    <s v="Public"/>
    <x v="0"/>
    <s v="Muhanga"/>
    <s v="Kabacuzi"/>
    <s v="NNYU_3"/>
    <s v="Nyabarongo Upstream Sub-Catchment"/>
    <n v="6307.2000000000007"/>
  </r>
  <r>
    <x v="3"/>
    <s v="GATARE"/>
    <s v="Public"/>
    <x v="0"/>
    <s v="Muhanga"/>
    <s v="Kabacuzi"/>
    <s v="NNYU_3"/>
    <s v="Nyabarongo Upstream Sub-Catchment"/>
    <n v="3153.6000000000004"/>
  </r>
  <r>
    <x v="3"/>
    <s v="CYAMBARI"/>
    <s v="Public"/>
    <x v="0"/>
    <s v="Muhanga"/>
    <s v="Kabacuzi"/>
    <s v="NNYU_3"/>
    <s v="Nyabarongo Upstream Sub-Catchment"/>
    <n v="6307.2000000000007"/>
  </r>
  <r>
    <x v="3"/>
    <s v="RUBERE"/>
    <s v="Public"/>
    <x v="0"/>
    <s v="Muhanga"/>
    <s v="Kabacuzi"/>
    <s v="NNYU_3"/>
    <s v="Nyabarongo Upstream Sub-Catchment"/>
    <n v="3153.6000000000004"/>
  </r>
  <r>
    <x v="3"/>
    <s v="KAVUGANGOMA"/>
    <s v="Public"/>
    <x v="0"/>
    <s v="Muhanga"/>
    <s v="Kabacuzi"/>
    <s v="NNYU_3"/>
    <s v="Nyabarongo Upstream Sub-Catchment"/>
    <n v="3153.6000000000004"/>
  </r>
  <r>
    <x v="3"/>
    <s v="NYAKIGINA"/>
    <s v="Public"/>
    <x v="0"/>
    <s v="Muhanga"/>
    <s v="Kabacuzi"/>
    <s v="NNYU_3"/>
    <s v="Nyabarongo Upstream Sub-Catchment"/>
    <n v="4730.4000000000005"/>
  </r>
  <r>
    <x v="3"/>
    <s v="RUYENZI"/>
    <s v="Public"/>
    <x v="0"/>
    <s v="Muhanga"/>
    <s v="Kabacuzi"/>
    <s v="NNYU_3"/>
    <s v="Nyabarongo Upstream Sub-Catchment"/>
    <n v="473.04"/>
  </r>
  <r>
    <x v="3"/>
    <s v="GASAYO"/>
    <s v="Public"/>
    <x v="0"/>
    <s v="Muhanga"/>
    <s v="Kabacuzi"/>
    <s v="NNYU_3"/>
    <s v="Nyabarongo Upstream Sub-Catchment"/>
    <n v="4730.4000000000005"/>
  </r>
  <r>
    <x v="3"/>
    <s v="NYAKAGEZI"/>
    <s v="Public"/>
    <x v="0"/>
    <s v="Muhanga"/>
    <s v="Kabacuzi"/>
    <s v="NNYU_3"/>
    <s v="Nyabarongo Upstream Sub-Catchment"/>
    <n v="4730.4000000000005"/>
  </r>
  <r>
    <x v="3"/>
    <s v="GAHAGA"/>
    <s v="Public"/>
    <x v="0"/>
    <s v="Muhanga"/>
    <s v="Kabacuzi"/>
    <s v="NNYU_3"/>
    <s v="Nyabarongo Upstream Sub-Catchment"/>
    <n v="3153.6000000000004"/>
  </r>
  <r>
    <x v="3"/>
    <s v="RYAMURENZI"/>
    <s v="Public"/>
    <x v="0"/>
    <s v="Muhanga"/>
    <s v="Kabacuzi"/>
    <s v="NNYU_3"/>
    <s v="Nyabarongo Upstream Sub-Catchment"/>
    <n v="473.04"/>
  </r>
  <r>
    <x v="3"/>
    <s v="NYARUTEMBE"/>
    <s v="Public"/>
    <x v="0"/>
    <s v="Muhanga"/>
    <s v="Kabacuzi"/>
    <s v="NNYU_3"/>
    <s v="Nyabarongo Upstream Sub-Catchment"/>
    <n v="4730.4000000000005"/>
  </r>
  <r>
    <x v="3"/>
    <s v="cyasemigusa"/>
    <s v="Public"/>
    <x v="0"/>
    <s v="Muhanga"/>
    <s v="Kabacuzi"/>
    <s v="NNYU_3"/>
    <s v="Nyabarongo Upstream Sub-Catchment"/>
    <n v="1103.7600000000002"/>
  </r>
  <r>
    <x v="3"/>
    <s v="RYARIHANGAZA"/>
    <s v="Public"/>
    <x v="0"/>
    <s v="Muhanga"/>
    <s v="Kabacuzi"/>
    <s v="NNYU_3"/>
    <s v="Nyabarongo Upstream Sub-Catchment"/>
    <n v="4730.4000000000005"/>
  </r>
  <r>
    <x v="3"/>
    <s v="MUHAMA"/>
    <s v="Public"/>
    <x v="0"/>
    <s v="Muhanga"/>
    <s v="Kabacuzi"/>
    <s v="NNYU_3"/>
    <s v="Nyabarongo Upstream Sub-Catchment"/>
    <n v="4730.4000000000005"/>
  </r>
  <r>
    <x v="3"/>
    <s v="NYABISIGA"/>
    <s v="Public"/>
    <x v="0"/>
    <s v="Muhanga"/>
    <s v="Kabacuzi"/>
    <s v="NNYU_3"/>
    <s v="Nyabarongo Upstream Sub-Catchment"/>
    <n v="4730.4000000000005"/>
  </r>
  <r>
    <x v="3"/>
    <s v="MUHUZU"/>
    <s v="Public"/>
    <x v="0"/>
    <s v="Muhanga"/>
    <s v="Kabacuzi"/>
    <s v="NNYU_3"/>
    <s v="Nyabarongo Upstream Sub-Catchment"/>
    <n v="3153.6000000000004"/>
  </r>
  <r>
    <x v="3"/>
    <s v="BAHIMBA"/>
    <s v="Public"/>
    <x v="0"/>
    <s v="Muhanga"/>
    <s v="Kabacuzi"/>
    <s v="NNYU_3"/>
    <s v="Nyabarongo Upstream Sub-Catchment"/>
    <n v="0"/>
  </r>
  <r>
    <x v="3"/>
    <s v="NYAKIRIBA"/>
    <s v="Public"/>
    <x v="0"/>
    <s v="Muhanga"/>
    <s v="Kabacuzi"/>
    <s v="NNYU_3"/>
    <s v="Nyabarongo Upstream Sub-Catchment"/>
    <n v="14191.2"/>
  </r>
  <r>
    <x v="3"/>
    <s v="NYANYINYA"/>
    <s v="Public"/>
    <x v="0"/>
    <s v="Muhanga"/>
    <s v="Kabacuzi"/>
    <s v="NNYU_3"/>
    <s v="Nyabarongo Upstream Sub-Catchment"/>
    <n v="473.04"/>
  </r>
  <r>
    <x v="3"/>
    <s v="BIVUMU"/>
    <s v="Public"/>
    <x v="0"/>
    <s v="Muhanga"/>
    <s v="Kabacuzi"/>
    <s v="NNYU_3"/>
    <s v="Nyabarongo Upstream Sub-Catchment"/>
    <n v="315.36"/>
  </r>
  <r>
    <x v="3"/>
    <s v="GASAYO"/>
    <s v="Public"/>
    <x v="0"/>
    <s v="Muhanga"/>
    <s v="Kabacuzi"/>
    <s v="NNYU_3"/>
    <s v="Nyabarongo Upstream Sub-Catchment"/>
    <n v="3153.6000000000004"/>
  </r>
  <r>
    <x v="3"/>
    <s v="NYABUHUNIKA"/>
    <s v="Public"/>
    <x v="0"/>
    <s v="Muhanga"/>
    <s v="Kabacuzi"/>
    <s v="NNYU_3"/>
    <s v="Nyabarongo Upstream Sub-Catchment"/>
    <n v="3153.6000000000004"/>
  </r>
  <r>
    <x v="3"/>
    <s v="BIRUMBI"/>
    <s v="Public"/>
    <x v="0"/>
    <s v="Muhanga"/>
    <s v="Kabacuzi"/>
    <s v="NNYU_3"/>
    <s v="Nyabarongo Upstream Sub-Catchment"/>
    <n v="473.04"/>
  </r>
  <r>
    <x v="3"/>
    <s v="KANOGO"/>
    <s v="Public"/>
    <x v="0"/>
    <s v="Muhanga"/>
    <s v="Kabacuzi"/>
    <s v="NNYU_3"/>
    <s v="Nyabarongo Upstream Sub-Catchment"/>
    <n v="3153.6000000000004"/>
  </r>
  <r>
    <x v="3"/>
    <s v="KINOGO"/>
    <s v="Public"/>
    <x v="0"/>
    <s v="Muhanga"/>
    <s v="Kabacuzi"/>
    <s v="NNYU_3"/>
    <s v="Nyabarongo Upstream Sub-Catchment"/>
    <n v="0"/>
  </r>
  <r>
    <x v="3"/>
    <s v="RUKOMA"/>
    <s v="Public"/>
    <x v="0"/>
    <s v="Muhanga"/>
    <s v="Kabacuzi"/>
    <s v="NNYU_3"/>
    <s v="Nyabarongo Upstream Sub-Catchment"/>
    <n v="0"/>
  </r>
  <r>
    <x v="3"/>
    <s v="KIRUHURA"/>
    <s v="Public"/>
    <x v="0"/>
    <s v="Muhanga"/>
    <s v="Kabacuzi"/>
    <s v="NNYU_3"/>
    <s v="Nyabarongo Upstream Sub-Catchment"/>
    <n v="0"/>
  </r>
  <r>
    <x v="3"/>
    <s v="KAZABAGARURA"/>
    <s v="Public"/>
    <x v="0"/>
    <s v="Muhanga"/>
    <s v="Kabacuzi"/>
    <s v="NNYU_3"/>
    <s v="Nyabarongo Upstream Sub-Catchment"/>
    <n v="3153.6000000000004"/>
  </r>
  <r>
    <x v="3"/>
    <s v="MUKONDO"/>
    <s v="Public"/>
    <x v="0"/>
    <s v="Muhanga"/>
    <s v="Kabacuzi"/>
    <s v="NNYU_3"/>
    <s v="Nyabarongo Upstream Sub-Catchment"/>
    <n v="4730.4000000000005"/>
  </r>
  <r>
    <x v="3"/>
    <s v="GAHOROSHYA"/>
    <s v="Public"/>
    <x v="0"/>
    <s v="Muhanga"/>
    <s v="Kabacuzi"/>
    <s v="NNYU_3"/>
    <s v="Nyabarongo Upstream Sub-Catchment"/>
    <n v="630.72"/>
  </r>
  <r>
    <x v="3"/>
    <s v="RWABARENZI"/>
    <s v="Public"/>
    <x v="0"/>
    <s v="Muhanga"/>
    <s v="Kabacuzi"/>
    <s v="NNYU_3"/>
    <s v="Nyabarongo Upstream Sub-Catchment"/>
    <n v="4730.4000000000005"/>
  </r>
  <r>
    <x v="3"/>
    <s v="KABERE"/>
    <s v="Public"/>
    <x v="0"/>
    <s v="Muhanga"/>
    <s v="Kabacuzi"/>
    <s v="NNYU_3"/>
    <s v="Nyabarongo Upstream Sub-Catchment"/>
    <n v="473.04"/>
  </r>
  <r>
    <x v="3"/>
    <s v="RWANEZA"/>
    <s v="Public"/>
    <x v="0"/>
    <s v="Muhanga"/>
    <s v="Kabacuzi"/>
    <s v="NNYU_3"/>
    <s v="Nyabarongo Upstream Sub-Catchment"/>
    <n v="0"/>
  </r>
  <r>
    <x v="3"/>
    <s v="CYUHO"/>
    <s v="Public"/>
    <x v="0"/>
    <s v="Muhanga"/>
    <s v="Kabacuzi"/>
    <s v="NNYU_3"/>
    <s v="Nyabarongo Upstream Sub-Catchment"/>
    <n v="946.08"/>
  </r>
  <r>
    <x v="3"/>
    <s v="GASAVE"/>
    <s v="Public"/>
    <x v="0"/>
    <s v="Muhanga"/>
    <s v="Kabacuzi"/>
    <s v="NNYU_3"/>
    <s v="Nyabarongo Upstream Sub-Catchment"/>
    <n v="0"/>
  </r>
  <r>
    <x v="3"/>
    <s v="NYAKIRIBA"/>
    <s v="Public"/>
    <x v="0"/>
    <s v="Muhanga"/>
    <s v="Kabacuzi"/>
    <s v="NNYU_3"/>
    <s v="Nyabarongo Upstream Sub-Catchment"/>
    <n v="6307.2000000000007"/>
  </r>
  <r>
    <x v="3"/>
    <s v="AKABACUKI"/>
    <s v="Public"/>
    <x v="0"/>
    <s v="Muhanga"/>
    <s v="Kabacuzi"/>
    <s v="NNYU_3"/>
    <s v="Nyabarongo Upstream Sub-Catchment"/>
    <n v="3153.6000000000004"/>
  </r>
  <r>
    <x v="3"/>
    <s v="NGARYI"/>
    <s v="Public"/>
    <x v="0"/>
    <s v="Muhanga"/>
    <s v="Kabacuzi"/>
    <s v="NNYU_3"/>
    <s v="Nyabarongo Upstream Sub-Catchment"/>
    <n v="4730.4000000000005"/>
  </r>
  <r>
    <x v="3"/>
    <s v="NYANGEZI"/>
    <s v="Public"/>
    <x v="0"/>
    <s v="Muhanga"/>
    <s v="Kabacuzi"/>
    <s v="NNYU_3"/>
    <s v="Nyabarongo Upstream Sub-Catchment"/>
    <n v="4730.4000000000005"/>
  </r>
  <r>
    <x v="3"/>
    <s v="GAHONDO"/>
    <s v="Public"/>
    <x v="0"/>
    <s v="Muhanga"/>
    <s v="Kabacuzi"/>
    <s v="NNYU_3"/>
    <s v="Nyabarongo Upstream Sub-Catchment"/>
    <n v="630.72"/>
  </r>
  <r>
    <x v="3"/>
    <s v="NYAKAGEZI"/>
    <s v="Public"/>
    <x v="0"/>
    <s v="Muhanga"/>
    <s v="Kabacuzi"/>
    <s v="NNYU_3"/>
    <s v="Nyabarongo Upstream Sub-Catchment"/>
    <n v="4730.4000000000005"/>
  </r>
  <r>
    <x v="3"/>
    <s v="KAZABAGARURA"/>
    <s v="Public"/>
    <x v="0"/>
    <s v="Muhanga"/>
    <s v="Kabacuzi"/>
    <s v="NNYU_3"/>
    <s v="Nyabarongo Upstream Sub-Catchment"/>
    <n v="63.072000000000003"/>
  </r>
  <r>
    <x v="3"/>
    <s v="KAGENDO"/>
    <s v="Public"/>
    <x v="0"/>
    <s v="Muhanga"/>
    <s v="Kabacuzi"/>
    <s v="NNYU_3"/>
    <s v="Nyabarongo Upstream Sub-Catchment"/>
    <n v="7884.0000000000009"/>
  </r>
  <r>
    <x v="3"/>
    <s v="NYAMUKO"/>
    <s v="Public"/>
    <x v="0"/>
    <s v="Muhanga"/>
    <s v="Kabacuzi"/>
    <s v="NNYU_3"/>
    <s v="Nyabarongo Upstream Sub-Catchment"/>
    <n v="6307.2000000000007"/>
  </r>
  <r>
    <x v="3"/>
    <s v="TABA"/>
    <s v="Public"/>
    <x v="0"/>
    <s v="Muhanga"/>
    <s v="Kabacuzi"/>
    <s v="NNYU_3"/>
    <s v="Nyabarongo Upstream Sub-Catchment"/>
    <n v="946.08"/>
  </r>
  <r>
    <x v="3"/>
    <s v="RUBIRA"/>
    <s v="Public"/>
    <x v="0"/>
    <s v="Muhanga"/>
    <s v="Kabacuzi"/>
    <s v="NNYU_3"/>
    <s v="Nyabarongo Upstream Sub-Catchment"/>
    <n v="788.40000000000009"/>
  </r>
  <r>
    <x v="3"/>
    <s v="GAHONDO"/>
    <s v="Public"/>
    <x v="0"/>
    <s v="Muhanga"/>
    <s v="Kabacuzi"/>
    <s v="NNYU_3"/>
    <s v="Nyabarongo Upstream Sub-Catchment"/>
    <n v="6307.2000000000007"/>
  </r>
  <r>
    <x v="3"/>
    <s v="RUTABURA"/>
    <s v="Public"/>
    <x v="0"/>
    <s v="Muhanga"/>
    <s v="Kabacuzi"/>
    <s v="NNYU_3"/>
    <s v="Nyabarongo Upstream Sub-Catchment"/>
    <n v="7884.0000000000009"/>
  </r>
  <r>
    <x v="3"/>
    <s v="GISUMA"/>
    <s v="Public"/>
    <x v="0"/>
    <s v="Muhanga"/>
    <s v="Kabacuzi"/>
    <s v="NNYU_3"/>
    <s v="Nyabarongo Upstream Sub-Catchment"/>
    <n v="315.36"/>
  </r>
  <r>
    <x v="3"/>
    <s v="RWAMISHENGEZI"/>
    <s v="Public"/>
    <x v="0"/>
    <s v="Muhanga"/>
    <s v="Kabacuzi"/>
    <s v="NNYU_3"/>
    <s v="Nyabarongo Upstream Sub-Catchment"/>
    <n v="4730.4000000000005"/>
  </r>
  <r>
    <x v="3"/>
    <s v="GAKOPFE"/>
    <s v="Public"/>
    <x v="0"/>
    <s v="Muhanga"/>
    <s v="Kabacuzi"/>
    <s v="NNYU_3"/>
    <s v="Nyabarongo Upstream Sub-Catchment"/>
    <n v="4730.4000000000005"/>
  </r>
  <r>
    <x v="3"/>
    <s v="NYAKABINGO"/>
    <s v="Public"/>
    <x v="0"/>
    <s v="Muhanga"/>
    <s v="Kabacuzi"/>
    <s v="NNYU_3"/>
    <s v="Nyabarongo Upstream Sub-Catchment"/>
    <n v="4730.4000000000005"/>
  </r>
  <r>
    <x v="3"/>
    <s v="KABAKENE"/>
    <s v="Public"/>
    <x v="0"/>
    <s v="Muhanga"/>
    <s v="Kabacuzi"/>
    <s v="NNYU_3"/>
    <s v="Nyabarongo Upstream Sub-Catchment"/>
    <n v="3153.6000000000004"/>
  </r>
  <r>
    <x v="3"/>
    <s v="KABAYAZA"/>
    <s v="Public"/>
    <x v="0"/>
    <s v="Muhanga"/>
    <s v="Kabacuzi"/>
    <s v="NNYU_3"/>
    <s v="Nyabarongo Upstream Sub-Catchment"/>
    <n v="6307.2000000000007"/>
  </r>
  <r>
    <x v="3"/>
    <s v="KIBYIMBA"/>
    <s v="Public"/>
    <x v="0"/>
    <s v="Muhanga"/>
    <s v="Kabacuzi"/>
    <s v="NNYU_3"/>
    <s v="Nyabarongo Upstream Sub-Catchment"/>
    <n v="4730.4000000000005"/>
  </r>
  <r>
    <x v="3"/>
    <s v="MARYOHE"/>
    <s v="Public"/>
    <x v="0"/>
    <s v="Muhanga"/>
    <s v="Kabacuzi"/>
    <s v="NNYU_3"/>
    <s v="Nyabarongo Upstream Sub-Catchment"/>
    <n v="3153.6000000000004"/>
  </r>
  <r>
    <x v="3"/>
    <s v="GATANGO"/>
    <s v="Public"/>
    <x v="0"/>
    <s v="Muhanga"/>
    <s v="Kabacuzi"/>
    <s v="NNYU_3"/>
    <s v="Nyabarongo Upstream Sub-Catchment"/>
    <n v="4730.4000000000005"/>
  </r>
  <r>
    <x v="3"/>
    <s v="RUHASHANA"/>
    <s v="Public"/>
    <x v="0"/>
    <s v="Muhanga"/>
    <s v="Kabacuzi"/>
    <s v="NNYU_3"/>
    <s v="Nyabarongo Upstream Sub-Catchment"/>
    <n v="4730.4000000000005"/>
  </r>
  <r>
    <x v="3"/>
    <s v="RUHASHANI"/>
    <s v="Public"/>
    <x v="0"/>
    <s v="Muhanga"/>
    <s v="Kabacuzi"/>
    <s v="NNYU_3"/>
    <s v="Nyabarongo Upstream Sub-Catchment"/>
    <n v="3153.6000000000004"/>
  </r>
  <r>
    <x v="3"/>
    <s v="GATANGA"/>
    <s v="Public"/>
    <x v="0"/>
    <s v="Muhanga"/>
    <s v="Kabacuzi"/>
    <s v="NNYU_3"/>
    <s v="Nyabarongo Upstream Sub-Catchment"/>
    <n v="3153.6000000000004"/>
  </r>
  <r>
    <x v="3"/>
    <s v="KIBAYA"/>
    <s v="Public"/>
    <x v="0"/>
    <s v="Muhanga"/>
    <s v="Kabacuzi"/>
    <s v="NNYU_3"/>
    <s v="Nyabarongo Upstream Sub-Catchment"/>
    <n v="3153.6000000000004"/>
  </r>
  <r>
    <x v="3"/>
    <s v="KIBUNDA"/>
    <s v="Public"/>
    <x v="0"/>
    <s v="Muhanga"/>
    <s v="Kabacuzi"/>
    <s v="NNYU_3"/>
    <s v="Nyabarongo Upstream Sub-Catchment"/>
    <n v="1576.8000000000002"/>
  </r>
  <r>
    <x v="3"/>
    <s v="RUSUSA"/>
    <s v="Public"/>
    <x v="0"/>
    <s v="Muhanga"/>
    <s v="Kabacuzi"/>
    <s v="NNYU_3"/>
    <s v="Nyabarongo Upstream Sub-Catchment"/>
    <n v="4730.4000000000005"/>
  </r>
  <r>
    <x v="3"/>
    <s v="GASEKE"/>
    <s v="Public"/>
    <x v="0"/>
    <s v="Muhanga"/>
    <s v="Kabacuzi"/>
    <s v="NNYU_3"/>
    <s v="Nyabarongo Upstream Sub-Catchment"/>
    <n v="6307.2000000000007"/>
  </r>
  <r>
    <x v="3"/>
    <s v="BAHANGU"/>
    <s v="Public"/>
    <x v="0"/>
    <s v="Muhanga"/>
    <s v="Kabacuzi"/>
    <s v="NNYU_3"/>
    <s v="Nyabarongo Upstream Sub-Catchment"/>
    <n v="3153.6000000000004"/>
  </r>
  <r>
    <x v="3"/>
    <s v="NANGAMADUMBO"/>
    <s v="Public"/>
    <x v="0"/>
    <s v="Muhanga"/>
    <s v="Kabacuzi"/>
    <s v="NNYU_3"/>
    <s v="Nyabarongo Upstream Sub-Catchment"/>
    <n v="6307.2000000000007"/>
  </r>
  <r>
    <x v="3"/>
    <s v="GATARE"/>
    <s v="Public"/>
    <x v="0"/>
    <s v="Muhanga"/>
    <s v="Kabacuzi"/>
    <s v="NNYU_3"/>
    <s v="Nyabarongo Upstream Sub-Catchment"/>
    <n v="4730.4000000000005"/>
  </r>
  <r>
    <x v="3"/>
    <s v="GATARE"/>
    <s v="Public"/>
    <x v="0"/>
    <s v="Muhanga"/>
    <s v="Kabacuzi"/>
    <s v="NNYU_3"/>
    <s v="Nyabarongo Upstream Sub-Catchment"/>
    <n v="9460.8000000000011"/>
  </r>
  <r>
    <x v="3"/>
    <s v="MUSEGO"/>
    <s v="Public"/>
    <x v="0"/>
    <s v="Muhanga"/>
    <s v="Kabacuzi"/>
    <s v="NNYU_3"/>
    <s v="Nyabarongo Upstream Sub-Catchment"/>
    <n v="7884.0000000000009"/>
  </r>
  <r>
    <x v="3"/>
    <s v="GASEKE"/>
    <s v="Public"/>
    <x v="0"/>
    <s v="Muhanga"/>
    <s v="Kabacuzi"/>
    <s v="NNYU_3"/>
    <s v="Nyabarongo Upstream Sub-Catchment"/>
    <n v="4730.4000000000005"/>
  </r>
  <r>
    <x v="3"/>
    <s v="NTUYUMBA"/>
    <s v="Public"/>
    <x v="0"/>
    <s v="Muhanga"/>
    <s v="Kabacuzi"/>
    <s v="NNYU_3"/>
    <s v="Nyabarongo Upstream Sub-Catchment"/>
    <n v="946.08"/>
  </r>
  <r>
    <x v="3"/>
    <s v="MADWEDWE"/>
    <s v="Public"/>
    <x v="0"/>
    <s v="Muhanga"/>
    <s v="Kabacuzi"/>
    <s v="NNYU_3"/>
    <s v="Nyabarongo Upstream Sub-Catchment"/>
    <n v="157.68"/>
  </r>
  <r>
    <x v="3"/>
    <s v="NYABITARE"/>
    <s v="Public"/>
    <x v="0"/>
    <s v="Muhanga"/>
    <s v="Kabacuzi"/>
    <s v="NNYU_3"/>
    <s v="Nyabarongo Upstream Sub-Catchment"/>
    <n v="0"/>
  </r>
  <r>
    <x v="3"/>
    <s v="KANYINYA"/>
    <s v="Public"/>
    <x v="0"/>
    <s v="Muhanga"/>
    <s v="Kabacuzi"/>
    <s v="NNYU_3"/>
    <s v="Nyabarongo Upstream Sub-Catchment"/>
    <n v="788.40000000000009"/>
  </r>
  <r>
    <x v="3"/>
    <s v="GASEKE"/>
    <s v="Public"/>
    <x v="0"/>
    <s v="Muhanga"/>
    <s v="Kabacuzi"/>
    <s v="NNYU_3"/>
    <s v="Nyabarongo Upstream Sub-Catchment"/>
    <n v="4730.4000000000005"/>
  </r>
  <r>
    <x v="3"/>
    <s v="RUGENDABARI II"/>
    <s v="Public"/>
    <x v="0"/>
    <s v="Muhanga"/>
    <s v="Kabacuzi"/>
    <s v="NNYU_3"/>
    <s v="Nyabarongo Upstream Sub-Catchment"/>
    <n v="3153.6000000000004"/>
  </r>
  <r>
    <x v="3"/>
    <s v="KAGARYI"/>
    <s v="Public"/>
    <x v="0"/>
    <s v="Muhanga"/>
    <s v="Kabacuzi"/>
    <s v="NNYU_3"/>
    <s v="Nyabarongo Upstream Sub-Catchment"/>
    <n v="4730.4000000000005"/>
  </r>
  <r>
    <x v="3"/>
    <s v="NYABUSOGI"/>
    <s v="Public"/>
    <x v="0"/>
    <s v="Muhanga"/>
    <s v="Kabacuzi"/>
    <s v="NNYU_3"/>
    <s v="Nyabarongo Upstream Sub-Catchment"/>
    <n v="0"/>
  </r>
  <r>
    <x v="3"/>
    <s v="KANYUNDO"/>
    <s v="Public"/>
    <x v="0"/>
    <s v="Muhanga"/>
    <s v="Kabacuzi"/>
    <s v="NNYU_3"/>
    <s v="Nyabarongo Upstream Sub-Catchment"/>
    <n v="4730.4000000000005"/>
  </r>
  <r>
    <x v="3"/>
    <s v="NYAMWORERA"/>
    <s v="Public"/>
    <x v="0"/>
    <s v="Muhanga"/>
    <s v="Kabacuzi"/>
    <s v="NNYU_3"/>
    <s v="Nyabarongo Upstream Sub-Catchment"/>
    <n v="0"/>
  </r>
  <r>
    <x v="3"/>
    <s v="NYIRAGATESI"/>
    <s v="Public"/>
    <x v="0"/>
    <s v="Muhanga"/>
    <s v="Kabacuzi"/>
    <s v="NNYU_3"/>
    <s v="Nyabarongo Upstream Sub-Catchment"/>
    <n v="6307.2000000000007"/>
  </r>
  <r>
    <x v="3"/>
    <s v="NYAMWISHWA"/>
    <s v="Public"/>
    <x v="0"/>
    <s v="Muhanga"/>
    <s v="Kabacuzi"/>
    <s v="NNYU_3"/>
    <s v="Nyabarongo Upstream Sub-Catchment"/>
    <n v="15768.000000000002"/>
  </r>
  <r>
    <x v="3"/>
    <s v="MATARE"/>
    <s v="Public"/>
    <x v="0"/>
    <s v="Ngororero"/>
    <s v="Kabaya"/>
    <s v="NNYU_3"/>
    <s v="Nyabarongo Upstream Sub-Catchment"/>
    <n v="1103.7600000000002"/>
  </r>
  <r>
    <x v="3"/>
    <s v="RUMENANKONO"/>
    <s v="Public"/>
    <x v="0"/>
    <s v="Ngororero"/>
    <s v="Kabaya"/>
    <s v="NNYU_3"/>
    <s v="Nyabarongo Upstream Sub-Catchment"/>
    <n v="6307.2000000000007"/>
  </r>
  <r>
    <x v="3"/>
    <s v="KIRENGO"/>
    <s v="Public"/>
    <x v="0"/>
    <s v="Ngororero"/>
    <s v="Kabaya"/>
    <s v="NNYU_3"/>
    <s v="Nyabarongo Upstream Sub-Catchment"/>
    <n v="6307.2000000000007"/>
  </r>
  <r>
    <x v="3"/>
    <s v="NYAMIYAGA"/>
    <s v="Public"/>
    <x v="0"/>
    <s v="Ngororero"/>
    <s v="Kabaya"/>
    <s v="NNYU_3"/>
    <s v="Nyabarongo Upstream Sub-Catchment"/>
    <n v="473.04"/>
  </r>
  <r>
    <x v="3"/>
    <s v="KABARENZI"/>
    <s v="Public"/>
    <x v="0"/>
    <s v="Ngororero"/>
    <s v="Kabaya"/>
    <s v="NNYU_3"/>
    <s v="Nyabarongo Upstream Sub-Catchment"/>
    <n v="788.40000000000009"/>
  </r>
  <r>
    <x v="3"/>
    <s v="RWEZAMENYO"/>
    <s v="Public"/>
    <x v="0"/>
    <s v="Ngororero"/>
    <s v="Kabaya"/>
    <s v="NNYU_3"/>
    <s v="Nyabarongo Upstream Sub-Catchment"/>
    <n v="3942.0000000000005"/>
  </r>
  <r>
    <x v="3"/>
    <s v="KINYAMIYAGA"/>
    <s v="Public"/>
    <x v="0"/>
    <s v="Ngororero"/>
    <s v="Kabaya"/>
    <s v="NNYU_3"/>
    <s v="Nyabarongo Upstream Sub-Catchment"/>
    <n v="3626.64"/>
  </r>
  <r>
    <x v="3"/>
    <s v="NYABIHU"/>
    <s v="Public"/>
    <x v="0"/>
    <s v="Ngororero"/>
    <s v="Kabaya"/>
    <s v="NNYU_3"/>
    <s v="Nyabarongo Upstream Sub-Catchment"/>
    <n v="1576.8000000000002"/>
  </r>
  <r>
    <x v="3"/>
    <s v="NYAMWERU"/>
    <s v="Public"/>
    <x v="0"/>
    <s v="Ngororero"/>
    <s v="Kabaya"/>
    <s v="NNYU_3"/>
    <s v="Nyabarongo Upstream Sub-Catchment"/>
    <n v="5203.4400000000005"/>
  </r>
  <r>
    <x v="3"/>
    <s v="GASHITSI"/>
    <s v="Public"/>
    <x v="0"/>
    <s v="Ngororero"/>
    <s v="Kabaya"/>
    <s v="NNYU_3"/>
    <s v="Nyabarongo Upstream Sub-Catchment"/>
    <n v="1103.7600000000002"/>
  </r>
  <r>
    <x v="3"/>
    <s v="DAGAZA"/>
    <s v="Public"/>
    <x v="0"/>
    <s v="Ngororero"/>
    <s v="Kabaya"/>
    <s v="NNYU_3"/>
    <s v="Nyabarongo Upstream Sub-Catchment"/>
    <n v="788.40000000000009"/>
  </r>
  <r>
    <x v="3"/>
    <s v="NYAKAGEZI"/>
    <s v="Public"/>
    <x v="0"/>
    <s v="Ngororero"/>
    <s v="Kabaya"/>
    <s v="NNYU_3"/>
    <s v="Nyabarongo Upstream Sub-Catchment"/>
    <n v="1261.44"/>
  </r>
  <r>
    <x v="3"/>
    <s v="KIGEZI II"/>
    <s v="Public"/>
    <x v="0"/>
    <s v="Ngororero"/>
    <s v="Kabaya"/>
    <s v="NNYU_3"/>
    <s v="Nyabarongo Upstream Sub-Catchment"/>
    <n v="946.08"/>
  </r>
  <r>
    <x v="3"/>
    <s v="NYAMIYAGA II"/>
    <s v="Public"/>
    <x v="0"/>
    <s v="Ngororero"/>
    <s v="Kabaya"/>
    <s v="NNYU_3"/>
    <s v="Nyabarongo Upstream Sub-Catchment"/>
    <n v="1576.8000000000002"/>
  </r>
  <r>
    <x v="3"/>
    <s v="KINOGO"/>
    <s v="Public"/>
    <x v="0"/>
    <s v="Ngororero"/>
    <s v="Kabaya"/>
    <s v="NNYU_3"/>
    <s v="Nyabarongo Upstream Sub-Catchment"/>
    <n v="7884.0000000000009"/>
  </r>
  <r>
    <x v="3"/>
    <s v="KABERE II"/>
    <s v="Public"/>
    <x v="0"/>
    <s v="Ngororero"/>
    <s v="Kabaya"/>
    <s v="NNYU_3"/>
    <s v="Nyabarongo Upstream Sub-Catchment"/>
    <n v="3153.6000000000004"/>
  </r>
  <r>
    <x v="3"/>
    <s v="RUGEZI"/>
    <s v="Public"/>
    <x v="0"/>
    <s v="Ngororero"/>
    <s v="Kabaya"/>
    <s v="NNYU_3"/>
    <s v="Nyabarongo Upstream Sub-Catchment"/>
    <n v="1261.44"/>
  </r>
  <r>
    <x v="3"/>
    <s v="RYABUNYAMBO"/>
    <s v="Public"/>
    <x v="0"/>
    <s v="Ngororero"/>
    <s v="Kabaya"/>
    <s v="NNYU_3"/>
    <s v="Nyabarongo Upstream Sub-Catchment"/>
    <n v="3942.0000000000005"/>
  </r>
  <r>
    <x v="3"/>
    <s v="BWERAMANA"/>
    <s v="Public"/>
    <x v="0"/>
    <s v="Ngororero"/>
    <s v="Kabaya"/>
    <s v="NNYU_3"/>
    <s v="Nyabarongo Upstream Sub-Catchment"/>
    <n v="1576.8000000000002"/>
  </r>
  <r>
    <x v="3"/>
    <s v="RUSEKE 2K"/>
    <s v="Public"/>
    <x v="0"/>
    <s v="Ngororero"/>
    <s v="Kabaya"/>
    <s v="NNYU_3"/>
    <s v="Nyabarongo Upstream Sub-Catchment"/>
    <n v="1103.7600000000002"/>
  </r>
  <r>
    <x v="3"/>
    <s v="NKUBITO"/>
    <s v="Public"/>
    <x v="0"/>
    <s v="Ngororero"/>
    <s v="Kabaya"/>
    <s v="NNYU_3"/>
    <s v="Nyabarongo Upstream Sub-Catchment"/>
    <n v="473.04"/>
  </r>
  <r>
    <x v="3"/>
    <s v="KABUSIZI"/>
    <s v="Public"/>
    <x v="0"/>
    <s v="Ngororero"/>
    <s v="Kabaya"/>
    <s v="NNYU_3"/>
    <s v="Nyabarongo Upstream Sub-Catchment"/>
    <n v="4730.4000000000005"/>
  </r>
  <r>
    <x v="3"/>
    <s v="KABUMBIRO I"/>
    <s v="Public"/>
    <x v="0"/>
    <s v="Ngororero"/>
    <s v="Kabaya"/>
    <s v="NNYU_3"/>
    <s v="Nyabarongo Upstream Sub-Catchment"/>
    <n v="7884.0000000000009"/>
  </r>
  <r>
    <x v="3"/>
    <s v="RULIMBA I"/>
    <s v="Public"/>
    <x v="0"/>
    <s v="Ngororero"/>
    <s v="Kabaya"/>
    <s v="NNYU_3"/>
    <s v="Nyabarongo Upstream Sub-Catchment"/>
    <n v="1261.44"/>
  </r>
  <r>
    <x v="3"/>
    <s v="KABUMBIRO II"/>
    <s v="Public"/>
    <x v="0"/>
    <s v="Ngororero"/>
    <s v="Kabaya"/>
    <s v="NNYU_3"/>
    <s v="Nyabarongo Upstream Sub-Catchment"/>
    <n v="946.08"/>
  </r>
  <r>
    <x v="3"/>
    <s v="RULIMBA II"/>
    <s v="Public"/>
    <x v="0"/>
    <s v="Ngororero"/>
    <s v="Kabaya"/>
    <s v="NNYU_3"/>
    <s v="Nyabarongo Upstream Sub-Catchment"/>
    <n v="946.08"/>
  </r>
  <r>
    <x v="3"/>
    <s v="GITABA B"/>
    <s v="Public"/>
    <x v="0"/>
    <s v="Ngororero"/>
    <s v="Kabaya"/>
    <s v="NNYU_3"/>
    <s v="Nyabarongo Upstream Sub-Catchment"/>
    <n v="630.72"/>
  </r>
  <r>
    <x v="3"/>
    <s v="NYACYERU"/>
    <s v="Public"/>
    <x v="0"/>
    <s v="Ngororero"/>
    <s v="Kabaya"/>
    <s v="NNYU_3"/>
    <s v="Nyabarongo Upstream Sub-Catchment"/>
    <n v="2207.5200000000004"/>
  </r>
  <r>
    <x v="3"/>
    <s v="KIBAHIMA"/>
    <s v="Public"/>
    <x v="0"/>
    <s v="Ngororero"/>
    <s v="Kabaya"/>
    <s v="NNYU_3"/>
    <s v="Nyabarongo Upstream Sub-Catchment"/>
    <n v="946.08"/>
  </r>
  <r>
    <x v="3"/>
    <s v="KINYAMUGUNGA I"/>
    <s v="Public"/>
    <x v="0"/>
    <s v="Ngororero"/>
    <s v="Kabaya"/>
    <s v="NNYU_3"/>
    <s v="Nyabarongo Upstream Sub-Catchment"/>
    <n v="7884.0000000000009"/>
  </r>
  <r>
    <x v="3"/>
    <s v="MUSHISHI"/>
    <s v="Public"/>
    <x v="0"/>
    <s v="Ngororero"/>
    <s v="Kabaya"/>
    <s v="NNYU_3"/>
    <s v="Nyabarongo Upstream Sub-Catchment"/>
    <n v="3153.6000000000004"/>
  </r>
  <r>
    <x v="3"/>
    <s v="GATARE"/>
    <s v="Public"/>
    <x v="0"/>
    <s v="Ngororero"/>
    <s v="Kabaya"/>
    <s v="NNYU_3"/>
    <s v="Nyabarongo Upstream Sub-Catchment"/>
    <n v="14191.2"/>
  </r>
  <r>
    <x v="3"/>
    <s v="NYAMATA"/>
    <s v="Public"/>
    <x v="0"/>
    <s v="Ngororero"/>
    <s v="Kabaya"/>
    <s v="NNYU_3"/>
    <s v="Nyabarongo Upstream Sub-Catchment"/>
    <n v="946.08"/>
  </r>
  <r>
    <x v="3"/>
    <s v="KABYAZA"/>
    <s v="Public"/>
    <x v="0"/>
    <s v="Ngororero"/>
    <s v="Kabaya"/>
    <s v="NNYU_3"/>
    <s v="Nyabarongo Upstream Sub-Catchment"/>
    <n v="5676.48"/>
  </r>
  <r>
    <x v="3"/>
    <s v="NYONGERA I"/>
    <s v="Public"/>
    <x v="0"/>
    <s v="Ngororero"/>
    <s v="Kabaya"/>
    <s v="NNYU_3"/>
    <s v="Nyabarongo Upstream Sub-Catchment"/>
    <n v="788.40000000000009"/>
  </r>
  <r>
    <x v="3"/>
    <s v="KINYAMUGUNGA II"/>
    <s v="Public"/>
    <x v="0"/>
    <s v="Ngororero"/>
    <s v="Kabaya"/>
    <s v="NNYU_3"/>
    <s v="Nyabarongo Upstream Sub-Catchment"/>
    <n v="4099.68"/>
  </r>
  <r>
    <x v="3"/>
    <s v="MPAZAKANAMO"/>
    <s v="Public"/>
    <x v="0"/>
    <s v="Ngororero"/>
    <s v="Kabaya"/>
    <s v="NNYU_3"/>
    <s v="Nyabarongo Upstream Sub-Catchment"/>
    <n v="1576.8000000000002"/>
  </r>
  <r>
    <x v="3"/>
    <s v="NYAMWERU II"/>
    <s v="Public"/>
    <x v="0"/>
    <s v="Ngororero"/>
    <s v="Kabaya"/>
    <s v="NNYU_3"/>
    <s v="Nyabarongo Upstream Sub-Catchment"/>
    <n v="1103.7600000000002"/>
  </r>
  <r>
    <x v="3"/>
    <s v="NYAMUGARI"/>
    <s v="Public"/>
    <x v="0"/>
    <s v="Ngororero"/>
    <s v="Kabaya"/>
    <s v="NNYU_3"/>
    <s v="Nyabarongo Upstream Sub-Catchment"/>
    <n v="946.08"/>
  </r>
  <r>
    <x v="3"/>
    <s v="KAZABAGARURA"/>
    <s v="Public"/>
    <x v="0"/>
    <s v="Ngororero"/>
    <s v="Kabaya"/>
    <s v="NNYU_3"/>
    <s v="Nyabarongo Upstream Sub-Catchment"/>
    <n v="9460.8000000000011"/>
  </r>
  <r>
    <x v="3"/>
    <s v="NYARUNABA II"/>
    <s v="Public"/>
    <x v="0"/>
    <s v="Ngororero"/>
    <s v="Kabaya"/>
    <s v="NNYU_3"/>
    <s v="Nyabarongo Upstream Sub-Catchment"/>
    <n v="788.40000000000009"/>
  </r>
  <r>
    <x v="3"/>
    <s v="NGANDO"/>
    <s v="Public"/>
    <x v="0"/>
    <s v="Ngororero"/>
    <s v="Kabaya"/>
    <s v="NNYU_3"/>
    <s v="Nyabarongo Upstream Sub-Catchment"/>
    <n v="1734.4800000000002"/>
  </r>
  <r>
    <x v="3"/>
    <s v="KIGUFI"/>
    <s v="Public"/>
    <x v="0"/>
    <s v="Ngororero"/>
    <s v="Kabaya"/>
    <s v="NNYU_3"/>
    <s v="Nyabarongo Upstream Sub-Catchment"/>
    <n v="788.40000000000009"/>
  </r>
  <r>
    <x v="3"/>
    <s v="KABERE"/>
    <s v="Public"/>
    <x v="0"/>
    <s v="Ngororero"/>
    <s v="Kabaya"/>
    <s v="NNYU_3"/>
    <s v="Nyabarongo Upstream Sub-Catchment"/>
    <n v="788.40000000000009"/>
  </r>
  <r>
    <x v="3"/>
    <s v="KIMIRAMBA"/>
    <s v="Public"/>
    <x v="0"/>
    <s v="Ngororero"/>
    <s v="Kabaya"/>
    <s v="NNYU_3"/>
    <s v="Nyabarongo Upstream Sub-Catchment"/>
    <n v="2365.2000000000003"/>
  </r>
  <r>
    <x v="3"/>
    <s v="RUZIBAZIBA"/>
    <s v="Public"/>
    <x v="0"/>
    <s v="Ngororero"/>
    <s v="Kabaya"/>
    <s v="NNYU_3"/>
    <s v="Nyabarongo Upstream Sub-Catchment"/>
    <n v="4730.4000000000005"/>
  </r>
  <r>
    <x v="3"/>
    <s v="MUTURAGA II"/>
    <s v="Public"/>
    <x v="0"/>
    <s v="Ngororero"/>
    <s v="Kabaya"/>
    <s v="NNYU_3"/>
    <s v="Nyabarongo Upstream Sub-Catchment"/>
    <n v="1419.12"/>
  </r>
  <r>
    <x v="3"/>
    <s v="RWAMAKOMA"/>
    <s v="Public"/>
    <x v="0"/>
    <s v="Ngororero"/>
    <s v="Kabaya"/>
    <s v="NNYU_3"/>
    <s v="Nyabarongo Upstream Sub-Catchment"/>
    <n v="2365.2000000000003"/>
  </r>
  <r>
    <x v="3"/>
    <s v="MUTURAGA I"/>
    <s v="Public"/>
    <x v="0"/>
    <s v="Ngororero"/>
    <s v="Kabaya"/>
    <s v="NNYU_3"/>
    <s v="Nyabarongo Upstream Sub-Catchment"/>
    <n v="1103.7600000000002"/>
  </r>
  <r>
    <x v="3"/>
    <s v="KAMIGEGA"/>
    <s v="Public"/>
    <x v="0"/>
    <s v="Ngororero"/>
    <s v="Kabaya"/>
    <s v="NNYU_3"/>
    <s v="Nyabarongo Upstream Sub-Catchment"/>
    <n v="473.04"/>
  </r>
  <r>
    <x v="3"/>
    <s v="RUHINAMA"/>
    <s v="Public"/>
    <x v="0"/>
    <s v="Ngororero"/>
    <s v="Kabaya"/>
    <s v="NNYU_3"/>
    <s v="Nyabarongo Upstream Sub-Catchment"/>
    <n v="1261.44"/>
  </r>
  <r>
    <x v="3"/>
    <s v="NYAKAGEZI"/>
    <s v="Public"/>
    <x v="0"/>
    <s v="Ngororero"/>
    <s v="Kabaya"/>
    <s v="NNYU_3"/>
    <s v="Nyabarongo Upstream Sub-Catchment"/>
    <n v="1261.44"/>
  </r>
  <r>
    <x v="3"/>
    <s v="MUHEMBE"/>
    <s v="Public"/>
    <x v="0"/>
    <s v="Ngororero"/>
    <s v="Kabaya"/>
    <s v="NNYU_3"/>
    <s v="Nyabarongo Upstream Sub-Catchment"/>
    <n v="1103.7600000000002"/>
  </r>
  <r>
    <x v="3"/>
    <s v="MERABUYE  I"/>
    <s v="Public"/>
    <x v="0"/>
    <s v="Ngororero"/>
    <s v="Kabaya"/>
    <s v="NNYU_3"/>
    <s v="Nyabarongo Upstream Sub-Catchment"/>
    <n v="1734.4800000000002"/>
  </r>
  <r>
    <x v="3"/>
    <s v="KAGIPFUNA"/>
    <s v="Public"/>
    <x v="0"/>
    <s v="Ngororero"/>
    <s v="Kabaya"/>
    <s v="NNYU_3"/>
    <s v="Nyabarongo Upstream Sub-Catchment"/>
    <n v="946.08"/>
  </r>
  <r>
    <x v="3"/>
    <s v="CYASENGE"/>
    <s v="Public"/>
    <x v="0"/>
    <s v="Ngororero"/>
    <s v="Kabaya"/>
    <s v="NNYU_3"/>
    <s v="Nyabarongo Upstream Sub-Catchment"/>
    <n v="473.04"/>
  </r>
  <r>
    <x v="3"/>
    <s v="NYARUSHISHATI  I"/>
    <s v="Public"/>
    <x v="0"/>
    <s v="Ngororero"/>
    <s v="Kabaya"/>
    <s v="NNYU_3"/>
    <s v="Nyabarongo Upstream Sub-Catchment"/>
    <n v="7253.28"/>
  </r>
  <r>
    <x v="3"/>
    <s v="MERABUYE  II"/>
    <s v="Public"/>
    <x v="0"/>
    <s v="Ngororero"/>
    <s v="Kabaya"/>
    <s v="NNYU_3"/>
    <s v="Nyabarongo Upstream Sub-Catchment"/>
    <n v="946.08"/>
  </r>
  <r>
    <x v="3"/>
    <s v="RUSEKE"/>
    <s v="Public"/>
    <x v="0"/>
    <s v="Ngororero"/>
    <s v="Kabaya"/>
    <s v="NNYU_3"/>
    <s v="Nyabarongo Upstream Sub-Catchment"/>
    <n v="946.08"/>
  </r>
  <r>
    <x v="3"/>
    <s v="MBIZI"/>
    <s v="Public"/>
    <x v="0"/>
    <s v="Ngororero"/>
    <s v="Kabaya"/>
    <s v="NNYU_3"/>
    <s v="Nyabarongo Upstream Sub-Catchment"/>
    <n v="1419.12"/>
  </r>
  <r>
    <x v="3"/>
    <s v="NYARUBANDE"/>
    <s v="Public"/>
    <x v="0"/>
    <s v="Ngororero"/>
    <s v="Kabaya"/>
    <s v="NNYU_3"/>
    <s v="Nyabarongo Upstream Sub-Catchment"/>
    <n v="946.08"/>
  </r>
  <r>
    <x v="3"/>
    <s v="RUGESHI I"/>
    <s v="Public"/>
    <x v="0"/>
    <s v="Ngororero"/>
    <s v="Kabaya"/>
    <s v="NNYU_3"/>
    <s v="Nyabarongo Upstream Sub-Catchment"/>
    <n v="2049.84"/>
  </r>
  <r>
    <x v="3"/>
    <s v="RUGESHI  I"/>
    <s v="Public"/>
    <x v="0"/>
    <s v="Ngororero"/>
    <s v="Kabaya"/>
    <s v="NNYU_3"/>
    <s v="Nyabarongo Upstream Sub-Catchment"/>
    <n v="1576.8000000000002"/>
  </r>
  <r>
    <x v="3"/>
    <s v="RUTOVU"/>
    <s v="Public"/>
    <x v="0"/>
    <s v="Ngororero"/>
    <s v="Kabaya"/>
    <s v="NNYU_3"/>
    <s v="Nyabarongo Upstream Sub-Catchment"/>
    <n v="1103.7600000000002"/>
  </r>
  <r>
    <x v="3"/>
    <s v="RWANZOVU"/>
    <s v="Public"/>
    <x v="0"/>
    <s v="Ngororero"/>
    <s v="Kabaya"/>
    <s v="NNYU_3"/>
    <s v="Nyabarongo Upstream Sub-Catchment"/>
    <n v="1261.44"/>
  </r>
  <r>
    <x v="3"/>
    <s v="KITUMVA"/>
    <s v="Public"/>
    <x v="0"/>
    <s v="Ngororero"/>
    <s v="Kabaya"/>
    <s v="NNYU_3"/>
    <s v="Nyabarongo Upstream Sub-Catchment"/>
    <n v="3942.0000000000005"/>
  </r>
  <r>
    <x v="3"/>
    <s v="NYARUSHISHATI  II"/>
    <s v="Public"/>
    <x v="0"/>
    <s v="Ngororero"/>
    <s v="Kabaya"/>
    <s v="NNYU_3"/>
    <s v="Nyabarongo Upstream Sub-Catchment"/>
    <n v="7253.28"/>
  </r>
  <r>
    <x v="3"/>
    <s v="BAHIMBA"/>
    <s v="Public"/>
    <x v="0"/>
    <s v="Ngororero"/>
    <s v="Kabaya"/>
    <s v="NNYU_3"/>
    <s v="Nyabarongo Upstream Sub-Catchment"/>
    <n v="1419.12"/>
  </r>
  <r>
    <x v="3"/>
    <s v="RWANTOZI"/>
    <s v="Public"/>
    <x v="0"/>
    <s v="Ngororero"/>
    <s v="Kabaya"/>
    <s v="NNYU_3"/>
    <s v="Nyabarongo Upstream Sub-Catchment"/>
    <n v="4099.68"/>
  </r>
  <r>
    <x v="3"/>
    <s v="GATONGO"/>
    <s v="Public"/>
    <x v="0"/>
    <s v="Ngororero"/>
    <s v="Kabaya"/>
    <s v="NNYU_3"/>
    <s v="Nyabarongo Upstream Sub-Catchment"/>
    <n v="1892.16"/>
  </r>
  <r>
    <x v="3"/>
    <s v="BITABA II"/>
    <s v="Public"/>
    <x v="0"/>
    <s v="Ngororero"/>
    <s v="Kabaya"/>
    <s v="NNYU_3"/>
    <s v="Nyabarongo Upstream Sub-Catchment"/>
    <n v="473.04"/>
  </r>
  <r>
    <x v="3"/>
    <s v="BITABA I"/>
    <s v="Public"/>
    <x v="0"/>
    <s v="Ngororero"/>
    <s v="Kabaya"/>
    <s v="NNYU_3"/>
    <s v="Nyabarongo Upstream Sub-Catchment"/>
    <n v="8830.0800000000017"/>
  </r>
  <r>
    <x v="3"/>
    <s v="BITARE II"/>
    <s v="Public"/>
    <x v="0"/>
    <s v="Ngororero"/>
    <s v="Kabaya"/>
    <s v="NNYU_3"/>
    <s v="Nyabarongo Upstream Sub-Catchment"/>
    <n v="1261.44"/>
  </r>
  <r>
    <x v="3"/>
    <s v="MBANDARI"/>
    <s v="Public"/>
    <x v="0"/>
    <s v="Ngororero"/>
    <s v="Kabaya"/>
    <s v="NNYU_3"/>
    <s v="Nyabarongo Upstream Sub-Catchment"/>
    <n v="1103.7600000000002"/>
  </r>
  <r>
    <x v="3"/>
    <s v="JOTE"/>
    <s v="Public"/>
    <x v="0"/>
    <s v="Ngororero"/>
    <s v="Kabaya"/>
    <s v="NNYU_3"/>
    <s v="Nyabarongo Upstream Sub-Catchment"/>
    <n v="1419.12"/>
  </r>
  <r>
    <x v="3"/>
    <s v="KABAYA"/>
    <s v="Public"/>
    <x v="0"/>
    <s v="Ngororero"/>
    <s v="Kabaya"/>
    <s v="NNYU_3"/>
    <s v="Nyabarongo Upstream Sub-Catchment"/>
    <n v="1419.12"/>
  </r>
  <r>
    <x v="3"/>
    <s v="RUHISHEBENSHI"/>
    <s v="Public"/>
    <x v="0"/>
    <s v="Ngororero"/>
    <s v="Kabaya"/>
    <s v="NNYU_3"/>
    <s v="Nyabarongo Upstream Sub-Catchment"/>
    <n v="12614.400000000001"/>
  </r>
  <r>
    <x v="3"/>
    <s v="BITARE"/>
    <s v="Public"/>
    <x v="0"/>
    <s v="Ngororero"/>
    <s v="Kabaya"/>
    <s v="NNYU_3"/>
    <s v="Nyabarongo Upstream Sub-Catchment"/>
    <n v="1103.7600000000002"/>
  </r>
  <r>
    <x v="3"/>
    <s v="KIRONKO II"/>
    <s v="Public"/>
    <x v="0"/>
    <s v="Ngororero"/>
    <s v="Kabaya"/>
    <s v="NNYU_3"/>
    <s v="Nyabarongo Upstream Sub-Catchment"/>
    <n v="1103.7600000000002"/>
  </r>
  <r>
    <x v="3"/>
    <s v="NYARUBANDE B"/>
    <s v="Public"/>
    <x v="0"/>
    <s v="Ngororero"/>
    <s v="Kabaya"/>
    <s v="NNYU_3"/>
    <s v="Nyabarongo Upstream Sub-Catchment"/>
    <n v="12614.400000000001"/>
  </r>
  <r>
    <x v="3"/>
    <s v="GATARE II"/>
    <s v="Public"/>
    <x v="0"/>
    <s v="Ngororero"/>
    <s v="Kabaya"/>
    <s v="NNYU_3"/>
    <s v="Nyabarongo Upstream Sub-Catchment"/>
    <n v="630.72"/>
  </r>
  <r>
    <x v="3"/>
    <s v="KIRONKO I"/>
    <s v="Public"/>
    <x v="0"/>
    <s v="Ngororero"/>
    <s v="Kabaya"/>
    <s v="NNYU_3"/>
    <s v="Nyabarongo Upstream Sub-Catchment"/>
    <n v="473.04"/>
  </r>
  <r>
    <x v="3"/>
    <s v="NYARUBANDE A"/>
    <s v="Public"/>
    <x v="0"/>
    <s v="Ngororero"/>
    <s v="Kabaya"/>
    <s v="NNYU_3"/>
    <s v="Nyabarongo Upstream Sub-Catchment"/>
    <n v="2838.24"/>
  </r>
  <r>
    <x v="3"/>
    <s v="KABAYA II(centre)"/>
    <s v="Public"/>
    <x v="0"/>
    <s v="Ngororero"/>
    <s v="Kabaya"/>
    <s v="NNYU_3"/>
    <s v="Nyabarongo Upstream Sub-Catchment"/>
    <n v="5676.48"/>
  </r>
  <r>
    <x v="3"/>
    <s v="NYAMIVU"/>
    <s v="Public"/>
    <x v="0"/>
    <s v="Ngororero"/>
    <s v="Kabaya"/>
    <s v="NNYU_3"/>
    <s v="Nyabarongo Upstream Sub-Catchment"/>
    <n v="1103.7600000000002"/>
  </r>
  <r>
    <x v="3"/>
    <s v="NYARUNABA I"/>
    <s v="Public"/>
    <x v="0"/>
    <s v="Ngororero"/>
    <s v="Kabaya"/>
    <s v="NNYU_3"/>
    <s v="Nyabarongo Upstream Sub-Catchment"/>
    <n v="2365.2000000000003"/>
  </r>
  <r>
    <x v="3"/>
    <s v="KIRONKO"/>
    <s v="Public"/>
    <x v="0"/>
    <s v="Ngororero"/>
    <s v="Kabaya"/>
    <s v="NNYU_3"/>
    <s v="Nyabarongo Upstream Sub-Catchment"/>
    <n v="1419.12"/>
  </r>
  <r>
    <x v="3"/>
    <s v="MIGONGO"/>
    <s v="Public"/>
    <x v="0"/>
    <s v="Ngororero"/>
    <s v="Kabaya"/>
    <s v="NNYU_3"/>
    <s v="Nyabarongo Upstream Sub-Catchment"/>
    <n v="1103.7600000000002"/>
  </r>
  <r>
    <x v="3"/>
    <s v="BUDACYA"/>
    <s v="Public"/>
    <x v="0"/>
    <s v="Ngororero"/>
    <s v="Kabaya"/>
    <s v="NNYU_3"/>
    <s v="Nyabarongo Upstream Sub-Catchment"/>
    <n v="3626.64"/>
  </r>
  <r>
    <x v="3"/>
    <s v="NYAGAHONDO"/>
    <s v="Public"/>
    <x v="0"/>
    <s v="Ngororero"/>
    <s v="Kabaya"/>
    <s v="NNYU_3"/>
    <s v="Nyabarongo Upstream Sub-Catchment"/>
    <n v="1576.8000000000002"/>
  </r>
  <r>
    <x v="3"/>
    <s v="NYARWISHYWA"/>
    <s v="Public"/>
    <x v="0"/>
    <s v="Ngororero"/>
    <s v="Kabaya"/>
    <s v="NNYU_3"/>
    <s v="Nyabarongo Upstream Sub-Catchment"/>
    <n v="12614.400000000001"/>
  </r>
  <r>
    <x v="3"/>
    <s v="KIBAHIMA II"/>
    <s v="Public"/>
    <x v="0"/>
    <s v="Ngororero"/>
    <s v="Kabaya"/>
    <s v="NNYU_3"/>
    <s v="Nyabarongo Upstream Sub-Catchment"/>
    <n v="1419.12"/>
  </r>
  <r>
    <x v="3"/>
    <s v="GAKARARANKA"/>
    <s v="Public"/>
    <x v="0"/>
    <s v="Ngororero"/>
    <s v="Kabaya"/>
    <s v="NNYU_3"/>
    <s v="Nyabarongo Upstream Sub-Catchment"/>
    <n v="788.40000000000009"/>
  </r>
  <r>
    <x v="3"/>
    <s v="KIBAHIMA III"/>
    <s v="Public"/>
    <x v="0"/>
    <s v="Ngororero"/>
    <s v="Kabaya"/>
    <s v="NNYU_3"/>
    <s v="Nyabarongo Upstream Sub-Catchment"/>
    <n v="8199.36"/>
  </r>
  <r>
    <x v="3"/>
    <s v="RUSEBEYA"/>
    <s v="Public"/>
    <x v="0"/>
    <s v="Ngororero"/>
    <s v="Kabaya"/>
    <s v="NNYU_3"/>
    <s v="Nyabarongo Upstream Sub-Catchment"/>
    <n v="788.40000000000009"/>
  </r>
  <r>
    <x v="3"/>
    <s v="RUTOYI I"/>
    <s v="Public"/>
    <x v="0"/>
    <s v="Ngororero"/>
    <s v="Kabaya"/>
    <s v="NNYU_3"/>
    <s v="Nyabarongo Upstream Sub-Catchment"/>
    <n v="946.08"/>
  </r>
  <r>
    <x v="3"/>
    <s v="KABINGO"/>
    <s v="Public"/>
    <x v="0"/>
    <s v="Ngororero"/>
    <s v="Kabaya"/>
    <s v="NNYU_3"/>
    <s v="Nyabarongo Upstream Sub-Catchment"/>
    <n v="1103.7600000000002"/>
  </r>
  <r>
    <x v="3"/>
    <s v="RUTOYI  II"/>
    <s v="Public"/>
    <x v="0"/>
    <s v="Ngororero"/>
    <s v="Kabaya"/>
    <s v="NNYU_3"/>
    <s v="Nyabarongo Upstream Sub-Catchment"/>
    <n v="2207.5200000000004"/>
  </r>
  <r>
    <x v="3"/>
    <s v="GITABA k"/>
    <s v="Public"/>
    <x v="0"/>
    <s v="Ngororero"/>
    <s v="Kabaya"/>
    <s v="NNYU_3"/>
    <s v="Nyabarongo Upstream Sub-Catchment"/>
    <n v="1261.44"/>
  </r>
  <r>
    <x v="3"/>
    <s v="BWIZA I"/>
    <s v="Public"/>
    <x v="0"/>
    <s v="Ngororero"/>
    <s v="Kabaya"/>
    <s v="NNYU_3"/>
    <s v="Nyabarongo Upstream Sub-Catchment"/>
    <n v="1261.44"/>
  </r>
  <r>
    <x v="3"/>
    <s v="GATARE I"/>
    <s v="Public"/>
    <x v="0"/>
    <s v="Ngororero"/>
    <s v="Kabaya"/>
    <s v="NNYU_3"/>
    <s v="Nyabarongo Upstream Sub-Catchment"/>
    <n v="1103.7600000000002"/>
  </r>
  <r>
    <x v="3"/>
    <s v="BWIZA II"/>
    <s v="Public"/>
    <x v="0"/>
    <s v="Ngororero"/>
    <s v="Kabaya"/>
    <s v="NNYU_3"/>
    <s v="Nyabarongo Upstream Sub-Catchment"/>
    <n v="3153.6000000000004"/>
  </r>
  <r>
    <x v="3"/>
    <s v="NYAMYISHYWA"/>
    <s v="Public"/>
    <x v="0"/>
    <s v="Ngororero"/>
    <s v="Kabaya"/>
    <s v="NNYU_3"/>
    <s v="Nyabarongo Upstream Sub-Catchment"/>
    <n v="5203.4400000000005"/>
  </r>
  <r>
    <x v="3"/>
    <s v="KABERE"/>
    <s v="Public"/>
    <x v="0"/>
    <s v="Ngororero"/>
    <s v="Kabaya"/>
    <s v="NNYU_3"/>
    <s v="Nyabarongo Upstream Sub-Catchment"/>
    <n v="630.72"/>
  </r>
  <r>
    <x v="3"/>
    <s v="KIGEZI"/>
    <s v="Public"/>
    <x v="0"/>
    <s v="Ngororero"/>
    <s v="Kabaya"/>
    <s v="NNYU_3"/>
    <s v="Nyabarongo Upstream Sub-Catchment"/>
    <n v="473.04"/>
  </r>
  <r>
    <x v="3"/>
    <s v="GATARE B"/>
    <s v="Public"/>
    <x v="0"/>
    <s v="Ngororero"/>
    <s v="Kabaya"/>
    <s v="NNYU_3"/>
    <s v="Nyabarongo Upstream Sub-Catchment"/>
    <n v="946.08"/>
  </r>
  <r>
    <x v="3"/>
    <s v="GITABA"/>
    <s v="Public"/>
    <x v="0"/>
    <s v="Ngororero"/>
    <s v="Kabaya"/>
    <s v="NNYU_3"/>
    <s v="Nyabarongo Upstream Sub-Catchment"/>
    <n v="1576.8000000000002"/>
  </r>
  <r>
    <x v="3"/>
    <s v="GASIZA"/>
    <s v="Public"/>
    <x v="0"/>
    <s v="Ngororero"/>
    <s v="Kabaya"/>
    <s v="NNYU_3"/>
    <s v="Nyabarongo Upstream Sub-Catchment"/>
    <n v="630.72"/>
  </r>
  <r>
    <x v="3"/>
    <s v="RUNABA II"/>
    <s v="Public"/>
    <x v="0"/>
    <s v="Ngororero"/>
    <s v="Kabaya"/>
    <s v="NNYU_3"/>
    <s v="Nyabarongo Upstream Sub-Catchment"/>
    <n v="6307.2000000000007"/>
  </r>
  <r>
    <x v="3"/>
    <s v="RUKORATI"/>
    <s v="Public"/>
    <x v="0"/>
    <s v="Ngororero"/>
    <s v="Kabaya"/>
    <s v="NNYU_3"/>
    <s v="Nyabarongo Upstream Sub-Catchment"/>
    <n v="788.40000000000009"/>
  </r>
  <r>
    <x v="3"/>
    <s v="RUGARAGARA"/>
    <s v="Public"/>
    <x v="0"/>
    <s v="Ngororero"/>
    <s v="Kabaya"/>
    <s v="NNYU_3"/>
    <s v="Nyabarongo Upstream Sub-Catchment"/>
    <n v="1419.12"/>
  </r>
  <r>
    <x v="3"/>
    <s v="GASHIHE"/>
    <s v="Public"/>
    <x v="0"/>
    <s v="Ngororero"/>
    <s v="Kabaya"/>
    <s v="NNYU_3"/>
    <s v="Nyabarongo Upstream Sub-Catchment"/>
    <n v="6307.2000000000007"/>
  </r>
  <r>
    <x v="3"/>
    <s v="KINYANZOKA"/>
    <s v="Public"/>
    <x v="0"/>
    <s v="Ngororero"/>
    <s v="Kabaya"/>
    <s v="NNYU_3"/>
    <s v="Nyabarongo Upstream Sub-Catchment"/>
    <n v="7884.0000000000009"/>
  </r>
  <r>
    <x v="3"/>
    <s v="CYANTARE"/>
    <s v="Public"/>
    <x v="0"/>
    <s v="Ngororero"/>
    <s v="Kabaya"/>
    <s v="NNYU_3"/>
    <s v="Nyabarongo Upstream Sub-Catchment"/>
    <n v="473.04"/>
  </r>
  <r>
    <x v="3"/>
    <s v="KAGUGU"/>
    <s v="Public"/>
    <x v="0"/>
    <s v="Ngororero"/>
    <s v="Kabaya"/>
    <s v="NNYU_3"/>
    <s v="Nyabarongo Upstream Sub-Catchment"/>
    <n v="788.40000000000009"/>
  </r>
  <r>
    <x v="3"/>
    <s v="MUCYAMO"/>
    <s v="Public"/>
    <x v="0"/>
    <s v="Ngororero"/>
    <s v="Kabaya"/>
    <s v="NNYU_3"/>
    <s v="Nyabarongo Upstream Sub-Catchment"/>
    <n v="1261.44"/>
  </r>
  <r>
    <x v="3"/>
    <s v="GIHIMBA"/>
    <s v="Public"/>
    <x v="0"/>
    <s v="Ngororero"/>
    <s v="Kabaya"/>
    <s v="NNYU_3"/>
    <s v="Nyabarongo Upstream Sub-Catchment"/>
    <n v="1103.7600000000002"/>
  </r>
  <r>
    <x v="3"/>
    <s v="NYAMUGARI"/>
    <s v="Public"/>
    <x v="0"/>
    <s v="Ngororero"/>
    <s v="Kageyo"/>
    <s v="NNYU_3"/>
    <s v="Nyabarongo Upstream Sub-Catchment"/>
    <n v="1103.7600000000002"/>
  </r>
  <r>
    <x v="3"/>
    <s v="NYAGAHONDO"/>
    <s v="Public"/>
    <x v="0"/>
    <s v="Ngororero"/>
    <s v="Kageyo"/>
    <s v="NNYU_3"/>
    <s v="Nyabarongo Upstream Sub-Catchment"/>
    <n v="473.04"/>
  </r>
  <r>
    <x v="3"/>
    <s v="NYABUNYONI"/>
    <s v="Public"/>
    <x v="0"/>
    <s v="Ngororero"/>
    <s v="Kageyo"/>
    <s v="NNYU_3"/>
    <s v="Nyabarongo Upstream Sub-Catchment"/>
    <n v="788.40000000000009"/>
  </r>
  <r>
    <x v="3"/>
    <s v="GASEKE II"/>
    <s v="Public"/>
    <x v="0"/>
    <s v="Ngororero"/>
    <s v="Kageyo"/>
    <s v="NNYU_3"/>
    <s v="Nyabarongo Upstream Sub-Catchment"/>
    <n v="3153.6000000000004"/>
  </r>
  <r>
    <x v="3"/>
    <s v="GASEKE I"/>
    <s v="Public"/>
    <x v="0"/>
    <s v="Ngororero"/>
    <s v="Kageyo"/>
    <s v="NNYU_3"/>
    <s v="Nyabarongo Upstream Sub-Catchment"/>
    <n v="630.72"/>
  </r>
  <r>
    <x v="3"/>
    <s v="NYABIHANGA"/>
    <s v="Public"/>
    <x v="0"/>
    <s v="Ngororero"/>
    <s v="Kageyo"/>
    <s v="NNYU_3"/>
    <s v="Nyabarongo Upstream Sub-Catchment"/>
    <n v="1261.44"/>
  </r>
  <r>
    <x v="3"/>
    <s v="NYIRABWENZURE"/>
    <s v="Public"/>
    <x v="0"/>
    <s v="Ngororero"/>
    <s v="Kageyo"/>
    <s v="NNYU_3"/>
    <s v="Nyabarongo Upstream Sub-Catchment"/>
    <n v="1576.8000000000002"/>
  </r>
  <r>
    <x v="3"/>
    <s v="BARENGERA"/>
    <s v="Public"/>
    <x v="0"/>
    <s v="Ngororero"/>
    <s v="Kageyo"/>
    <s v="NNYU_3"/>
    <s v="Nyabarongo Upstream Sub-Catchment"/>
    <n v="946.08"/>
  </r>
  <r>
    <x v="3"/>
    <s v="RYABITERI"/>
    <s v="Public"/>
    <x v="0"/>
    <s v="Ngororero"/>
    <s v="Kageyo"/>
    <s v="NNYU_3"/>
    <s v="Nyabarongo Upstream Sub-Catchment"/>
    <n v="473.04"/>
  </r>
  <r>
    <x v="3"/>
    <s v="NYAKABANDA"/>
    <s v="Public"/>
    <x v="0"/>
    <s v="Ngororero"/>
    <s v="Kageyo"/>
    <s v="NNYU_3"/>
    <s v="Nyabarongo Upstream Sub-Catchment"/>
    <n v="473.04"/>
  </r>
  <r>
    <x v="3"/>
    <s v="KANYEGENYEGE"/>
    <s v="Public"/>
    <x v="0"/>
    <s v="Ngororero"/>
    <s v="Kageyo"/>
    <s v="NNYU_3"/>
    <s v="Nyabarongo Upstream Sub-Catchment"/>
    <n v="1734.4800000000002"/>
  </r>
  <r>
    <x v="3"/>
    <s v="GITARAGA"/>
    <s v="Public"/>
    <x v="0"/>
    <s v="Ngororero"/>
    <s v="Kageyo"/>
    <s v="NNYU_3"/>
    <s v="Nyabarongo Upstream Sub-Catchment"/>
    <n v="3153.6000000000004"/>
  </r>
  <r>
    <x v="3"/>
    <s v="MPIMBA"/>
    <s v="Public"/>
    <x v="0"/>
    <s v="Ngororero"/>
    <s v="Kageyo"/>
    <s v="NNYU_3"/>
    <s v="Nyabarongo Upstream Sub-Catchment"/>
    <n v="788.40000000000009"/>
  </r>
  <r>
    <x v="3"/>
    <s v="RUNYANGOYI"/>
    <s v="Public"/>
    <x v="0"/>
    <s v="Ngororero"/>
    <s v="Kageyo"/>
    <s v="NNYU_3"/>
    <s v="Nyabarongo Upstream Sub-Catchment"/>
    <n v="788.40000000000009"/>
  </r>
  <r>
    <x v="3"/>
    <s v="MUDUHA"/>
    <s v="Public"/>
    <x v="0"/>
    <s v="Ngororero"/>
    <s v="Kageyo"/>
    <s v="NNYU_3"/>
    <s v="Nyabarongo Upstream Sub-Catchment"/>
    <n v="1103.7600000000002"/>
  </r>
  <r>
    <x v="3"/>
    <s v="MBURAMAZI II"/>
    <s v="Public"/>
    <x v="0"/>
    <s v="Ngororero"/>
    <s v="Kageyo"/>
    <s v="NNYU_3"/>
    <s v="Nyabarongo Upstream Sub-Catchment"/>
    <n v="788.40000000000009"/>
  </r>
  <r>
    <x v="3"/>
    <s v="MBURAMAZI I"/>
    <s v="Public"/>
    <x v="0"/>
    <s v="Ngororero"/>
    <s v="Kageyo"/>
    <s v="NNYU_3"/>
    <s v="Nyabarongo Upstream Sub-Catchment"/>
    <n v="1576.8000000000002"/>
  </r>
  <r>
    <x v="3"/>
    <s v="MBURAMAZI III"/>
    <s v="Public"/>
    <x v="0"/>
    <s v="Ngororero"/>
    <s v="Kageyo"/>
    <s v="NNYU_3"/>
    <s v="Nyabarongo Upstream Sub-Catchment"/>
    <n v="157.68"/>
  </r>
  <r>
    <x v="3"/>
    <s v="NKONORA I"/>
    <s v="Public"/>
    <x v="0"/>
    <s v="Ngororero"/>
    <s v="Kageyo"/>
    <s v="NNYU_3"/>
    <s v="Nyabarongo Upstream Sub-Catchment"/>
    <n v="788.40000000000009"/>
  </r>
  <r>
    <x v="3"/>
    <s v="GAHAMA"/>
    <s v="Public"/>
    <x v="0"/>
    <s v="Ngororero"/>
    <s v="Kageyo"/>
    <s v="NNYU_3"/>
    <s v="Nyabarongo Upstream Sub-Catchment"/>
    <n v="788.40000000000009"/>
  </r>
  <r>
    <x v="3"/>
    <s v="NYAMATA"/>
    <s v="Public"/>
    <x v="0"/>
    <s v="Ngororero"/>
    <s v="Kageyo"/>
    <s v="NNYU_3"/>
    <s v="Nyabarongo Upstream Sub-Catchment"/>
    <n v="946.08"/>
  </r>
  <r>
    <x v="3"/>
    <s v="KAZIBAZIBA"/>
    <s v="Public"/>
    <x v="0"/>
    <s v="Ngororero"/>
    <s v="Kageyo"/>
    <s v="NNYU_3"/>
    <s v="Nyabarongo Upstream Sub-Catchment"/>
    <n v="2207.5200000000004"/>
  </r>
  <r>
    <x v="3"/>
    <s v="GASEKE I"/>
    <s v="Public"/>
    <x v="0"/>
    <s v="Ngororero"/>
    <s v="Kageyo"/>
    <s v="NNYU_3"/>
    <s v="Nyabarongo Upstream Sub-Catchment"/>
    <n v="630.72"/>
  </r>
  <r>
    <x v="3"/>
    <s v="GISIBIRI"/>
    <s v="Public"/>
    <x v="0"/>
    <s v="Ngororero"/>
    <s v="Kageyo"/>
    <s v="NNYU_3"/>
    <s v="Nyabarongo Upstream Sub-Catchment"/>
    <n v="3153.6000000000004"/>
  </r>
  <r>
    <x v="3"/>
    <s v="GITAMBUKO"/>
    <s v="Public"/>
    <x v="0"/>
    <s v="Ngororero"/>
    <s v="Kageyo"/>
    <s v="NNYU_3"/>
    <s v="Nyabarongo Upstream Sub-Catchment"/>
    <n v="946.08"/>
  </r>
  <r>
    <x v="3"/>
    <s v="RUTINDO"/>
    <s v="Public"/>
    <x v="0"/>
    <s v="Ngororero"/>
    <s v="Kageyo"/>
    <s v="NNYU_3"/>
    <s v="Nyabarongo Upstream Sub-Catchment"/>
    <n v="788.40000000000009"/>
  </r>
  <r>
    <x v="3"/>
    <s v="NGEMBE"/>
    <s v="Public"/>
    <x v="0"/>
    <s v="Ngororero"/>
    <s v="Kageyo"/>
    <s v="NNYU_3"/>
    <s v="Nyabarongo Upstream Sub-Catchment"/>
    <n v="2049.84"/>
  </r>
  <r>
    <x v="3"/>
    <s v="BAKENZI"/>
    <s v="Public"/>
    <x v="0"/>
    <s v="Ngororero"/>
    <s v="Kageyo"/>
    <s v="NNYU_3"/>
    <s v="Nyabarongo Upstream Sub-Catchment"/>
    <n v="946.08"/>
  </r>
  <r>
    <x v="3"/>
    <s v="MIGENDA"/>
    <s v="Public"/>
    <x v="0"/>
    <s v="Ngororero"/>
    <s v="Kageyo"/>
    <s v="NNYU_3"/>
    <s v="Nyabarongo Upstream Sub-Catchment"/>
    <n v="1734.4800000000002"/>
  </r>
  <r>
    <x v="3"/>
    <s v="BIGEGA I"/>
    <s v="Public"/>
    <x v="0"/>
    <s v="Ngororero"/>
    <s v="Kageyo"/>
    <s v="NNYU_3"/>
    <s v="Nyabarongo Upstream Sub-Catchment"/>
    <n v="315.36"/>
  </r>
  <r>
    <x v="3"/>
    <s v="NYABIHANGA"/>
    <s v="Public"/>
    <x v="0"/>
    <s v="Ngororero"/>
    <s v="Kageyo"/>
    <s v="NNYU_3"/>
    <s v="Nyabarongo Upstream Sub-Catchment"/>
    <n v="788.40000000000009"/>
  </r>
  <r>
    <x v="3"/>
    <s v="BIGEGA II"/>
    <s v="Public"/>
    <x v="0"/>
    <s v="Ngororero"/>
    <s v="Kageyo"/>
    <s v="NNYU_3"/>
    <s v="Nyabarongo Upstream Sub-Catchment"/>
    <n v="315.36"/>
  </r>
  <r>
    <x v="3"/>
    <s v="NYAMATANGA II"/>
    <s v="Public"/>
    <x v="0"/>
    <s v="Ngororero"/>
    <s v="Kageyo"/>
    <s v="NNYU_3"/>
    <s v="Nyabarongo Upstream Sub-Catchment"/>
    <n v="788.40000000000009"/>
  </r>
  <r>
    <x v="3"/>
    <s v="MATABA  II"/>
    <s v="Public"/>
    <x v="0"/>
    <s v="Ngororero"/>
    <s v="Kageyo"/>
    <s v="NNYU_3"/>
    <s v="Nyabarongo Upstream Sub-Catchment"/>
    <n v="946.08"/>
  </r>
  <r>
    <x v="3"/>
    <s v="MBURAMAZI"/>
    <s v="Public"/>
    <x v="0"/>
    <s v="Ngororero"/>
    <s v="Kageyo"/>
    <s v="NNYU_3"/>
    <s v="Nyabarongo Upstream Sub-Catchment"/>
    <n v="473.04"/>
  </r>
  <r>
    <x v="3"/>
    <s v="KANYIRANTAMA"/>
    <s v="Public"/>
    <x v="0"/>
    <s v="Ngororero"/>
    <s v="Kageyo"/>
    <s v="NNYU_3"/>
    <s v="Nyabarongo Upstream Sub-Catchment"/>
    <n v="788.40000000000009"/>
  </r>
  <r>
    <x v="3"/>
    <s v="NYAGAKO"/>
    <s v="Public"/>
    <x v="0"/>
    <s v="Ngororero"/>
    <s v="Kageyo"/>
    <s v="NNYU_3"/>
    <s v="Nyabarongo Upstream Sub-Catchment"/>
    <n v="1734.4800000000002"/>
  </r>
  <r>
    <x v="3"/>
    <s v="NYAGAKO"/>
    <s v="Public"/>
    <x v="0"/>
    <s v="Ngororero"/>
    <s v="Kageyo"/>
    <s v="NNYU_3"/>
    <s v="Nyabarongo Upstream Sub-Catchment"/>
    <n v="1734.4800000000002"/>
  </r>
  <r>
    <x v="3"/>
    <s v="KABAHIMA"/>
    <s v="Public"/>
    <x v="0"/>
    <s v="Ngororero"/>
    <s v="Kageyo"/>
    <s v="NNYU_3"/>
    <s v="Nyabarongo Upstream Sub-Catchment"/>
    <n v="473.04"/>
  </r>
  <r>
    <x v="3"/>
    <s v="KINYANA I"/>
    <s v="Public"/>
    <x v="0"/>
    <s v="Ngororero"/>
    <s v="Kageyo"/>
    <s v="NNYU_3"/>
    <s v="Nyabarongo Upstream Sub-Catchment"/>
    <n v="1734.4800000000002"/>
  </r>
  <r>
    <x v="3"/>
    <s v="KAZABAGARURA"/>
    <s v="Public"/>
    <x v="0"/>
    <s v="Ngororero"/>
    <s v="Kageyo"/>
    <s v="NNYU_3"/>
    <s v="Nyabarongo Upstream Sub-Catchment"/>
    <n v="630.72"/>
  </r>
  <r>
    <x v="3"/>
    <s v="KAZABAGARURA"/>
    <s v="Public"/>
    <x v="0"/>
    <s v="Ngororero"/>
    <s v="Kageyo"/>
    <s v="NNYU_3"/>
    <s v="Nyabarongo Upstream Sub-Catchment"/>
    <n v="630.72"/>
  </r>
  <r>
    <x v="3"/>
    <s v="KANYABWISHYA"/>
    <s v="Public"/>
    <x v="0"/>
    <s v="Ngororero"/>
    <s v="Kageyo"/>
    <s v="NNYU_3"/>
    <s v="Nyabarongo Upstream Sub-Catchment"/>
    <n v="1576.8000000000002"/>
  </r>
  <r>
    <x v="3"/>
    <s v="KABIRA"/>
    <s v="Public"/>
    <x v="0"/>
    <s v="Ngororero"/>
    <s v="Kageyo"/>
    <s v="NNYU_3"/>
    <s v="Nyabarongo Upstream Sub-Catchment"/>
    <n v="630.72"/>
  </r>
  <r>
    <x v="3"/>
    <s v="CYUMBA"/>
    <s v="Public"/>
    <x v="0"/>
    <s v="Ngororero"/>
    <s v="Kageyo"/>
    <s v="NNYU_3"/>
    <s v="Nyabarongo Upstream Sub-Catchment"/>
    <n v="2207.5200000000004"/>
  </r>
  <r>
    <x v="3"/>
    <s v="GATARE"/>
    <s v="Public"/>
    <x v="0"/>
    <s v="Ngororero"/>
    <s v="Kageyo"/>
    <s v="NNYU_3"/>
    <s v="Nyabarongo Upstream Sub-Catchment"/>
    <n v="1734.4800000000002"/>
  </r>
  <r>
    <x v="3"/>
    <s v="KAMATETE"/>
    <s v="Public"/>
    <x v="0"/>
    <s v="Ngororero"/>
    <s v="Kageyo"/>
    <s v="NNYU_3"/>
    <s v="Nyabarongo Upstream Sub-Catchment"/>
    <n v="315.36"/>
  </r>
  <r>
    <x v="3"/>
    <s v="KARUMBI"/>
    <s v="Public"/>
    <x v="0"/>
    <s v="Ngororero"/>
    <s v="Kageyo"/>
    <s v="NNYU_3"/>
    <s v="Nyabarongo Upstream Sub-Catchment"/>
    <n v="630.72"/>
  </r>
  <r>
    <x v="3"/>
    <s v="NYAGAHONGA"/>
    <s v="Public"/>
    <x v="0"/>
    <s v="Ngororero"/>
    <s v="Kageyo"/>
    <s v="NNYU_3"/>
    <s v="Nyabarongo Upstream Sub-Catchment"/>
    <n v="473.04"/>
  </r>
  <r>
    <x v="3"/>
    <s v="NYAKIBANDE"/>
    <s v="Public"/>
    <x v="0"/>
    <s v="Ngororero"/>
    <s v="Kageyo"/>
    <s v="NNYU_3"/>
    <s v="Nyabarongo Upstream Sub-Catchment"/>
    <n v="788.40000000000009"/>
  </r>
  <r>
    <x v="3"/>
    <s v="RUNYINYA"/>
    <s v="Public"/>
    <x v="0"/>
    <s v="Ngororero"/>
    <s v="Kageyo"/>
    <s v="NNYU_3"/>
    <s v="Nyabarongo Upstream Sub-Catchment"/>
    <n v="1261.44"/>
  </r>
  <r>
    <x v="3"/>
    <s v="KOGA I"/>
    <s v="Public"/>
    <x v="0"/>
    <s v="Ngororero"/>
    <s v="Kageyo"/>
    <s v="NNYU_3"/>
    <s v="Nyabarongo Upstream Sub-Catchment"/>
    <n v="315.36"/>
  </r>
  <r>
    <x v="3"/>
    <s v="KIBUBURA"/>
    <s v="Public"/>
    <x v="0"/>
    <s v="Ngororero"/>
    <s v="Kageyo"/>
    <s v="NNYU_3"/>
    <s v="Nyabarongo Upstream Sub-Catchment"/>
    <n v="946.08"/>
  </r>
  <r>
    <x v="3"/>
    <s v="MUZIRA  I"/>
    <s v="Public"/>
    <x v="0"/>
    <s v="Ngororero"/>
    <s v="Kageyo"/>
    <s v="NNYU_3"/>
    <s v="Nyabarongo Upstream Sub-Catchment"/>
    <n v="788.40000000000009"/>
  </r>
  <r>
    <x v="3"/>
    <s v="NYAGASOZI"/>
    <s v="Public"/>
    <x v="0"/>
    <s v="Ngororero"/>
    <s v="Kageyo"/>
    <s v="NNYU_3"/>
    <s v="Nyabarongo Upstream Sub-Catchment"/>
    <n v="630.72"/>
  </r>
  <r>
    <x v="3"/>
    <s v="MUZIRA II"/>
    <s v="Public"/>
    <x v="0"/>
    <s v="Ngororero"/>
    <s v="Kageyo"/>
    <s v="NNYU_3"/>
    <s v="Nyabarongo Upstream Sub-Catchment"/>
    <n v="946.08"/>
  </r>
  <r>
    <x v="3"/>
    <s v="NYAKIGEZI II"/>
    <s v="Public"/>
    <x v="0"/>
    <s v="Ngororero"/>
    <s v="Kageyo"/>
    <s v="NNYU_3"/>
    <s v="Nyabarongo Upstream Sub-Catchment"/>
    <n v="1261.44"/>
  </r>
  <r>
    <x v="3"/>
    <s v="RURERA III"/>
    <s v="Public"/>
    <x v="0"/>
    <s v="Ngororero"/>
    <s v="Kageyo"/>
    <s v="NNYU_3"/>
    <s v="Nyabarongo Upstream Sub-Catchment"/>
    <n v="1103.7600000000002"/>
  </r>
  <r>
    <x v="3"/>
    <s v="RUTOYI  II"/>
    <s v="Public"/>
    <x v="0"/>
    <s v="Ngororero"/>
    <s v="Kageyo"/>
    <s v="NNYU_3"/>
    <s v="Nyabarongo Upstream Sub-Catchment"/>
    <n v="630.72"/>
  </r>
  <r>
    <x v="3"/>
    <s v="RUTOYI  III"/>
    <s v="Public"/>
    <x v="0"/>
    <s v="Ngororero"/>
    <s v="Kageyo"/>
    <s v="NNYU_3"/>
    <s v="Nyabarongo Upstream Sub-Catchment"/>
    <n v="473.04"/>
  </r>
  <r>
    <x v="3"/>
    <s v="RURERA  V"/>
    <s v="Public"/>
    <x v="0"/>
    <s v="Ngororero"/>
    <s v="Kageyo"/>
    <s v="NNYU_3"/>
    <s v="Nyabarongo Upstream Sub-Catchment"/>
    <n v="473.04"/>
  </r>
  <r>
    <x v="3"/>
    <s v="RUVUMURA I"/>
    <s v="Public"/>
    <x v="0"/>
    <s v="Ngororero"/>
    <s v="Kageyo"/>
    <s v="NNYU_3"/>
    <s v="Nyabarongo Upstream Sub-Catchment"/>
    <n v="630.72"/>
  </r>
  <r>
    <x v="3"/>
    <s v="RURERA  IV"/>
    <s v="Public"/>
    <x v="0"/>
    <s v="Ngororero"/>
    <s v="Kageyo"/>
    <s v="NNYU_3"/>
    <s v="Nyabarongo Upstream Sub-Catchment"/>
    <n v="630.72"/>
  </r>
  <r>
    <x v="3"/>
    <s v="NYARUHENGERI"/>
    <s v="Public"/>
    <x v="0"/>
    <s v="Ngororero"/>
    <s v="Kageyo"/>
    <s v="NNYU_3"/>
    <s v="Nyabarongo Upstream Sub-Catchment"/>
    <n v="315.36"/>
  </r>
  <r>
    <x v="3"/>
    <s v="NYAKIGEZI  I"/>
    <s v="Public"/>
    <x v="0"/>
    <s v="Ngororero"/>
    <s v="Kageyo"/>
    <s v="NNYU_3"/>
    <s v="Nyabarongo Upstream Sub-Catchment"/>
    <n v="2207.5200000000004"/>
  </r>
  <r>
    <x v="3"/>
    <s v="NYAKAGEZI"/>
    <s v="Public"/>
    <x v="0"/>
    <s v="Ngororero"/>
    <s v="Kageyo"/>
    <s v="NNYU_3"/>
    <s v="Nyabarongo Upstream Sub-Catchment"/>
    <n v="788.40000000000009"/>
  </r>
  <r>
    <x v="3"/>
    <s v="RUGESHI  I"/>
    <s v="Public"/>
    <x v="0"/>
    <s v="Ngororero"/>
    <s v="Kageyo"/>
    <s v="NNYU_3"/>
    <s v="Nyabarongo Upstream Sub-Catchment"/>
    <n v="473.04"/>
  </r>
  <r>
    <x v="3"/>
    <s v="GIHONGA"/>
    <s v="Public"/>
    <x v="0"/>
    <s v="Ngororero"/>
    <s v="Kageyo"/>
    <s v="NNYU_3"/>
    <s v="Nyabarongo Upstream Sub-Catchment"/>
    <n v="1419.12"/>
  </r>
  <r>
    <x v="3"/>
    <s v="RURERA I"/>
    <s v="Public"/>
    <x v="0"/>
    <s v="Ngororero"/>
    <s v="Kageyo"/>
    <s v="NNYU_3"/>
    <s v="Nyabarongo Upstream Sub-Catchment"/>
    <n v="3153.6000000000004"/>
  </r>
  <r>
    <x v="3"/>
    <s v="NKUBO"/>
    <s v="Public"/>
    <x v="0"/>
    <s v="Ngororero"/>
    <s v="Kageyo"/>
    <s v="NNYU_3"/>
    <s v="Nyabarongo Upstream Sub-Catchment"/>
    <n v="1892.16"/>
  </r>
  <r>
    <x v="3"/>
    <s v="NYARUNYINYA"/>
    <s v="Public"/>
    <x v="0"/>
    <s v="Ngororero"/>
    <s v="Kageyo"/>
    <s v="NNYU_3"/>
    <s v="Nyabarongo Upstream Sub-Catchment"/>
    <n v="1261.44"/>
  </r>
  <r>
    <x v="3"/>
    <s v="NYABIHANGA"/>
    <s v="Public"/>
    <x v="0"/>
    <s v="Ngororero"/>
    <s v="Kageyo"/>
    <s v="NNYU_3"/>
    <s v="Nyabarongo Upstream Sub-Catchment"/>
    <n v="473.04"/>
  </r>
  <r>
    <x v="3"/>
    <s v="RUTOYI"/>
    <s v="Public"/>
    <x v="0"/>
    <s v="Ngororero"/>
    <s v="Kageyo"/>
    <s v="NNYU_3"/>
    <s v="Nyabarongo Upstream Sub-Catchment"/>
    <n v="1103.7600000000002"/>
  </r>
  <r>
    <x v="3"/>
    <s v="GATOVU"/>
    <s v="Public"/>
    <x v="0"/>
    <s v="Ngororero"/>
    <s v="Kageyo"/>
    <s v="NNYU_3"/>
    <s v="Nyabarongo Upstream Sub-Catchment"/>
    <n v="1892.16"/>
  </r>
  <r>
    <x v="3"/>
    <s v="NYARAMBA II"/>
    <s v="Public"/>
    <x v="0"/>
    <s v="Ngororero"/>
    <s v="Kageyo"/>
    <s v="NNYU_3"/>
    <s v="Nyabarongo Upstream Sub-Catchment"/>
    <n v="788.40000000000009"/>
  </r>
  <r>
    <x v="3"/>
    <s v="NYARAMBA"/>
    <s v="Public"/>
    <x v="0"/>
    <s v="Ngororero"/>
    <s v="Kageyo"/>
    <s v="NNYU_3"/>
    <s v="Nyabarongo Upstream Sub-Catchment"/>
    <n v="94.60799999999999"/>
  </r>
  <r>
    <x v="3"/>
    <s v="RURERA II"/>
    <s v="Public"/>
    <x v="0"/>
    <s v="Ngororero"/>
    <s v="Kageyo"/>
    <s v="NNYU_3"/>
    <s v="Nyabarongo Upstream Sub-Catchment"/>
    <n v="315.36"/>
  </r>
  <r>
    <x v="3"/>
    <s v="RUSENYI"/>
    <s v="Public"/>
    <x v="0"/>
    <s v="Ngororero"/>
    <s v="Kageyo"/>
    <s v="NNYU_3"/>
    <s v="Nyabarongo Upstream Sub-Catchment"/>
    <n v="473.04"/>
  </r>
  <r>
    <x v="3"/>
    <s v="RUGARAMA"/>
    <s v="Public"/>
    <x v="0"/>
    <s v="Ngororero"/>
    <s v="Kageyo"/>
    <s v="NNYU_3"/>
    <s v="Nyabarongo Upstream Sub-Catchment"/>
    <n v="946.08"/>
  </r>
  <r>
    <x v="3"/>
    <s v="RUVUMURA II"/>
    <s v="Public"/>
    <x v="0"/>
    <s v="Ngororero"/>
    <s v="Kageyo"/>
    <s v="NNYU_3"/>
    <s v="Nyabarongo Upstream Sub-Catchment"/>
    <n v="788.40000000000009"/>
  </r>
  <r>
    <x v="3"/>
    <s v="RUHEZAMYENDA"/>
    <s v="Public"/>
    <x v="0"/>
    <s v="Ngororero"/>
    <s v="Kageyo"/>
    <s v="NNYU_3"/>
    <s v="Nyabarongo Upstream Sub-Catchment"/>
    <n v="1261.44"/>
  </r>
  <r>
    <x v="3"/>
    <s v="MBURABUTURO"/>
    <s v="Public"/>
    <x v="0"/>
    <s v="Ngororero"/>
    <s v="Kageyo"/>
    <s v="NNYU_3"/>
    <s v="Nyabarongo Upstream Sub-Catchment"/>
    <n v="2207.5200000000004"/>
  </r>
  <r>
    <x v="3"/>
    <s v="RUHONDO  II"/>
    <s v="Public"/>
    <x v="0"/>
    <s v="Ngororero"/>
    <s v="Kageyo"/>
    <s v="NNYU_3"/>
    <s v="Nyabarongo Upstream Sub-Catchment"/>
    <n v="630.72"/>
  </r>
  <r>
    <x v="3"/>
    <s v="RUHONDO"/>
    <s v="Public"/>
    <x v="0"/>
    <s v="Ngororero"/>
    <s v="Kageyo"/>
    <s v="NNYU_3"/>
    <s v="Nyabarongo Upstream Sub-Catchment"/>
    <n v="1734.4800000000002"/>
  </r>
  <r>
    <x v="3"/>
    <s v="NYAMUTONI I"/>
    <s v="Public"/>
    <x v="0"/>
    <s v="Ngororero"/>
    <s v="Kageyo"/>
    <s v="NNYU_3"/>
    <s v="Nyabarongo Upstream Sub-Catchment"/>
    <n v="1261.44"/>
  </r>
  <r>
    <x v="3"/>
    <s v="NYAMUTONI II"/>
    <s v="Public"/>
    <x v="0"/>
    <s v="Ngororero"/>
    <s v="Kageyo"/>
    <s v="NNYU_3"/>
    <s v="Nyabarongo Upstream Sub-Catchment"/>
    <n v="1261.44"/>
  </r>
  <r>
    <x v="3"/>
    <s v="NYAKAGABO II"/>
    <s v="Public"/>
    <x v="0"/>
    <s v="Ngororero"/>
    <s v="Kageyo"/>
    <s v="NNYU_3"/>
    <s v="Nyabarongo Upstream Sub-Catchment"/>
    <n v="473.04"/>
  </r>
  <r>
    <x v="3"/>
    <s v="RUGANDA"/>
    <s v="Public"/>
    <x v="0"/>
    <s v="Ngororero"/>
    <s v="Kageyo"/>
    <s v="NNYU_3"/>
    <s v="Nyabarongo Upstream Sub-Catchment"/>
    <n v="1261.44"/>
  </r>
  <r>
    <x v="3"/>
    <s v="KABARAZI"/>
    <s v="Public"/>
    <x v="0"/>
    <s v="Ngororero"/>
    <s v="Kageyo"/>
    <s v="NNYU_3"/>
    <s v="Nyabarongo Upstream Sub-Catchment"/>
    <n v="1261.44"/>
  </r>
  <r>
    <x v="3"/>
    <s v="KARUHARA I"/>
    <s v="Public"/>
    <x v="0"/>
    <s v="Ngororero"/>
    <s v="Kageyo"/>
    <s v="NNYU_3"/>
    <s v="Nyabarongo Upstream Sub-Catchment"/>
    <n v="630.72"/>
  </r>
  <r>
    <x v="3"/>
    <s v="CYOGO"/>
    <s v="Public"/>
    <x v="0"/>
    <s v="Ngororero"/>
    <s v="Kageyo"/>
    <s v="NNYU_3"/>
    <s v="Nyabarongo Upstream Sub-Catchment"/>
    <n v="7884.0000000000009"/>
  </r>
  <r>
    <x v="3"/>
    <s v="RUMONDO I"/>
    <s v="Public"/>
    <x v="0"/>
    <s v="Ngororero"/>
    <s v="Kageyo"/>
    <s v="NNYU_3"/>
    <s v="Nyabarongo Upstream Sub-Catchment"/>
    <n v="630.72"/>
  </r>
  <r>
    <x v="3"/>
    <s v="NKUNGU"/>
    <s v="Public"/>
    <x v="0"/>
    <s v="Ngororero"/>
    <s v="Kageyo"/>
    <s v="NNYU_3"/>
    <s v="Nyabarongo Upstream Sub-Catchment"/>
    <n v="946.08"/>
  </r>
  <r>
    <x v="3"/>
    <s v="KARIHA I"/>
    <s v="Public"/>
    <x v="0"/>
    <s v="Ngororero"/>
    <s v="Kageyo"/>
    <s v="NNYU_3"/>
    <s v="Nyabarongo Upstream Sub-Catchment"/>
    <n v="1261.44"/>
  </r>
  <r>
    <x v="3"/>
    <s v="MURARA"/>
    <s v="Public"/>
    <x v="0"/>
    <s v="Ngororero"/>
    <s v="Kageyo"/>
    <s v="NNYU_3"/>
    <s v="Nyabarongo Upstream Sub-Catchment"/>
    <n v="1261.44"/>
  </r>
  <r>
    <x v="3"/>
    <s v="NTURO"/>
    <s v="Public"/>
    <x v="0"/>
    <s v="Ngororero"/>
    <s v="Kageyo"/>
    <s v="NNYU_3"/>
    <s v="Nyabarongo Upstream Sub-Catchment"/>
    <n v="1576.8000000000002"/>
  </r>
  <r>
    <x v="3"/>
    <s v="NANGUMURIMBO"/>
    <s v="Public"/>
    <x v="0"/>
    <s v="Ngororero"/>
    <s v="Kageyo"/>
    <s v="NNYU_3"/>
    <s v="Nyabarongo Upstream Sub-Catchment"/>
    <n v="1892.16"/>
  </r>
  <r>
    <x v="3"/>
    <s v="RUSYO"/>
    <s v="Public"/>
    <x v="0"/>
    <s v="Ngororero"/>
    <s v="Kageyo"/>
    <s v="NNYU_3"/>
    <s v="Nyabarongo Upstream Sub-Catchment"/>
    <n v="630.72"/>
  </r>
  <r>
    <x v="3"/>
    <s v="KARIHA II"/>
    <s v="Public"/>
    <x v="0"/>
    <s v="Ngororero"/>
    <s v="Kageyo"/>
    <s v="NNYU_3"/>
    <s v="Nyabarongo Upstream Sub-Catchment"/>
    <n v="7884.0000000000009"/>
  </r>
  <r>
    <x v="3"/>
    <s v="KANTARA"/>
    <s v="Public"/>
    <x v="0"/>
    <s v="Ngororero"/>
    <s v="Kageyo"/>
    <s v="NNYU_3"/>
    <s v="Nyabarongo Upstream Sub-Catchment"/>
    <n v="2522.88"/>
  </r>
  <r>
    <x v="3"/>
    <s v="RUCACA"/>
    <s v="Public"/>
    <x v="0"/>
    <s v="Ngororero"/>
    <s v="Kageyo"/>
    <s v="NNYU_3"/>
    <s v="Nyabarongo Upstream Sub-Catchment"/>
    <n v="946.08"/>
  </r>
  <r>
    <x v="3"/>
    <s v="GASHOKA"/>
    <s v="Public"/>
    <x v="0"/>
    <s v="Ngororero"/>
    <s v="Kageyo"/>
    <s v="NNYU_3"/>
    <s v="Nyabarongo Upstream Sub-Catchment"/>
    <n v="1576.8000000000002"/>
  </r>
  <r>
    <x v="3"/>
    <s v="RWUBIKA"/>
    <s v="Public"/>
    <x v="0"/>
    <s v="Ngororero"/>
    <s v="Kageyo"/>
    <s v="NNYU_3"/>
    <s v="Nyabarongo Upstream Sub-Catchment"/>
    <n v="1261.44"/>
  </r>
  <r>
    <x v="3"/>
    <s v="RUKIZABANA"/>
    <s v="Public"/>
    <x v="0"/>
    <s v="Ngororero"/>
    <s v="Kageyo"/>
    <s v="NNYU_3"/>
    <s v="Nyabarongo Upstream Sub-Catchment"/>
    <n v="315.36"/>
  </r>
  <r>
    <x v="3"/>
    <s v="RUTEMBA"/>
    <s v="Public"/>
    <x v="0"/>
    <s v="Ngororero"/>
    <s v="Kageyo"/>
    <s v="NNYU_3"/>
    <s v="Nyabarongo Upstream Sub-Catchment"/>
    <n v="788.40000000000009"/>
  </r>
  <r>
    <x v="3"/>
    <s v="KABYAZA"/>
    <s v="Public"/>
    <x v="0"/>
    <s v="Ngororero"/>
    <s v="Kageyo"/>
    <s v="NNYU_3"/>
    <s v="Nyabarongo Upstream Sub-Catchment"/>
    <n v="946.08"/>
  </r>
  <r>
    <x v="3"/>
    <s v="RUZIBAZIBA"/>
    <s v="Public"/>
    <x v="0"/>
    <s v="Ngororero"/>
    <s v="Kageyo"/>
    <s v="NNYU_3"/>
    <s v="Nyabarongo Upstream Sub-Catchment"/>
    <n v="1892.16"/>
  </r>
  <r>
    <x v="3"/>
    <s v="GIHUKU I"/>
    <s v="Public"/>
    <x v="0"/>
    <s v="Ngororero"/>
    <s v="Kageyo"/>
    <s v="NNYU_3"/>
    <s v="Nyabarongo Upstream Sub-Catchment"/>
    <n v="1261.44"/>
  </r>
  <r>
    <x v="3"/>
    <s v="BAGOMBERO"/>
    <s v="Public"/>
    <x v="0"/>
    <s v="Ngororero"/>
    <s v="Kageyo"/>
    <s v="NNYU_3"/>
    <s v="Nyabarongo Upstream Sub-Catchment"/>
    <n v="1103.7600000000002"/>
  </r>
  <r>
    <x v="3"/>
    <s v="RURAMBO"/>
    <s v="Public"/>
    <x v="0"/>
    <s v="Ngororero"/>
    <s v="Kageyo"/>
    <s v="NNYU_3"/>
    <s v="Nyabarongo Upstream Sub-Catchment"/>
    <n v="315.36"/>
  </r>
  <r>
    <x v="3"/>
    <s v="RURINDA"/>
    <s v="Public"/>
    <x v="0"/>
    <s v="Ngororero"/>
    <s v="Kageyo"/>
    <s v="NNYU_3"/>
    <s v="Nyabarongo Upstream Sub-Catchment"/>
    <n v="2207.5200000000004"/>
  </r>
  <r>
    <x v="3"/>
    <s v="KIROHA"/>
    <s v="Public"/>
    <x v="0"/>
    <s v="Ngororero"/>
    <s v="Kageyo"/>
    <s v="NNYU_3"/>
    <s v="Nyabarongo Upstream Sub-Catchment"/>
    <n v="1892.16"/>
  </r>
  <r>
    <x v="3"/>
    <s v="RUTAKA"/>
    <s v="Public"/>
    <x v="0"/>
    <s v="Ngororero"/>
    <s v="Kageyo"/>
    <s v="NNYU_3"/>
    <s v="Nyabarongo Upstream Sub-Catchment"/>
    <n v="473.04"/>
  </r>
  <r>
    <x v="3"/>
    <s v="NYARUBINGO"/>
    <s v="Public"/>
    <x v="0"/>
    <s v="Ngororero"/>
    <s v="Kavumu"/>
    <s v="NNYU_3"/>
    <s v="Nyabarongo Upstream Sub-Catchment"/>
    <n v="473.04"/>
  </r>
  <r>
    <x v="3"/>
    <s v="GAHATI"/>
    <s v="Public"/>
    <x v="0"/>
    <s v="Ngororero"/>
    <s v="Kavumu"/>
    <s v="NNYU_3"/>
    <s v="Nyabarongo Upstream Sub-Catchment"/>
    <n v="1103.7600000000002"/>
  </r>
  <r>
    <x v="3"/>
    <s v="MUDERERI  I"/>
    <s v="Public"/>
    <x v="0"/>
    <s v="Ngororero"/>
    <s v="Kavumu"/>
    <s v="NNYU_3"/>
    <s v="Nyabarongo Upstream Sub-Catchment"/>
    <n v="1103.7600000000002"/>
  </r>
  <r>
    <x v="3"/>
    <s v="NYARUKARA"/>
    <s v="Public"/>
    <x v="0"/>
    <s v="Ngororero"/>
    <s v="Kavumu"/>
    <s v="NNYU_3"/>
    <s v="Nyabarongo Upstream Sub-Catchment"/>
    <n v="315.36"/>
  </r>
  <r>
    <x v="3"/>
    <s v="NYARUKARA II"/>
    <s v="Public"/>
    <x v="0"/>
    <s v="Ngororero"/>
    <s v="Kavumu"/>
    <s v="NNYU_3"/>
    <s v="Nyabarongo Upstream Sub-Catchment"/>
    <n v="1103.7600000000002"/>
  </r>
  <r>
    <x v="3"/>
    <s v="NYAKAGEZI"/>
    <s v="Public"/>
    <x v="0"/>
    <s v="Ngororero"/>
    <s v="Kavumu"/>
    <s v="NNYU_3"/>
    <s v="Nyabarongo Upstream Sub-Catchment"/>
    <n v="788.40000000000009"/>
  </r>
  <r>
    <x v="3"/>
    <s v="MUDERERI II"/>
    <s v="Public"/>
    <x v="0"/>
    <s v="Ngororero"/>
    <s v="Kavumu"/>
    <s v="NNYU_3"/>
    <s v="Nyabarongo Upstream Sub-Catchment"/>
    <n v="788.40000000000009"/>
  </r>
  <r>
    <x v="3"/>
    <s v="CYAHUNDO III"/>
    <s v="Public"/>
    <x v="0"/>
    <s v="Ngororero"/>
    <s v="Kavumu"/>
    <s v="NNYU_3"/>
    <s v="Nyabarongo Upstream Sub-Catchment"/>
    <n v="1261.44"/>
  </r>
  <r>
    <x v="3"/>
    <s v="KAYOBORA"/>
    <s v="Public"/>
    <x v="0"/>
    <s v="Ngororero"/>
    <s v="Kavumu"/>
    <s v="NNYU_3"/>
    <s v="Nyabarongo Upstream Sub-Catchment"/>
    <n v="1734.4800000000002"/>
  </r>
  <r>
    <x v="3"/>
    <s v="RUHANGA"/>
    <s v="Public"/>
    <x v="0"/>
    <s v="Ngororero"/>
    <s v="Kavumu"/>
    <s v="NNYU_3"/>
    <s v="Nyabarongo Upstream Sub-Catchment"/>
    <n v="946.08"/>
  </r>
  <r>
    <x v="3"/>
    <s v="KAZABAGARURA"/>
    <s v="Public"/>
    <x v="0"/>
    <s v="Ngororero"/>
    <s v="Kavumu"/>
    <s v="NNYU_3"/>
    <s v="Nyabarongo Upstream Sub-Catchment"/>
    <n v="315.36"/>
  </r>
  <r>
    <x v="3"/>
    <s v="CYAHUNDO I"/>
    <s v="Public"/>
    <x v="0"/>
    <s v="Ngororero"/>
    <s v="Kavumu"/>
    <s v="NNYU_3"/>
    <s v="Nyabarongo Upstream Sub-Catchment"/>
    <n v="1576.8000000000002"/>
  </r>
  <r>
    <x v="3"/>
    <s v="CYAHUNDO II"/>
    <s v="Public"/>
    <x v="0"/>
    <s v="Ngororero"/>
    <s v="Kavumu"/>
    <s v="NNYU_3"/>
    <s v="Nyabarongo Upstream Sub-Catchment"/>
    <n v="4730.4000000000005"/>
  </r>
  <r>
    <x v="3"/>
    <s v="MBURAMAZI"/>
    <s v="Public"/>
    <x v="0"/>
    <s v="Ngororero"/>
    <s v="Kavumu"/>
    <s v="NNYU_3"/>
    <s v="Nyabarongo Upstream Sub-Catchment"/>
    <n v="315.36"/>
  </r>
  <r>
    <x v="3"/>
    <s v="NYAMABUYE"/>
    <s v="Public"/>
    <x v="0"/>
    <s v="Ngororero"/>
    <s v="Kavumu"/>
    <s v="NNYU_3"/>
    <s v="Nyabarongo Upstream Sub-Catchment"/>
    <n v="1103.7600000000002"/>
  </r>
  <r>
    <x v="3"/>
    <s v="KAGARAMA"/>
    <s v="Public"/>
    <x v="0"/>
    <s v="Ngororero"/>
    <s v="Kavumu"/>
    <s v="NNYU_3"/>
    <s v="Nyabarongo Upstream Sub-Catchment"/>
    <n v="7884.0000000000009"/>
  </r>
  <r>
    <x v="3"/>
    <s v="RUYOVE I"/>
    <s v="Public"/>
    <x v="0"/>
    <s v="Ngororero"/>
    <s v="Kavumu"/>
    <s v="NNYU_3"/>
    <s v="Nyabarongo Upstream Sub-Catchment"/>
    <n v="3153.6000000000004"/>
  </r>
  <r>
    <x v="3"/>
    <s v="RUSHIME"/>
    <s v="Public"/>
    <x v="0"/>
    <s v="Ngororero"/>
    <s v="Kavumu"/>
    <s v="NNYU_3"/>
    <s v="Nyabarongo Upstream Sub-Catchment"/>
    <n v="1261.44"/>
  </r>
  <r>
    <x v="3"/>
    <s v="NYARUKOMBE"/>
    <s v="Public"/>
    <x v="0"/>
    <s v="Ngororero"/>
    <s v="Kavumu"/>
    <s v="NNYU_3"/>
    <s v="Nyabarongo Upstream Sub-Catchment"/>
    <n v="2049.84"/>
  </r>
  <r>
    <x v="3"/>
    <s v="RYARUHAYA"/>
    <s v="Public"/>
    <x v="0"/>
    <s v="Ngororero"/>
    <s v="Kavumu"/>
    <s v="NNYU_3"/>
    <s v="Nyabarongo Upstream Sub-Catchment"/>
    <n v="946.08"/>
  </r>
  <r>
    <x v="3"/>
    <s v="RUBURANKONO"/>
    <s v="Public"/>
    <x v="0"/>
    <s v="Ngororero"/>
    <s v="Kavumu"/>
    <s v="NNYU_3"/>
    <s v="Nyabarongo Upstream Sub-Catchment"/>
    <n v="788.40000000000009"/>
  </r>
  <r>
    <x v="3"/>
    <s v="RUYOVE"/>
    <s v="Public"/>
    <x v="0"/>
    <s v="Ngororero"/>
    <s v="Kavumu"/>
    <s v="NNYU_3"/>
    <s v="Nyabarongo Upstream Sub-Catchment"/>
    <n v="1576.8000000000002"/>
  </r>
  <r>
    <x v="3"/>
    <s v="GITABA I"/>
    <s v="Public"/>
    <x v="0"/>
    <s v="Ngororero"/>
    <s v="Kavumu"/>
    <s v="NNYU_3"/>
    <s v="Nyabarongo Upstream Sub-Catchment"/>
    <n v="315.36"/>
  </r>
  <r>
    <x v="3"/>
    <s v="BAHINDA"/>
    <s v="Public"/>
    <x v="0"/>
    <s v="Ngororero"/>
    <s v="Kavumu"/>
    <s v="NNYU_3"/>
    <s v="Nyabarongo Upstream Sub-Catchment"/>
    <n v="788.40000000000009"/>
  </r>
  <r>
    <x v="3"/>
    <s v="RWUBIKA"/>
    <s v="Public"/>
    <x v="0"/>
    <s v="Ngororero"/>
    <s v="Kavumu"/>
    <s v="NNYU_3"/>
    <s v="Nyabarongo Upstream Sub-Catchment"/>
    <n v="473.04"/>
  </r>
  <r>
    <x v="3"/>
    <s v="NZEBE II"/>
    <s v="Public"/>
    <x v="0"/>
    <s v="Ngororero"/>
    <s v="Kavumu"/>
    <s v="NNYU_3"/>
    <s v="Nyabarongo Upstream Sub-Catchment"/>
    <n v="946.08"/>
  </r>
  <r>
    <x v="3"/>
    <s v="GASEKE"/>
    <s v="Public"/>
    <x v="0"/>
    <s v="Ngororero"/>
    <s v="Kavumu"/>
    <s v="NNYU_3"/>
    <s v="Nyabarongo Upstream Sub-Catchment"/>
    <n v="1419.12"/>
  </r>
  <r>
    <x v="3"/>
    <s v="RUKINGU"/>
    <s v="Public"/>
    <x v="0"/>
    <s v="Ngororero"/>
    <s v="Kavumu"/>
    <s v="NNYU_3"/>
    <s v="Nyabarongo Upstream Sub-Catchment"/>
    <n v="315.36"/>
  </r>
  <r>
    <x v="3"/>
    <s v="NZEBE I"/>
    <s v="Public"/>
    <x v="0"/>
    <s v="Ngororero"/>
    <s v="Kavumu"/>
    <s v="NNYU_3"/>
    <s v="Nyabarongo Upstream Sub-Catchment"/>
    <n v="3942.0000000000005"/>
  </r>
  <r>
    <x v="3"/>
    <s v="NYARAMBA"/>
    <s v="Public"/>
    <x v="0"/>
    <s v="Ngororero"/>
    <s v="Kavumu"/>
    <s v="NNYU_3"/>
    <s v="Nyabarongo Upstream Sub-Catchment"/>
    <n v="3153.6000000000004"/>
  </r>
  <r>
    <x v="3"/>
    <s v="NYAKIBYEYI"/>
    <s v="Public"/>
    <x v="0"/>
    <s v="Ngororero"/>
    <s v="Kavumu"/>
    <s v="NNYU_3"/>
    <s v="Nyabarongo Upstream Sub-Catchment"/>
    <n v="1576.8000000000002"/>
  </r>
  <r>
    <x v="3"/>
    <s v="GITABA II"/>
    <s v="Public"/>
    <x v="0"/>
    <s v="Ngororero"/>
    <s v="Kavumu"/>
    <s v="NNYU_3"/>
    <s v="Nyabarongo Upstream Sub-Catchment"/>
    <n v="1261.44"/>
  </r>
  <r>
    <x v="3"/>
    <s v="KAGENDA"/>
    <s v="Public"/>
    <x v="0"/>
    <s v="Ngororero"/>
    <s v="Kavumu"/>
    <s v="NNYU_3"/>
    <s v="Nyabarongo Upstream Sub-Catchment"/>
    <n v="630.72"/>
  </r>
  <r>
    <x v="3"/>
    <s v="KIBVUGIZA"/>
    <s v="Public"/>
    <x v="0"/>
    <s v="Ngororero"/>
    <s v="Kavumu"/>
    <s v="NNYU_3"/>
    <s v="Nyabarongo Upstream Sub-Catchment"/>
    <n v="946.08"/>
  </r>
  <r>
    <x v="3"/>
    <s v="KIGINA"/>
    <s v="Public"/>
    <x v="0"/>
    <s v="Ngororero"/>
    <s v="Kavumu"/>
    <s v="NNYU_3"/>
    <s v="Nyabarongo Upstream Sub-Catchment"/>
    <n v="3153.6000000000004"/>
  </r>
  <r>
    <x v="3"/>
    <s v="MASOGI"/>
    <s v="Public"/>
    <x v="0"/>
    <s v="Ngororero"/>
    <s v="Kavumu"/>
    <s v="NNYU_3"/>
    <s v="Nyabarongo Upstream Sub-Catchment"/>
    <n v="946.08"/>
  </r>
  <r>
    <x v="3"/>
    <s v="KANGOMA"/>
    <s v="Public"/>
    <x v="0"/>
    <s v="Ngororero"/>
    <s v="Kavumu"/>
    <s v="NNYU_3"/>
    <s v="Nyabarongo Upstream Sub-Catchment"/>
    <n v="788.40000000000009"/>
  </r>
  <r>
    <x v="3"/>
    <s v="RWIMFIZI"/>
    <s v="Public"/>
    <x v="0"/>
    <s v="Ngororero"/>
    <s v="Kavumu"/>
    <s v="NNYU_3"/>
    <s v="Nyabarongo Upstream Sub-Catchment"/>
    <n v="1419.12"/>
  </r>
  <r>
    <x v="3"/>
    <s v="MASOGI"/>
    <s v="Public"/>
    <x v="0"/>
    <s v="Ngororero"/>
    <s v="Kavumu"/>
    <s v="NNYU_3"/>
    <s v="Nyabarongo Upstream Sub-Catchment"/>
    <n v="946.08"/>
  </r>
  <r>
    <x v="3"/>
    <s v="KADOBOGO B"/>
    <s v="Public"/>
    <x v="0"/>
    <s v="Ngororero"/>
    <s v="Kavumu"/>
    <s v="NNYU_3"/>
    <s v="Nyabarongo Upstream Sub-Catchment"/>
    <n v="1419.12"/>
  </r>
  <r>
    <x v="3"/>
    <s v="GATOKI"/>
    <s v="Public"/>
    <x v="0"/>
    <s v="Ngororero"/>
    <s v="Kavumu"/>
    <s v="NNYU_3"/>
    <s v="Nyabarongo Upstream Sub-Catchment"/>
    <n v="946.08"/>
  </r>
  <r>
    <x v="3"/>
    <s v="MASOGI I"/>
    <s v="Public"/>
    <x v="0"/>
    <s v="Ngororero"/>
    <s v="Kavumu"/>
    <s v="NNYU_3"/>
    <s v="Nyabarongo Upstream Sub-Catchment"/>
    <n v="2522.88"/>
  </r>
  <r>
    <x v="3"/>
    <s v="RUBAYATI  I"/>
    <s v="Public"/>
    <x v="0"/>
    <s v="Ngororero"/>
    <s v="Kavumu"/>
    <s v="NNYU_3"/>
    <s v="Nyabarongo Upstream Sub-Catchment"/>
    <n v="1261.44"/>
  </r>
  <r>
    <x v="3"/>
    <s v="RUNGO I"/>
    <s v="Public"/>
    <x v="0"/>
    <s v="Ngororero"/>
    <s v="Kavumu"/>
    <s v="NNYU_3"/>
    <s v="Nyabarongo Upstream Sub-Catchment"/>
    <n v="2207.5200000000004"/>
  </r>
  <r>
    <x v="3"/>
    <s v="RUNGO  II"/>
    <s v="Public"/>
    <x v="0"/>
    <s v="Ngororero"/>
    <s v="Kavumu"/>
    <s v="NNYU_3"/>
    <s v="Nyabarongo Upstream Sub-Catchment"/>
    <n v="1103.7600000000002"/>
  </r>
  <r>
    <x v="3"/>
    <s v="KADOBOGO"/>
    <s v="Public"/>
    <x v="0"/>
    <s v="Ngororero"/>
    <s v="Kavumu"/>
    <s v="NNYU_3"/>
    <s v="Nyabarongo Upstream Sub-Catchment"/>
    <n v="1419.12"/>
  </r>
  <r>
    <x v="3"/>
    <s v="GASHAKI"/>
    <s v="Public"/>
    <x v="0"/>
    <s v="Ngororero"/>
    <s v="Kavumu"/>
    <s v="NNYU_3"/>
    <s v="Nyabarongo Upstream Sub-Catchment"/>
    <n v="1576.8000000000002"/>
  </r>
  <r>
    <x v="3"/>
    <s v="GATARE"/>
    <s v="Public"/>
    <x v="0"/>
    <s v="Ngororero"/>
    <s v="Kavumu"/>
    <s v="NNYU_3"/>
    <s v="Nyabarongo Upstream Sub-Catchment"/>
    <n v="630.72"/>
  </r>
  <r>
    <x v="3"/>
    <s v="GIHONNYO"/>
    <s v="Public"/>
    <x v="0"/>
    <s v="Ngororero"/>
    <s v="Kavumu"/>
    <s v="NNYU_3"/>
    <s v="Nyabarongo Upstream Sub-Catchment"/>
    <n v="788.40000000000009"/>
  </r>
  <r>
    <x v="3"/>
    <s v="MURIMBA I"/>
    <s v="Public"/>
    <x v="0"/>
    <s v="Ngororero"/>
    <s v="Kavumu"/>
    <s v="NNYU_3"/>
    <s v="Nyabarongo Upstream Sub-Catchment"/>
    <n v="946.08"/>
  </r>
  <r>
    <x v="3"/>
    <s v="KADOBOGO C"/>
    <s v="Public"/>
    <x v="0"/>
    <s v="Ngororero"/>
    <s v="Kavumu"/>
    <s v="NNYU_3"/>
    <s v="Nyabarongo Upstream Sub-Catchment"/>
    <n v="315.36"/>
  </r>
  <r>
    <x v="3"/>
    <s v="KANKERI"/>
    <s v="Public"/>
    <x v="0"/>
    <s v="Ngororero"/>
    <s v="Kavumu"/>
    <s v="NNYU_3"/>
    <s v="Nyabarongo Upstream Sub-Catchment"/>
    <n v="4730.4000000000005"/>
  </r>
  <r>
    <x v="3"/>
    <s v="RUSASA"/>
    <s v="Public"/>
    <x v="0"/>
    <s v="Ngororero"/>
    <s v="Kavumu"/>
    <s v="NNYU_3"/>
    <s v="Nyabarongo Upstream Sub-Catchment"/>
    <n v="1576.8000000000002"/>
  </r>
  <r>
    <x v="3"/>
    <s v="RUKOMBE"/>
    <s v="Public"/>
    <x v="0"/>
    <s v="Ngororero"/>
    <s v="Kavumu"/>
    <s v="NNYU_3"/>
    <s v="Nyabarongo Upstream Sub-Catchment"/>
    <n v="3153.6000000000004"/>
  </r>
  <r>
    <x v="3"/>
    <s v="RUKOMBE"/>
    <s v="Public"/>
    <x v="0"/>
    <s v="Ngororero"/>
    <s v="Kavumu"/>
    <s v="NNYU_3"/>
    <s v="Nyabarongo Upstream Sub-Catchment"/>
    <n v="3153.6000000000004"/>
  </r>
  <r>
    <x v="3"/>
    <s v="KUMURANGARA"/>
    <s v="Public"/>
    <x v="0"/>
    <s v="Ngororero"/>
    <s v="Kavumu"/>
    <s v="NNYU_3"/>
    <s v="Nyabarongo Upstream Sub-Catchment"/>
    <n v="630.72"/>
  </r>
  <r>
    <x v="3"/>
    <s v="MURIMBA II"/>
    <s v="Public"/>
    <x v="0"/>
    <s v="Ngororero"/>
    <s v="Kavumu"/>
    <s v="NNYU_3"/>
    <s v="Nyabarongo Upstream Sub-Catchment"/>
    <n v="1103.7600000000002"/>
  </r>
  <r>
    <x v="3"/>
    <s v="RUSAHAGA"/>
    <s v="Public"/>
    <x v="0"/>
    <s v="Ngororero"/>
    <s v="Kavumu"/>
    <s v="NNYU_3"/>
    <s v="Nyabarongo Upstream Sub-Catchment"/>
    <n v="2522.88"/>
  </r>
  <r>
    <x v="3"/>
    <s v="KATARAZA"/>
    <s v="Public"/>
    <x v="0"/>
    <s v="Ngororero"/>
    <s v="Kavumu"/>
    <s v="NNYU_3"/>
    <s v="Nyabarongo Upstream Sub-Catchment"/>
    <n v="1576.8000000000002"/>
  </r>
  <r>
    <x v="3"/>
    <s v="KATARAZA"/>
    <s v="Public"/>
    <x v="0"/>
    <s v="Ngororero"/>
    <s v="Kavumu"/>
    <s v="NNYU_3"/>
    <s v="Nyabarongo Upstream Sub-Catchment"/>
    <n v="1576.8000000000002"/>
  </r>
  <r>
    <x v="3"/>
    <s v="KUKAMANDI"/>
    <s v="Public"/>
    <x v="0"/>
    <s v="Ngororero"/>
    <s v="Kavumu"/>
    <s v="NNYU_3"/>
    <s v="Nyabarongo Upstream Sub-Catchment"/>
    <n v="946.08"/>
  </r>
  <r>
    <x v="3"/>
    <s v="MURIMBA III"/>
    <s v="Public"/>
    <x v="0"/>
    <s v="Ngororero"/>
    <s v="Kavumu"/>
    <s v="NNYU_3"/>
    <s v="Nyabarongo Upstream Sub-Catchment"/>
    <n v="1261.44"/>
  </r>
  <r>
    <x v="3"/>
    <s v="KUGAKENERO"/>
    <s v="Public"/>
    <x v="0"/>
    <s v="Ngororero"/>
    <s v="Kavumu"/>
    <s v="NNYU_3"/>
    <s v="Nyabarongo Upstream Sub-Catchment"/>
    <n v="946.08"/>
  </r>
  <r>
    <x v="3"/>
    <s v="NYAMUGEYO"/>
    <s v="Public"/>
    <x v="0"/>
    <s v="Ngororero"/>
    <s v="Kavumu"/>
    <s v="NNYU_3"/>
    <s v="Nyabarongo Upstream Sub-Catchment"/>
    <n v="2522.88"/>
  </r>
  <r>
    <x v="3"/>
    <s v="KABERE A"/>
    <s v="Public"/>
    <x v="0"/>
    <s v="Ngororero"/>
    <s v="Kavumu"/>
    <s v="NNYU_3"/>
    <s v="Nyabarongo Upstream Sub-Catchment"/>
    <n v="788.40000000000009"/>
  </r>
  <r>
    <x v="3"/>
    <s v="KINYAMIHANDA"/>
    <s v="Public"/>
    <x v="0"/>
    <s v="Ngororero"/>
    <s v="Kavumu"/>
    <s v="NNYU_3"/>
    <s v="Nyabarongo Upstream Sub-Catchment"/>
    <n v="3942.0000000000005"/>
  </r>
  <r>
    <x v="3"/>
    <s v="KINYAMAHINDA"/>
    <s v="Public"/>
    <x v="0"/>
    <s v="Ngororero"/>
    <s v="Kavumu"/>
    <s v="NNYU_3"/>
    <s v="Nyabarongo Upstream Sub-Catchment"/>
    <n v="3942.0000000000005"/>
  </r>
  <r>
    <x v="3"/>
    <s v="KABERE B"/>
    <s v="Public"/>
    <x v="0"/>
    <s v="Ngororero"/>
    <s v="Kavumu"/>
    <s v="NNYU_3"/>
    <s v="Nyabarongo Upstream Sub-Catchment"/>
    <n v="1576.8000000000002"/>
  </r>
  <r>
    <x v="3"/>
    <s v="GIKOMBE"/>
    <s v="Public"/>
    <x v="0"/>
    <s v="Ngororero"/>
    <s v="Kavumu"/>
    <s v="NNYU_3"/>
    <s v="Nyabarongo Upstream Sub-Catchment"/>
    <n v="3942.0000000000005"/>
  </r>
  <r>
    <x v="3"/>
    <s v="RUGARAMA B"/>
    <s v="Public"/>
    <x v="0"/>
    <s v="Ngororero"/>
    <s v="Kavumu"/>
    <s v="NNYU_3"/>
    <s v="Nyabarongo Upstream Sub-Catchment"/>
    <n v="2365.2000000000003"/>
  </r>
  <r>
    <x v="3"/>
    <s v="AKABAJYANA"/>
    <s v="Public"/>
    <x v="0"/>
    <s v="Ngororero"/>
    <s v="Kavumu"/>
    <s v="NNYU_3"/>
    <s v="Nyabarongo Upstream Sub-Catchment"/>
    <n v="1261.44"/>
  </r>
  <r>
    <x v="3"/>
    <s v="KABAYE"/>
    <s v="Public"/>
    <x v="0"/>
    <s v="Ngororero"/>
    <s v="Kavumu"/>
    <s v="NNYU_3"/>
    <s v="Nyabarongo Upstream Sub-Catchment"/>
    <n v="1103.7600000000002"/>
  </r>
  <r>
    <x v="3"/>
    <s v="RUGARAMA A"/>
    <s v="Public"/>
    <x v="0"/>
    <s v="Ngororero"/>
    <s v="Kavumu"/>
    <s v="NNYU_3"/>
    <s v="Nyabarongo Upstream Sub-Catchment"/>
    <n v="1576.8000000000002"/>
  </r>
  <r>
    <x v="3"/>
    <s v="RYARUHEMBE I"/>
    <s v="Public"/>
    <x v="0"/>
    <s v="Ngororero"/>
    <s v="Kavumu"/>
    <s v="NNYU_3"/>
    <s v="Nyabarongo Upstream Sub-Catchment"/>
    <n v="788.40000000000009"/>
  </r>
  <r>
    <x v="3"/>
    <s v="RUNABA"/>
    <s v="Public"/>
    <x v="0"/>
    <s v="Ngororero"/>
    <s v="Kavumu"/>
    <s v="NNYU_3"/>
    <s v="Nyabarongo Upstream Sub-Catchment"/>
    <n v="3153.6000000000004"/>
  </r>
  <r>
    <x v="3"/>
    <s v="KIBITARE"/>
    <s v="Public"/>
    <x v="0"/>
    <s v="Ngororero"/>
    <s v="Kavumu"/>
    <s v="NNYU_3"/>
    <s v="Nyabarongo Upstream Sub-Catchment"/>
    <n v="1892.16"/>
  </r>
  <r>
    <x v="3"/>
    <s v="GAHAMA"/>
    <s v="Public"/>
    <x v="0"/>
    <s v="Ngororero"/>
    <s v="Kavumu"/>
    <s v="NNYU_3"/>
    <s v="Nyabarongo Upstream Sub-Catchment"/>
    <n v="1734.4800000000002"/>
  </r>
  <r>
    <x v="3"/>
    <s v="NYAGISOZI"/>
    <s v="Public"/>
    <x v="0"/>
    <s v="Ngororero"/>
    <s v="Kavumu"/>
    <s v="NNYU_3"/>
    <s v="Nyabarongo Upstream Sub-Catchment"/>
    <n v="946.08"/>
  </r>
  <r>
    <x v="3"/>
    <s v="RUTOYI"/>
    <s v="Public"/>
    <x v="0"/>
    <s v="Ngororero"/>
    <s v="Kavumu"/>
    <s v="NNYU_3"/>
    <s v="Nyabarongo Upstream Sub-Catchment"/>
    <n v="2522.88"/>
  </r>
  <r>
    <x v="3"/>
    <s v="MWUMBA"/>
    <s v="Public"/>
    <x v="0"/>
    <s v="Ngororero"/>
    <s v="Kavumu"/>
    <s v="NNYU_3"/>
    <s v="Nyabarongo Upstream Sub-Catchment"/>
    <n v="1103.7600000000002"/>
  </r>
  <r>
    <x v="3"/>
    <s v="MARYOHA I"/>
    <s v="Public"/>
    <x v="0"/>
    <s v="Ngororero"/>
    <s v="Kavumu"/>
    <s v="NNYU_3"/>
    <s v="Nyabarongo Upstream Sub-Catchment"/>
    <n v="4730.4000000000005"/>
  </r>
  <r>
    <x v="3"/>
    <s v="KABEZA"/>
    <s v="Public"/>
    <x v="0"/>
    <s v="Ngororero"/>
    <s v="Kavumu"/>
    <s v="NNYU_3"/>
    <s v="Nyabarongo Upstream Sub-Catchment"/>
    <n v="2522.88"/>
  </r>
  <r>
    <x v="3"/>
    <s v="MUKENKE"/>
    <s v="Public"/>
    <x v="0"/>
    <s v="Ngororero"/>
    <s v="Kavumu"/>
    <s v="NNYU_3"/>
    <s v="Nyabarongo Upstream Sub-Catchment"/>
    <n v="1576.8000000000002"/>
  </r>
  <r>
    <x v="3"/>
    <s v="REMERA"/>
    <s v="Public"/>
    <x v="0"/>
    <s v="Ngororero"/>
    <s v="Kavumu"/>
    <s v="NNYU_3"/>
    <s v="Nyabarongo Upstream Sub-Catchment"/>
    <n v="3153.6000000000004"/>
  </r>
  <r>
    <x v="3"/>
    <s v="NYAMUSENYI A"/>
    <s v="Public"/>
    <x v="0"/>
    <s v="Ngororero"/>
    <s v="Kavumu"/>
    <s v="NNYU_3"/>
    <s v="Nyabarongo Upstream Sub-Catchment"/>
    <n v="4730.4000000000005"/>
  </r>
  <r>
    <x v="3"/>
    <s v="RURAMBO"/>
    <s v="Public"/>
    <x v="0"/>
    <s v="Ngororero"/>
    <s v="Kavumu"/>
    <s v="NNYU_3"/>
    <s v="Nyabarongo Upstream Sub-Catchment"/>
    <n v="788.40000000000009"/>
  </r>
  <r>
    <x v="3"/>
    <s v="NYAMUSENYI B"/>
    <s v="Public"/>
    <x v="0"/>
    <s v="Ngororero"/>
    <s v="Kavumu"/>
    <s v="NNYU_3"/>
    <s v="Nyabarongo Upstream Sub-Catchment"/>
    <n v="5045.76"/>
  </r>
  <r>
    <x v="3"/>
    <s v="TETERO"/>
    <s v="Public"/>
    <x v="0"/>
    <s v="Ngororero"/>
    <s v="Kavumu"/>
    <s v="NNYU_3"/>
    <s v="Nyabarongo Upstream Sub-Catchment"/>
    <n v="788.40000000000009"/>
  </r>
  <r>
    <x v="3"/>
    <s v="KIMBATURA"/>
    <s v="Public"/>
    <x v="0"/>
    <s v="Ngororero"/>
    <s v="Kavumu"/>
    <s v="NNYU_3"/>
    <s v="Nyabarongo Upstream Sub-Catchment"/>
    <n v="1892.16"/>
  </r>
  <r>
    <x v="3"/>
    <s v="NYAMYIJIMA"/>
    <s v="Public"/>
    <x v="0"/>
    <s v="Ngororero"/>
    <s v="Kavumu"/>
    <s v="NNYU_3"/>
    <s v="Nyabarongo Upstream Sub-Catchment"/>
    <n v="1261.44"/>
  </r>
  <r>
    <x v="3"/>
    <s v="MURWUNGA"/>
    <s v="Public"/>
    <x v="0"/>
    <s v="Ngororero"/>
    <s v="Kavumu"/>
    <s v="NNYU_3"/>
    <s v="Nyabarongo Upstream Sub-Catchment"/>
    <n v="2838.24"/>
  </r>
  <r>
    <x v="3"/>
    <s v="RURARA"/>
    <s v="Public"/>
    <x v="0"/>
    <s v="Ngororero"/>
    <s v="Kavumu"/>
    <s v="NNYU_3"/>
    <s v="Nyabarongo Upstream Sub-Catchment"/>
    <n v="788.40000000000009"/>
  </r>
  <r>
    <x v="3"/>
    <s v="KITUMVA"/>
    <s v="Public"/>
    <x v="0"/>
    <s v="Ngororero"/>
    <s v="Kavumu"/>
    <s v="NNYU_3"/>
    <s v="Nyabarongo Upstream Sub-Catchment"/>
    <n v="2049.84"/>
  </r>
  <r>
    <x v="3"/>
    <s v="RUSHUBI  I"/>
    <s v="Public"/>
    <x v="0"/>
    <s v="Ngororero"/>
    <s v="Kavumu"/>
    <s v="NNYU_3"/>
    <s v="Nyabarongo Upstream Sub-Catchment"/>
    <n v="3153.6000000000004"/>
  </r>
  <r>
    <x v="3"/>
    <s v="RUTABATE"/>
    <s v="Public"/>
    <x v="0"/>
    <s v="Ngororero"/>
    <s v="Kavumu"/>
    <s v="NNYU_3"/>
    <s v="Nyabarongo Upstream Sub-Catchment"/>
    <n v="1892.16"/>
  </r>
  <r>
    <x v="3"/>
    <s v="BIVUMU"/>
    <s v="Public"/>
    <x v="0"/>
    <s v="Ngororero"/>
    <s v="Kavumu"/>
    <s v="NNYU_3"/>
    <s v="Nyabarongo Upstream Sub-Catchment"/>
    <n v="2207.5200000000004"/>
  </r>
  <r>
    <x v="3"/>
    <s v="MUZINGO"/>
    <s v="Public"/>
    <x v="0"/>
    <s v="Ngororero"/>
    <s v="Kavumu"/>
    <s v="NNYU_3"/>
    <s v="Nyabarongo Upstream Sub-Catchment"/>
    <n v="2522.88"/>
  </r>
  <r>
    <x v="3"/>
    <s v="KIBUYE"/>
    <s v="Public"/>
    <x v="0"/>
    <s v="Ngororero"/>
    <s v="Kavumu"/>
    <s v="NNYU_3"/>
    <s v="Nyabarongo Upstream Sub-Catchment"/>
    <n v="3153.6000000000004"/>
  </r>
  <r>
    <x v="3"/>
    <s v="KAZIRAMISOROMO"/>
    <s v="Public"/>
    <x v="0"/>
    <s v="Ngororero"/>
    <s v="Kavumu"/>
    <s v="NNYU_3"/>
    <s v="Nyabarongo Upstream Sub-Catchment"/>
    <n v="4730.4000000000005"/>
  </r>
  <r>
    <x v="3"/>
    <s v="RUBUMBA"/>
    <s v="Public"/>
    <x v="0"/>
    <s v="Ngororero"/>
    <s v="Kavumu"/>
    <s v="NNYU_3"/>
    <s v="Nyabarongo Upstream Sub-Catchment"/>
    <n v="6307.2000000000007"/>
  </r>
  <r>
    <x v="3"/>
    <s v="NYAKARIBA"/>
    <s v="Public"/>
    <x v="0"/>
    <s v="Nyanza"/>
    <s v="Kigoma"/>
    <s v="NNYU_3"/>
    <s v="Nyabarongo Upstream Sub-Catchment"/>
    <n v="2207.5200000000004"/>
  </r>
  <r>
    <x v="3"/>
    <s v="NYAMUGALI"/>
    <s v="Public"/>
    <x v="0"/>
    <s v="Nyanza"/>
    <s v="Kigoma"/>
    <s v="NNYU_3"/>
    <s v="Nyabarongo Upstream Sub-Catchment"/>
    <n v="4730.4000000000005"/>
  </r>
  <r>
    <x v="3"/>
    <s v="MURUGOMERO"/>
    <s v="Public"/>
    <x v="0"/>
    <s v="Nyanza"/>
    <s v="Kigoma"/>
    <s v="NNYU_3"/>
    <s v="Nyabarongo Upstream Sub-Catchment"/>
    <n v="788.40000000000009"/>
  </r>
  <r>
    <x v="3"/>
    <s v="GATARE"/>
    <s v="Public"/>
    <x v="0"/>
    <s v="Nyanza"/>
    <s v="Kigoma"/>
    <s v="NNYU_3"/>
    <s v="Nyabarongo Upstream Sub-Catchment"/>
    <n v="1734.4800000000002"/>
  </r>
  <r>
    <x v="3"/>
    <s v="KIRUHURA"/>
    <s v="Public"/>
    <x v="0"/>
    <s v="Nyanza"/>
    <s v="Kigoma"/>
    <s v="NNYU_3"/>
    <s v="Nyabarongo Upstream Sub-Catchment"/>
    <n v="788.40000000000009"/>
  </r>
  <r>
    <x v="3"/>
    <s v="NANGA"/>
    <s v="Public"/>
    <x v="0"/>
    <s v="Nyanza"/>
    <s v="Kigoma"/>
    <s v="NNYU_3"/>
    <s v="Nyabarongo Upstream Sub-Catchment"/>
    <n v="1261.44"/>
  </r>
  <r>
    <x v="3"/>
    <s v="NYAGATOKI"/>
    <s v="Public"/>
    <x v="0"/>
    <s v="Nyanza"/>
    <s v="Kigoma"/>
    <s v="NNYU_3"/>
    <s v="Nyabarongo Upstream Sub-Catchment"/>
    <n v="630.72"/>
  </r>
  <r>
    <x v="3"/>
    <s v="KWAKAMBANDA"/>
    <s v="Public"/>
    <x v="0"/>
    <s v="Nyanza"/>
    <s v="Kigoma"/>
    <s v="NNYU_3"/>
    <s v="Nyabarongo Upstream Sub-Catchment"/>
    <n v="946.08"/>
  </r>
  <r>
    <x v="3"/>
    <s v="NYAGATOKI"/>
    <s v="Public"/>
    <x v="0"/>
    <s v="Nyanza"/>
    <s v="Kigoma"/>
    <s v="NNYU_3"/>
    <s v="Nyabarongo Upstream Sub-Catchment"/>
    <n v="946.08"/>
  </r>
  <r>
    <x v="3"/>
    <s v="NYIRAMIRISHYO"/>
    <s v="Public"/>
    <x v="0"/>
    <s v="Nyanza"/>
    <s v="Kigoma"/>
    <s v="NNYU_3"/>
    <s v="Nyabarongo Upstream Sub-Catchment"/>
    <n v="2995.92"/>
  </r>
  <r>
    <x v="3"/>
    <s v="NYIRAMITOBE"/>
    <s v="Public"/>
    <x v="0"/>
    <s v="Nyanza"/>
    <s v="Kigoma"/>
    <s v="NNYU_3"/>
    <s v="Nyabarongo Upstream Sub-Catchment"/>
    <n v="4730.4000000000005"/>
  </r>
  <r>
    <x v="3"/>
    <s v="GAKUMBI"/>
    <s v="Public"/>
    <x v="0"/>
    <s v="Nyanza"/>
    <s v="Kigoma"/>
    <s v="NNYU_3"/>
    <s v="Nyabarongo Upstream Sub-Catchment"/>
    <n v="788.40000000000009"/>
  </r>
  <r>
    <x v="3"/>
    <s v="KIBABA"/>
    <s v="Public"/>
    <x v="0"/>
    <s v="Nyanza"/>
    <s v="Kigoma"/>
    <s v="NNYU_3"/>
    <s v="Nyabarongo Upstream Sub-Catchment"/>
    <n v="1419.12"/>
  </r>
  <r>
    <x v="3"/>
    <s v="MUBAGISHWI"/>
    <s v="Public"/>
    <x v="0"/>
    <s v="Nyanza"/>
    <s v="Kigoma"/>
    <s v="NNYU_3"/>
    <s v="Nyabarongo Upstream Sub-Catchment"/>
    <n v="15137.28"/>
  </r>
  <r>
    <x v="3"/>
    <s v="GAKONI"/>
    <s v="Public"/>
    <x v="0"/>
    <s v="Nyanza"/>
    <s v="Kigoma"/>
    <s v="NNYU_3"/>
    <s v="Nyabarongo Upstream Sub-Catchment"/>
    <n v="1734.4800000000002"/>
  </r>
  <r>
    <x v="3"/>
    <s v="MUGENDAJORO"/>
    <s v="Public"/>
    <x v="0"/>
    <s v="Nyanza"/>
    <s v="Kigoma"/>
    <s v="NNYU_3"/>
    <s v="Nyabarongo Upstream Sub-Catchment"/>
    <n v="1103.7600000000002"/>
  </r>
  <r>
    <x v="3"/>
    <s v="RWAMATEKE"/>
    <s v="Public"/>
    <x v="0"/>
    <s v="Nyanza"/>
    <s v="Kigoma"/>
    <s v="NNYU_3"/>
    <s v="Nyabarongo Upstream Sub-Catchment"/>
    <n v="0"/>
  </r>
  <r>
    <x v="3"/>
    <s v="GATOGOTO"/>
    <s v="Public"/>
    <x v="0"/>
    <s v="Nyanza"/>
    <s v="Kigoma"/>
    <s v="NNYU_3"/>
    <s v="Nyabarongo Upstream Sub-Catchment"/>
    <n v="2522.88"/>
  </r>
  <r>
    <x v="3"/>
    <s v="NKUNDUMULIMBO"/>
    <s v="Public"/>
    <x v="0"/>
    <s v="Nyanza"/>
    <s v="Kigoma"/>
    <s v="NNYU_3"/>
    <s v="Nyabarongo Upstream Sub-Catchment"/>
    <n v="2995.92"/>
  </r>
  <r>
    <x v="3"/>
    <s v="AKARYOSHYA"/>
    <s v="Public"/>
    <x v="0"/>
    <s v="Nyanza"/>
    <s v="Kigoma"/>
    <s v="NNYU_3"/>
    <s v="Nyabarongo Upstream Sub-Catchment"/>
    <n v="630.72"/>
  </r>
  <r>
    <x v="3"/>
    <s v="NYIRANDIHE"/>
    <s v="Public"/>
    <x v="0"/>
    <s v="Nyanza"/>
    <s v="Kigoma"/>
    <s v="NNYU_3"/>
    <s v="Nyabarongo Upstream Sub-Catchment"/>
    <n v="1734.4800000000002"/>
  </r>
  <r>
    <x v="3"/>
    <s v="KANOBORI"/>
    <s v="Public"/>
    <x v="0"/>
    <s v="Nyanza"/>
    <s v="Kigoma"/>
    <s v="NNYU_3"/>
    <s v="Nyabarongo Upstream Sub-Catchment"/>
    <n v="4888.0800000000008"/>
  </r>
  <r>
    <x v="3"/>
    <s v="KAVOMO"/>
    <s v="Public"/>
    <x v="0"/>
    <s v="Nyanza"/>
    <s v="Kigoma"/>
    <s v="NNYU_3"/>
    <s v="Nyabarongo Upstream Sub-Catchment"/>
    <n v="788.40000000000009"/>
  </r>
  <r>
    <x v="3"/>
    <s v="TEMBOGAZA"/>
    <s v="Public"/>
    <x v="0"/>
    <s v="Nyanza"/>
    <s v="Kigoma"/>
    <s v="NNYU_3"/>
    <s v="Nyabarongo Upstream Sub-Catchment"/>
    <n v="788.40000000000009"/>
  </r>
  <r>
    <x v="3"/>
    <s v="BUSESA"/>
    <s v="Public"/>
    <x v="0"/>
    <s v="Nyanza"/>
    <s v="Kigoma"/>
    <s v="NNYU_3"/>
    <s v="Nyabarongo Upstream Sub-Catchment"/>
    <n v="315.36"/>
  </r>
  <r>
    <x v="3"/>
    <s v="GISANIGWE"/>
    <s v="Public"/>
    <x v="0"/>
    <s v="Nyanza"/>
    <s v="Kigoma"/>
    <s v="NNYU_3"/>
    <s v="Nyabarongo Upstream Sub-Catchment"/>
    <n v="630.72"/>
  </r>
  <r>
    <x v="3"/>
    <s v="RWARUSHARI"/>
    <s v="Public"/>
    <x v="0"/>
    <s v="Nyanza"/>
    <s v="Kigoma"/>
    <s v="NNYU_3"/>
    <s v="Nyabarongo Upstream Sub-Catchment"/>
    <n v="1261.44"/>
  </r>
  <r>
    <x v="3"/>
    <s v="KITABAYE"/>
    <s v="Public"/>
    <x v="0"/>
    <s v="Nyanza"/>
    <s v="Kigoma"/>
    <s v="NNYU_3"/>
    <s v="Nyabarongo Upstream Sub-Catchment"/>
    <n v="157.68"/>
  </r>
  <r>
    <x v="3"/>
    <s v="MWOGO"/>
    <s v="Public"/>
    <x v="0"/>
    <s v="Nyanza"/>
    <s v="Kigoma"/>
    <s v="NNYU_3"/>
    <s v="Nyabarongo Upstream Sub-Catchment"/>
    <n v="2522.88"/>
  </r>
  <r>
    <x v="3"/>
    <s v="RWAMUGOMBA"/>
    <s v="Public"/>
    <x v="0"/>
    <s v="Nyanza"/>
    <s v="Kigoma"/>
    <s v="NNYU_3"/>
    <s v="Nyabarongo Upstream Sub-Catchment"/>
    <n v="1419.12"/>
  </r>
  <r>
    <x v="3"/>
    <s v="KAGINA"/>
    <s v="Public"/>
    <x v="0"/>
    <s v="Nyanza"/>
    <s v="Kigoma"/>
    <s v="NNYU_3"/>
    <s v="Nyabarongo Upstream Sub-Catchment"/>
    <n v="788.40000000000009"/>
  </r>
  <r>
    <x v="3"/>
    <s v="RYANKANGURA"/>
    <s v="Public"/>
    <x v="0"/>
    <s v="Nyanza"/>
    <s v="Kigoma"/>
    <s v="NNYU_3"/>
    <s v="Nyabarongo Upstream Sub-Catchment"/>
    <n v="1419.12"/>
  </r>
  <r>
    <x v="3"/>
    <s v="GASEKE"/>
    <s v="Public"/>
    <x v="0"/>
    <s v="Nyanza"/>
    <s v="Kigoma"/>
    <s v="NNYU_3"/>
    <s v="Nyabarongo Upstream Sub-Catchment"/>
    <n v="4730.4000000000005"/>
  </r>
  <r>
    <x v="3"/>
    <s v="KANYOMBYI"/>
    <s v="Public"/>
    <x v="0"/>
    <s v="Nyanza"/>
    <s v="Kigoma"/>
    <s v="NNYU_3"/>
    <s v="Nyabarongo Upstream Sub-Catchment"/>
    <n v="630.72"/>
  </r>
  <r>
    <x v="3"/>
    <s v="NYAKARIBA"/>
    <s v="Public"/>
    <x v="0"/>
    <s v="Nyanza"/>
    <s v="Kigoma"/>
    <s v="NNYU_3"/>
    <s v="Nyabarongo Upstream Sub-Catchment"/>
    <n v="473.04"/>
  </r>
  <r>
    <x v="3"/>
    <s v="GATOKI"/>
    <s v="Public"/>
    <x v="0"/>
    <s v="Nyanza"/>
    <s v="Kigoma"/>
    <s v="NNYU_3"/>
    <s v="Nyabarongo Upstream Sub-Catchment"/>
    <n v="5518.8"/>
  </r>
  <r>
    <x v="3"/>
    <s v="NDAHENZWE"/>
    <s v="Public"/>
    <x v="0"/>
    <s v="Nyanza"/>
    <s v="Kigoma"/>
    <s v="NNYU_3"/>
    <s v="Nyabarongo Upstream Sub-Catchment"/>
    <n v="1261.44"/>
  </r>
  <r>
    <x v="3"/>
    <s v="MPAZA"/>
    <s v="Public"/>
    <x v="0"/>
    <s v="Nyanza"/>
    <s v="Kigoma"/>
    <s v="NNYU_3"/>
    <s v="Nyabarongo Upstream Sub-Catchment"/>
    <n v="1103.7600000000002"/>
  </r>
  <r>
    <x v="3"/>
    <s v="MUKAGAJU"/>
    <s v="Public"/>
    <x v="0"/>
    <s v="Nyanza"/>
    <s v="Kigoma"/>
    <s v="NNYU_3"/>
    <s v="Nyabarongo Upstream Sub-Catchment"/>
    <n v="3942.0000000000005"/>
  </r>
  <r>
    <x v="3"/>
    <s v="KABINGO"/>
    <s v="Public"/>
    <x v="0"/>
    <s v="Nyanza"/>
    <s v="Kigoma"/>
    <s v="NNYU_3"/>
    <s v="Nyabarongo Upstream Sub-Catchment"/>
    <n v="5203.4400000000005"/>
  </r>
  <r>
    <x v="3"/>
    <s v="BITARE"/>
    <s v="Public"/>
    <x v="0"/>
    <s v="Nyanza"/>
    <s v="Kigoma"/>
    <s v="NNYU_3"/>
    <s v="Nyabarongo Upstream Sub-Catchment"/>
    <n v="1892.16"/>
  </r>
  <r>
    <x v="3"/>
    <s v="KIBINGO"/>
    <s v="Public"/>
    <x v="0"/>
    <s v="Nyanza"/>
    <s v="Kigoma"/>
    <s v="NNYU_3"/>
    <s v="Nyabarongo Upstream Sub-Catchment"/>
    <n v="2365.2000000000003"/>
  </r>
  <r>
    <x v="3"/>
    <s v="GATARE"/>
    <s v="Public"/>
    <x v="0"/>
    <s v="Nyanza"/>
    <s v="Kigoma"/>
    <s v="NNYU_3"/>
    <s v="Nyabarongo Upstream Sub-Catchment"/>
    <n v="1892.16"/>
  </r>
  <r>
    <x v="3"/>
    <s v="NYAKARIBA"/>
    <s v="Public"/>
    <x v="0"/>
    <s v="Nyanza"/>
    <s v="Kigoma"/>
    <s v="NNYU_3"/>
    <s v="Nyabarongo Upstream Sub-Catchment"/>
    <n v="315.36"/>
  </r>
  <r>
    <x v="3"/>
    <s v="KAMAHAZA"/>
    <s v="Public"/>
    <x v="0"/>
    <s v="Nyanza"/>
    <s v="Kigoma"/>
    <s v="NNYU_3"/>
    <s v="Nyabarongo Upstream Sub-Catchment"/>
    <n v="1261.44"/>
  </r>
  <r>
    <x v="3"/>
    <s v="RWABIZA"/>
    <s v="Public"/>
    <x v="0"/>
    <s v="Nyanza"/>
    <s v="Kigoma"/>
    <s v="NNYU_3"/>
    <s v="Nyabarongo Upstream Sub-Catchment"/>
    <n v="2838.24"/>
  </r>
  <r>
    <x v="3"/>
    <s v="NJAGARI"/>
    <s v="Public"/>
    <x v="0"/>
    <s v="Nyanza"/>
    <s v="Kigoma"/>
    <s v="NNYU_3"/>
    <s v="Nyabarongo Upstream Sub-Catchment"/>
    <n v="2207.5200000000004"/>
  </r>
  <r>
    <x v="3"/>
    <s v="RWAKIBIGA"/>
    <s v="Public"/>
    <x v="0"/>
    <s v="Nyanza"/>
    <s v="Kigoma"/>
    <s v="NNYU_3"/>
    <s v="Nyabarongo Upstream Sub-Catchment"/>
    <n v="1734.4800000000002"/>
  </r>
  <r>
    <x v="3"/>
    <s v="MUCYAMASHYA"/>
    <s v="Public"/>
    <x v="0"/>
    <s v="Nyanza"/>
    <s v="Kigoma"/>
    <s v="NNYU_3"/>
    <s v="Nyabarongo Upstream Sub-Catchment"/>
    <n v="1892.16"/>
  </r>
  <r>
    <x v="3"/>
    <s v="GATOKI"/>
    <s v="Public"/>
    <x v="0"/>
    <s v="Nyanza"/>
    <s v="Kigoma"/>
    <s v="NNYU_3"/>
    <s v="Nyabarongo Upstream Sub-Catchment"/>
    <n v="1103.7600000000002"/>
  </r>
  <r>
    <x v="3"/>
    <s v="RWASHOKE"/>
    <s v="Public"/>
    <x v="0"/>
    <s v="Nyanza"/>
    <s v="Kigoma"/>
    <s v="NNYU_3"/>
    <s v="Nyabarongo Upstream Sub-Catchment"/>
    <n v="946.08"/>
  </r>
  <r>
    <x v="3"/>
    <s v="Nyabihumira"/>
    <s v="Public"/>
    <x v="0"/>
    <s v="Ruhango"/>
    <s v="Kinihira"/>
    <s v="NNYU_3"/>
    <s v="Nyabarongo Upstream Sub-Catchment"/>
    <n v="315.36"/>
  </r>
  <r>
    <x v="3"/>
    <s v="Rutembe I"/>
    <s v="Public"/>
    <x v="0"/>
    <s v="Ruhango"/>
    <s v="Kinihira"/>
    <s v="NNYU_3"/>
    <s v="Nyabarongo Upstream Sub-Catchment"/>
    <n v="1103.7600000000002"/>
  </r>
  <r>
    <x v="3"/>
    <s v="Rusaga"/>
    <s v="Public"/>
    <x v="0"/>
    <s v="Ruhango"/>
    <s v="Kinihira"/>
    <s v="NNYU_3"/>
    <s v="Nyabarongo Upstream Sub-Catchment"/>
    <n v="315.36"/>
  </r>
  <r>
    <x v="3"/>
    <s v="Rutembe II"/>
    <s v="Public"/>
    <x v="0"/>
    <s v="Ruhango"/>
    <s v="Kinihira"/>
    <s v="NNYU_3"/>
    <s v="Nyabarongo Upstream Sub-Catchment"/>
    <n v="1261.44"/>
  </r>
  <r>
    <x v="3"/>
    <s v="Nyakigezi"/>
    <s v="Public"/>
    <x v="0"/>
    <s v="Ruhango"/>
    <s v="Kinihira"/>
    <s v="NNYU_3"/>
    <s v="Nyabarongo Upstream Sub-Catchment"/>
    <n v="1261.44"/>
  </r>
  <r>
    <x v="3"/>
    <s v="Mushishi"/>
    <s v="Public"/>
    <x v="0"/>
    <s v="Ruhango"/>
    <s v="Kinihira"/>
    <s v="NNYU_3"/>
    <s v="Nyabarongo Upstream Sub-Catchment"/>
    <n v="315.36"/>
  </r>
  <r>
    <x v="3"/>
    <s v="Mucyunga"/>
    <s v="Public"/>
    <x v="0"/>
    <s v="Ruhango"/>
    <s v="Kinihira"/>
    <s v="NNYU_3"/>
    <s v="Nyabarongo Upstream Sub-Catchment"/>
    <n v="315.36"/>
  </r>
  <r>
    <x v="3"/>
    <s v="Nyakagezi"/>
    <s v="Public"/>
    <x v="0"/>
    <s v="Ruhango"/>
    <s v="Kinihira"/>
    <s v="NNYU_3"/>
    <s v="Nyabarongo Upstream Sub-Catchment"/>
    <n v="5203.4400000000005"/>
  </r>
  <r>
    <x v="3"/>
    <s v="Rugandu"/>
    <s v="Public"/>
    <x v="0"/>
    <s v="Ruhango"/>
    <s v="Kinihira"/>
    <s v="NNYU_3"/>
    <s v="Nyabarongo Upstream Sub-Catchment"/>
    <n v="2522.88"/>
  </r>
  <r>
    <x v="3"/>
    <s v="Cyonga"/>
    <s v="Public"/>
    <x v="0"/>
    <s v="Ruhango"/>
    <s v="Kinihira"/>
    <s v="NNYU_3"/>
    <s v="Nyabarongo Upstream Sub-Catchment"/>
    <n v="157.68"/>
  </r>
  <r>
    <x v="3"/>
    <s v="Rusenyi  I"/>
    <s v="Public"/>
    <x v="0"/>
    <s v="Ruhango"/>
    <s v="Kinihira"/>
    <s v="NNYU_3"/>
    <s v="Nyabarongo Upstream Sub-Catchment"/>
    <n v="1103.7600000000002"/>
  </r>
  <r>
    <x v="3"/>
    <s v="Rusenyi II"/>
    <s v="Public"/>
    <x v="0"/>
    <s v="Ruhango"/>
    <s v="Kinihira"/>
    <s v="NNYU_3"/>
    <s v="Nyabarongo Upstream Sub-Catchment"/>
    <n v="1261.44"/>
  </r>
  <r>
    <x v="3"/>
    <s v="Kibobi"/>
    <s v="Public"/>
    <x v="0"/>
    <s v="Ruhango"/>
    <s v="Kinihira"/>
    <s v="NNYU_3"/>
    <s v="Nyabarongo Upstream Sub-Catchment"/>
    <n v="1892.16"/>
  </r>
  <r>
    <x v="3"/>
    <s v="Karengo"/>
    <s v="Public"/>
    <x v="0"/>
    <s v="Ruhango"/>
    <s v="Kinihira"/>
    <s v="NNYU_3"/>
    <s v="Nyabarongo Upstream Sub-Catchment"/>
    <n v="1261.44"/>
  </r>
  <r>
    <x v="3"/>
    <s v="Mwera"/>
    <s v="Public"/>
    <x v="0"/>
    <s v="Ruhango"/>
    <s v="Kinihira"/>
    <s v="NNYU_3"/>
    <s v="Nyabarongo Upstream Sub-Catchment"/>
    <n v="5203.4400000000005"/>
  </r>
  <r>
    <x v="3"/>
    <s v="Nyagahondo"/>
    <s v="Public"/>
    <x v="0"/>
    <s v="Ruhango"/>
    <s v="Kinihira"/>
    <s v="NNYU_3"/>
    <s v="Nyabarongo Upstream Sub-Catchment"/>
    <n v="157.68"/>
  </r>
  <r>
    <x v="3"/>
    <s v="Bukangaro"/>
    <s v="Public"/>
    <x v="0"/>
    <s v="Ruhango"/>
    <s v="Kinihira"/>
    <s v="NNYU_3"/>
    <s v="Nyabarongo Upstream Sub-Catchment"/>
    <n v="1261.44"/>
  </r>
  <r>
    <x v="3"/>
    <s v="Rugarama"/>
    <s v="Public"/>
    <x v="0"/>
    <s v="Ruhango"/>
    <s v="Kinihira"/>
    <s v="NNYU_3"/>
    <s v="Nyabarongo Upstream Sub-Catchment"/>
    <n v="3311.2799999999997"/>
  </r>
  <r>
    <x v="3"/>
    <s v="Murigitondo"/>
    <s v="Public"/>
    <x v="0"/>
    <s v="Ruhango"/>
    <s v="Kinihira"/>
    <s v="NNYU_3"/>
    <s v="Nyabarongo Upstream Sub-Catchment"/>
    <n v="2522.88"/>
  </r>
  <r>
    <x v="3"/>
    <s v="Kazibaziba"/>
    <s v="Public"/>
    <x v="0"/>
    <s v="Ruhango"/>
    <s v="Kinihira"/>
    <s v="NNYU_3"/>
    <s v="Nyabarongo Upstream Sub-Catchment"/>
    <n v="2207.5200000000004"/>
  </r>
  <r>
    <x v="3"/>
    <s v="Nyakigezi"/>
    <s v="Public"/>
    <x v="0"/>
    <s v="Ruhango"/>
    <s v="Kinihira"/>
    <s v="NNYU_3"/>
    <s v="Nyabarongo Upstream Sub-Catchment"/>
    <n v="15768.000000000002"/>
  </r>
  <r>
    <x v="3"/>
    <s v="Mugomero"/>
    <s v="Public"/>
    <x v="0"/>
    <s v="Ruhango"/>
    <s v="Kinihira"/>
    <s v="NNYU_3"/>
    <s v="Nyabarongo Upstream Sub-Catchment"/>
    <n v="15768.000000000002"/>
  </r>
  <r>
    <x v="3"/>
    <s v="Budacya"/>
    <s v="Public"/>
    <x v="0"/>
    <s v="Ruhango"/>
    <s v="Kinihira"/>
    <s v="NNYU_3"/>
    <s v="Nyabarongo Upstream Sub-Catchment"/>
    <n v="1892.16"/>
  </r>
  <r>
    <x v="3"/>
    <s v="Mushengezi"/>
    <s v="Public"/>
    <x v="0"/>
    <s v="Ruhango"/>
    <s v="Kinihira"/>
    <s v="NNYU_3"/>
    <s v="Nyabarongo Upstream Sub-Catchment"/>
    <n v="1261.44"/>
  </r>
  <r>
    <x v="3"/>
    <s v="Gatare"/>
    <s v="Public"/>
    <x v="0"/>
    <s v="Ruhango"/>
    <s v="Kinihira"/>
    <s v="NNYU_3"/>
    <s v="Nyabarongo Upstream Sub-Catchment"/>
    <n v="2207.5200000000004"/>
  </r>
  <r>
    <x v="3"/>
    <s v="Gisiza"/>
    <s v="Public"/>
    <x v="0"/>
    <s v="Ruhango"/>
    <s v="Kinihira"/>
    <s v="NNYU_3"/>
    <s v="Nyabarongo Upstream Sub-Catchment"/>
    <n v="2207.5200000000004"/>
  </r>
  <r>
    <x v="3"/>
    <s v="Kabindi"/>
    <s v="Public"/>
    <x v="0"/>
    <s v="Ruhango"/>
    <s v="Kinihira"/>
    <s v="NNYU_3"/>
    <s v="Nyabarongo Upstream Sub-Catchment"/>
    <n v="1261.44"/>
  </r>
  <r>
    <x v="3"/>
    <s v="Mujebe"/>
    <s v="Public"/>
    <x v="0"/>
    <s v="Ruhango"/>
    <s v="Kinihira"/>
    <s v="NNYU_3"/>
    <s v="Nyabarongo Upstream Sub-Catchment"/>
    <n v="5203.4400000000005"/>
  </r>
  <r>
    <x v="3"/>
    <s v="Burena"/>
    <s v="Public"/>
    <x v="0"/>
    <s v="Ruhango"/>
    <s v="Kinihira"/>
    <s v="NNYU_3"/>
    <s v="Nyabarongo Upstream Sub-Catchment"/>
    <n v="1892.16"/>
  </r>
  <r>
    <x v="3"/>
    <s v="Gaseke"/>
    <s v="Public"/>
    <x v="0"/>
    <s v="Ruhango"/>
    <s v="Kinihira"/>
    <s v="NNYU_3"/>
    <s v="Nyabarongo Upstream Sub-Catchment"/>
    <n v="3153.6000000000004"/>
  </r>
  <r>
    <x v="3"/>
    <s v="Gatare"/>
    <s v="Public"/>
    <x v="0"/>
    <s v="Ruhango"/>
    <s v="Kinihira"/>
    <s v="NNYU_3"/>
    <s v="Nyabarongo Upstream Sub-Catchment"/>
    <n v="7884.0000000000009"/>
  </r>
  <r>
    <x v="3"/>
    <s v="Rusumo"/>
    <s v="Public"/>
    <x v="0"/>
    <s v="Ruhango"/>
    <s v="Kinihira"/>
    <s v="NNYU_3"/>
    <s v="Nyabarongo Upstream Sub-Catchment"/>
    <n v="1892.16"/>
  </r>
  <r>
    <x v="3"/>
    <s v="Gisindonyi"/>
    <s v="Public"/>
    <x v="0"/>
    <s v="Ruhango"/>
    <s v="Kinihira"/>
    <s v="NNYU_3"/>
    <s v="Nyabarongo Upstream Sub-Catchment"/>
    <n v="7884.0000000000009"/>
  </r>
  <r>
    <x v="3"/>
    <s v="Rutembe"/>
    <s v="Public"/>
    <x v="0"/>
    <s v="Ruhango"/>
    <s v="Kinihira"/>
    <s v="NNYU_3"/>
    <s v="Nyabarongo Upstream Sub-Catchment"/>
    <n v="1892.16"/>
  </r>
  <r>
    <x v="3"/>
    <s v="Gataraga"/>
    <s v="Public"/>
    <x v="0"/>
    <s v="Ruhango"/>
    <s v="Kinihira"/>
    <s v="NNYU_3"/>
    <s v="Nyabarongo Upstream Sub-Catchment"/>
    <n v="3942.0000000000005"/>
  </r>
  <r>
    <x v="3"/>
    <s v="Nyagafunzo"/>
    <s v="Public"/>
    <x v="0"/>
    <s v="Ruhango"/>
    <s v="Kinihira"/>
    <s v="NNYU_3"/>
    <s v="Nyabarongo Upstream Sub-Catchment"/>
    <n v="15768.000000000002"/>
  </r>
  <r>
    <x v="3"/>
    <s v="Cyebumba"/>
    <s v="Public"/>
    <x v="0"/>
    <s v="Ruhango"/>
    <s v="Kinihira"/>
    <s v="NNYU_3"/>
    <s v="Nyabarongo Upstream Sub-Catchment"/>
    <n v="157.68"/>
  </r>
  <r>
    <x v="3"/>
    <s v="Nyamyumba"/>
    <s v="Public"/>
    <x v="0"/>
    <s v="Ruhango"/>
    <s v="Kinihira"/>
    <s v="NNYU_3"/>
    <s v="Nyabarongo Upstream Sub-Catchment"/>
    <n v="15768.000000000002"/>
  </r>
  <r>
    <x v="3"/>
    <s v="Nyiragatunga"/>
    <s v="Public"/>
    <x v="0"/>
    <s v="Ruhango"/>
    <s v="Kinihira"/>
    <s v="NNYU_3"/>
    <s v="Nyabarongo Upstream Sub-Catchment"/>
    <n v="7884.0000000000009"/>
  </r>
  <r>
    <x v="3"/>
    <s v="NTERANYA"/>
    <s v="Public"/>
    <x v="0"/>
    <s v="Ruhango"/>
    <s v="Kinihira"/>
    <s v="NNYU_3"/>
    <s v="Nyabarongo Upstream Sub-Catchment"/>
    <n v="1971.0000000000002"/>
  </r>
  <r>
    <x v="3"/>
    <s v="KASEBONDO"/>
    <s v="Public"/>
    <x v="0"/>
    <s v="Ruhango"/>
    <s v="Kinihira"/>
    <s v="NNYU_3"/>
    <s v="Nyabarongo Upstream Sub-Catchment"/>
    <n v="1971.0000000000002"/>
  </r>
  <r>
    <x v="3"/>
    <s v="GASHUNZI"/>
    <s v="Public"/>
    <x v="0"/>
    <s v="Ruhango"/>
    <s v="Kinihira"/>
    <s v="NNYU_3"/>
    <s v="Nyabarongo Upstream Sub-Catchment"/>
    <n v="1971.0000000000002"/>
  </r>
  <r>
    <x v="3"/>
    <s v="GASHUNZI"/>
    <s v="Public"/>
    <x v="0"/>
    <s v="Ruhango"/>
    <s v="Kinihira"/>
    <s v="NNYU_3"/>
    <s v="Nyabarongo Upstream Sub-Catchment"/>
    <n v="715.86719999999991"/>
  </r>
  <r>
    <x v="3"/>
    <s v="KABUYE"/>
    <s v="Public"/>
    <x v="0"/>
    <s v="Ruhango"/>
    <s v="Kinihira"/>
    <s v="NNYU_3"/>
    <s v="Nyabarongo Upstream Sub-Catchment"/>
    <n v="1313.4744000000001"/>
  </r>
  <r>
    <x v="3"/>
    <s v="NYARUBANDE"/>
    <s v="Public"/>
    <x v="0"/>
    <s v="Ruhango"/>
    <s v="Kinihira"/>
    <s v="NNYU_3"/>
    <s v="Nyabarongo Upstream Sub-Catchment"/>
    <n v="867.24000000000012"/>
  </r>
  <r>
    <x v="3"/>
    <s v="GATUGUNGU"/>
    <s v="Public"/>
    <x v="0"/>
    <s v="Ruhango"/>
    <s v="Kinihira"/>
    <s v="NNYU_3"/>
    <s v="Nyabarongo Upstream Sub-Catchment"/>
    <n v="2917.0800000000004"/>
  </r>
  <r>
    <x v="3"/>
    <s v="MURWINTURO"/>
    <s v="Public"/>
    <x v="0"/>
    <s v="Ruhango"/>
    <s v="Kinihira"/>
    <s v="NNYU_3"/>
    <s v="Nyabarongo Upstream Sub-Catchment"/>
    <n v="1592.5680000000002"/>
  </r>
  <r>
    <x v="3"/>
    <s v="NYABITARE"/>
    <s v="Public"/>
    <x v="0"/>
    <s v="Ruhango"/>
    <s v="Kinihira"/>
    <s v="NNYU_3"/>
    <s v="Nyabarongo Upstream Sub-Catchment"/>
    <n v="605.49119999999994"/>
  </r>
  <r>
    <x v="3"/>
    <s v="MUCIKWARE"/>
    <s v="Public"/>
    <x v="0"/>
    <s v="Ruhango"/>
    <s v="Kinihira"/>
    <s v="NNYU_3"/>
    <s v="Nyabarongo Upstream Sub-Catchment"/>
    <n v="3374.3519999999999"/>
  </r>
  <r>
    <x v="3"/>
    <s v="MUCOKORA"/>
    <s v="Public"/>
    <x v="0"/>
    <s v="Ruhango"/>
    <s v="Kinihira"/>
    <s v="NNYU_3"/>
    <s v="Nyabarongo Upstream Sub-Catchment"/>
    <n v="1313.4744000000001"/>
  </r>
  <r>
    <x v="3"/>
    <s v="KABINGO"/>
    <s v="Public"/>
    <x v="0"/>
    <s v="Ruhango"/>
    <s v="Kinihira"/>
    <s v="NNYU_3"/>
    <s v="Nyabarongo Upstream Sub-Catchment"/>
    <n v="3374.3519999999999"/>
  </r>
  <r>
    <x v="3"/>
    <s v="GATARE"/>
    <s v="Public"/>
    <x v="0"/>
    <s v="Ruhango"/>
    <s v="Kinihira"/>
    <s v="NNYU_3"/>
    <s v="Nyabarongo Upstream Sub-Catchment"/>
    <n v="2626.9488000000001"/>
  </r>
  <r>
    <x v="3"/>
    <s v="GATARE"/>
    <s v="Public"/>
    <x v="0"/>
    <s v="Ruhango"/>
    <s v="Kinihira"/>
    <s v="NNYU_3"/>
    <s v="Nyabarongo Upstream Sub-Catchment"/>
    <n v="457.27200000000005"/>
  </r>
  <r>
    <x v="3"/>
    <s v="MUGATARE"/>
    <s v="Public"/>
    <x v="0"/>
    <s v="Ruhango"/>
    <s v="Kinihira"/>
    <s v="NNYU_3"/>
    <s v="Nyabarongo Upstream Sub-Catchment"/>
    <n v="1125.8352000000002"/>
  </r>
  <r>
    <x v="3"/>
    <s v="GATANAZI"/>
    <s v="Public"/>
    <x v="0"/>
    <s v="Ruhango"/>
    <s v="Kinihira"/>
    <s v="NNYU_3"/>
    <s v="Nyabarongo Upstream Sub-Catchment"/>
    <n v="2617.4880000000003"/>
  </r>
  <r>
    <x v="3"/>
    <s v="GAHAMA 2"/>
    <s v="Public"/>
    <x v="0"/>
    <s v="Ruhango"/>
    <s v="Kinihira"/>
    <s v="NNYU_3"/>
    <s v="Nyabarongo Upstream Sub-Catchment"/>
    <n v="3942.0000000000005"/>
  </r>
  <r>
    <x v="3"/>
    <s v="KABURASA"/>
    <s v="Public"/>
    <x v="0"/>
    <s v="Ruhango"/>
    <s v="Kinihira"/>
    <s v="NNYU_3"/>
    <s v="Nyabarongo Upstream Sub-Catchment"/>
    <n v="7884.0000000000009"/>
  </r>
  <r>
    <x v="3"/>
    <s v="GITABA"/>
    <s v="Public"/>
    <x v="0"/>
    <s v="Ruhango"/>
    <s v="Kinihira"/>
    <s v="NNYU_3"/>
    <s v="Nyabarongo Upstream Sub-Catchment"/>
    <n v="2775.1679999999997"/>
  </r>
  <r>
    <x v="3"/>
    <s v="NYAKAGEZI"/>
    <s v="Public"/>
    <x v="0"/>
    <s v="Ruhango"/>
    <s v="Kinihira"/>
    <s v="NNYU_3"/>
    <s v="Nyabarongo Upstream Sub-Catchment"/>
    <n v="1313.9474400000001"/>
  </r>
  <r>
    <x v="3"/>
    <s v="NYIRIRUTOKI"/>
    <s v="Public"/>
    <x v="0"/>
    <s v="Ruhango"/>
    <s v="Kinihira"/>
    <s v="NNYU_3"/>
    <s v="Nyabarongo Upstream Sub-Catchment"/>
    <n v="788.40000000000009"/>
  </r>
  <r>
    <x v="3"/>
    <s v="NYAMIRAMBO"/>
    <s v="Public"/>
    <x v="0"/>
    <s v="Ruhango"/>
    <s v="Kinihira"/>
    <s v="NNYU_3"/>
    <s v="Nyabarongo Upstream Sub-Catchment"/>
    <n v="7884.0000000000009"/>
  </r>
  <r>
    <x v="3"/>
    <s v="NYARWUNGO"/>
    <s v="Public"/>
    <x v="0"/>
    <s v="Ruhango"/>
    <s v="Kinihira"/>
    <s v="NNYU_3"/>
    <s v="Nyabarongo Upstream Sub-Catchment"/>
    <n v="3942.0000000000005"/>
  </r>
  <r>
    <x v="3"/>
    <s v="MUYUNZWE"/>
    <s v="Public"/>
    <x v="0"/>
    <s v="Ruhango"/>
    <s v="Kinihira"/>
    <s v="NNYU_3"/>
    <s v="Nyabarongo Upstream Sub-Catchment"/>
    <n v="7884.0000000000009"/>
  </r>
  <r>
    <x v="3"/>
    <s v="NYAMUKO"/>
    <s v="Public"/>
    <x v="0"/>
    <s v="Ruhango"/>
    <s v="Kinihira"/>
    <s v="NNYU_3"/>
    <s v="Nyabarongo Upstream Sub-Catchment"/>
    <n v="1750.248"/>
  </r>
  <r>
    <x v="3"/>
    <s v="GATOROVE"/>
    <s v="Public"/>
    <x v="0"/>
    <s v="Ruhango"/>
    <s v="Kinihira"/>
    <s v="NNYU_3"/>
    <s v="Nyabarongo Upstream Sub-Catchment"/>
    <n v="1094.2991999999999"/>
  </r>
  <r>
    <x v="3"/>
    <s v="GAHAMA"/>
    <s v="Public"/>
    <x v="0"/>
    <s v="Ruhango"/>
    <s v="Kinihira"/>
    <s v="NNYU_3"/>
    <s v="Nyabarongo Upstream Sub-Catchment"/>
    <n v="1971.0000000000002"/>
  </r>
  <r>
    <x v="3"/>
    <s v="NYIRAMANWA"/>
    <s v="Public"/>
    <x v="0"/>
    <s v="Ruhango"/>
    <s v="Kinihira"/>
    <s v="NNYU_3"/>
    <s v="Nyabarongo Upstream Sub-Catchment"/>
    <n v="1592.5680000000002"/>
  </r>
  <r>
    <x v="3"/>
    <s v="NYIRAGASHOZA"/>
    <s v="Public"/>
    <x v="0"/>
    <s v="Ruhango"/>
    <s v="Kinihira"/>
    <s v="NNYU_3"/>
    <s v="Nyabarongo Upstream Sub-Catchment"/>
    <n v="3169.3679999999999"/>
  </r>
  <r>
    <x v="3"/>
    <s v="UWINKINDI"/>
    <s v="Public"/>
    <x v="0"/>
    <s v="Ruhango"/>
    <s v="Kinihira"/>
    <s v="NNYU_3"/>
    <s v="Nyabarongo Upstream Sub-Catchment"/>
    <n v="7884.0000000000009"/>
  </r>
  <r>
    <x v="3"/>
    <s v="MUKANIKA"/>
    <s v="Public"/>
    <x v="0"/>
    <s v="Ruhango"/>
    <s v="Kinihira"/>
    <s v="NNYU_3"/>
    <s v="Nyabarongo Upstream Sub-Catchment"/>
    <n v="1313.4744000000001"/>
  </r>
  <r>
    <x v="3"/>
    <s v="KAGWA"/>
    <s v="Public"/>
    <x v="0"/>
    <s v="Ruhango"/>
    <s v="Kinihira"/>
    <s v="NNYU_3"/>
    <s v="Nyabarongo Upstream Sub-Catchment"/>
    <n v="525.07440000000008"/>
  </r>
  <r>
    <x v="3"/>
    <s v="GASEKE"/>
    <s v="Public"/>
    <x v="0"/>
    <s v="Ruhango"/>
    <s v="Kinihira"/>
    <s v="NNYU_3"/>
    <s v="Nyabarongo Upstream Sub-Catchment"/>
    <n v="7000.9920000000002"/>
  </r>
  <r>
    <x v="3"/>
    <s v="BWASHEKE"/>
    <s v="Public"/>
    <x v="0"/>
    <s v="Ruhango"/>
    <s v="Kinihira"/>
    <s v="NNYU_3"/>
    <s v="Nyabarongo Upstream Sub-Catchment"/>
    <n v="7899.768"/>
  </r>
  <r>
    <x v="3"/>
    <s v="NYAMUGARI"/>
    <s v="Public"/>
    <x v="0"/>
    <s v="Ruhango"/>
    <s v="Kinihira"/>
    <s v="NNYU_3"/>
    <s v="Nyabarongo Upstream Sub-Catchment"/>
    <n v="449.38800000000003"/>
  </r>
  <r>
    <x v="3"/>
    <s v="KANZOGERA"/>
    <s v="Public"/>
    <x v="0"/>
    <s v="Ruhango"/>
    <s v="Kinihira"/>
    <s v="NNYU_3"/>
    <s v="Nyabarongo Upstream Sub-Catchment"/>
    <n v="655.94880000000001"/>
  </r>
  <r>
    <x v="3"/>
    <s v="NTOMVU"/>
    <s v="Public"/>
    <x v="0"/>
    <s v="Ruhango"/>
    <s v="Kinihira"/>
    <s v="NNYU_3"/>
    <s v="Nyabarongo Upstream Sub-Catchment"/>
    <n v="1734.4800000000002"/>
  </r>
  <r>
    <x v="3"/>
    <s v="KADEHERO"/>
    <s v="Public"/>
    <x v="0"/>
    <s v="Ruhango"/>
    <s v="Kinihira"/>
    <s v="NNYU_3"/>
    <s v="Nyabarongo Upstream Sub-Catchment"/>
    <n v="788.40000000000009"/>
  </r>
  <r>
    <x v="3"/>
    <s v="KARUTSIRO"/>
    <s v="Public"/>
    <x v="0"/>
    <s v="Ruhango"/>
    <s v="Kinihira"/>
    <s v="NNYU_3"/>
    <s v="Nyabarongo Upstream Sub-Catchment"/>
    <n v="1119.5279999999998"/>
  </r>
  <r>
    <x v="3"/>
    <s v="GAKOMBE"/>
    <s v="Public"/>
    <x v="0"/>
    <s v="Ruhango"/>
    <s v="Kinihira"/>
    <s v="NNYU_3"/>
    <s v="Nyabarongo Upstream Sub-Catchment"/>
    <n v="7884.0000000000009"/>
  </r>
  <r>
    <x v="3"/>
    <s v="RUGARAMA"/>
    <s v="Public"/>
    <x v="0"/>
    <s v="Ruhango"/>
    <s v="Kinihira"/>
    <s v="NNYU_3"/>
    <s v="Nyabarongo Upstream Sub-Catchment"/>
    <n v="261.74880000000002"/>
  </r>
  <r>
    <x v="3"/>
    <s v="N.MAHANGO"/>
    <s v="Public"/>
    <x v="0"/>
    <s v="Ruhango"/>
    <s v="Kinihira"/>
    <s v="NNYU_3"/>
    <s v="Nyabarongo Upstream Sub-Catchment"/>
    <n v="252.28800000000001"/>
  </r>
  <r>
    <x v="3"/>
    <s v="MURUGARAMA"/>
    <s v="Public"/>
    <x v="0"/>
    <s v="Ruhango"/>
    <s v="Kinihira"/>
    <s v="NNYU_3"/>
    <s v="Nyabarongo Upstream Sub-Catchment"/>
    <n v="1119.5279999999998"/>
  </r>
  <r>
    <x v="3"/>
    <s v="KAZABAGARURA"/>
    <s v="Public"/>
    <x v="0"/>
    <s v="Ruhango"/>
    <s v="Kinihira"/>
    <s v="NNYU_3"/>
    <s v="Nyabarongo Upstream Sub-Catchment"/>
    <n v="1592.5680000000002"/>
  </r>
  <r>
    <x v="3"/>
    <s v="BYIMANA"/>
    <s v="Public"/>
    <x v="0"/>
    <s v="Ruhango"/>
    <s v="Kinihira"/>
    <s v="NNYU_3"/>
    <s v="Nyabarongo Upstream Sub-Catchment"/>
    <n v="1592.5680000000002"/>
  </r>
  <r>
    <x v="3"/>
    <s v="GITABA"/>
    <s v="Public"/>
    <x v="0"/>
    <s v="Ruhango"/>
    <s v="Kinihira"/>
    <s v="NNYU_3"/>
    <s v="Nyabarongo Upstream Sub-Catchment"/>
    <n v="1592.5680000000002"/>
  </r>
  <r>
    <x v="3"/>
    <s v="CHEZ REONARD"/>
    <s v="Public"/>
    <x v="0"/>
    <s v="Ruhango"/>
    <s v="Kinihira"/>
    <s v="NNYU_3"/>
    <s v="Nyabarongo Upstream Sub-Catchment"/>
    <n v="985.50000000000011"/>
  </r>
  <r>
    <x v="3"/>
    <s v="KAGARAMA"/>
    <s v="Public"/>
    <x v="0"/>
    <s v="Ruhango"/>
    <s v="Kinihira"/>
    <s v="NNYU_3"/>
    <s v="Nyabarongo Upstream Sub-Catchment"/>
    <n v="1592.5680000000002"/>
  </r>
  <r>
    <x v="3"/>
    <s v="RUKOMA"/>
    <s v="Public"/>
    <x v="0"/>
    <s v="Ruhango"/>
    <s v="Kinihira"/>
    <s v="NNYU_3"/>
    <s v="Nyabarongo Upstream Sub-Catchment"/>
    <n v="1971.0000000000002"/>
  </r>
  <r>
    <x v="3"/>
    <s v="KUMUGEZI"/>
    <s v="Public"/>
    <x v="0"/>
    <s v="Ruhango"/>
    <s v="Kinihira"/>
    <s v="NNYU_3"/>
    <s v="Nyabarongo Upstream Sub-Catchment"/>
    <n v="985.50000000000011"/>
  </r>
  <r>
    <x v="3"/>
    <s v="KINYOGO"/>
    <s v="Public"/>
    <x v="0"/>
    <s v="Ruhango"/>
    <s v="Kinihira"/>
    <s v="NNYU_3"/>
    <s v="Nyabarongo Upstream Sub-Catchment"/>
    <n v="1971.0000000000002"/>
  </r>
  <r>
    <x v="3"/>
    <s v="KWISHURI"/>
    <s v="Public"/>
    <x v="0"/>
    <s v="Ruhango"/>
    <s v="Kinihira"/>
    <s v="NNYU_3"/>
    <s v="Nyabarongo Upstream Sub-Catchment"/>
    <n v="2806.7039999999997"/>
  </r>
  <r>
    <x v="3"/>
    <s v="BAGABO"/>
    <s v="Public"/>
    <x v="0"/>
    <s v="Ruhango"/>
    <s v="Kinihira"/>
    <s v="NNYU_3"/>
    <s v="Nyabarongo Upstream Sub-Catchment"/>
    <n v="2617.4880000000003"/>
  </r>
  <r>
    <x v="3"/>
    <s v="GATARE"/>
    <s v="Public"/>
    <x v="0"/>
    <s v="Ruhango"/>
    <s v="Kinihira"/>
    <s v="NNYU_3"/>
    <s v="Nyabarongo Upstream Sub-Catchment"/>
    <n v="1125.8352000000002"/>
  </r>
  <r>
    <x v="3"/>
    <s v="MATUNDA"/>
    <s v="Public"/>
    <x v="0"/>
    <s v="Ruhango"/>
    <s v="Kinihira"/>
    <s v="NNYU_3"/>
    <s v="Nyabarongo Upstream Sub-Catchment"/>
    <n v="1119.5279999999998"/>
  </r>
  <r>
    <x v="3"/>
    <s v="GATARE2"/>
    <s v="Public"/>
    <x v="0"/>
    <s v="Ruhango"/>
    <s v="Kinihira"/>
    <s v="NNYU_3"/>
    <s v="Nyabarongo Upstream Sub-Catchment"/>
    <n v="7899.768"/>
  </r>
  <r>
    <x v="3"/>
    <s v="KUMWUMBA"/>
    <s v="Public"/>
    <x v="0"/>
    <s v="Ruhango"/>
    <s v="Kinihira"/>
    <s v="NNYU_3"/>
    <s v="Nyabarongo Upstream Sub-Catchment"/>
    <n v="655.94880000000001"/>
  </r>
  <r>
    <x v="3"/>
    <s v="KANOGO"/>
    <s v="Public"/>
    <x v="0"/>
    <s v="Ruhango"/>
    <s v="Kinihira"/>
    <s v="NNYU_3"/>
    <s v="Nyabarongo Upstream Sub-Catchment"/>
    <n v="1971.0000000000002"/>
  </r>
  <r>
    <x v="3"/>
    <s v="BARAMIRA"/>
    <s v="Public"/>
    <x v="0"/>
    <s v="Ruhango"/>
    <s v="Kinihira"/>
    <s v="NNYU_3"/>
    <s v="Nyabarongo Upstream Sub-Catchment"/>
    <n v="788.40000000000009"/>
  </r>
  <r>
    <x v="3"/>
    <s v="MASHYOZA"/>
    <s v="Public"/>
    <x v="0"/>
    <s v="Ruhango"/>
    <s v="Kinihira"/>
    <s v="NNYU_3"/>
    <s v="Nyabarongo Upstream Sub-Catchment"/>
    <n v="599.18399999999986"/>
  </r>
  <r>
    <x v="3"/>
    <s v="KADENGE"/>
    <s v="Public"/>
    <x v="0"/>
    <s v="Muhanga"/>
    <s v="Kiyumba"/>
    <s v="NNYU_3"/>
    <s v="Nyabarongo Upstream Sub-Catchment"/>
    <n v="7884.0000000000009"/>
  </r>
  <r>
    <x v="3"/>
    <s v="NYABIHU II"/>
    <s v="Public"/>
    <x v="0"/>
    <s v="Muhanga"/>
    <s v="Kiyumba"/>
    <s v="NNYU_3"/>
    <s v="Nyabarongo Upstream Sub-Catchment"/>
    <n v="3153.6000000000004"/>
  </r>
  <r>
    <x v="3"/>
    <s v="UWINGOMA"/>
    <s v="Public"/>
    <x v="0"/>
    <s v="Muhanga"/>
    <s v="Kiyumba"/>
    <s v="NNYU_3"/>
    <s v="Nyabarongo Upstream Sub-Catchment"/>
    <n v="6307.2000000000007"/>
  </r>
  <r>
    <x v="3"/>
    <s v="NYABIHU I"/>
    <s v="Public"/>
    <x v="0"/>
    <s v="Muhanga"/>
    <s v="Kiyumba"/>
    <s v="NNYU_3"/>
    <s v="Nyabarongo Upstream Sub-Catchment"/>
    <n v="315.36"/>
  </r>
  <r>
    <x v="3"/>
    <s v="KIVUMU II"/>
    <s v="Public"/>
    <x v="0"/>
    <s v="Muhanga"/>
    <s v="Kiyumba"/>
    <s v="NNYU_3"/>
    <s v="Nyabarongo Upstream Sub-Catchment"/>
    <n v="630.72"/>
  </r>
  <r>
    <x v="3"/>
    <s v="KIVUMU I"/>
    <s v="Public"/>
    <x v="0"/>
    <s v="Muhanga"/>
    <s v="Kiyumba"/>
    <s v="NNYU_3"/>
    <s v="Nyabarongo Upstream Sub-Catchment"/>
    <n v="315.36"/>
  </r>
  <r>
    <x v="3"/>
    <s v="NYIRANKUNGA"/>
    <s v="Public"/>
    <x v="0"/>
    <s v="Muhanga"/>
    <s v="Kiyumba"/>
    <s v="NNYU_3"/>
    <s v="Nyabarongo Upstream Sub-Catchment"/>
    <n v="3153.6000000000004"/>
  </r>
  <r>
    <x v="3"/>
    <s v="SEBUDAGARA"/>
    <s v="Public"/>
    <x v="0"/>
    <s v="Muhanga"/>
    <s v="Kiyumba"/>
    <s v="NNYU_3"/>
    <s v="Nyabarongo Upstream Sub-Catchment"/>
    <n v="31.536000000000001"/>
  </r>
  <r>
    <x v="3"/>
    <s v="KAMAYANJA"/>
    <s v="Public"/>
    <x v="0"/>
    <s v="Muhanga"/>
    <s v="Kiyumba"/>
    <s v="NNYU_3"/>
    <s v="Nyabarongo Upstream Sub-Catchment"/>
    <n v="3153.6000000000004"/>
  </r>
  <r>
    <x v="3"/>
    <s v="RUZIBAZIBA"/>
    <s v="Public"/>
    <x v="0"/>
    <s v="Muhanga"/>
    <s v="Kiyumba"/>
    <s v="NNYU_3"/>
    <s v="Nyabarongo Upstream Sub-Catchment"/>
    <n v="473.04"/>
  </r>
  <r>
    <x v="3"/>
    <s v="GATOVU"/>
    <s v="Public"/>
    <x v="0"/>
    <s v="Muhanga"/>
    <s v="Kiyumba"/>
    <s v="NNYU_3"/>
    <s v="Nyabarongo Upstream Sub-Catchment"/>
    <n v="157.68"/>
  </r>
  <r>
    <x v="3"/>
    <s v="GAKINDO"/>
    <s v="Public"/>
    <x v="0"/>
    <s v="Muhanga"/>
    <s v="Kiyumba"/>
    <s v="NNYU_3"/>
    <s v="Nyabarongo Upstream Sub-Catchment"/>
    <n v="4730.4000000000005"/>
  </r>
  <r>
    <x v="3"/>
    <s v="RWABIKABU"/>
    <s v="Public"/>
    <x v="0"/>
    <s v="Muhanga"/>
    <s v="Kiyumba"/>
    <s v="NNYU_3"/>
    <s v="Nyabarongo Upstream Sub-Catchment"/>
    <n v="4730.4000000000005"/>
  </r>
  <r>
    <x v="3"/>
    <s v="RWABIKABU"/>
    <s v="Public"/>
    <x v="0"/>
    <s v="Muhanga"/>
    <s v="Kiyumba"/>
    <s v="NNYU_3"/>
    <s v="Nyabarongo Upstream Sub-Catchment"/>
    <n v="0"/>
  </r>
  <r>
    <x v="3"/>
    <s v="KAZABAGARURA"/>
    <s v="Public"/>
    <x v="0"/>
    <s v="Muhanga"/>
    <s v="Kiyumba"/>
    <s v="NNYU_3"/>
    <s v="Nyabarongo Upstream Sub-Catchment"/>
    <n v="946.08"/>
  </r>
  <r>
    <x v="3"/>
    <s v="UWINGOMA II"/>
    <s v="Public"/>
    <x v="0"/>
    <s v="Muhanga"/>
    <s v="Kiyumba"/>
    <s v="NNYU_3"/>
    <s v="Nyabarongo Upstream Sub-Catchment"/>
    <n v="3153.6000000000004"/>
  </r>
  <r>
    <x v="3"/>
    <s v="RUTEMBE"/>
    <s v="Public"/>
    <x v="0"/>
    <s v="Muhanga"/>
    <s v="Kiyumba"/>
    <s v="NNYU_3"/>
    <s v="Nyabarongo Upstream Sub-Catchment"/>
    <n v="630.72"/>
  </r>
  <r>
    <x v="3"/>
    <s v="KIMIRA"/>
    <s v="Public"/>
    <x v="0"/>
    <s v="Muhanga"/>
    <s v="Kiyumba"/>
    <s v="NNYU_3"/>
    <s v="Nyabarongo Upstream Sub-Catchment"/>
    <n v="3153.6000000000004"/>
  </r>
  <r>
    <x v="3"/>
    <s v="UWINGOMA I"/>
    <s v="Public"/>
    <x v="0"/>
    <s v="Muhanga"/>
    <s v="Kiyumba"/>
    <s v="NNYU_3"/>
    <s v="Nyabarongo Upstream Sub-Catchment"/>
    <n v="4730.4000000000005"/>
  </r>
  <r>
    <x v="3"/>
    <s v="NYAKAGEZI"/>
    <s v="Public"/>
    <x v="0"/>
    <s v="Muhanga"/>
    <s v="Kiyumba"/>
    <s v="NNYU_3"/>
    <s v="Nyabarongo Upstream Sub-Catchment"/>
    <n v="473.04"/>
  </r>
  <r>
    <x v="3"/>
    <s v="NYIRANZUKI"/>
    <s v="Public"/>
    <x v="0"/>
    <s v="Muhanga"/>
    <s v="Kiyumba"/>
    <s v="NNYU_3"/>
    <s v="Nyabarongo Upstream Sub-Catchment"/>
    <n v="15768.000000000002"/>
  </r>
  <r>
    <x v="3"/>
    <s v="KAZABAGARURA III"/>
    <s v="Public"/>
    <x v="0"/>
    <s v="Muhanga"/>
    <s v="Kiyumba"/>
    <s v="NNYU_3"/>
    <s v="Nyabarongo Upstream Sub-Catchment"/>
    <n v="3153.6000000000004"/>
  </r>
  <r>
    <x v="3"/>
    <s v="GATOVU"/>
    <s v="Public"/>
    <x v="0"/>
    <s v="Muhanga"/>
    <s v="Kiyumba"/>
    <s v="NNYU_3"/>
    <s v="Nyabarongo Upstream Sub-Catchment"/>
    <n v="4730.4000000000005"/>
  </r>
  <r>
    <x v="3"/>
    <s v="NYAMYIJIMA"/>
    <s v="Public"/>
    <x v="0"/>
    <s v="Muhanga"/>
    <s v="Kiyumba"/>
    <s v="NNYU_3"/>
    <s v="Nyabarongo Upstream Sub-Catchment"/>
    <n v="3153.6000000000004"/>
  </r>
  <r>
    <x v="3"/>
    <s v="GASEKE"/>
    <s v="Public"/>
    <x v="0"/>
    <s v="Muhanga"/>
    <s v="Kiyumba"/>
    <s v="NNYU_3"/>
    <s v="Nyabarongo Upstream Sub-Catchment"/>
    <n v="4730.4000000000005"/>
  </r>
  <r>
    <x v="3"/>
    <s v="KIBOMBOLI"/>
    <s v="Public"/>
    <x v="0"/>
    <s v="Muhanga"/>
    <s v="Kiyumba"/>
    <s v="NNYU_3"/>
    <s v="Nyabarongo Upstream Sub-Catchment"/>
    <n v="473.04"/>
  </r>
  <r>
    <x v="3"/>
    <s v="MUGANWA"/>
    <s v="Public"/>
    <x v="0"/>
    <s v="Muhanga"/>
    <s v="Kiyumba"/>
    <s v="NNYU_3"/>
    <s v="Nyabarongo Upstream Sub-Catchment"/>
    <n v="4730.4000000000005"/>
  </r>
  <r>
    <x v="3"/>
    <s v="RUDIHI"/>
    <s v="Public"/>
    <x v="0"/>
    <s v="Muhanga"/>
    <s v="Kiyumba"/>
    <s v="NNYU_3"/>
    <s v="Nyabarongo Upstream Sub-Catchment"/>
    <n v="4730.4000000000005"/>
  </r>
  <r>
    <x v="3"/>
    <s v="GAKWAYA"/>
    <s v="Public"/>
    <x v="0"/>
    <s v="Muhanga"/>
    <s v="Kiyumba"/>
    <s v="NNYU_3"/>
    <s v="Nyabarongo Upstream Sub-Catchment"/>
    <n v="315.36"/>
  </r>
  <r>
    <x v="3"/>
    <s v="GISASA"/>
    <s v="Public"/>
    <x v="0"/>
    <s v="Muhanga"/>
    <s v="Kiyumba"/>
    <s v="NNYU_3"/>
    <s v="Nyabarongo Upstream Sub-Catchment"/>
    <n v="94.60799999999999"/>
  </r>
  <r>
    <x v="3"/>
    <s v="NYAMUKO II"/>
    <s v="Public"/>
    <x v="0"/>
    <s v="Muhanga"/>
    <s v="Kiyumba"/>
    <s v="NNYU_3"/>
    <s v="Nyabarongo Upstream Sub-Catchment"/>
    <n v="0"/>
  </r>
  <r>
    <x v="3"/>
    <s v="NYAMUKO I"/>
    <s v="Public"/>
    <x v="0"/>
    <s v="Muhanga"/>
    <s v="Kiyumba"/>
    <s v="NNYU_3"/>
    <s v="Nyabarongo Upstream Sub-Catchment"/>
    <n v="315.36"/>
  </r>
  <r>
    <x v="3"/>
    <s v="GATARE I"/>
    <s v="Public"/>
    <x v="0"/>
    <s v="Muhanga"/>
    <s v="Kiyumba"/>
    <s v="NNYU_3"/>
    <s v="Nyabarongo Upstream Sub-Catchment"/>
    <n v="4730.4000000000005"/>
  </r>
  <r>
    <x v="3"/>
    <s v="KABINGO"/>
    <s v="Public"/>
    <x v="0"/>
    <s v="Muhanga"/>
    <s v="Kiyumba"/>
    <s v="NNYU_3"/>
    <s v="Nyabarongo Upstream Sub-Catchment"/>
    <n v="0"/>
  </r>
  <r>
    <x v="3"/>
    <s v="KABAKENE"/>
    <s v="Public"/>
    <x v="0"/>
    <s v="Muhanga"/>
    <s v="Kiyumba"/>
    <s v="NNYU_3"/>
    <s v="Nyabarongo Upstream Sub-Catchment"/>
    <n v="6307.2000000000007"/>
  </r>
  <r>
    <x v="3"/>
    <s v="NYAMBANDE"/>
    <s v="Public"/>
    <x v="0"/>
    <s v="Muhanga"/>
    <s v="Kiyumba"/>
    <s v="NNYU_3"/>
    <s v="Nyabarongo Upstream Sub-Catchment"/>
    <n v="6307.2000000000007"/>
  </r>
  <r>
    <x v="3"/>
    <s v="KABAHORO"/>
    <s v="Public"/>
    <x v="0"/>
    <s v="Muhanga"/>
    <s v="Kiyumba"/>
    <s v="NNYU_3"/>
    <s v="Nyabarongo Upstream Sub-Catchment"/>
    <n v="157.68"/>
  </r>
  <r>
    <x v="3"/>
    <s v="GATARE II"/>
    <s v="Public"/>
    <x v="0"/>
    <s v="Muhanga"/>
    <s v="Kiyumba"/>
    <s v="NNYU_3"/>
    <s v="Nyabarongo Upstream Sub-Catchment"/>
    <n v="315.36"/>
  </r>
  <r>
    <x v="3"/>
    <s v="KAZABAGARURA"/>
    <s v="Public"/>
    <x v="0"/>
    <s v="Muhanga"/>
    <s v="Kiyumba"/>
    <s v="NNYU_3"/>
    <s v="Nyabarongo Upstream Sub-Catchment"/>
    <n v="315.36"/>
  </r>
  <r>
    <x v="3"/>
    <s v="RUTEMBE"/>
    <s v="Public"/>
    <x v="0"/>
    <s v="Muhanga"/>
    <s v="Kiyumba"/>
    <s v="NNYU_3"/>
    <s v="Nyabarongo Upstream Sub-Catchment"/>
    <n v="315.36"/>
  </r>
  <r>
    <x v="3"/>
    <s v="MUGOMBERO"/>
    <s v="Public"/>
    <x v="0"/>
    <s v="Muhanga"/>
    <s v="Kiyumba"/>
    <s v="NNYU_3"/>
    <s v="Nyabarongo Upstream Sub-Catchment"/>
    <n v="3153.6000000000004"/>
  </r>
  <r>
    <x v="3"/>
    <s v="NTEMBE"/>
    <s v="Public"/>
    <x v="0"/>
    <s v="Muhanga"/>
    <s v="Kiyumba"/>
    <s v="NNYU_3"/>
    <s v="Nyabarongo Upstream Sub-Catchment"/>
    <n v="4730.4000000000005"/>
  </r>
  <r>
    <x v="3"/>
    <s v="MAHEMBE"/>
    <s v="Public"/>
    <x v="0"/>
    <s v="Muhanga"/>
    <s v="Kiyumba"/>
    <s v="NNYU_3"/>
    <s v="Nyabarongo Upstream Sub-Catchment"/>
    <n v="3153.6000000000004"/>
  </r>
  <r>
    <x v="3"/>
    <s v="KIBYIMBA"/>
    <s v="Public"/>
    <x v="0"/>
    <s v="Muhanga"/>
    <s v="Kiyumba"/>
    <s v="NNYU_3"/>
    <s v="Nyabarongo Upstream Sub-Catchment"/>
    <n v="4730.4000000000005"/>
  </r>
  <r>
    <x v="3"/>
    <s v="SOVU"/>
    <s v="Public"/>
    <x v="0"/>
    <s v="Muhanga"/>
    <s v="Kiyumba"/>
    <s v="NNYU_3"/>
    <s v="Nyabarongo Upstream Sub-Catchment"/>
    <n v="15.768000000000001"/>
  </r>
  <r>
    <x v="3"/>
    <s v="SEBUSAZI"/>
    <s v="Public"/>
    <x v="0"/>
    <s v="Muhanga"/>
    <s v="Kiyumba"/>
    <s v="NNYU_3"/>
    <s v="Nyabarongo Upstream Sub-Catchment"/>
    <n v="473.04"/>
  </r>
  <r>
    <x v="3"/>
    <s v="NYARUZIGA"/>
    <s v="Public"/>
    <x v="0"/>
    <s v="Muhanga"/>
    <s v="Kiyumba"/>
    <s v="NNYU_3"/>
    <s v="Nyabarongo Upstream Sub-Catchment"/>
    <n v="6307.2000000000007"/>
  </r>
  <r>
    <x v="3"/>
    <s v="BIHUNYIRA"/>
    <s v="Public"/>
    <x v="0"/>
    <s v="Muhanga"/>
    <s v="Kiyumba"/>
    <s v="NNYU_3"/>
    <s v="Nyabarongo Upstream Sub-Catchment"/>
    <n v="4730.4000000000005"/>
  </r>
  <r>
    <x v="3"/>
    <s v="NYABITARE I"/>
    <s v="Public"/>
    <x v="0"/>
    <s v="Muhanga"/>
    <s v="Kiyumba"/>
    <s v="NNYU_3"/>
    <s v="Nyabarongo Upstream Sub-Catchment"/>
    <n v="473.04"/>
  </r>
  <r>
    <x v="3"/>
    <s v="KIMIKARAGATA"/>
    <s v="Public"/>
    <x v="0"/>
    <s v="Muhanga"/>
    <s v="Kiyumba"/>
    <s v="NNYU_3"/>
    <s v="Nyabarongo Upstream Sub-Catchment"/>
    <n v="315.36"/>
  </r>
  <r>
    <x v="3"/>
    <s v="KAZABAGARURA"/>
    <s v="Public"/>
    <x v="0"/>
    <s v="Muhanga"/>
    <s v="Kiyumba"/>
    <s v="NNYU_3"/>
    <s v="Nyabarongo Upstream Sub-Catchment"/>
    <n v="315.36"/>
  </r>
  <r>
    <x v="3"/>
    <s v="MARWA"/>
    <s v="Public"/>
    <x v="0"/>
    <s v="Muhanga"/>
    <s v="Kiyumba"/>
    <s v="NNYU_3"/>
    <s v="Nyabarongo Upstream Sub-Catchment"/>
    <n v="3153.6000000000004"/>
  </r>
  <r>
    <x v="3"/>
    <s v="NYAMUKO"/>
    <s v="Public"/>
    <x v="0"/>
    <s v="Muhanga"/>
    <s v="Kiyumba"/>
    <s v="NNYU_3"/>
    <s v="Nyabarongo Upstream Sub-Catchment"/>
    <n v="4730.4000000000005"/>
  </r>
  <r>
    <x v="3"/>
    <s v="KAZABAGARURAI"/>
    <s v="Public"/>
    <x v="0"/>
    <s v="Muhanga"/>
    <s v="Kiyumba"/>
    <s v="NNYU_3"/>
    <s v="Nyabarongo Upstream Sub-Catchment"/>
    <n v="315.36"/>
  </r>
  <r>
    <x v="3"/>
    <s v="NYABITARE II"/>
    <s v="Public"/>
    <x v="0"/>
    <s v="Muhanga"/>
    <s v="Kiyumba"/>
    <s v="NNYU_3"/>
    <s v="Nyabarongo Upstream Sub-Catchment"/>
    <n v="3153.6000000000004"/>
  </r>
  <r>
    <x v="3"/>
    <s v="NYABYUNYU"/>
    <s v="Public"/>
    <x v="0"/>
    <s v="Muhanga"/>
    <s v="Kiyumba"/>
    <s v="NNYU_3"/>
    <s v="Nyabarongo Upstream Sub-Catchment"/>
    <n v="473.04"/>
  </r>
  <r>
    <x v="3"/>
    <s v="MUHATO"/>
    <s v="Public"/>
    <x v="0"/>
    <s v="Muhanga"/>
    <s v="Kiyumba"/>
    <s v="NNYU_3"/>
    <s v="Nyabarongo Upstream Sub-Catchment"/>
    <n v="3153.6000000000004"/>
  </r>
  <r>
    <x v="3"/>
    <s v="GIHOZA"/>
    <s v="Public"/>
    <x v="0"/>
    <s v="Muhanga"/>
    <s v="Kiyumba"/>
    <s v="NNYU_3"/>
    <s v="Nyabarongo Upstream Sub-Catchment"/>
    <n v="12614.400000000001"/>
  </r>
  <r>
    <x v="3"/>
    <s v="GATUNTU"/>
    <s v="Public"/>
    <x v="0"/>
    <s v="Muhanga"/>
    <s v="Kiyumba"/>
    <s v="NNYU_3"/>
    <s v="Nyabarongo Upstream Sub-Catchment"/>
    <n v="473.04"/>
  </r>
  <r>
    <x v="3"/>
    <s v="NYAMIHOVU"/>
    <s v="Public"/>
    <x v="0"/>
    <s v="Muhanga"/>
    <s v="Kiyumba"/>
    <s v="NNYU_3"/>
    <s v="Nyabarongo Upstream Sub-Catchment"/>
    <n v="315.36"/>
  </r>
  <r>
    <x v="3"/>
    <s v="KIRIBA"/>
    <s v="Public"/>
    <x v="0"/>
    <s v="Muhanga"/>
    <s v="Kiyumba"/>
    <s v="NNYU_3"/>
    <s v="Nyabarongo Upstream Sub-Catchment"/>
    <n v="3153.6000000000004"/>
  </r>
  <r>
    <x v="3"/>
    <s v="NYAKIRIBA"/>
    <s v="Public"/>
    <x v="0"/>
    <s v="Muhanga"/>
    <s v="Kiyumba"/>
    <s v="NNYU_3"/>
    <s v="Nyabarongo Upstream Sub-Catchment"/>
    <n v="473.04"/>
  </r>
  <r>
    <x v="3"/>
    <s v="RUHONDOHONDO"/>
    <s v="Public"/>
    <x v="0"/>
    <s v="Muhanga"/>
    <s v="Kiyumba"/>
    <s v="NNYU_3"/>
    <s v="Nyabarongo Upstream Sub-Catchment"/>
    <n v="4730.4000000000005"/>
  </r>
  <r>
    <x v="3"/>
    <s v="UMUREKO"/>
    <s v="Public"/>
    <x v="0"/>
    <s v="Muhanga"/>
    <s v="Kiyumba"/>
    <s v="NNYU_3"/>
    <s v="Nyabarongo Upstream Sub-Catchment"/>
    <n v="6307.2000000000007"/>
  </r>
  <r>
    <x v="3"/>
    <s v="MATEMBE"/>
    <s v="Public"/>
    <x v="0"/>
    <s v="Muhanga"/>
    <s v="Kiyumba"/>
    <s v="NNYU_3"/>
    <s v="Nyabarongo Upstream Sub-Catchment"/>
    <n v="3153.6000000000004"/>
  </r>
  <r>
    <x v="3"/>
    <s v="KAZABAGARURA II"/>
    <s v="Public"/>
    <x v="0"/>
    <s v="Muhanga"/>
    <s v="Kiyumba"/>
    <s v="NNYU_3"/>
    <s v="Nyabarongo Upstream Sub-Catchment"/>
    <n v="473.04"/>
  </r>
  <r>
    <x v="3"/>
    <s v="KAGOGO"/>
    <s v="Public"/>
    <x v="0"/>
    <s v="Muhanga"/>
    <s v="Kiyumba"/>
    <s v="NNYU_3"/>
    <s v="Nyabarongo Upstream Sub-Catchment"/>
    <n v="157.68"/>
  </r>
  <r>
    <x v="3"/>
    <s v="MATABA I"/>
    <s v="Public"/>
    <x v="0"/>
    <s v="Muhanga"/>
    <s v="Kiyumba"/>
    <s v="NNYU_3"/>
    <s v="Nyabarongo Upstream Sub-Catchment"/>
    <n v="1103.7600000000002"/>
  </r>
  <r>
    <x v="3"/>
    <s v="KAMADEDE"/>
    <s v="Public"/>
    <x v="0"/>
    <s v="Muhanga"/>
    <s v="Kiyumba"/>
    <s v="NNYU_3"/>
    <s v="Nyabarongo Upstream Sub-Catchment"/>
    <n v="0"/>
  </r>
  <r>
    <x v="3"/>
    <s v="KAVOMO"/>
    <s v="Public"/>
    <x v="0"/>
    <s v="Muhanga"/>
    <s v="Kiyumba"/>
    <s v="NNYU_3"/>
    <s v="Nyabarongo Upstream Sub-Catchment"/>
    <n v="4730.4000000000005"/>
  </r>
  <r>
    <x v="3"/>
    <s v="BWIYANDO"/>
    <s v="Public"/>
    <x v="0"/>
    <s v="Muhanga"/>
    <s v="Kiyumba"/>
    <s v="NNYU_3"/>
    <s v="Nyabarongo Upstream Sub-Catchment"/>
    <n v="4730.4000000000005"/>
  </r>
  <r>
    <x v="3"/>
    <s v="NYAKAGEZI II"/>
    <s v="Public"/>
    <x v="0"/>
    <s v="Muhanga"/>
    <s v="Kiyumba"/>
    <s v="NNYU_3"/>
    <s v="Nyabarongo Upstream Sub-Catchment"/>
    <n v="630.72"/>
  </r>
  <r>
    <x v="3"/>
    <s v="NYARUKOMBE"/>
    <s v="Public"/>
    <x v="0"/>
    <s v="Muhanga"/>
    <s v="Kiyumba"/>
    <s v="NNYU_3"/>
    <s v="Nyabarongo Upstream Sub-Catchment"/>
    <n v="315.36"/>
  </r>
  <r>
    <x v="3"/>
    <s v="NYAKIRIBA"/>
    <s v="Public"/>
    <x v="0"/>
    <s v="Muhanga"/>
    <s v="Kiyumba"/>
    <s v="NNYU_3"/>
    <s v="Nyabarongo Upstream Sub-Catchment"/>
    <n v="7884.0000000000009"/>
  </r>
  <r>
    <x v="3"/>
    <s v="NYARUKOMBE"/>
    <s v="Public"/>
    <x v="0"/>
    <s v="Muhanga"/>
    <s v="Kiyumba"/>
    <s v="NNYU_3"/>
    <s v="Nyabarongo Upstream Sub-Catchment"/>
    <n v="315.36"/>
  </r>
  <r>
    <x v="3"/>
    <s v="NYAGASOZI"/>
    <s v="Public"/>
    <x v="0"/>
    <s v="Muhanga"/>
    <s v="Kiyumba"/>
    <s v="NNYU_3"/>
    <s v="Nyabarongo Upstream Sub-Catchment"/>
    <n v="3153.6000000000004"/>
  </r>
  <r>
    <x v="3"/>
    <s v="GAPFURA"/>
    <s v="Public"/>
    <x v="0"/>
    <s v="Muhanga"/>
    <s v="Kiyumba"/>
    <s v="NNYU_3"/>
    <s v="Nyabarongo Upstream Sub-Catchment"/>
    <n v="473.04"/>
  </r>
  <r>
    <x v="3"/>
    <s v="MATEKE"/>
    <s v="Public"/>
    <x v="0"/>
    <s v="Muhanga"/>
    <s v="Kiyumba"/>
    <s v="NNYU_3"/>
    <s v="Nyabarongo Upstream Sub-Catchment"/>
    <n v="15768.000000000002"/>
  </r>
  <r>
    <x v="3"/>
    <s v="NKOMANE"/>
    <s v="Public"/>
    <x v="0"/>
    <s v="Muhanga"/>
    <s v="Kiyumba"/>
    <s v="NNYU_3"/>
    <s v="Nyabarongo Upstream Sub-Catchment"/>
    <n v="4730.4000000000005"/>
  </r>
  <r>
    <x v="3"/>
    <s v="BUSEGO"/>
    <s v="Public"/>
    <x v="0"/>
    <s v="Muhanga"/>
    <s v="Kiyumba"/>
    <s v="NNYU_3"/>
    <s v="Nyabarongo Upstream Sub-Catchment"/>
    <n v="6307.2000000000007"/>
  </r>
  <r>
    <x v="3"/>
    <s v="NYARUBANDE"/>
    <s v="Public"/>
    <x v="0"/>
    <s v="Muhanga"/>
    <s v="Kiyumba"/>
    <s v="NNYU_3"/>
    <s v="Nyabarongo Upstream Sub-Catchment"/>
    <n v="4730.4000000000005"/>
  </r>
  <r>
    <x v="3"/>
    <s v="BWIMBAMIZI"/>
    <s v="Public"/>
    <x v="0"/>
    <s v="Muhanga"/>
    <s v="Kiyumba"/>
    <s v="NNYU_3"/>
    <s v="Nyabarongo Upstream Sub-Catchment"/>
    <n v="6307.2000000000007"/>
  </r>
  <r>
    <x v="3"/>
    <s v="NYAKAGEZI"/>
    <s v="Public"/>
    <x v="0"/>
    <s v="Muhanga"/>
    <s v="Kiyumba"/>
    <s v="NNYU_3"/>
    <s v="Nyabarongo Upstream Sub-Catchment"/>
    <n v="6307.2000000000007"/>
  </r>
  <r>
    <x v="3"/>
    <s v="NYIRAMAGERI"/>
    <s v="Public"/>
    <x v="0"/>
    <s v="Muhanga"/>
    <s v="Kiyumba"/>
    <s v="NNYU_3"/>
    <s v="Nyabarongo Upstream Sub-Catchment"/>
    <n v="4730.4000000000005"/>
  </r>
  <r>
    <x v="3"/>
    <s v="RYAHARAKANDI"/>
    <s v="Public"/>
    <x v="0"/>
    <s v="Muhanga"/>
    <s v="Kiyumba"/>
    <s v="NNYU_3"/>
    <s v="Nyabarongo Upstream Sub-Catchment"/>
    <n v="157.68"/>
  </r>
  <r>
    <x v="3"/>
    <s v="RWASEKIDENDE"/>
    <s v="Public"/>
    <x v="0"/>
    <s v="Muhanga"/>
    <s v="Kiyumba"/>
    <s v="NNYU_3"/>
    <s v="Nyabarongo Upstream Sub-Catchment"/>
    <n v="4730.4000000000005"/>
  </r>
  <r>
    <x v="3"/>
    <s v="NYAKIRIBA"/>
    <s v="Public"/>
    <x v="0"/>
    <s v="Muhanga"/>
    <s v="Kiyumba"/>
    <s v="NNYU_3"/>
    <s v="Nyabarongo Upstream Sub-Catchment"/>
    <n v="4730.4000000000005"/>
  </r>
  <r>
    <x v="3"/>
    <s v="NYABIHANGA"/>
    <s v="Public"/>
    <x v="0"/>
    <s v="Muhanga"/>
    <s v="Kiyumba"/>
    <s v="NNYU_3"/>
    <s v="Nyabarongo Upstream Sub-Catchment"/>
    <n v="3942.0000000000005"/>
  </r>
  <r>
    <x v="3"/>
    <s v="SHARANKIMA"/>
    <s v="Public"/>
    <x v="0"/>
    <s v="Muhanga"/>
    <s v="Kiyumba"/>
    <s v="NNYU_3"/>
    <s v="Nyabarongo Upstream Sub-Catchment"/>
    <n v="0"/>
  </r>
  <r>
    <x v="3"/>
    <s v="KABUREMBO"/>
    <s v="Public"/>
    <x v="0"/>
    <s v="Muhanga"/>
    <s v="Kiyumba"/>
    <s v="NNYU_3"/>
    <s v="Nyabarongo Upstream Sub-Catchment"/>
    <n v="6307.2000000000007"/>
  </r>
  <r>
    <x v="3"/>
    <s v="KARISANGA"/>
    <s v="Public"/>
    <x v="0"/>
    <s v="Muhanga"/>
    <s v="Kiyumba"/>
    <s v="NNYU_3"/>
    <s v="Nyabarongo Upstream Sub-Catchment"/>
    <n v="3153.6000000000004"/>
  </r>
  <r>
    <x v="3"/>
    <s v="MASUMA"/>
    <s v="Public"/>
    <x v="0"/>
    <s v="Muhanga"/>
    <s v="Kiyumba"/>
    <s v="NNYU_3"/>
    <s v="Nyabarongo Upstream Sub-Catchment"/>
    <n v="15.768000000000001"/>
  </r>
  <r>
    <x v="3"/>
    <s v="MUTUMBA II"/>
    <s v="Public"/>
    <x v="0"/>
    <s v="Muhanga"/>
    <s v="Kiyumba"/>
    <s v="NNYU_3"/>
    <s v="Nyabarongo Upstream Sub-Catchment"/>
    <n v="4730.4000000000005"/>
  </r>
  <r>
    <x v="3"/>
    <s v="NYAMIGOGO"/>
    <s v="Public"/>
    <x v="0"/>
    <s v="Muhanga"/>
    <s v="Kiyumba"/>
    <s v="NNYU_3"/>
    <s v="Nyabarongo Upstream Sub-Catchment"/>
    <n v="4730.4000000000005"/>
  </r>
  <r>
    <x v="3"/>
    <s v="KAJERENGE"/>
    <s v="Public"/>
    <x v="0"/>
    <s v="Muhanga"/>
    <s v="Kiyumba"/>
    <s v="NNYU_3"/>
    <s v="Nyabarongo Upstream Sub-Catchment"/>
    <n v="4730.4000000000005"/>
  </r>
  <r>
    <x v="3"/>
    <s v="KINKERERI"/>
    <s v="Public"/>
    <x v="0"/>
    <s v="Muhanga"/>
    <s v="Kiyumba"/>
    <s v="NNYU_3"/>
    <s v="Nyabarongo Upstream Sub-Catchment"/>
    <n v="3153.6000000000004"/>
  </r>
  <r>
    <x v="3"/>
    <s v="UWIMANA"/>
    <s v="Public"/>
    <x v="0"/>
    <s v="Muhanga"/>
    <s v="Kiyumba"/>
    <s v="NNYU_3"/>
    <s v="Nyabarongo Upstream Sub-Catchment"/>
    <n v="315.36"/>
  </r>
  <r>
    <x v="3"/>
    <s v="MUTUMBA I"/>
    <s v="Public"/>
    <x v="0"/>
    <s v="Muhanga"/>
    <s v="Kiyumba"/>
    <s v="NNYU_3"/>
    <s v="Nyabarongo Upstream Sub-Catchment"/>
    <n v="4730.4000000000005"/>
  </r>
  <r>
    <x v="3"/>
    <s v="NYIRAKANYAMUNYO"/>
    <s v="Public"/>
    <x v="0"/>
    <s v="Muhanga"/>
    <s v="Kiyumba"/>
    <s v="NNYU_3"/>
    <s v="Nyabarongo Upstream Sub-Catchment"/>
    <n v="1103.7600000000002"/>
  </r>
  <r>
    <x v="3"/>
    <s v="KABINGO"/>
    <s v="Public"/>
    <x v="0"/>
    <s v="Muhanga"/>
    <s v="Kiyumba"/>
    <s v="NNYU_3"/>
    <s v="Nyabarongo Upstream Sub-Catchment"/>
    <n v="4730.4000000000005"/>
  </r>
  <r>
    <x v="3"/>
    <s v="NYAGAHONDO"/>
    <s v="Public"/>
    <x v="0"/>
    <s v="Muhanga"/>
    <s v="Kiyumba"/>
    <s v="NNYU_3"/>
    <s v="Nyabarongo Upstream Sub-Catchment"/>
    <n v="14191.2"/>
  </r>
  <r>
    <x v="3"/>
    <s v="MARIA TEREZA"/>
    <s v="Public"/>
    <x v="0"/>
    <s v="Muhanga"/>
    <s v="Kiyumba"/>
    <s v="NNYU_3"/>
    <s v="Nyabarongo Upstream Sub-Catchment"/>
    <n v="23652.000000000004"/>
  </r>
  <r>
    <x v="3"/>
    <s v="UWURUTARE"/>
    <s v="Public"/>
    <x v="0"/>
    <s v="Muhanga"/>
    <s v="Kiyumba"/>
    <s v="NNYU_3"/>
    <s v="Nyabarongo Upstream Sub-Catchment"/>
    <n v="0"/>
  </r>
  <r>
    <x v="3"/>
    <s v="KAGUGU"/>
    <s v="Public"/>
    <x v="0"/>
    <s v="Muhanga"/>
    <s v="Kiyumba"/>
    <s v="NNYU_3"/>
    <s v="Nyabarongo Upstream Sub-Catchment"/>
    <n v="4730.4000000000005"/>
  </r>
  <r>
    <x v="3"/>
    <s v="RUTEMBE"/>
    <s v="Public"/>
    <x v="0"/>
    <s v="Muhanga"/>
    <s v="Kiyumba"/>
    <s v="NNYU_3"/>
    <s v="Nyabarongo Upstream Sub-Catchment"/>
    <n v="4730.4000000000005"/>
  </r>
  <r>
    <x v="3"/>
    <s v="KABERE"/>
    <s v="Public"/>
    <x v="0"/>
    <s v="Muhanga"/>
    <s v="Kiyumba"/>
    <s v="NNYU_3"/>
    <s v="Nyabarongo Upstream Sub-Catchment"/>
    <n v="15768.000000000002"/>
  </r>
  <r>
    <x v="3"/>
    <s v="GASIGA"/>
    <s v="Public"/>
    <x v="0"/>
    <s v="Muhanga"/>
    <s v="Kiyumba"/>
    <s v="NNYU_3"/>
    <s v="Nyabarongo Upstream Sub-Catchment"/>
    <n v="630.72"/>
  </r>
  <r>
    <x v="3"/>
    <s v="GAKOMA"/>
    <s v="Public"/>
    <x v="0"/>
    <s v="Muhanga"/>
    <s v="Kiyumba"/>
    <s v="NNYU_3"/>
    <s v="Nyabarongo Upstream Sub-Catchment"/>
    <n v="14191.2"/>
  </r>
  <r>
    <x v="3"/>
    <s v="GATUGUNGURU"/>
    <s v="Public"/>
    <x v="0"/>
    <s v="Muhanga"/>
    <s v="Kiyumba"/>
    <s v="NNYU_3"/>
    <s v="Nyabarongo Upstream Sub-Catchment"/>
    <n v="157.68"/>
  </r>
  <r>
    <x v="3"/>
    <s v="GAKERI"/>
    <s v="Public"/>
    <x v="0"/>
    <s v="Muhanga"/>
    <s v="Kiyumba"/>
    <s v="NNYU_3"/>
    <s v="Nyabarongo Upstream Sub-Catchment"/>
    <n v="473.04"/>
  </r>
  <r>
    <x v="3"/>
    <s v="KAZABAGARURA"/>
    <s v="Public"/>
    <x v="0"/>
    <s v="Muhanga"/>
    <s v="Kiyumba"/>
    <s v="NNYU_3"/>
    <s v="Nyabarongo Upstream Sub-Catchment"/>
    <n v="6307.2000000000007"/>
  </r>
  <r>
    <x v="3"/>
    <s v="UWABACUZI"/>
    <s v="Public"/>
    <x v="0"/>
    <s v="Muhanga"/>
    <s v="Kiyumba"/>
    <s v="NNYU_3"/>
    <s v="Nyabarongo Upstream Sub-Catchment"/>
    <n v="3153.6000000000004"/>
  </r>
  <r>
    <x v="3"/>
    <s v="NGONA"/>
    <s v="Public"/>
    <x v="0"/>
    <s v="Muhanga"/>
    <s v="Kiyumba"/>
    <s v="NNYU_3"/>
    <s v="Nyabarongo Upstream Sub-Catchment"/>
    <n v="630.72"/>
  </r>
  <r>
    <x v="3"/>
    <s v="NYAMUKO II"/>
    <s v="Public"/>
    <x v="0"/>
    <s v="Muhanga"/>
    <s v="Kiyumba"/>
    <s v="NNYU_3"/>
    <s v="Nyabarongo Upstream Sub-Catchment"/>
    <n v="0"/>
  </r>
  <r>
    <x v="3"/>
    <s v="NYAKARIBA"/>
    <s v="Public"/>
    <x v="0"/>
    <s v="Muhanga"/>
    <s v="Kiyumba"/>
    <s v="NNYU_3"/>
    <s v="Nyabarongo Upstream Sub-Catchment"/>
    <n v="0"/>
  </r>
  <r>
    <x v="3"/>
    <s v="GAHAMA"/>
    <s v="Public"/>
    <x v="0"/>
    <s v="Muhanga"/>
    <s v="Kiyumba"/>
    <s v="NNYU_3"/>
    <s v="Nyabarongo Upstream Sub-Catchment"/>
    <n v="3942.0000000000005"/>
  </r>
  <r>
    <x v="3"/>
    <s v="GASHUNZI II"/>
    <s v="Public"/>
    <x v="0"/>
    <s v="Muhanga"/>
    <s v="Kiyumba"/>
    <s v="NNYU_3"/>
    <s v="Nyabarongo Upstream Sub-Catchment"/>
    <n v="788.40000000000009"/>
  </r>
  <r>
    <x v="3"/>
    <s v="GASHUNZI I"/>
    <s v="Public"/>
    <x v="0"/>
    <s v="Muhanga"/>
    <s v="Kiyumba"/>
    <s v="NNYU_3"/>
    <s v="Nyabarongo Upstream Sub-Catchment"/>
    <n v="9460.8000000000011"/>
  </r>
  <r>
    <x v="3"/>
    <s v="GATARE"/>
    <s v="Public"/>
    <x v="0"/>
    <s v="Muhanga"/>
    <s v="Kiyumba"/>
    <s v="NNYU_3"/>
    <s v="Nyabarongo Upstream Sub-Catchment"/>
    <n v="2365.2000000000003"/>
  </r>
  <r>
    <x v="3"/>
    <s v="NYAMUKOI"/>
    <s v="Public"/>
    <x v="0"/>
    <s v="Muhanga"/>
    <s v="Kiyumba"/>
    <s v="NNYU_3"/>
    <s v="Nyabarongo Upstream Sub-Catchment"/>
    <n v="3153.6000000000004"/>
  </r>
  <r>
    <x v="3"/>
    <s v="GASEKE"/>
    <s v="Public"/>
    <x v="0"/>
    <s v="Muhanga"/>
    <s v="Kiyumba"/>
    <s v="NNYU_3"/>
    <s v="Nyabarongo Upstream Sub-Catchment"/>
    <n v="7884.0000000000009"/>
  </r>
  <r>
    <x v="3"/>
    <s v="GASHUNZI II"/>
    <s v="Public"/>
    <x v="0"/>
    <s v="Muhanga"/>
    <s v="Kiyumba"/>
    <s v="NNYU_3"/>
    <s v="Nyabarongo Upstream Sub-Catchment"/>
    <n v="4730.4000000000005"/>
  </r>
  <r>
    <x v="3"/>
    <s v="kavogo"/>
    <s v="Public"/>
    <x v="0"/>
    <s v="Muhanga"/>
    <s v="Kiyumba"/>
    <s v="NNYU_3"/>
    <s v="Nyabarongo Upstream Sub-Catchment"/>
    <n v="6307.2000000000007"/>
  </r>
  <r>
    <x v="3"/>
    <s v="RYANKOKO"/>
    <s v="Public"/>
    <x v="0"/>
    <s v="Muhanga"/>
    <s v="Kiyumba"/>
    <s v="NNYU_3"/>
    <s v="Nyabarongo Upstream Sub-Catchment"/>
    <n v="3468.9600000000005"/>
  </r>
  <r>
    <x v="3"/>
    <s v="GASENYI"/>
    <s v="Public"/>
    <x v="0"/>
    <s v="Muhanga"/>
    <s v="Kiyumba"/>
    <s v="NNYU_3"/>
    <s v="Nyabarongo Upstream Sub-Catchment"/>
    <n v="630.72"/>
  </r>
  <r>
    <x v="3"/>
    <s v="MIKO"/>
    <s v="Public"/>
    <x v="0"/>
    <s v="Muhanga"/>
    <s v="Kiyumba"/>
    <s v="NNYU_3"/>
    <s v="Nyabarongo Upstream Sub-Catchment"/>
    <n v="0"/>
  </r>
  <r>
    <x v="3"/>
    <s v="GASEKE"/>
    <s v="Public"/>
    <x v="0"/>
    <s v="Muhanga"/>
    <s v="Kiyumba"/>
    <s v="NNYU_3"/>
    <s v="Nyabarongo Upstream Sub-Catchment"/>
    <n v="4730.4000000000005"/>
  </r>
  <r>
    <x v="3"/>
    <s v="KAYOGERA"/>
    <s v="Public"/>
    <x v="0"/>
    <s v="Muhanga"/>
    <s v="Kiyumba"/>
    <s v="NNYU_3"/>
    <s v="Nyabarongo Upstream Sub-Catchment"/>
    <n v="3942.0000000000005"/>
  </r>
  <r>
    <x v="3"/>
    <s v="RWAGIHIMA"/>
    <s v="Public"/>
    <x v="0"/>
    <s v="Muhanga"/>
    <s v="Kiyumba"/>
    <s v="NNYU_3"/>
    <s v="Nyabarongo Upstream Sub-Catchment"/>
    <n v="630.72"/>
  </r>
  <r>
    <x v="3"/>
    <s v="GASHUNZI I"/>
    <s v="Public"/>
    <x v="0"/>
    <s v="Muhanga"/>
    <s v="Kiyumba"/>
    <s v="NNYU_3"/>
    <s v="Nyabarongo Upstream Sub-Catchment"/>
    <n v="9460.8000000000011"/>
  </r>
  <r>
    <x v="3"/>
    <s v="MITABO"/>
    <s v="Public"/>
    <x v="0"/>
    <s v="Muhanga"/>
    <s v="Kiyumba"/>
    <s v="NNYU_3"/>
    <s v="Nyabarongo Upstream Sub-Catchment"/>
    <n v="0"/>
  </r>
  <r>
    <x v="3"/>
    <s v="NYAMUNZANGA"/>
    <s v="Public"/>
    <x v="0"/>
    <s v="Muhanga"/>
    <s v="Kiyumba"/>
    <s v="NNYU_3"/>
    <s v="Nyabarongo Upstream Sub-Catchment"/>
    <n v="3626.64"/>
  </r>
  <r>
    <x v="3"/>
    <s v="GASAYO"/>
    <s v="Public"/>
    <x v="0"/>
    <s v="Muhanga"/>
    <s v="Kiyumba"/>
    <s v="NNYU_3"/>
    <s v="Nyabarongo Upstream Sub-Catchment"/>
    <n v="8672.4000000000015"/>
  </r>
  <r>
    <x v="3"/>
    <s v="GASEKE"/>
    <s v="Public"/>
    <x v="0"/>
    <s v="Muhanga"/>
    <s v="Kiyumba"/>
    <s v="NNYU_3"/>
    <s v="Nyabarongo Upstream Sub-Catchment"/>
    <n v="3153.6000000000004"/>
  </r>
  <r>
    <x v="3"/>
    <s v="RUKONORO I"/>
    <s v="Public"/>
    <x v="0"/>
    <s v="Muhanga"/>
    <s v="Kiyumba"/>
    <s v="NNYU_3"/>
    <s v="Nyabarongo Upstream Sub-Catchment"/>
    <n v="4730.4000000000005"/>
  </r>
  <r>
    <x v="3"/>
    <s v="MATABA II"/>
    <s v="Public"/>
    <x v="0"/>
    <s v="Muhanga"/>
    <s v="Kiyumba"/>
    <s v="NNYU_3"/>
    <s v="Nyabarongo Upstream Sub-Catchment"/>
    <n v="630.72"/>
  </r>
  <r>
    <x v="3"/>
    <s v="MIRARWE II"/>
    <s v="Public"/>
    <x v="0"/>
    <s v="Muhanga"/>
    <s v="Kiyumba"/>
    <s v="NNYU_3"/>
    <s v="Nyabarongo Upstream Sub-Catchment"/>
    <n v="7884.0000000000009"/>
  </r>
  <r>
    <x v="3"/>
    <s v="KURUSEKE"/>
    <s v="Public"/>
    <x v="0"/>
    <s v="Muhanga"/>
    <s v="Kiyumba"/>
    <s v="NNYU_3"/>
    <s v="Nyabarongo Upstream Sub-Catchment"/>
    <n v="3153.6000000000004"/>
  </r>
  <r>
    <x v="3"/>
    <s v="KAZIBAZIBA"/>
    <s v="Public"/>
    <x v="0"/>
    <s v="Muhanga"/>
    <s v="Kiyumba"/>
    <s v="NNYU_3"/>
    <s v="Nyabarongo Upstream Sub-Catchment"/>
    <n v="9460.8000000000011"/>
  </r>
  <r>
    <x v="3"/>
    <s v="RUKONORO II"/>
    <s v="Public"/>
    <x v="0"/>
    <s v="Muhanga"/>
    <s v="Kiyumba"/>
    <s v="NNYU_3"/>
    <s v="Nyabarongo Upstream Sub-Catchment"/>
    <n v="3153.6000000000004"/>
  </r>
  <r>
    <x v="3"/>
    <s v="MIRARWE I"/>
    <s v="Public"/>
    <x v="0"/>
    <s v="Muhanga"/>
    <s v="Kiyumba"/>
    <s v="NNYU_3"/>
    <s v="Nyabarongo Upstream Sub-Catchment"/>
    <n v="7884.0000000000009"/>
  </r>
  <r>
    <x v="3"/>
    <s v="GASAMURA"/>
    <s v="Public"/>
    <x v="0"/>
    <s v="Muhanga"/>
    <s v="Kiyumba"/>
    <s v="NNYU_3"/>
    <s v="Nyabarongo Upstream Sub-Catchment"/>
    <n v="4730.4000000000005"/>
  </r>
  <r>
    <x v="3"/>
    <s v="KAZABAGARURA"/>
    <s v="Public"/>
    <x v="0"/>
    <s v="Muhanga"/>
    <s v="Kiyumba"/>
    <s v="NNYU_3"/>
    <s v="Nyabarongo Upstream Sub-Catchment"/>
    <n v="3153.6000000000004"/>
  </r>
  <r>
    <x v="3"/>
    <s v="RUBONOBONO"/>
    <s v="Public"/>
    <x v="0"/>
    <s v="Muhanga"/>
    <s v="Kiyumba"/>
    <s v="NNYU_3"/>
    <s v="Nyabarongo Upstream Sub-Catchment"/>
    <n v="4730.4000000000005"/>
  </r>
  <r>
    <x v="3"/>
    <s v="RWANTANUKA"/>
    <s v="Public"/>
    <x v="0"/>
    <s v="Muhanga"/>
    <s v="Kiyumba"/>
    <s v="NNYU_3"/>
    <s v="Nyabarongo Upstream Sub-Catchment"/>
    <n v="0"/>
  </r>
  <r>
    <x v="3"/>
    <s v="NYAMABUYE"/>
    <s v="Public"/>
    <x v="0"/>
    <s v="Ngororero"/>
    <s v="Matyazo"/>
    <s v="NNYU_3"/>
    <s v="Nyabarongo Upstream Sub-Catchment"/>
    <n v="6307.2000000000007"/>
  </r>
  <r>
    <x v="3"/>
    <s v="NYAGAHONDO"/>
    <s v="Public"/>
    <x v="0"/>
    <s v="Ngororero"/>
    <s v="Matyazo"/>
    <s v="NNYU_3"/>
    <s v="Nyabarongo Upstream Sub-Catchment"/>
    <n v="1576.8000000000002"/>
  </r>
  <r>
    <x v="3"/>
    <s v="BASARE I"/>
    <s v="Public"/>
    <x v="0"/>
    <s v="Ngororero"/>
    <s v="Matyazo"/>
    <s v="NNYU_3"/>
    <s v="Nyabarongo Upstream Sub-Catchment"/>
    <n v="2365.2000000000003"/>
  </r>
  <r>
    <x v="3"/>
    <s v="RUVUZO II"/>
    <s v="Public"/>
    <x v="0"/>
    <s v="Ngororero"/>
    <s v="Matyazo"/>
    <s v="NNYU_3"/>
    <s v="Nyabarongo Upstream Sub-Catchment"/>
    <n v="4730.4000000000005"/>
  </r>
  <r>
    <x v="3"/>
    <s v="RUVUZO I"/>
    <s v="Public"/>
    <x v="0"/>
    <s v="Ngororero"/>
    <s v="Matyazo"/>
    <s v="NNYU_3"/>
    <s v="Nyabarongo Upstream Sub-Catchment"/>
    <n v="788.40000000000009"/>
  </r>
  <r>
    <x v="3"/>
    <s v="KIBUZA"/>
    <s v="Public"/>
    <x v="0"/>
    <s v="Ngororero"/>
    <s v="Matyazo"/>
    <s v="NNYU_3"/>
    <s v="Nyabarongo Upstream Sub-Catchment"/>
    <n v="1103.7600000000002"/>
  </r>
  <r>
    <x v="3"/>
    <s v="MUGONERO"/>
    <s v="Public"/>
    <x v="0"/>
    <s v="Ngororero"/>
    <s v="Matyazo"/>
    <s v="NNYU_3"/>
    <s v="Nyabarongo Upstream Sub-Catchment"/>
    <n v="946.08"/>
  </r>
  <r>
    <x v="3"/>
    <s v="KANYOMBYA"/>
    <s v="Public"/>
    <x v="0"/>
    <s v="Ngororero"/>
    <s v="Matyazo"/>
    <s v="NNYU_3"/>
    <s v="Nyabarongo Upstream Sub-Catchment"/>
    <n v="3153.6000000000004"/>
  </r>
  <r>
    <x v="3"/>
    <s v="MUGASHANGA"/>
    <s v="Public"/>
    <x v="0"/>
    <s v="Ngororero"/>
    <s v="Matyazo"/>
    <s v="NNYU_3"/>
    <s v="Nyabarongo Upstream Sub-Catchment"/>
    <n v="630.72"/>
  </r>
  <r>
    <x v="3"/>
    <s v="RUKUNDUMWAMI II"/>
    <s v="Public"/>
    <x v="0"/>
    <s v="Ngororero"/>
    <s v="Matyazo"/>
    <s v="NNYU_3"/>
    <s v="Nyabarongo Upstream Sub-Catchment"/>
    <n v="4099.68"/>
  </r>
  <r>
    <x v="3"/>
    <s v="KANYEGERA I"/>
    <s v="Public"/>
    <x v="0"/>
    <s v="Ngororero"/>
    <s v="Matyazo"/>
    <s v="NNYU_3"/>
    <s v="Nyabarongo Upstream Sub-Catchment"/>
    <n v="1576.8000000000002"/>
  </r>
  <r>
    <x v="3"/>
    <s v="RUKUNDUMWAMI I"/>
    <s v="Public"/>
    <x v="0"/>
    <s v="Ngororero"/>
    <s v="Matyazo"/>
    <s v="NNYU_3"/>
    <s v="Nyabarongo Upstream Sub-Catchment"/>
    <n v="7884.0000000000009"/>
  </r>
  <r>
    <x v="3"/>
    <s v="GASHANGA"/>
    <s v="Public"/>
    <x v="0"/>
    <s v="Ngororero"/>
    <s v="Matyazo"/>
    <s v="NNYU_3"/>
    <s v="Nyabarongo Upstream Sub-Catchment"/>
    <n v="1103.7600000000002"/>
  </r>
  <r>
    <x v="3"/>
    <s v="KANYEGERA II"/>
    <s v="Public"/>
    <x v="0"/>
    <s v="Ngororero"/>
    <s v="Matyazo"/>
    <s v="NNYU_3"/>
    <s v="Nyabarongo Upstream Sub-Catchment"/>
    <n v="2365.2000000000003"/>
  </r>
  <r>
    <x v="3"/>
    <s v="NYAMUGARI"/>
    <s v="Public"/>
    <x v="0"/>
    <s v="Ngororero"/>
    <s v="Matyazo"/>
    <s v="NNYU_3"/>
    <s v="Nyabarongo Upstream Sub-Catchment"/>
    <n v="1261.44"/>
  </r>
  <r>
    <x v="3"/>
    <s v="RWAMIRAMBA"/>
    <s v="Public"/>
    <x v="0"/>
    <s v="Ngororero"/>
    <s v="Matyazo"/>
    <s v="NNYU_3"/>
    <s v="Nyabarongo Upstream Sub-Catchment"/>
    <n v="1419.12"/>
  </r>
  <r>
    <x v="3"/>
    <s v="RUBURANKONO"/>
    <s v="Public"/>
    <x v="0"/>
    <s v="Ngororero"/>
    <s v="Matyazo"/>
    <s v="NNYU_3"/>
    <s v="Nyabarongo Upstream Sub-Catchment"/>
    <n v="1419.12"/>
  </r>
  <r>
    <x v="3"/>
    <s v="NYAKAGEZI"/>
    <s v="Public"/>
    <x v="0"/>
    <s v="Ngororero"/>
    <s v="Matyazo"/>
    <s v="NNYU_3"/>
    <s v="Nyabarongo Upstream Sub-Catchment"/>
    <n v="473.04"/>
  </r>
  <r>
    <x v="3"/>
    <s v="NDURUMA"/>
    <s v="Public"/>
    <x v="0"/>
    <s v="Ngororero"/>
    <s v="Matyazo"/>
    <s v="NNYU_3"/>
    <s v="Nyabarongo Upstream Sub-Catchment"/>
    <n v="3626.64"/>
  </r>
  <r>
    <x v="3"/>
    <s v="RUGWANO"/>
    <s v="Public"/>
    <x v="0"/>
    <s v="Ngororero"/>
    <s v="Matyazo"/>
    <s v="NNYU_3"/>
    <s v="Nyabarongo Upstream Sub-Catchment"/>
    <n v="473.04"/>
  </r>
  <r>
    <x v="3"/>
    <s v="NDANZE"/>
    <s v="Public"/>
    <x v="0"/>
    <s v="Ngororero"/>
    <s v="Matyazo"/>
    <s v="NNYU_3"/>
    <s v="Nyabarongo Upstream Sub-Catchment"/>
    <n v="2522.88"/>
  </r>
  <r>
    <x v="3"/>
    <s v="NYARUTOVU"/>
    <s v="Public"/>
    <x v="0"/>
    <s v="Ngororero"/>
    <s v="Matyazo"/>
    <s v="NNYU_3"/>
    <s v="Nyabarongo Upstream Sub-Catchment"/>
    <n v="2049.84"/>
  </r>
  <r>
    <x v="3"/>
    <s v="KAZIBONERA"/>
    <s v="Public"/>
    <x v="0"/>
    <s v="Ngororero"/>
    <s v="Matyazo"/>
    <s v="NNYU_3"/>
    <s v="Nyabarongo Upstream Sub-Catchment"/>
    <n v="315.36"/>
  </r>
  <r>
    <x v="3"/>
    <s v="KASEKE"/>
    <s v="Public"/>
    <x v="0"/>
    <s v="Ngororero"/>
    <s v="Matyazo"/>
    <s v="NNYU_3"/>
    <s v="Nyabarongo Upstream Sub-Catchment"/>
    <n v="630.72"/>
  </r>
  <r>
    <x v="3"/>
    <s v="MAFIGI"/>
    <s v="Public"/>
    <x v="0"/>
    <s v="Ngororero"/>
    <s v="Matyazo"/>
    <s v="NNYU_3"/>
    <s v="Nyabarongo Upstream Sub-Catchment"/>
    <n v="630.72"/>
  </r>
  <r>
    <x v="3"/>
    <s v="NTURUBIKO"/>
    <s v="Public"/>
    <x v="0"/>
    <s v="Ngororero"/>
    <s v="Matyazo"/>
    <s v="NNYU_3"/>
    <s v="Nyabarongo Upstream Sub-Catchment"/>
    <n v="630.72"/>
  </r>
  <r>
    <x v="3"/>
    <s v="NYAGISENYI I"/>
    <s v="Public"/>
    <x v="0"/>
    <s v="Ngororero"/>
    <s v="Matyazo"/>
    <s v="NNYU_3"/>
    <s v="Nyabarongo Upstream Sub-Catchment"/>
    <n v="1261.44"/>
  </r>
  <r>
    <x v="3"/>
    <s v="NYAGISENYI II"/>
    <s v="Public"/>
    <x v="0"/>
    <s v="Ngororero"/>
    <s v="Matyazo"/>
    <s v="NNYU_3"/>
    <s v="Nyabarongo Upstream Sub-Catchment"/>
    <n v="473.04"/>
  </r>
  <r>
    <x v="3"/>
    <s v="NYANJA"/>
    <s v="Public"/>
    <x v="0"/>
    <s v="Ngororero"/>
    <s v="Matyazo"/>
    <s v="NNYU_3"/>
    <s v="Nyabarongo Upstream Sub-Catchment"/>
    <n v="1103.7600000000002"/>
  </r>
  <r>
    <x v="3"/>
    <s v="KAJAGI II"/>
    <s v="Public"/>
    <x v="0"/>
    <s v="Ngororero"/>
    <s v="Matyazo"/>
    <s v="NNYU_3"/>
    <s v="Nyabarongo Upstream Sub-Catchment"/>
    <n v="1576.8000000000002"/>
  </r>
  <r>
    <x v="3"/>
    <s v="KUKABINDI I"/>
    <s v="Public"/>
    <x v="0"/>
    <s v="Ngororero"/>
    <s v="Matyazo"/>
    <s v="NNYU_3"/>
    <s v="Nyabarongo Upstream Sub-Catchment"/>
    <n v="473.04"/>
  </r>
  <r>
    <x v="3"/>
    <s v="KABARERA"/>
    <s v="Public"/>
    <x v="0"/>
    <s v="Ngororero"/>
    <s v="Matyazo"/>
    <s v="NNYU_3"/>
    <s v="Nyabarongo Upstream Sub-Catchment"/>
    <n v="473.04"/>
  </r>
  <r>
    <x v="3"/>
    <s v="NYARUBANDE"/>
    <s v="Public"/>
    <x v="0"/>
    <s v="Ngororero"/>
    <s v="Matyazo"/>
    <s v="NNYU_3"/>
    <s v="Nyabarongo Upstream Sub-Catchment"/>
    <n v="1103.7600000000002"/>
  </r>
  <r>
    <x v="3"/>
    <s v="KADENDE"/>
    <s v="Public"/>
    <x v="0"/>
    <s v="Ngororero"/>
    <s v="Matyazo"/>
    <s v="NNYU_3"/>
    <s v="Nyabarongo Upstream Sub-Catchment"/>
    <n v="788.40000000000009"/>
  </r>
  <r>
    <x v="3"/>
    <s v="RYABIRARO"/>
    <s v="Public"/>
    <x v="0"/>
    <s v="Ngororero"/>
    <s v="Matyazo"/>
    <s v="NNYU_3"/>
    <s v="Nyabarongo Upstream Sub-Catchment"/>
    <n v="1576.8000000000002"/>
  </r>
  <r>
    <x v="3"/>
    <s v="MASORONO"/>
    <s v="Public"/>
    <x v="0"/>
    <s v="Ngororero"/>
    <s v="Matyazo"/>
    <s v="NNYU_3"/>
    <s v="Nyabarongo Upstream Sub-Catchment"/>
    <n v="1419.12"/>
  </r>
  <r>
    <x v="3"/>
    <s v="NTAGARA"/>
    <s v="Public"/>
    <x v="0"/>
    <s v="Ngororero"/>
    <s v="Matyazo"/>
    <s v="NNYU_3"/>
    <s v="Nyabarongo Upstream Sub-Catchment"/>
    <n v="1103.7600000000002"/>
  </r>
  <r>
    <x v="3"/>
    <s v="RUKINGO"/>
    <s v="Public"/>
    <x v="0"/>
    <s v="Ngororero"/>
    <s v="Matyazo"/>
    <s v="NNYU_3"/>
    <s v="Nyabarongo Upstream Sub-Catchment"/>
    <n v="1261.44"/>
  </r>
  <r>
    <x v="3"/>
    <s v="NYIRAGAHANDO"/>
    <s v="Public"/>
    <x v="0"/>
    <s v="Ngororero"/>
    <s v="Matyazo"/>
    <s v="NNYU_3"/>
    <s v="Nyabarongo Upstream Sub-Catchment"/>
    <n v="2365.2000000000003"/>
  </r>
  <r>
    <x v="3"/>
    <s v="KANDAMATEMBE"/>
    <s v="Public"/>
    <x v="0"/>
    <s v="Ngororero"/>
    <s v="Matyazo"/>
    <s v="NNYU_3"/>
    <s v="Nyabarongo Upstream Sub-Catchment"/>
    <n v="1103.7600000000002"/>
  </r>
  <r>
    <x v="3"/>
    <s v="KABARERA II"/>
    <s v="Public"/>
    <x v="0"/>
    <s v="Ngororero"/>
    <s v="Matyazo"/>
    <s v="NNYU_3"/>
    <s v="Nyabarongo Upstream Sub-Catchment"/>
    <n v="1261.44"/>
  </r>
  <r>
    <x v="3"/>
    <s v="RWAMIKO I"/>
    <s v="Public"/>
    <x v="0"/>
    <s v="Ngororero"/>
    <s v="Matyazo"/>
    <s v="NNYU_3"/>
    <s v="Nyabarongo Upstream Sub-Catchment"/>
    <n v="788.40000000000009"/>
  </r>
  <r>
    <x v="3"/>
    <s v="BURUSHYA"/>
    <s v="Public"/>
    <x v="0"/>
    <s v="Ngororero"/>
    <s v="Matyazo"/>
    <s v="NNYU_3"/>
    <s v="Nyabarongo Upstream Sub-Catchment"/>
    <n v="473.04"/>
  </r>
  <r>
    <x v="3"/>
    <s v="KINZAGARA"/>
    <s v="Public"/>
    <x v="0"/>
    <s v="Ngororero"/>
    <s v="Matyazo"/>
    <s v="NNYU_3"/>
    <s v="Nyabarongo Upstream Sub-Catchment"/>
    <n v="9933.84"/>
  </r>
  <r>
    <x v="3"/>
    <s v="MUGOMBERO II"/>
    <s v="Public"/>
    <x v="0"/>
    <s v="Ngororero"/>
    <s v="Matyazo"/>
    <s v="NNYU_3"/>
    <s v="Nyabarongo Upstream Sub-Catchment"/>
    <n v="630.72"/>
  </r>
  <r>
    <x v="3"/>
    <s v="MUGOMBERO I"/>
    <s v="Public"/>
    <x v="0"/>
    <s v="Ngororero"/>
    <s v="Matyazo"/>
    <s v="NNYU_3"/>
    <s v="Nyabarongo Upstream Sub-Catchment"/>
    <n v="788.40000000000009"/>
  </r>
  <r>
    <x v="3"/>
    <s v="GASAYO"/>
    <s v="Public"/>
    <x v="0"/>
    <s v="Ngororero"/>
    <s v="Matyazo"/>
    <s v="NNYU_3"/>
    <s v="Nyabarongo Upstream Sub-Catchment"/>
    <n v="630.72"/>
  </r>
  <r>
    <x v="3"/>
    <s v="MASHYOZA II"/>
    <s v="Public"/>
    <x v="0"/>
    <s v="Ngororero"/>
    <s v="Matyazo"/>
    <s v="NNYU_3"/>
    <s v="Nyabarongo Upstream Sub-Catchment"/>
    <n v="473.04"/>
  </r>
  <r>
    <x v="3"/>
    <s v="RUSANA"/>
    <s v="Public"/>
    <x v="0"/>
    <s v="Ngororero"/>
    <s v="Matyazo"/>
    <s v="NNYU_3"/>
    <s v="Nyabarongo Upstream Sub-Catchment"/>
    <n v="788.40000000000009"/>
  </r>
  <r>
    <x v="3"/>
    <s v="RWONDO I"/>
    <s v="Public"/>
    <x v="0"/>
    <s v="Ngororero"/>
    <s v="Matyazo"/>
    <s v="NNYU_3"/>
    <s v="Nyabarongo Upstream Sub-Catchment"/>
    <n v="13087.44"/>
  </r>
  <r>
    <x v="3"/>
    <s v="RWONDO II"/>
    <s v="Public"/>
    <x v="0"/>
    <s v="Ngororero"/>
    <s v="Matyazo"/>
    <s v="NNYU_3"/>
    <s v="Nyabarongo Upstream Sub-Catchment"/>
    <n v="1103.7600000000002"/>
  </r>
  <r>
    <x v="3"/>
    <s v="MASHYOZA I"/>
    <s v="Public"/>
    <x v="0"/>
    <s v="Ngororero"/>
    <s v="Matyazo"/>
    <s v="NNYU_3"/>
    <s v="Nyabarongo Upstream Sub-Catchment"/>
    <n v="788.40000000000009"/>
  </r>
  <r>
    <x v="3"/>
    <s v="BUREHE"/>
    <s v="Public"/>
    <x v="0"/>
    <s v="Ngororero"/>
    <s v="Matyazo"/>
    <s v="NNYU_3"/>
    <s v="Nyabarongo Upstream Sub-Catchment"/>
    <n v="1419.12"/>
  </r>
  <r>
    <x v="3"/>
    <s v="GAKONDO"/>
    <s v="Public"/>
    <x v="0"/>
    <s v="Ngororero"/>
    <s v="Matyazo"/>
    <s v="NNYU_3"/>
    <s v="Nyabarongo Upstream Sub-Catchment"/>
    <n v="2049.84"/>
  </r>
  <r>
    <x v="3"/>
    <s v="GATARE II"/>
    <s v="Public"/>
    <x v="0"/>
    <s v="Ngororero"/>
    <s v="Matyazo"/>
    <s v="NNYU_3"/>
    <s v="Nyabarongo Upstream Sub-Catchment"/>
    <n v="946.08"/>
  </r>
  <r>
    <x v="3"/>
    <s v="RUZIBAZIBA"/>
    <s v="Public"/>
    <x v="0"/>
    <s v="Ngororero"/>
    <s v="Matyazo"/>
    <s v="NNYU_3"/>
    <s v="Nyabarongo Upstream Sub-Catchment"/>
    <n v="2680.56"/>
  </r>
  <r>
    <x v="3"/>
    <s v="NYAGATARE"/>
    <s v="Public"/>
    <x v="0"/>
    <s v="Ngororero"/>
    <s v="Matyazo"/>
    <s v="NNYU_3"/>
    <s v="Nyabarongo Upstream Sub-Catchment"/>
    <n v="1103.7600000000002"/>
  </r>
  <r>
    <x v="3"/>
    <s v="MPINAGATOKI I"/>
    <s v="Public"/>
    <x v="0"/>
    <s v="Ngororero"/>
    <s v="Matyazo"/>
    <s v="NNYU_3"/>
    <s v="Nyabarongo Upstream Sub-Catchment"/>
    <n v="2207.5200000000004"/>
  </r>
  <r>
    <x v="3"/>
    <s v="GATARE I"/>
    <s v="Public"/>
    <x v="0"/>
    <s v="Ngororero"/>
    <s v="Matyazo"/>
    <s v="NNYU_3"/>
    <s v="Nyabarongo Upstream Sub-Catchment"/>
    <n v="473.04"/>
  </r>
  <r>
    <x v="3"/>
    <s v="VUMBO"/>
    <s v="Public"/>
    <x v="0"/>
    <s v="Ngororero"/>
    <s v="Matyazo"/>
    <s v="NNYU_3"/>
    <s v="Nyabarongo Upstream Sub-Catchment"/>
    <n v="1576.8000000000002"/>
  </r>
  <r>
    <x v="3"/>
    <s v="MPINAGATOKI II"/>
    <s v="Public"/>
    <x v="0"/>
    <s v="Ngororero"/>
    <s v="Matyazo"/>
    <s v="NNYU_3"/>
    <s v="Nyabarongo Upstream Sub-Catchment"/>
    <n v="630.72"/>
  </r>
  <r>
    <x v="3"/>
    <s v="KABINGO"/>
    <s v="Public"/>
    <x v="0"/>
    <s v="Ngororero"/>
    <s v="Matyazo"/>
    <s v="NNYU_3"/>
    <s v="Nyabarongo Upstream Sub-Catchment"/>
    <n v="788.40000000000009"/>
  </r>
  <r>
    <x v="3"/>
    <s v="RYARUBINGO"/>
    <s v="Public"/>
    <x v="0"/>
    <s v="Ngororero"/>
    <s v="Matyazo"/>
    <s v="NNYU_3"/>
    <s v="Nyabarongo Upstream Sub-Catchment"/>
    <n v="946.08"/>
  </r>
  <r>
    <x v="3"/>
    <s v="RUSEKE"/>
    <s v="Public"/>
    <x v="0"/>
    <s v="Ngororero"/>
    <s v="Matyazo"/>
    <s v="NNYU_3"/>
    <s v="Nyabarongo Upstream Sub-Catchment"/>
    <n v="946.08"/>
  </r>
  <r>
    <x v="3"/>
    <s v="NYARUGANJE"/>
    <s v="Public"/>
    <x v="0"/>
    <s v="Ngororero"/>
    <s v="Matyazo"/>
    <s v="NNYU_3"/>
    <s v="Nyabarongo Upstream Sub-Catchment"/>
    <n v="3153.6000000000004"/>
  </r>
  <r>
    <x v="3"/>
    <s v="MUHAMA"/>
    <s v="Public"/>
    <x v="0"/>
    <s v="Ngororero"/>
    <s v="Matyazo"/>
    <s v="NNYU_3"/>
    <s v="Nyabarongo Upstream Sub-Catchment"/>
    <n v="2207.5200000000004"/>
  </r>
  <r>
    <x v="3"/>
    <s v="UWARUGEYO"/>
    <s v="Public"/>
    <x v="0"/>
    <s v="Ngororero"/>
    <s v="Matyazo"/>
    <s v="NNYU_3"/>
    <s v="Nyabarongo Upstream Sub-Catchment"/>
    <n v="1103.7600000000002"/>
  </r>
  <r>
    <x v="3"/>
    <s v="NYARUBUYE"/>
    <s v="Public"/>
    <x v="0"/>
    <s v="Ngororero"/>
    <s v="Matyazo"/>
    <s v="NNYU_3"/>
    <s v="Nyabarongo Upstream Sub-Catchment"/>
    <n v="1261.44"/>
  </r>
  <r>
    <x v="3"/>
    <s v="NYAGISOZI"/>
    <s v="Public"/>
    <x v="0"/>
    <s v="Ngororero"/>
    <s v="Matyazo"/>
    <s v="NNYU_3"/>
    <s v="Nyabarongo Upstream Sub-Catchment"/>
    <n v="2049.84"/>
  </r>
  <r>
    <x v="3"/>
    <s v="RYANZIYUMVIRA"/>
    <s v="Public"/>
    <x v="0"/>
    <s v="Ngororero"/>
    <s v="Matyazo"/>
    <s v="NNYU_3"/>
    <s v="Nyabarongo Upstream Sub-Catchment"/>
    <n v="946.08"/>
  </r>
  <r>
    <x v="3"/>
    <s v="RWAMABUYE"/>
    <s v="Public"/>
    <x v="0"/>
    <s v="Ngororero"/>
    <s v="Matyazo"/>
    <s v="NNYU_3"/>
    <s v="Nyabarongo Upstream Sub-Catchment"/>
    <n v="1419.12"/>
  </r>
  <r>
    <x v="3"/>
    <s v="NYAGAHONDO"/>
    <s v="Public"/>
    <x v="0"/>
    <s v="Ngororero"/>
    <s v="Matyazo"/>
    <s v="NNYU_3"/>
    <s v="Nyabarongo Upstream Sub-Catchment"/>
    <n v="2207.5200000000004"/>
  </r>
  <r>
    <x v="3"/>
    <s v="CYUMBA"/>
    <s v="Public"/>
    <x v="0"/>
    <s v="Ngororero"/>
    <s v="Matyazo"/>
    <s v="NNYU_3"/>
    <s v="Nyabarongo Upstream Sub-Catchment"/>
    <n v="788.40000000000009"/>
  </r>
  <r>
    <x v="3"/>
    <s v="RUBAMBA"/>
    <s v="Public"/>
    <x v="0"/>
    <s v="Ngororero"/>
    <s v="Matyazo"/>
    <s v="NNYU_3"/>
    <s v="Nyabarongo Upstream Sub-Catchment"/>
    <n v="1261.44"/>
  </r>
  <r>
    <x v="3"/>
    <s v="GASURA"/>
    <s v="Public"/>
    <x v="0"/>
    <s v="Ngororero"/>
    <s v="Matyazo"/>
    <s v="NNYU_3"/>
    <s v="Nyabarongo Upstream Sub-Catchment"/>
    <n v="1103.7600000000002"/>
  </r>
  <r>
    <x v="3"/>
    <s v="KUKABINDI II"/>
    <s v="Public"/>
    <x v="0"/>
    <s v="Ngororero"/>
    <s v="Matyazo"/>
    <s v="NNYU_3"/>
    <s v="Nyabarongo Upstream Sub-Catchment"/>
    <n v="1103.7600000000002"/>
  </r>
  <r>
    <x v="3"/>
    <s v="KAZABAGARURA"/>
    <s v="Public"/>
    <x v="0"/>
    <s v="Muhanga"/>
    <s v="Muhanga"/>
    <s v="NNYU_3"/>
    <s v="Nyabarongo Upstream Sub-Catchment"/>
    <n v="4730.4000000000005"/>
  </r>
  <r>
    <x v="3"/>
    <s v="karambo"/>
    <s v="Public"/>
    <x v="0"/>
    <s v="Muhanga"/>
    <s v="Muhanga"/>
    <s v="NNYU_3"/>
    <s v="Nyabarongo Upstream Sub-Catchment"/>
    <n v="6307.2000000000007"/>
  </r>
  <r>
    <x v="3"/>
    <s v="nyamugali"/>
    <s v="Public"/>
    <x v="0"/>
    <s v="Muhanga"/>
    <s v="Muhanga"/>
    <s v="NNYU_3"/>
    <s v="Nyabarongo Upstream Sub-Catchment"/>
    <n v="39420"/>
  </r>
  <r>
    <x v="3"/>
    <s v="NYAGATOVU"/>
    <s v="Public"/>
    <x v="0"/>
    <s v="Muhanga"/>
    <s v="Muhanga"/>
    <s v="NNYU_3"/>
    <s v="Nyabarongo Upstream Sub-Catchment"/>
    <n v="3153.6000000000004"/>
  </r>
  <r>
    <x v="3"/>
    <s v="KAZABAGARURA"/>
    <s v="Public"/>
    <x v="0"/>
    <s v="Muhanga"/>
    <s v="Muhanga"/>
    <s v="NNYU_3"/>
    <s v="Nyabarongo Upstream Sub-Catchment"/>
    <n v="315.36"/>
  </r>
  <r>
    <x v="3"/>
    <s v="RUZURU I"/>
    <s v="Public"/>
    <x v="0"/>
    <s v="Muhanga"/>
    <s v="Muhanga"/>
    <s v="NNYU_3"/>
    <s v="Nyabarongo Upstream Sub-Catchment"/>
    <n v="1576.8000000000002"/>
  </r>
  <r>
    <x v="3"/>
    <s v="KANYINYA"/>
    <s v="Public"/>
    <x v="0"/>
    <s v="Muhanga"/>
    <s v="Muhanga"/>
    <s v="NNYU_3"/>
    <s v="Nyabarongo Upstream Sub-Catchment"/>
    <n v="157.68"/>
  </r>
  <r>
    <x v="3"/>
    <s v="RYARUZENGA"/>
    <s v="Public"/>
    <x v="0"/>
    <s v="Muhanga"/>
    <s v="Muhanga"/>
    <s v="NNYU_3"/>
    <s v="Nyabarongo Upstream Sub-Catchment"/>
    <n v="4730.4000000000005"/>
  </r>
  <r>
    <x v="3"/>
    <s v="RUHUHA I"/>
    <s v="Public"/>
    <x v="0"/>
    <s v="Muhanga"/>
    <s v="Muhanga"/>
    <s v="NNYU_3"/>
    <s v="Nyabarongo Upstream Sub-Catchment"/>
    <n v="473.04"/>
  </r>
  <r>
    <x v="3"/>
    <s v="NAMAHURWE"/>
    <s v="Public"/>
    <x v="0"/>
    <s v="Muhanga"/>
    <s v="Muhanga"/>
    <s v="NNYU_3"/>
    <s v="Nyabarongo Upstream Sub-Catchment"/>
    <n v="6307.2000000000007"/>
  </r>
  <r>
    <x v="3"/>
    <s v="GISUMAII"/>
    <s v="Public"/>
    <x v="0"/>
    <s v="Muhanga"/>
    <s v="Muhanga"/>
    <s v="NNYU_3"/>
    <s v="Nyabarongo Upstream Sub-Catchment"/>
    <n v="3153.6000000000004"/>
  </r>
  <r>
    <x v="3"/>
    <s v="NYANJURI"/>
    <s v="Public"/>
    <x v="0"/>
    <s v="Muhanga"/>
    <s v="Muhanga"/>
    <s v="NNYU_3"/>
    <s v="Nyabarongo Upstream Sub-Catchment"/>
    <n v="4730.4000000000005"/>
  </r>
  <r>
    <x v="3"/>
    <s v="RUZURU II"/>
    <s v="Public"/>
    <x v="0"/>
    <s v="Muhanga"/>
    <s v="Muhanga"/>
    <s v="NNYU_3"/>
    <s v="Nyabarongo Upstream Sub-Catchment"/>
    <n v="0"/>
  </r>
  <r>
    <x v="3"/>
    <s v="MUTOBO"/>
    <s v="Public"/>
    <x v="0"/>
    <s v="Muhanga"/>
    <s v="Muhanga"/>
    <s v="NNYU_3"/>
    <s v="Nyabarongo Upstream Sub-Catchment"/>
    <n v="473.04"/>
  </r>
  <r>
    <x v="3"/>
    <s v="GAHAGA"/>
    <s v="Public"/>
    <x v="0"/>
    <s v="Muhanga"/>
    <s v="Muhanga"/>
    <s v="NNYU_3"/>
    <s v="Nyabarongo Upstream Sub-Catchment"/>
    <n v="6307.2000000000007"/>
  </r>
  <r>
    <x v="3"/>
    <s v="GAHAGA"/>
    <s v="Public"/>
    <x v="0"/>
    <s v="Muhanga"/>
    <s v="Muhanga"/>
    <s v="NNYU_3"/>
    <s v="Nyabarongo Upstream Sub-Catchment"/>
    <n v="4730.4000000000005"/>
  </r>
  <r>
    <x v="3"/>
    <s v="RUHUHA II"/>
    <s v="Public"/>
    <x v="0"/>
    <s v="Muhanga"/>
    <s v="Muhanga"/>
    <s v="NNYU_3"/>
    <s v="Nyabarongo Upstream Sub-Catchment"/>
    <n v="3153.6000000000004"/>
  </r>
  <r>
    <x v="3"/>
    <s v="KARUHAMYA MARIKIYA"/>
    <s v="Public"/>
    <x v="0"/>
    <s v="Muhanga"/>
    <s v="Muhanga"/>
    <s v="NNYU_3"/>
    <s v="Nyabarongo Upstream Sub-Catchment"/>
    <n v="4730.4000000000005"/>
  </r>
  <r>
    <x v="3"/>
    <s v="RUKAMIRA"/>
    <s v="Public"/>
    <x v="0"/>
    <s v="Muhanga"/>
    <s v="Muhanga"/>
    <s v="NNYU_3"/>
    <s v="Nyabarongo Upstream Sub-Catchment"/>
    <n v="4730.4000000000005"/>
  </r>
  <r>
    <x v="3"/>
    <s v="NYABURIMI"/>
    <s v="Public"/>
    <x v="0"/>
    <s v="Muhanga"/>
    <s v="Muhanga"/>
    <s v="NNYU_3"/>
    <s v="Nyabarongo Upstream Sub-Catchment"/>
    <n v="4730.4000000000005"/>
  </r>
  <r>
    <x v="3"/>
    <s v="RUTARE"/>
    <s v="Public"/>
    <x v="0"/>
    <s v="Muhanga"/>
    <s v="Muhanga"/>
    <s v="NNYU_3"/>
    <s v="Nyabarongo Upstream Sub-Catchment"/>
    <n v="6307.2000000000007"/>
  </r>
  <r>
    <x v="3"/>
    <s v="gisuma i"/>
    <s v="Public"/>
    <x v="0"/>
    <s v="Muhanga"/>
    <s v="Muhanga"/>
    <s v="NNYU_3"/>
    <s v="Nyabarongo Upstream Sub-Catchment"/>
    <n v="4730.4000000000005"/>
  </r>
  <r>
    <x v="3"/>
    <s v="RIZABETI KARUHAMYA"/>
    <s v="Public"/>
    <x v="0"/>
    <s v="Muhanga"/>
    <s v="Muhanga"/>
    <s v="NNYU_3"/>
    <s v="Nyabarongo Upstream Sub-Catchment"/>
    <n v="3153.6000000000004"/>
  </r>
  <r>
    <x v="3"/>
    <s v="CYAHAFI"/>
    <s v="Public"/>
    <x v="0"/>
    <s v="Muhanga"/>
    <s v="Muhanga"/>
    <s v="NNYU_3"/>
    <s v="Nyabarongo Upstream Sub-Catchment"/>
    <n v="6307.2000000000007"/>
  </r>
  <r>
    <x v="3"/>
    <s v="RYABAMANYU"/>
    <s v="Public"/>
    <x v="0"/>
    <s v="Muhanga"/>
    <s v="Muhanga"/>
    <s v="NNYU_3"/>
    <s v="Nyabarongo Upstream Sub-Catchment"/>
    <n v="7884.0000000000009"/>
  </r>
  <r>
    <x v="3"/>
    <s v="RUHONDO"/>
    <s v="Public"/>
    <x v="0"/>
    <s v="Muhanga"/>
    <s v="Muhanga"/>
    <s v="NNYU_3"/>
    <s v="Nyabarongo Upstream Sub-Catchment"/>
    <n v="3153.6000000000004"/>
  </r>
  <r>
    <x v="3"/>
    <s v="GAKOMA"/>
    <s v="Public"/>
    <x v="0"/>
    <s v="Muhanga"/>
    <s v="Muhanga"/>
    <s v="NNYU_3"/>
    <s v="Nyabarongo Upstream Sub-Catchment"/>
    <n v="6307.2000000000007"/>
  </r>
  <r>
    <x v="3"/>
    <s v="KAREZO"/>
    <s v="Public"/>
    <x v="0"/>
    <s v="Muhanga"/>
    <s v="Muhanga"/>
    <s v="NNYU_3"/>
    <s v="Nyabarongo Upstream Sub-Catchment"/>
    <n v="315.36"/>
  </r>
  <r>
    <x v="3"/>
    <s v="NYARUTEMBE"/>
    <s v="Public"/>
    <x v="0"/>
    <s v="Muhanga"/>
    <s v="Muhanga"/>
    <s v="NNYU_3"/>
    <s v="Nyabarongo Upstream Sub-Catchment"/>
    <n v="1892.16"/>
  </r>
  <r>
    <x v="3"/>
    <s v="CYIMBOGO"/>
    <s v="Public"/>
    <x v="0"/>
    <s v="Muhanga"/>
    <s v="Muhanga"/>
    <s v="NNYU_3"/>
    <s v="Nyabarongo Upstream Sub-Catchment"/>
    <n v="473.04"/>
  </r>
  <r>
    <x v="3"/>
    <s v="NTENDERI"/>
    <s v="Public"/>
    <x v="0"/>
    <s v="Muhanga"/>
    <s v="Muhanga"/>
    <s v="NNYU_3"/>
    <s v="Nyabarongo Upstream Sub-Catchment"/>
    <n v="3153.6000000000004"/>
  </r>
  <r>
    <x v="3"/>
    <s v="KERERA"/>
    <s v="Public"/>
    <x v="0"/>
    <s v="Muhanga"/>
    <s v="Muhanga"/>
    <s v="NNYU_3"/>
    <s v="Nyabarongo Upstream Sub-Catchment"/>
    <n v="4730.4000000000005"/>
  </r>
  <r>
    <x v="3"/>
    <s v="GASEKE"/>
    <s v="Public"/>
    <x v="0"/>
    <s v="Muhanga"/>
    <s v="Muhanga"/>
    <s v="NNYU_3"/>
    <s v="Nyabarongo Upstream Sub-Catchment"/>
    <n v="4730.4000000000005"/>
  </r>
  <r>
    <x v="3"/>
    <s v="CYANYAMUTARA"/>
    <s v="Public"/>
    <x v="0"/>
    <s v="Muhanga"/>
    <s v="Muhanga"/>
    <s v="NNYU_3"/>
    <s v="Nyabarongo Upstream Sub-Catchment"/>
    <n v="315.36"/>
  </r>
  <r>
    <x v="3"/>
    <s v="nyagahondo"/>
    <s v="Public"/>
    <x v="0"/>
    <s v="Muhanga"/>
    <s v="Muhanga"/>
    <s v="NNYU_3"/>
    <s v="Nyabarongo Upstream Sub-Catchment"/>
    <n v="473.04"/>
  </r>
  <r>
    <x v="3"/>
    <s v="nyakabingo"/>
    <s v="Public"/>
    <x v="0"/>
    <s v="Muhanga"/>
    <s v="Muhanga"/>
    <s v="NNYU_3"/>
    <s v="Nyabarongo Upstream Sub-Catchment"/>
    <n v="3153.6000000000004"/>
  </r>
  <r>
    <x v="3"/>
    <s v="kagunda"/>
    <s v="Public"/>
    <x v="0"/>
    <s v="Muhanga"/>
    <s v="Muhanga"/>
    <s v="NNYU_3"/>
    <s v="Nyabarongo Upstream Sub-Catchment"/>
    <n v="157.68"/>
  </r>
  <r>
    <x v="3"/>
    <s v="Nyarubuye"/>
    <s v="Public"/>
    <x v="0"/>
    <s v="Muhanga"/>
    <s v="Muhanga"/>
    <s v="NNYU_3"/>
    <s v="Nyabarongo Upstream Sub-Catchment"/>
    <n v="157.68"/>
  </r>
  <r>
    <x v="3"/>
    <s v="Rugundu"/>
    <s v="Public"/>
    <x v="0"/>
    <s v="Muhanga"/>
    <s v="Muhanga"/>
    <s v="NNYU_3"/>
    <s v="Nyabarongo Upstream Sub-Catchment"/>
    <n v="315.36"/>
  </r>
  <r>
    <x v="3"/>
    <s v="kandimbira"/>
    <s v="Public"/>
    <x v="0"/>
    <s v="Muhanga"/>
    <s v="Muhanga"/>
    <s v="NNYU_3"/>
    <s v="Nyabarongo Upstream Sub-Catchment"/>
    <n v="315.36"/>
  </r>
  <r>
    <x v="3"/>
    <s v="Gahoma"/>
    <s v="Public"/>
    <x v="0"/>
    <s v="Muhanga"/>
    <s v="Muhanga"/>
    <s v="NNYU_3"/>
    <s v="Nyabarongo Upstream Sub-Catchment"/>
    <n v="0"/>
  </r>
  <r>
    <x v="3"/>
    <s v="Gatare"/>
    <s v="Public"/>
    <x v="0"/>
    <s v="Muhanga"/>
    <s v="Muhanga"/>
    <s v="NNYU_3"/>
    <s v="Nyabarongo Upstream Sub-Catchment"/>
    <n v="157.68"/>
  </r>
  <r>
    <x v="3"/>
    <s v="Rwagasunzu"/>
    <s v="Public"/>
    <x v="0"/>
    <s v="Muhanga"/>
    <s v="Muhanga"/>
    <s v="NNYU_3"/>
    <s v="Nyabarongo Upstream Sub-Catchment"/>
    <n v="0"/>
  </r>
  <r>
    <x v="3"/>
    <s v="Nyirakarershya"/>
    <s v="Public"/>
    <x v="0"/>
    <s v="Muhanga"/>
    <s v="Muhanga"/>
    <s v="NNYU_3"/>
    <s v="Nyabarongo Upstream Sub-Catchment"/>
    <n v="0"/>
  </r>
  <r>
    <x v="3"/>
    <s v="Nyarukombe"/>
    <s v="Public"/>
    <x v="0"/>
    <s v="Muhanga"/>
    <s v="Muhanga"/>
    <s v="NNYU_3"/>
    <s v="Nyabarongo Upstream Sub-Catchment"/>
    <n v="3153.6000000000004"/>
  </r>
  <r>
    <x v="3"/>
    <s v="Kibahima"/>
    <s v="Public"/>
    <x v="0"/>
    <s v="Muhanga"/>
    <s v="Muhanga"/>
    <s v="NNYU_3"/>
    <s v="Nyabarongo Upstream Sub-Catchment"/>
    <n v="473.04"/>
  </r>
  <r>
    <x v="3"/>
    <s v="rwabagenzi"/>
    <s v="Public"/>
    <x v="0"/>
    <s v="Muhanga"/>
    <s v="Muhanga"/>
    <s v="NNYU_3"/>
    <s v="Nyabarongo Upstream Sub-Catchment"/>
    <n v="630.72"/>
  </r>
  <r>
    <x v="3"/>
    <s v="Ruseke"/>
    <s v="Public"/>
    <x v="0"/>
    <s v="Muhanga"/>
    <s v="Muhanga"/>
    <s v="NNYU_3"/>
    <s v="Nyabarongo Upstream Sub-Catchment"/>
    <n v="3153.6000000000004"/>
  </r>
  <r>
    <x v="3"/>
    <s v="kabingo"/>
    <s v="Public"/>
    <x v="0"/>
    <s v="Muhanga"/>
    <s v="Muhanga"/>
    <s v="NNYU_3"/>
    <s v="Nyabarongo Upstream Sub-Catchment"/>
    <n v="0"/>
  </r>
  <r>
    <x v="3"/>
    <s v="kazibaziba"/>
    <s v="Public"/>
    <x v="0"/>
    <s v="Muhanga"/>
    <s v="Muhanga"/>
    <s v="NNYU_3"/>
    <s v="Nyabarongo Upstream Sub-Catchment"/>
    <n v="6307.2000000000007"/>
  </r>
  <r>
    <x v="3"/>
    <s v="kagwai"/>
    <s v="Public"/>
    <x v="0"/>
    <s v="Muhanga"/>
    <s v="Muhanga"/>
    <s v="NNYU_3"/>
    <s v="Nyabarongo Upstream Sub-Catchment"/>
    <n v="157.68"/>
  </r>
  <r>
    <x v="3"/>
    <s v="kagwa ii"/>
    <s v="Public"/>
    <x v="0"/>
    <s v="Muhanga"/>
    <s v="Muhanga"/>
    <s v="NNYU_3"/>
    <s v="Nyabarongo Upstream Sub-Catchment"/>
    <n v="315.36"/>
  </r>
  <r>
    <x v="3"/>
    <s v="nyamitanga"/>
    <s v="Public"/>
    <x v="0"/>
    <s v="Muhanga"/>
    <s v="Muhanga"/>
    <s v="NNYU_3"/>
    <s v="Nyabarongo Upstream Sub-Catchment"/>
    <n v="3153.6000000000004"/>
  </r>
  <r>
    <x v="3"/>
    <s v="gahamo"/>
    <s v="Public"/>
    <x v="0"/>
    <s v="Muhanga"/>
    <s v="Muhanga"/>
    <s v="NNYU_3"/>
    <s v="Nyabarongo Upstream Sub-Catchment"/>
    <n v="157.68"/>
  </r>
  <r>
    <x v="3"/>
    <s v="nyaruriba"/>
    <s v="Public"/>
    <x v="0"/>
    <s v="Muhanga"/>
    <s v="Muhanga"/>
    <s v="NNYU_3"/>
    <s v="Nyabarongo Upstream Sub-Catchment"/>
    <n v="4730.4000000000005"/>
  </r>
  <r>
    <x v="3"/>
    <s v="karuheka"/>
    <s v="Public"/>
    <x v="0"/>
    <s v="Muhanga"/>
    <s v="Muhanga"/>
    <s v="NNYU_3"/>
    <s v="Nyabarongo Upstream Sub-Catchment"/>
    <n v="4730.4000000000005"/>
  </r>
  <r>
    <x v="3"/>
    <s v="nyamwijima"/>
    <s v="Public"/>
    <x v="0"/>
    <s v="Muhanga"/>
    <s v="Muhanga"/>
    <s v="NNYU_3"/>
    <s v="Nyabarongo Upstream Sub-Catchment"/>
    <n v="4730.4000000000005"/>
  </r>
  <r>
    <x v="3"/>
    <s v="kagwene ii"/>
    <s v="Public"/>
    <x v="0"/>
    <s v="Muhanga"/>
    <s v="Muhanga"/>
    <s v="NNYU_3"/>
    <s v="Nyabarongo Upstream Sub-Catchment"/>
    <n v="315.36"/>
  </r>
  <r>
    <x v="3"/>
    <s v="kagwene"/>
    <s v="Public"/>
    <x v="0"/>
    <s v="Muhanga"/>
    <s v="Muhanga"/>
    <s v="NNYU_3"/>
    <s v="Nyabarongo Upstream Sub-Catchment"/>
    <n v="4730.4000000000005"/>
  </r>
  <r>
    <x v="3"/>
    <s v="ryakaboba"/>
    <s v="Public"/>
    <x v="0"/>
    <s v="Muhanga"/>
    <s v="Muhanga"/>
    <s v="NNYU_3"/>
    <s v="Nyabarongo Upstream Sub-Catchment"/>
    <n v="3153.6000000000004"/>
  </r>
  <r>
    <x v="3"/>
    <s v="NYAKABINGO"/>
    <s v="Public"/>
    <x v="0"/>
    <s v="Muhanga"/>
    <s v="Muhanga"/>
    <s v="NNYU_3"/>
    <s v="Nyabarongo Upstream Sub-Catchment"/>
    <n v="6307.2000000000007"/>
  </r>
  <r>
    <x v="3"/>
    <s v="RUZIBAZIBA"/>
    <s v="Public"/>
    <x v="0"/>
    <s v="Muhanga"/>
    <s v="Muhanga"/>
    <s v="NNYU_3"/>
    <s v="Nyabarongo Upstream Sub-Catchment"/>
    <n v="15768.000000000002"/>
  </r>
  <r>
    <x v="3"/>
    <s v="kabumbiro"/>
    <s v="Public"/>
    <x v="0"/>
    <s v="Muhanga"/>
    <s v="Muhanga"/>
    <s v="NNYU_3"/>
    <s v="Nyabarongo Upstream Sub-Catchment"/>
    <n v="157.68"/>
  </r>
  <r>
    <x v="3"/>
    <s v="kajyejye"/>
    <s v="Public"/>
    <x v="0"/>
    <s v="Muhanga"/>
    <s v="Muhanga"/>
    <s v="NNYU_3"/>
    <s v="Nyabarongo Upstream Sub-Catchment"/>
    <n v="4730.4000000000005"/>
  </r>
  <r>
    <x v="3"/>
    <s v="GAHAMA"/>
    <s v="Public"/>
    <x v="0"/>
    <s v="Muhanga"/>
    <s v="Muhanga"/>
    <s v="NNYU_3"/>
    <s v="Nyabarongo Upstream Sub-Catchment"/>
    <n v="3153.6000000000004"/>
  </r>
  <r>
    <x v="3"/>
    <s v="kabahangi"/>
    <s v="Public"/>
    <x v="0"/>
    <s v="Muhanga"/>
    <s v="Muhanga"/>
    <s v="NNYU_3"/>
    <s v="Nyabarongo Upstream Sub-Catchment"/>
    <n v="4730.4000000000005"/>
  </r>
  <r>
    <x v="3"/>
    <s v="kumwumba"/>
    <s v="Public"/>
    <x v="0"/>
    <s v="Muhanga"/>
    <s v="Muhanga"/>
    <s v="NNYU_3"/>
    <s v="Nyabarongo Upstream Sub-Catchment"/>
    <n v="4730.4000000000005"/>
  </r>
  <r>
    <x v="3"/>
    <s v="karayi"/>
    <s v="Public"/>
    <x v="0"/>
    <s v="Muhanga"/>
    <s v="Muhanga"/>
    <s v="NNYU_3"/>
    <s v="Nyabarongo Upstream Sub-Catchment"/>
    <n v="4730.4000000000005"/>
  </r>
  <r>
    <x v="3"/>
    <s v="ntembagaza"/>
    <s v="Public"/>
    <x v="0"/>
    <s v="Muhanga"/>
    <s v="Muhanga"/>
    <s v="NNYU_3"/>
    <s v="Nyabarongo Upstream Sub-Catchment"/>
    <n v="3153.6000000000004"/>
  </r>
  <r>
    <x v="3"/>
    <s v="kirumbi"/>
    <s v="Public"/>
    <x v="0"/>
    <s v="Muhanga"/>
    <s v="Muhanga"/>
    <s v="NNYU_3"/>
    <s v="Nyabarongo Upstream Sub-Catchment"/>
    <n v="315.36"/>
  </r>
  <r>
    <x v="3"/>
    <s v="ruhondo"/>
    <s v="Public"/>
    <x v="0"/>
    <s v="Muhanga"/>
    <s v="Muhanga"/>
    <s v="NNYU_3"/>
    <s v="Nyabarongo Upstream Sub-Catchment"/>
    <n v="3153.6000000000004"/>
  </r>
  <r>
    <x v="3"/>
    <s v="gakomeye"/>
    <s v="Public"/>
    <x v="0"/>
    <s v="Muhanga"/>
    <s v="Muhanga"/>
    <s v="NNYU_3"/>
    <s v="Nyabarongo Upstream Sub-Catchment"/>
    <n v="4730.4000000000005"/>
  </r>
  <r>
    <x v="3"/>
    <s v="mukagezi"/>
    <s v="Public"/>
    <x v="0"/>
    <s v="Muhanga"/>
    <s v="Muhanga"/>
    <s v="NNYU_3"/>
    <s v="Nyabarongo Upstream Sub-Catchment"/>
    <n v="6307.2000000000007"/>
  </r>
  <r>
    <x v="3"/>
    <s v="nyakaliba"/>
    <s v="Public"/>
    <x v="0"/>
    <s v="Muhanga"/>
    <s v="Muhanga"/>
    <s v="NNYU_3"/>
    <s v="Nyabarongo Upstream Sub-Catchment"/>
    <n v="3153.6000000000004"/>
  </r>
  <r>
    <x v="3"/>
    <s v="kanyege"/>
    <s v="Public"/>
    <x v="0"/>
    <s v="Muhanga"/>
    <s v="Muhanga"/>
    <s v="NNYU_3"/>
    <s v="Nyabarongo Upstream Sub-Catchment"/>
    <n v="4730.4000000000005"/>
  </r>
  <r>
    <x v="3"/>
    <s v="RUTAGAYA"/>
    <s v="Public"/>
    <x v="0"/>
    <s v="Ngororero"/>
    <s v="Muhororo"/>
    <s v="NNYU_3"/>
    <s v="Nyabarongo Upstream Sub-Catchment"/>
    <n v="946.08"/>
  </r>
  <r>
    <x v="3"/>
    <s v="NYARUKOMBE"/>
    <s v="Public"/>
    <x v="0"/>
    <s v="Ngororero"/>
    <s v="Muhororo"/>
    <s v="NNYU_3"/>
    <s v="Nyabarongo Upstream Sub-Catchment"/>
    <n v="473.04"/>
  </r>
  <r>
    <x v="3"/>
    <s v="NYAKAGEZI"/>
    <s v="Public"/>
    <x v="0"/>
    <s v="Ngororero"/>
    <s v="Muhororo"/>
    <s v="NNYU_3"/>
    <s v="Nyabarongo Upstream Sub-Catchment"/>
    <n v="1576.8000000000002"/>
  </r>
  <r>
    <x v="3"/>
    <s v="GAHAHURA"/>
    <s v="Public"/>
    <x v="0"/>
    <s v="Ngororero"/>
    <s v="Muhororo"/>
    <s v="NNYU_3"/>
    <s v="Nyabarongo Upstream Sub-Catchment"/>
    <n v="630.72"/>
  </r>
  <r>
    <x v="3"/>
    <s v="KAGANO"/>
    <s v="Public"/>
    <x v="0"/>
    <s v="Ngororero"/>
    <s v="Muhororo"/>
    <s v="NNYU_3"/>
    <s v="Nyabarongo Upstream Sub-Catchment"/>
    <n v="1103.7600000000002"/>
  </r>
  <r>
    <x v="3"/>
    <s v="BYIYINGOMA"/>
    <s v="Public"/>
    <x v="0"/>
    <s v="Ngororero"/>
    <s v="Muhororo"/>
    <s v="NNYU_3"/>
    <s v="Nyabarongo Upstream Sub-Catchment"/>
    <n v="473.04"/>
  </r>
  <r>
    <x v="3"/>
    <s v="SEBUSHISHI"/>
    <s v="Public"/>
    <x v="0"/>
    <s v="Ngororero"/>
    <s v="Muhororo"/>
    <s v="NNYU_3"/>
    <s v="Nyabarongo Upstream Sub-Catchment"/>
    <n v="2049.84"/>
  </r>
  <r>
    <x v="3"/>
    <s v="GASAKA"/>
    <s v="Public"/>
    <x v="0"/>
    <s v="Ngororero"/>
    <s v="Muhororo"/>
    <s v="NNYU_3"/>
    <s v="Nyabarongo Upstream Sub-Catchment"/>
    <n v="946.08"/>
  </r>
  <r>
    <x v="3"/>
    <s v="BUZINGO"/>
    <s v="Public"/>
    <x v="0"/>
    <s v="Ngororero"/>
    <s v="Muhororo"/>
    <s v="NNYU_3"/>
    <s v="Nyabarongo Upstream Sub-Catchment"/>
    <n v="473.04"/>
  </r>
  <r>
    <x v="3"/>
    <s v="GAKOMA"/>
    <s v="Public"/>
    <x v="0"/>
    <s v="Ngororero"/>
    <s v="Muhororo"/>
    <s v="NNYU_3"/>
    <s v="Nyabarongo Upstream Sub-Catchment"/>
    <n v="788.40000000000009"/>
  </r>
  <r>
    <x v="3"/>
    <s v="GASENE"/>
    <s v="Public"/>
    <x v="0"/>
    <s v="Ngororero"/>
    <s v="Muhororo"/>
    <s v="NNYU_3"/>
    <s v="Nyabarongo Upstream Sub-Catchment"/>
    <n v="473.04"/>
  </r>
  <r>
    <x v="3"/>
    <s v="KABINGO"/>
    <s v="Public"/>
    <x v="0"/>
    <s v="Ngororero"/>
    <s v="Muhororo"/>
    <s v="NNYU_3"/>
    <s v="Nyabarongo Upstream Sub-Catchment"/>
    <n v="788.40000000000009"/>
  </r>
  <r>
    <x v="3"/>
    <s v="CYANIKA"/>
    <s v="Public"/>
    <x v="0"/>
    <s v="Ngororero"/>
    <s v="Muhororo"/>
    <s v="NNYU_3"/>
    <s v="Nyabarongo Upstream Sub-Catchment"/>
    <n v="2207.5200000000004"/>
  </r>
  <r>
    <x v="3"/>
    <s v="GATARE II"/>
    <s v="Public"/>
    <x v="0"/>
    <s v="Ngororero"/>
    <s v="Muhororo"/>
    <s v="NNYU_3"/>
    <s v="Nyabarongo Upstream Sub-Catchment"/>
    <n v="473.04"/>
  </r>
  <r>
    <x v="3"/>
    <s v="NYAGAHONDO"/>
    <s v="Public"/>
    <x v="0"/>
    <s v="Ngororero"/>
    <s v="Muhororo"/>
    <s v="NNYU_3"/>
    <s v="Nyabarongo Upstream Sub-Catchment"/>
    <n v="2522.88"/>
  </r>
  <r>
    <x v="3"/>
    <s v="NYARUKOMA"/>
    <s v="Public"/>
    <x v="0"/>
    <s v="Ngororero"/>
    <s v="Muhororo"/>
    <s v="NNYU_3"/>
    <s v="Nyabarongo Upstream Sub-Catchment"/>
    <n v="946.08"/>
  </r>
  <r>
    <x v="3"/>
    <s v="KADOBOGO II"/>
    <s v="Public"/>
    <x v="0"/>
    <s v="Ngororero"/>
    <s v="Muhororo"/>
    <s v="NNYU_3"/>
    <s v="Nyabarongo Upstream Sub-Catchment"/>
    <n v="630.72"/>
  </r>
  <r>
    <x v="3"/>
    <s v="TUBUNGO"/>
    <s v="Public"/>
    <x v="0"/>
    <s v="Ngororero"/>
    <s v="Muhororo"/>
    <s v="NNYU_3"/>
    <s v="Nyabarongo Upstream Sub-Catchment"/>
    <n v="630.72"/>
  </r>
  <r>
    <x v="3"/>
    <s v="KADOBOGO"/>
    <s v="Public"/>
    <x v="0"/>
    <s v="Ngororero"/>
    <s v="Muhororo"/>
    <s v="NNYU_3"/>
    <s v="Nyabarongo Upstream Sub-Catchment"/>
    <n v="946.08"/>
  </r>
  <r>
    <x v="3"/>
    <s v="GASUMA"/>
    <s v="Public"/>
    <x v="0"/>
    <s v="Ngororero"/>
    <s v="Muhororo"/>
    <s v="NNYU_3"/>
    <s v="Nyabarongo Upstream Sub-Catchment"/>
    <n v="16083.36"/>
  </r>
  <r>
    <x v="3"/>
    <s v="NYAMATA"/>
    <s v="Public"/>
    <x v="0"/>
    <s v="Ngororero"/>
    <s v="Muhororo"/>
    <s v="NNYU_3"/>
    <s v="Nyabarongo Upstream Sub-Catchment"/>
    <n v="630.72"/>
  </r>
  <r>
    <x v="3"/>
    <s v="BAHIMBA"/>
    <s v="Public"/>
    <x v="0"/>
    <s v="Ngororero"/>
    <s v="Muhororo"/>
    <s v="NNYU_3"/>
    <s v="Nyabarongo Upstream Sub-Catchment"/>
    <n v="1103.7600000000002"/>
  </r>
  <r>
    <x v="3"/>
    <s v="KAMUREKEZI"/>
    <s v="Public"/>
    <x v="0"/>
    <s v="Ngororero"/>
    <s v="Muhororo"/>
    <s v="NNYU_3"/>
    <s v="Nyabarongo Upstream Sub-Catchment"/>
    <n v="630.72"/>
  </r>
  <r>
    <x v="3"/>
    <s v="GATARE"/>
    <s v="Public"/>
    <x v="0"/>
    <s v="Ngororero"/>
    <s v="Muhororo"/>
    <s v="NNYU_3"/>
    <s v="Nyabarongo Upstream Sub-Catchment"/>
    <n v="473.04"/>
  </r>
  <r>
    <x v="3"/>
    <s v="NYIRABURANGA"/>
    <s v="Public"/>
    <x v="0"/>
    <s v="Ngororero"/>
    <s v="Muhororo"/>
    <s v="NNYU_3"/>
    <s v="Nyabarongo Upstream Sub-Catchment"/>
    <n v="4730.4000000000005"/>
  </r>
  <r>
    <x v="3"/>
    <s v="RYARUGANZU"/>
    <s v="Public"/>
    <x v="0"/>
    <s v="Ngororero"/>
    <s v="Muhororo"/>
    <s v="NNYU_3"/>
    <s v="Nyabarongo Upstream Sub-Catchment"/>
    <n v="12614.400000000001"/>
  </r>
  <r>
    <x v="3"/>
    <s v="GATARE A"/>
    <s v="Public"/>
    <x v="0"/>
    <s v="Ngororero"/>
    <s v="Muhororo"/>
    <s v="NNYU_3"/>
    <s v="Nyabarongo Upstream Sub-Catchment"/>
    <n v="946.08"/>
  </r>
  <r>
    <x v="3"/>
    <s v="NYARWISHYWA II"/>
    <s v="Public"/>
    <x v="0"/>
    <s v="Ngororero"/>
    <s v="Muhororo"/>
    <s v="NNYU_3"/>
    <s v="Nyabarongo Upstream Sub-Catchment"/>
    <n v="1892.16"/>
  </r>
  <r>
    <x v="3"/>
    <s v="GATARE C"/>
    <s v="Public"/>
    <x v="0"/>
    <s v="Ngororero"/>
    <s v="Muhororo"/>
    <s v="NNYU_3"/>
    <s v="Nyabarongo Upstream Sub-Catchment"/>
    <n v="946.08"/>
  </r>
  <r>
    <x v="3"/>
    <s v="NYARUKOMBE"/>
    <s v="Public"/>
    <x v="0"/>
    <s v="Ngororero"/>
    <s v="Muhororo"/>
    <s v="NNYU_3"/>
    <s v="Nyabarongo Upstream Sub-Catchment"/>
    <n v="473.04"/>
  </r>
  <r>
    <x v="3"/>
    <s v="KAMIRANZOVU"/>
    <s v="Public"/>
    <x v="0"/>
    <s v="Ngororero"/>
    <s v="Muhororo"/>
    <s v="NNYU_3"/>
    <s v="Nyabarongo Upstream Sub-Catchment"/>
    <n v="5045.76"/>
  </r>
  <r>
    <x v="3"/>
    <s v="GASEKE"/>
    <s v="Public"/>
    <x v="0"/>
    <s v="Ngororero"/>
    <s v="Muhororo"/>
    <s v="NNYU_3"/>
    <s v="Nyabarongo Upstream Sub-Catchment"/>
    <n v="1261.44"/>
  </r>
  <r>
    <x v="3"/>
    <s v="KIREHE"/>
    <s v="Public"/>
    <x v="0"/>
    <s v="Ngororero"/>
    <s v="Muhororo"/>
    <s v="NNYU_3"/>
    <s v="Nyabarongo Upstream Sub-Catchment"/>
    <n v="473.04"/>
  </r>
  <r>
    <x v="3"/>
    <s v="AKUMUTOZO"/>
    <s v="Public"/>
    <x v="0"/>
    <s v="Ngororero"/>
    <s v="Muhororo"/>
    <s v="NNYU_3"/>
    <s v="Nyabarongo Upstream Sub-Catchment"/>
    <n v="946.08"/>
  </r>
  <r>
    <x v="3"/>
    <s v="NYABYIYONI"/>
    <s v="Public"/>
    <x v="0"/>
    <s v="Ngororero"/>
    <s v="Muhororo"/>
    <s v="NNYU_3"/>
    <s v="Nyabarongo Upstream Sub-Catchment"/>
    <n v="788.40000000000009"/>
  </r>
  <r>
    <x v="3"/>
    <s v="KAGOMBERO"/>
    <s v="Public"/>
    <x v="0"/>
    <s v="Ngororero"/>
    <s v="Muhororo"/>
    <s v="NNYU_3"/>
    <s v="Nyabarongo Upstream Sub-Catchment"/>
    <n v="4415.0400000000009"/>
  </r>
  <r>
    <x v="3"/>
    <s v="KABIRA"/>
    <s v="Public"/>
    <x v="0"/>
    <s v="Ngororero"/>
    <s v="Muhororo"/>
    <s v="NNYU_3"/>
    <s v="Nyabarongo Upstream Sub-Catchment"/>
    <n v="2680.56"/>
  </r>
  <r>
    <x v="3"/>
    <s v="KINYANTOKI"/>
    <s v="Public"/>
    <x v="0"/>
    <s v="Ngororero"/>
    <s v="Muhororo"/>
    <s v="NNYU_3"/>
    <s v="Nyabarongo Upstream Sub-Catchment"/>
    <n v="946.08"/>
  </r>
  <r>
    <x v="3"/>
    <s v="KIDAHO"/>
    <s v="Public"/>
    <x v="0"/>
    <s v="Ngororero"/>
    <s v="Muhororo"/>
    <s v="NNYU_3"/>
    <s v="Nyabarongo Upstream Sub-Catchment"/>
    <n v="2680.56"/>
  </r>
  <r>
    <x v="3"/>
    <s v="NYAMUGARI"/>
    <s v="Public"/>
    <x v="0"/>
    <s v="Ngororero"/>
    <s v="Muhororo"/>
    <s v="NNYU_3"/>
    <s v="Nyabarongo Upstream Sub-Catchment"/>
    <n v="630.72"/>
  </r>
  <r>
    <x v="3"/>
    <s v="GASHUNZI"/>
    <s v="Public"/>
    <x v="0"/>
    <s v="Ngororero"/>
    <s v="Muhororo"/>
    <s v="NNYU_3"/>
    <s v="Nyabarongo Upstream Sub-Catchment"/>
    <n v="2049.84"/>
  </r>
  <r>
    <x v="3"/>
    <s v="KARUTUNGANYA"/>
    <s v="Public"/>
    <x v="0"/>
    <s v="Ngororero"/>
    <s v="Muhororo"/>
    <s v="NNYU_3"/>
    <s v="Nyabarongo Upstream Sub-Catchment"/>
    <n v="1261.44"/>
  </r>
  <r>
    <x v="3"/>
    <s v="GASEKE II"/>
    <s v="Public"/>
    <x v="0"/>
    <s v="Ngororero"/>
    <s v="Muhororo"/>
    <s v="NNYU_3"/>
    <s v="Nyabarongo Upstream Sub-Catchment"/>
    <n v="473.04"/>
  </r>
  <r>
    <x v="3"/>
    <s v="BUSIKA I"/>
    <s v="Public"/>
    <x v="0"/>
    <s v="Ngororero"/>
    <s v="Muhororo"/>
    <s v="NNYU_3"/>
    <s v="Nyabarongo Upstream Sub-Catchment"/>
    <n v="1892.16"/>
  </r>
  <r>
    <x v="3"/>
    <s v="YANDWANIYE"/>
    <s v="Public"/>
    <x v="0"/>
    <s v="Ngororero"/>
    <s v="Muhororo"/>
    <s v="NNYU_3"/>
    <s v="Nyabarongo Upstream Sub-Catchment"/>
    <n v="788.40000000000009"/>
  </r>
  <r>
    <x v="3"/>
    <s v="NYARWIHYWA"/>
    <s v="Public"/>
    <x v="0"/>
    <s v="Ngororero"/>
    <s v="Muhororo"/>
    <s v="NNYU_3"/>
    <s v="Nyabarongo Upstream Sub-Catchment"/>
    <n v="3942.0000000000005"/>
  </r>
  <r>
    <x v="3"/>
    <s v="RUSHENYI"/>
    <s v="Public"/>
    <x v="0"/>
    <s v="Ngororero"/>
    <s v="Muhororo"/>
    <s v="NNYU_3"/>
    <s v="Nyabarongo Upstream Sub-Catchment"/>
    <n v="1261.44"/>
  </r>
  <r>
    <x v="3"/>
    <s v="NYABINYENGA"/>
    <s v="Public"/>
    <x v="0"/>
    <s v="Ngororero"/>
    <s v="Muhororo"/>
    <s v="NNYU_3"/>
    <s v="Nyabarongo Upstream Sub-Catchment"/>
    <n v="788.40000000000009"/>
  </r>
  <r>
    <x v="3"/>
    <s v="GATARE B"/>
    <s v="Public"/>
    <x v="0"/>
    <s v="Ngororero"/>
    <s v="Muhororo"/>
    <s v="NNYU_3"/>
    <s v="Nyabarongo Upstream Sub-Catchment"/>
    <n v="788.40000000000009"/>
  </r>
  <r>
    <x v="3"/>
    <s v="GITABA"/>
    <s v="Public"/>
    <x v="0"/>
    <s v="Ngororero"/>
    <s v="Muhororo"/>
    <s v="NNYU_3"/>
    <s v="Nyabarongo Upstream Sub-Catchment"/>
    <n v="2365.2000000000003"/>
  </r>
  <r>
    <x v="3"/>
    <s v="AKISHEMA"/>
    <s v="Public"/>
    <x v="0"/>
    <s v="Ngororero"/>
    <s v="Muhororo"/>
    <s v="NNYU_3"/>
    <s v="Nyabarongo Upstream Sub-Catchment"/>
    <n v="946.08"/>
  </r>
  <r>
    <x v="3"/>
    <s v="SHORI"/>
    <s v="Public"/>
    <x v="0"/>
    <s v="Ngororero"/>
    <s v="Muhororo"/>
    <s v="NNYU_3"/>
    <s v="Nyabarongo Upstream Sub-Catchment"/>
    <n v="788.40000000000009"/>
  </r>
  <r>
    <x v="3"/>
    <s v="BUBAZI"/>
    <s v="Public"/>
    <x v="0"/>
    <s v="Ngororero"/>
    <s v="Muhororo"/>
    <s v="NNYU_3"/>
    <s v="Nyabarongo Upstream Sub-Catchment"/>
    <n v="394.20000000000005"/>
  </r>
  <r>
    <x v="3"/>
    <s v="NYARWISHYWA"/>
    <s v="Public"/>
    <x v="0"/>
    <s v="Ngororero"/>
    <s v="Muhororo"/>
    <s v="NNYU_3"/>
    <s v="Nyabarongo Upstream Sub-Catchment"/>
    <n v="3311.2799999999997"/>
  </r>
  <r>
    <x v="3"/>
    <s v="NYAKAGEZI"/>
    <s v="Public"/>
    <x v="0"/>
    <s v="Ngororero"/>
    <s v="Muhororo"/>
    <s v="NNYU_3"/>
    <s v="Nyabarongo Upstream Sub-Catchment"/>
    <n v="1892.16"/>
  </r>
  <r>
    <x v="3"/>
    <s v="NYAGATOVU"/>
    <s v="Public"/>
    <x v="0"/>
    <s v="Ngororero"/>
    <s v="Muhororo"/>
    <s v="NNYU_3"/>
    <s v="Nyabarongo Upstream Sub-Catchment"/>
    <n v="788.40000000000009"/>
  </r>
  <r>
    <x v="3"/>
    <s v="RURAMIRA"/>
    <s v="Public"/>
    <x v="0"/>
    <s v="Ngororero"/>
    <s v="Muhororo"/>
    <s v="NNYU_3"/>
    <s v="Nyabarongo Upstream Sub-Catchment"/>
    <n v="1576.8000000000002"/>
  </r>
  <r>
    <x v="3"/>
    <s v="MUHA"/>
    <s v="Public"/>
    <x v="0"/>
    <s v="Ngororero"/>
    <s v="Muhororo"/>
    <s v="NNYU_3"/>
    <s v="Nyabarongo Upstream Sub-Catchment"/>
    <n v="1576.8000000000002"/>
  </r>
  <r>
    <x v="3"/>
    <s v="NYAKAGEZI II"/>
    <s v="Public"/>
    <x v="0"/>
    <s v="Ngororero"/>
    <s v="Muhororo"/>
    <s v="NNYU_3"/>
    <s v="Nyabarongo Upstream Sub-Catchment"/>
    <n v="946.08"/>
  </r>
  <r>
    <x v="3"/>
    <s v="NYARUNYINYA"/>
    <s v="Public"/>
    <x v="0"/>
    <s v="Ngororero"/>
    <s v="Muhororo"/>
    <s v="NNYU_3"/>
    <s v="Nyabarongo Upstream Sub-Catchment"/>
    <n v="1419.12"/>
  </r>
  <r>
    <x v="3"/>
    <s v="MARYOHA"/>
    <s v="Public"/>
    <x v="0"/>
    <s v="Ngororero"/>
    <s v="Muhororo"/>
    <s v="NNYU_3"/>
    <s v="Nyabarongo Upstream Sub-Catchment"/>
    <n v="1576.8000000000002"/>
  </r>
  <r>
    <x v="3"/>
    <s v="NYAKAGEZI I"/>
    <s v="Public"/>
    <x v="0"/>
    <s v="Ngororero"/>
    <s v="Muhororo"/>
    <s v="NNYU_3"/>
    <s v="Nyabarongo Upstream Sub-Catchment"/>
    <n v="630.72"/>
  </r>
  <r>
    <x v="3"/>
    <s v="GAHAMAM"/>
    <s v="Public"/>
    <x v="0"/>
    <s v="Ngororero"/>
    <s v="Muhororo"/>
    <s v="NNYU_3"/>
    <s v="Nyabarongo Upstream Sub-Catchment"/>
    <n v="1103.7600000000002"/>
  </r>
  <r>
    <x v="3"/>
    <s v="KAZIRANGUMBA"/>
    <s v="Public"/>
    <x v="0"/>
    <s v="Ngororero"/>
    <s v="Muhororo"/>
    <s v="NNYU_3"/>
    <s v="Nyabarongo Upstream Sub-Catchment"/>
    <n v="788.40000000000009"/>
  </r>
  <r>
    <x v="3"/>
    <s v="KARUBAKA"/>
    <s v="Public"/>
    <x v="0"/>
    <s v="Ngororero"/>
    <s v="Muhororo"/>
    <s v="NNYU_3"/>
    <s v="Nyabarongo Upstream Sub-Catchment"/>
    <n v="788.40000000000009"/>
  </r>
  <r>
    <x v="3"/>
    <s v="MUYURUTARE"/>
    <s v="Public"/>
    <x v="0"/>
    <s v="Ngororero"/>
    <s v="Muhororo"/>
    <s v="NNYU_3"/>
    <s v="Nyabarongo Upstream Sub-Catchment"/>
    <n v="315.36"/>
  </r>
  <r>
    <x v="3"/>
    <s v="GACUMAHEMBE"/>
    <s v="Public"/>
    <x v="0"/>
    <s v="Ngororero"/>
    <s v="Muhororo"/>
    <s v="NNYU_3"/>
    <s v="Nyabarongo Upstream Sub-Catchment"/>
    <n v="1734.4800000000002"/>
  </r>
  <r>
    <x v="3"/>
    <s v="KAMIRANZOVU II"/>
    <s v="Public"/>
    <x v="0"/>
    <s v="Ngororero"/>
    <s v="Muhororo"/>
    <s v="NNYU_3"/>
    <s v="Nyabarongo Upstream Sub-Catchment"/>
    <n v="3942.0000000000005"/>
  </r>
  <r>
    <x v="3"/>
    <s v="NYAKAGEZI I"/>
    <s v="Public"/>
    <x v="0"/>
    <s v="Ngororero"/>
    <s v="Muhororo"/>
    <s v="NNYU_3"/>
    <s v="Nyabarongo Upstream Sub-Catchment"/>
    <n v="2365.2000000000003"/>
  </r>
  <r>
    <x v="3"/>
    <s v="KARAMBO"/>
    <s v="Public"/>
    <x v="0"/>
    <s v="Ngororero"/>
    <s v="Muhororo"/>
    <s v="NNYU_3"/>
    <s v="Nyabarongo Upstream Sub-Catchment"/>
    <n v="630.72"/>
  </r>
  <r>
    <x v="3"/>
    <s v="GAHONOGO"/>
    <s v="Public"/>
    <x v="0"/>
    <s v="Ngororero"/>
    <s v="Muhororo"/>
    <s v="NNYU_3"/>
    <s v="Nyabarongo Upstream Sub-Catchment"/>
    <n v="1103.7600000000002"/>
  </r>
  <r>
    <x v="3"/>
    <s v="KANYENKWARE"/>
    <s v="Public"/>
    <x v="0"/>
    <s v="Ngororero"/>
    <s v="Muhororo"/>
    <s v="NNYU_3"/>
    <s v="Nyabarongo Upstream Sub-Catchment"/>
    <n v="1576.8000000000002"/>
  </r>
  <r>
    <x v="3"/>
    <s v="KAGANGA"/>
    <s v="Public"/>
    <x v="0"/>
    <s v="Ngororero"/>
    <s v="Muhororo"/>
    <s v="NNYU_3"/>
    <s v="Nyabarongo Upstream Sub-Catchment"/>
    <n v="1892.16"/>
  </r>
  <r>
    <x v="3"/>
    <s v="NYARUBANDE"/>
    <s v="Public"/>
    <x v="0"/>
    <s v="Ngororero"/>
    <s v="Muhororo"/>
    <s v="NNYU_3"/>
    <s v="Nyabarongo Upstream Sub-Catchment"/>
    <n v="788.40000000000009"/>
  </r>
  <r>
    <x v="3"/>
    <s v="NYAKAGEZI II"/>
    <s v="Public"/>
    <x v="0"/>
    <s v="Ngororero"/>
    <s v="Muhororo"/>
    <s v="NNYU_3"/>
    <s v="Nyabarongo Upstream Sub-Catchment"/>
    <n v="630.72"/>
  </r>
  <r>
    <x v="3"/>
    <s v="KABACUZI"/>
    <s v="Public"/>
    <x v="0"/>
    <s v="Ngororero"/>
    <s v="Muhororo"/>
    <s v="NNYU_3"/>
    <s v="Nyabarongo Upstream Sub-Catchment"/>
    <n v="1576.8000000000002"/>
  </r>
  <r>
    <x v="3"/>
    <s v="GASEKE I"/>
    <s v="Public"/>
    <x v="0"/>
    <s v="Ngororero"/>
    <s v="Muhororo"/>
    <s v="NNYU_3"/>
    <s v="Nyabarongo Upstream Sub-Catchment"/>
    <n v="788.40000000000009"/>
  </r>
  <r>
    <x v="3"/>
    <s v="NYAGASEKE I"/>
    <s v="Public"/>
    <x v="0"/>
    <s v="Ngororero"/>
    <s v="Muhororo"/>
    <s v="NNYU_3"/>
    <s v="Nyabarongo Upstream Sub-Catchment"/>
    <n v="2049.84"/>
  </r>
  <r>
    <x v="3"/>
    <s v="GASEKE II"/>
    <s v="Public"/>
    <x v="0"/>
    <s v="Ngororero"/>
    <s v="Muhororo"/>
    <s v="NNYU_3"/>
    <s v="Nyabarongo Upstream Sub-Catchment"/>
    <n v="946.08"/>
  </r>
  <r>
    <x v="3"/>
    <s v="GASEKE  III"/>
    <s v="Public"/>
    <x v="0"/>
    <s v="Ngororero"/>
    <s v="Muhororo"/>
    <s v="NNYU_3"/>
    <s v="Nyabarongo Upstream Sub-Catchment"/>
    <n v="2995.92"/>
  </r>
  <r>
    <x v="3"/>
    <s v="NYIRABAHENGERI"/>
    <s v="Public"/>
    <x v="0"/>
    <s v="Ngororero"/>
    <s v="Muhororo"/>
    <s v="NNYU_3"/>
    <s v="Nyabarongo Upstream Sub-Catchment"/>
    <n v="2049.84"/>
  </r>
  <r>
    <x v="3"/>
    <s v="NYAMUKOGORI"/>
    <s v="Public"/>
    <x v="0"/>
    <s v="Ngororero"/>
    <s v="Muhororo"/>
    <s v="NNYU_3"/>
    <s v="Nyabarongo Upstream Sub-Catchment"/>
    <n v="630.72"/>
  </r>
  <r>
    <x v="3"/>
    <s v="KAZINGO"/>
    <s v="Public"/>
    <x v="0"/>
    <s v="Ngororero"/>
    <s v="Muhororo"/>
    <s v="NNYU_3"/>
    <s v="Nyabarongo Upstream Sub-Catchment"/>
    <n v="946.08"/>
  </r>
  <r>
    <x v="3"/>
    <s v="RUMBU"/>
    <s v="Public"/>
    <x v="0"/>
    <s v="Ngororero"/>
    <s v="Muhororo"/>
    <s v="NNYU_3"/>
    <s v="Nyabarongo Upstream Sub-Catchment"/>
    <n v="630.72"/>
  </r>
  <r>
    <x v="3"/>
    <s v="NYAMARABA I"/>
    <s v="Public"/>
    <x v="0"/>
    <s v="Ngororero"/>
    <s v="Muhororo"/>
    <s v="NNYU_3"/>
    <s v="Nyabarongo Upstream Sub-Catchment"/>
    <n v="2365.2000000000003"/>
  </r>
  <r>
    <x v="3"/>
    <s v="NYAMARABA II"/>
    <s v="Public"/>
    <x v="0"/>
    <s v="Ngororero"/>
    <s v="Muhororo"/>
    <s v="NNYU_3"/>
    <s v="Nyabarongo Upstream Sub-Catchment"/>
    <n v="1103.7600000000002"/>
  </r>
  <r>
    <x v="3"/>
    <s v="GATOKI"/>
    <s v="Public"/>
    <x v="0"/>
    <s v="Ngororero"/>
    <s v="Muhororo"/>
    <s v="NNYU_3"/>
    <s v="Nyabarongo Upstream Sub-Catchment"/>
    <n v="1103.7600000000002"/>
  </r>
  <r>
    <x v="3"/>
    <s v="NYAGASEKE III"/>
    <s v="Public"/>
    <x v="0"/>
    <s v="Ngororero"/>
    <s v="Muhororo"/>
    <s v="NNYU_3"/>
    <s v="Nyabarongo Upstream Sub-Catchment"/>
    <n v="473.04"/>
  </r>
  <r>
    <x v="3"/>
    <s v="GAHONDOHONDO"/>
    <s v="Public"/>
    <x v="0"/>
    <s v="Ngororero"/>
    <s v="Muhororo"/>
    <s v="NNYU_3"/>
    <s v="Nyabarongo Upstream Sub-Catchment"/>
    <n v="1261.44"/>
  </r>
  <r>
    <x v="3"/>
    <s v="RUHANGA"/>
    <s v="Public"/>
    <x v="0"/>
    <s v="Ngororero"/>
    <s v="Muhororo"/>
    <s v="NNYU_3"/>
    <s v="Nyabarongo Upstream Sub-Catchment"/>
    <n v="1419.12"/>
  </r>
  <r>
    <x v="3"/>
    <s v="NTAKABAVU I"/>
    <s v="Public"/>
    <x v="0"/>
    <s v="Ngororero"/>
    <s v="Muhororo"/>
    <s v="NNYU_3"/>
    <s v="Nyabarongo Upstream Sub-Catchment"/>
    <n v="1261.44"/>
  </r>
  <r>
    <x v="3"/>
    <s v="NYAGASEKE II"/>
    <s v="Public"/>
    <x v="0"/>
    <s v="Ngororero"/>
    <s v="Muhororo"/>
    <s v="NNYU_3"/>
    <s v="Nyabarongo Upstream Sub-Catchment"/>
    <n v="1261.44"/>
  </r>
  <r>
    <x v="3"/>
    <s v="NTAKABAVU II"/>
    <s v="Public"/>
    <x v="0"/>
    <s v="Ngororero"/>
    <s v="Muhororo"/>
    <s v="NNYU_3"/>
    <s v="Nyabarongo Upstream Sub-Catchment"/>
    <n v="2365.2000000000003"/>
  </r>
  <r>
    <x v="3"/>
    <s v="RUBUMBA II"/>
    <s v="Public"/>
    <x v="0"/>
    <s v="Ngororero"/>
    <s v="Muhororo"/>
    <s v="NNYU_3"/>
    <s v="Nyabarongo Upstream Sub-Catchment"/>
    <n v="946.08"/>
  </r>
  <r>
    <x v="3"/>
    <s v="BUSHOKA"/>
    <s v="Public"/>
    <x v="0"/>
    <s v="Ngororero"/>
    <s v="Muhororo"/>
    <s v="NNYU_3"/>
    <s v="Nyabarongo Upstream Sub-Catchment"/>
    <n v="1419.12"/>
  </r>
  <r>
    <x v="3"/>
    <s v="NYAKIRAMBI"/>
    <s v="Public"/>
    <x v="0"/>
    <s v="Ngororero"/>
    <s v="Muhororo"/>
    <s v="NNYU_3"/>
    <s v="Nyabarongo Upstream Sub-Catchment"/>
    <n v="1261.44"/>
  </r>
  <r>
    <x v="3"/>
    <s v="RUVUZO"/>
    <s v="Public"/>
    <x v="0"/>
    <s v="Ngororero"/>
    <s v="Muhororo"/>
    <s v="NNYU_3"/>
    <s v="Nyabarongo Upstream Sub-Catchment"/>
    <n v="3626.64"/>
  </r>
  <r>
    <x v="3"/>
    <s v="KIBAYA"/>
    <s v="Public"/>
    <x v="0"/>
    <s v="Ngororero"/>
    <s v="Muhororo"/>
    <s v="NNYU_3"/>
    <s v="Nyabarongo Upstream Sub-Catchment"/>
    <n v="1419.12"/>
  </r>
  <r>
    <x v="3"/>
    <s v="BATSIBUKA"/>
    <s v="Public"/>
    <x v="0"/>
    <s v="Ngororero"/>
    <s v="Muhororo"/>
    <s v="NNYU_3"/>
    <s v="Nyabarongo Upstream Sub-Catchment"/>
    <n v="788.40000000000009"/>
  </r>
  <r>
    <x v="3"/>
    <s v="RUBUMBA"/>
    <s v="Public"/>
    <x v="0"/>
    <s v="Ngororero"/>
    <s v="Muhororo"/>
    <s v="NNYU_3"/>
    <s v="Nyabarongo Upstream Sub-Catchment"/>
    <n v="473.04"/>
  </r>
  <r>
    <x v="3"/>
    <s v="GAHOBOBO"/>
    <s v="Public"/>
    <x v="0"/>
    <s v="Ngororero"/>
    <s v="Muhororo"/>
    <s v="NNYU_3"/>
    <s v="Nyabarongo Upstream Sub-Catchment"/>
    <n v="3311.2799999999997"/>
  </r>
  <r>
    <x v="3"/>
    <s v="KAGOTI"/>
    <s v="Public"/>
    <x v="0"/>
    <s v="Ngororero"/>
    <s v="Muhororo"/>
    <s v="NNYU_3"/>
    <s v="Nyabarongo Upstream Sub-Catchment"/>
    <n v="1892.16"/>
  </r>
  <r>
    <x v="3"/>
    <s v="RUSHISHISA"/>
    <s v="Public"/>
    <x v="0"/>
    <s v="Ngororero"/>
    <s v="Muhororo"/>
    <s v="NNYU_3"/>
    <s v="Nyabarongo Upstream Sub-Catchment"/>
    <n v="7410.9599999999991"/>
  </r>
  <r>
    <x v="3"/>
    <s v="NYAKABINGO"/>
    <s v="Public"/>
    <x v="0"/>
    <s v="Ngororero"/>
    <s v="Muhororo"/>
    <s v="NNYU_3"/>
    <s v="Nyabarongo Upstream Sub-Catchment"/>
    <n v="1419.12"/>
  </r>
  <r>
    <x v="3"/>
    <s v="NYABITUKURA"/>
    <s v="Public"/>
    <x v="0"/>
    <s v="Ngororero"/>
    <s v="Muhororo"/>
    <s v="NNYU_3"/>
    <s v="Nyabarongo Upstream Sub-Catchment"/>
    <n v="946.08"/>
  </r>
  <r>
    <x v="3"/>
    <s v="NYAGASHORI"/>
    <s v="Public"/>
    <x v="0"/>
    <s v="Ngororero"/>
    <s v="Muhororo"/>
    <s v="NNYU_3"/>
    <s v="Nyabarongo Upstream Sub-Catchment"/>
    <n v="630.72"/>
  </r>
  <r>
    <x v="3"/>
    <s v="GAHONDO"/>
    <s v="Public"/>
    <x v="0"/>
    <s v="Ngororero"/>
    <s v="Muhororo"/>
    <s v="NNYU_3"/>
    <s v="Nyabarongo Upstream Sub-Catchment"/>
    <n v="1103.7600000000002"/>
  </r>
  <r>
    <x v="3"/>
    <s v="MUKARIBA"/>
    <s v="Public"/>
    <x v="0"/>
    <s v="Nyanza"/>
    <s v="Mukingo"/>
    <s v="NNYU_3"/>
    <s v="Nyabarongo Upstream Sub-Catchment"/>
    <n v="646.48800000000006"/>
  </r>
  <r>
    <x v="3"/>
    <s v="KAMUTEGA"/>
    <s v="Public"/>
    <x v="0"/>
    <s v="Nyanza"/>
    <s v="Mukingo"/>
    <s v="NNYU_3"/>
    <s v="Nyabarongo Upstream Sub-Catchment"/>
    <n v="299.59199999999993"/>
  </r>
  <r>
    <x v="3"/>
    <s v="RWAMUTURAGARA"/>
    <s v="Public"/>
    <x v="0"/>
    <s v="Nyanza"/>
    <s v="Mukingo"/>
    <s v="NNYU_3"/>
    <s v="Nyabarongo Upstream Sub-Catchment"/>
    <n v="1198.3679999999997"/>
  </r>
  <r>
    <x v="3"/>
    <s v="KAGANDE"/>
    <s v="Public"/>
    <x v="0"/>
    <s v="Nyanza"/>
    <s v="Mukingo"/>
    <s v="NNYU_3"/>
    <s v="Nyabarongo Upstream Sub-Catchment"/>
    <n v="1892.16"/>
  </r>
  <r>
    <x v="3"/>
    <s v="GAKARI"/>
    <s v="Public"/>
    <x v="0"/>
    <s v="Nyanza"/>
    <s v="Mukingo"/>
    <s v="NNYU_3"/>
    <s v="Nyabarongo Upstream Sub-Catchment"/>
    <n v="473.04"/>
  </r>
  <r>
    <x v="3"/>
    <s v="KARUSINE"/>
    <s v="Public"/>
    <x v="0"/>
    <s v="Nyanza"/>
    <s v="Mukingo"/>
    <s v="NNYU_3"/>
    <s v="Nyabarongo Upstream Sub-Catchment"/>
    <n v="819.93600000000004"/>
  </r>
  <r>
    <x v="3"/>
    <s v="KURIKAGINA"/>
    <s v="Public"/>
    <x v="0"/>
    <s v="Nyanza"/>
    <s v="Mukingo"/>
    <s v="NNYU_3"/>
    <s v="Nyabarongo Upstream Sub-Catchment"/>
    <n v="441.50400000000002"/>
  </r>
  <r>
    <x v="3"/>
    <s v="RWABUREGO"/>
    <s v="Public"/>
    <x v="0"/>
    <s v="Nyanza"/>
    <s v="Mukingo"/>
    <s v="NNYU_3"/>
    <s v="Nyabarongo Upstream Sub-Catchment"/>
    <n v="819.93600000000004"/>
  </r>
  <r>
    <x v="3"/>
    <s v="MUGISENYI"/>
    <s v="Public"/>
    <x v="0"/>
    <s v="Nyanza"/>
    <s v="Mukingo"/>
    <s v="NNYU_3"/>
    <s v="Nyabarongo Upstream Sub-Catchment"/>
    <n v="961.84799999999996"/>
  </r>
  <r>
    <x v="3"/>
    <s v="NYAGISENYI"/>
    <s v="Public"/>
    <x v="0"/>
    <s v="Nyanza"/>
    <s v="Mukingo"/>
    <s v="NNYU_3"/>
    <s v="Nyabarongo Upstream Sub-Catchment"/>
    <n v="378.43199999999996"/>
  </r>
  <r>
    <x v="3"/>
    <s v="RWACUNGURA"/>
    <s v="Public"/>
    <x v="0"/>
    <s v="Nyanza"/>
    <s v="Mukingo"/>
    <s v="NNYU_3"/>
    <s v="Nyabarongo Upstream Sub-Catchment"/>
    <n v="441.50400000000002"/>
  </r>
  <r>
    <x v="3"/>
    <s v="KABINGO"/>
    <s v="Public"/>
    <x v="0"/>
    <s v="Nyanza"/>
    <s v="Mukingo"/>
    <s v="NNYU_3"/>
    <s v="Nyabarongo Upstream Sub-Catchment"/>
    <n v="646.48800000000006"/>
  </r>
  <r>
    <x v="3"/>
    <s v="ARUSHA"/>
    <s v="Public"/>
    <x v="0"/>
    <s v="Nyanza"/>
    <s v="Mukingo"/>
    <s v="NNYU_3"/>
    <s v="Nyabarongo Upstream Sub-Catchment"/>
    <n v="15.768000000000001"/>
  </r>
  <r>
    <x v="3"/>
    <s v="BYIMANA 2"/>
    <s v="Public"/>
    <x v="0"/>
    <s v="Nyanza"/>
    <s v="Mukingo"/>
    <s v="NNYU_3"/>
    <s v="Nyabarongo Upstream Sub-Catchment"/>
    <n v="425.73600000000005"/>
  </r>
  <r>
    <x v="3"/>
    <s v="BYIMANA 1"/>
    <s v="Public"/>
    <x v="0"/>
    <s v="Nyanza"/>
    <s v="Mukingo"/>
    <s v="NNYU_3"/>
    <s v="Nyabarongo Upstream Sub-Catchment"/>
    <n v="331.1280000000001"/>
  </r>
  <r>
    <x v="3"/>
    <s v="RWABIBARE"/>
    <s v="Public"/>
    <x v="0"/>
    <s v="Nyanza"/>
    <s v="Mukingo"/>
    <s v="NNYU_3"/>
    <s v="Nyabarongo Upstream Sub-Catchment"/>
    <n v="425.73600000000005"/>
  </r>
  <r>
    <x v="3"/>
    <s v="IRYAMUTARA 1"/>
    <s v="Public"/>
    <x v="0"/>
    <s v="Nyanza"/>
    <s v="Mukingo"/>
    <s v="NNYU_3"/>
    <s v="Nyabarongo Upstream Sub-Catchment"/>
    <n v="457.27200000000005"/>
  </r>
  <r>
    <x v="3"/>
    <s v="iryamutara 2"/>
    <s v="Public"/>
    <x v="0"/>
    <s v="Nyanza"/>
    <s v="Mukingo"/>
    <s v="NNYU_3"/>
    <s v="Nyabarongo Upstream Sub-Catchment"/>
    <n v="520.34400000000005"/>
  </r>
  <r>
    <x v="3"/>
    <s v="GASEKE"/>
    <s v="Public"/>
    <x v="0"/>
    <s v="Nyanza"/>
    <s v="Mukingo"/>
    <s v="NNYU_3"/>
    <s v="Nyabarongo Upstream Sub-Catchment"/>
    <n v="1056.4560000000001"/>
  </r>
  <r>
    <x v="3"/>
    <s v="KAJEVUBA"/>
    <s v="Public"/>
    <x v="0"/>
    <s v="Nyanza"/>
    <s v="Mukingo"/>
    <s v="NNYU_3"/>
    <s v="Nyabarongo Upstream Sub-Catchment"/>
    <n v="331.1280000000001"/>
  </r>
  <r>
    <x v="3"/>
    <s v="KURYARUBARE"/>
    <s v="Public"/>
    <x v="0"/>
    <s v="Nyanza"/>
    <s v="Mukingo"/>
    <s v="NNYU_3"/>
    <s v="Nyabarongo Upstream Sub-Catchment"/>
    <n v="646.48800000000006"/>
  </r>
  <r>
    <x v="3"/>
    <s v="KAJINJA"/>
    <s v="Public"/>
    <x v="0"/>
    <s v="Nyanza"/>
    <s v="Mukingo"/>
    <s v="NNYU_3"/>
    <s v="Nyabarongo Upstream Sub-Catchment"/>
    <n v="1545.2640000000001"/>
  </r>
  <r>
    <x v="3"/>
    <s v="KURIRUGO"/>
    <s v="Public"/>
    <x v="0"/>
    <s v="Nyanza"/>
    <s v="Mukingo"/>
    <s v="NNYU_3"/>
    <s v="Nyabarongo Upstream Sub-Catchment"/>
    <n v="1734.4800000000002"/>
  </r>
  <r>
    <x v="3"/>
    <s v="SEGASIRIBA"/>
    <s v="Public"/>
    <x v="0"/>
    <s v="Nyanza"/>
    <s v="Mukingo"/>
    <s v="NNYU_3"/>
    <s v="Nyabarongo Upstream Sub-Catchment"/>
    <n v="3942.0000000000005"/>
  </r>
  <r>
    <x v="3"/>
    <s v="MAZA"/>
    <s v="Public"/>
    <x v="0"/>
    <s v="Nyanza"/>
    <s v="Mukingo"/>
    <s v="NNYU_3"/>
    <s v="Nyabarongo Upstream Sub-Catchment"/>
    <n v="3169.3679999999999"/>
  </r>
  <r>
    <x v="3"/>
    <s v="NYAKABINGO"/>
    <s v="Public"/>
    <x v="0"/>
    <s v="Nyanza"/>
    <s v="Mukingo"/>
    <s v="NNYU_3"/>
    <s v="Nyabarongo Upstream Sub-Catchment"/>
    <n v="1277.2080000000001"/>
  </r>
  <r>
    <x v="3"/>
    <s v="MURAMBA"/>
    <s v="Public"/>
    <x v="0"/>
    <s v="Nyanza"/>
    <s v="Mukingo"/>
    <s v="NNYU_3"/>
    <s v="Nyabarongo Upstream Sub-Catchment"/>
    <n v="2627.8948800000003"/>
  </r>
  <r>
    <x v="3"/>
    <s v="RWEZAMENYO"/>
    <s v="Public"/>
    <x v="0"/>
    <s v="Nyanza"/>
    <s v="Mukingo"/>
    <s v="NNYU_3"/>
    <s v="Nyabarongo Upstream Sub-Catchment"/>
    <n v="898.77600000000007"/>
  </r>
  <r>
    <x v="3"/>
    <s v="MUNYINYA"/>
    <s v="Public"/>
    <x v="0"/>
    <s v="Nyanza"/>
    <s v="Mukingo"/>
    <s v="NNYU_3"/>
    <s v="Nyabarongo Upstream Sub-Catchment"/>
    <n v="805.74480000000005"/>
  </r>
  <r>
    <x v="3"/>
    <s v="CYIMFIZI"/>
    <s v="Public"/>
    <x v="0"/>
    <s v="Nyanza"/>
    <s v="Mukingo"/>
    <s v="NNYU_3"/>
    <s v="Nyabarongo Upstream Sub-Catchment"/>
    <n v="591.30000000000007"/>
  </r>
  <r>
    <x v="3"/>
    <s v="GAHAMA"/>
    <s v="Public"/>
    <x v="0"/>
    <s v="Nyanza"/>
    <s v="Mukingo"/>
    <s v="NNYU_3"/>
    <s v="Nyabarongo Upstream Sub-Catchment"/>
    <n v="804.16799999999989"/>
  </r>
  <r>
    <x v="3"/>
    <s v="KURIGATARE"/>
    <s v="Public"/>
    <x v="0"/>
    <s v="Nyanza"/>
    <s v="Mukingo"/>
    <s v="NNYU_3"/>
    <s v="Nyabarongo Upstream Sub-Catchment"/>
    <n v="331.1280000000001"/>
  </r>
  <r>
    <x v="3"/>
    <s v="GASENYI 2"/>
    <s v="Public"/>
    <x v="0"/>
    <s v="Nyanza"/>
    <s v="Mukingo"/>
    <s v="NNYU_3"/>
    <s v="Nyabarongo Upstream Sub-Catchment"/>
    <n v="682.75439999999992"/>
  </r>
  <r>
    <x v="3"/>
    <s v="GASEGERETI"/>
    <s v="Public"/>
    <x v="0"/>
    <s v="Nyanza"/>
    <s v="Mukingo"/>
    <s v="NNYU_3"/>
    <s v="Nyabarongo Upstream Sub-Catchment"/>
    <n v="567.64800000000002"/>
  </r>
  <r>
    <x v="3"/>
    <s v="GASHOBORWA"/>
    <s v="Public"/>
    <x v="0"/>
    <s v="Nyanza"/>
    <s v="Mukingo"/>
    <s v="NNYU_3"/>
    <s v="Nyabarongo Upstream Sub-Catchment"/>
    <n v="3027.4559999999997"/>
  </r>
  <r>
    <x v="3"/>
    <s v="GATARE"/>
    <s v="Public"/>
    <x v="0"/>
    <s v="Nyanza"/>
    <s v="Mukingo"/>
    <s v="NNYU_3"/>
    <s v="Nyabarongo Upstream Sub-Catchment"/>
    <n v="2626.9488000000001"/>
  </r>
  <r>
    <x v="3"/>
    <s v="GAKO"/>
    <s v="Public"/>
    <x v="0"/>
    <s v="Nyanza"/>
    <s v="Mukingo"/>
    <s v="NNYU_3"/>
    <s v="Nyabarongo Upstream Sub-Catchment"/>
    <n v="2626.9488000000001"/>
  </r>
  <r>
    <x v="3"/>
    <s v="KAZABAGARURA"/>
    <s v="Public"/>
    <x v="0"/>
    <s v="Nyanza"/>
    <s v="Mukingo"/>
    <s v="NNYU_3"/>
    <s v="Nyabarongo Upstream Sub-Catchment"/>
    <n v="898.77600000000007"/>
  </r>
  <r>
    <x v="3"/>
    <s v="RWABIJAGA"/>
    <s v="Public"/>
    <x v="0"/>
    <s v="Nyanza"/>
    <s v="Mukingo"/>
    <s v="NNYU_3"/>
    <s v="Nyabarongo Upstream Sub-Catchment"/>
    <n v="1313.9474400000001"/>
  </r>
  <r>
    <x v="3"/>
    <s v="KADAKAMA"/>
    <s v="Public"/>
    <x v="0"/>
    <s v="Nyanza"/>
    <s v="Mukingo"/>
    <s v="NNYU_3"/>
    <s v="Nyabarongo Upstream Sub-Catchment"/>
    <n v="1513.7279999999998"/>
  </r>
  <r>
    <x v="3"/>
    <s v="GIKOMBE"/>
    <s v="Public"/>
    <x v="0"/>
    <s v="Nyanza"/>
    <s v="Mukingo"/>
    <s v="NNYU_3"/>
    <s v="Nyabarongo Upstream Sub-Catchment"/>
    <n v="2626.9488000000001"/>
  </r>
  <r>
    <x v="3"/>
    <s v="MATIMBA"/>
    <s v="Public"/>
    <x v="0"/>
    <s v="Nyanza"/>
    <s v="Mukingo"/>
    <s v="NNYU_3"/>
    <s v="Nyabarongo Upstream Sub-Catchment"/>
    <n v="1371.816"/>
  </r>
  <r>
    <x v="3"/>
    <s v="GAKARAZA"/>
    <s v="Public"/>
    <x v="0"/>
    <s v="Nyanza"/>
    <s v="Mukingo"/>
    <s v="NNYU_3"/>
    <s v="Nyabarongo Upstream Sub-Catchment"/>
    <n v="1313.4744000000001"/>
  </r>
  <r>
    <x v="3"/>
    <s v="MANINDA"/>
    <s v="Public"/>
    <x v="0"/>
    <s v="Nyanza"/>
    <s v="Mukingo"/>
    <s v="NNYU_3"/>
    <s v="Nyabarongo Upstream Sub-Catchment"/>
    <n v="875.12400000000002"/>
  </r>
  <r>
    <x v="3"/>
    <s v="KABINGO"/>
    <s v="Public"/>
    <x v="0"/>
    <s v="Nyanza"/>
    <s v="Mukingo"/>
    <s v="NNYU_3"/>
    <s v="Nyabarongo Upstream Sub-Catchment"/>
    <n v="525.54744000000005"/>
  </r>
  <r>
    <x v="3"/>
    <s v="NYAMUKO"/>
    <s v="Public"/>
    <x v="0"/>
    <s v="Nyanza"/>
    <s v="Mukingo"/>
    <s v="NNYU_3"/>
    <s v="Nyabarongo Upstream Sub-Catchment"/>
    <n v="261.74880000000002"/>
  </r>
  <r>
    <x v="3"/>
    <s v="GASUMA"/>
    <s v="Public"/>
    <x v="0"/>
    <s v="Nyanza"/>
    <s v="Mukingo"/>
    <s v="NNYU_3"/>
    <s v="Nyabarongo Upstream Sub-Catchment"/>
    <n v="332.70480000000003"/>
  </r>
  <r>
    <x v="3"/>
    <s v="NYANGOBOKA"/>
    <s v="Public"/>
    <x v="0"/>
    <s v="Nyanza"/>
    <s v="Mukingo"/>
    <s v="NNYU_3"/>
    <s v="Nyabarongo Upstream Sub-Catchment"/>
    <n v="332.86247999999995"/>
  </r>
  <r>
    <x v="3"/>
    <s v="NYAKIGEZI"/>
    <s v="Public"/>
    <x v="0"/>
    <s v="Nyanza"/>
    <s v="Mukingo"/>
    <s v="NNYU_3"/>
    <s v="Nyabarongo Upstream Sub-Catchment"/>
    <n v="1786.5144"/>
  </r>
  <r>
    <x v="3"/>
    <s v="KARUTA"/>
    <s v="Public"/>
    <x v="0"/>
    <s v="Nyanza"/>
    <s v="Mukingo"/>
    <s v="NNYU_3"/>
    <s v="Nyabarongo Upstream Sub-Catchment"/>
    <n v="1009.152"/>
  </r>
  <r>
    <x v="3"/>
    <s v="GAHIRI"/>
    <s v="Public"/>
    <x v="0"/>
    <s v="Nyanza"/>
    <s v="Mukingo"/>
    <s v="NNYU_3"/>
    <s v="Nyabarongo Upstream Sub-Catchment"/>
    <n v="1308.7440000000001"/>
  </r>
  <r>
    <x v="3"/>
    <s v="GATARE"/>
    <s v="Public"/>
    <x v="0"/>
    <s v="Nyanza"/>
    <s v="Mukingo"/>
    <s v="NNYU_3"/>
    <s v="Nyabarongo Upstream Sub-Catchment"/>
    <n v="15.768000000000001"/>
  </r>
  <r>
    <x v="3"/>
    <s v="RUZENGA"/>
    <s v="Public"/>
    <x v="0"/>
    <s v="Nyanza"/>
    <s v="Mukingo"/>
    <s v="NNYU_3"/>
    <s v="Nyabarongo Upstream Sub-Catchment"/>
    <n v="3432.6936000000001"/>
  </r>
  <r>
    <x v="3"/>
    <s v="GASENYI"/>
    <s v="Public"/>
    <x v="0"/>
    <s v="Nyanza"/>
    <s v="Mukingo"/>
    <s v="NNYU_3"/>
    <s v="Nyabarongo Upstream Sub-Catchment"/>
    <n v="875.12400000000002"/>
  </r>
  <r>
    <x v="3"/>
    <s v="KABIZA"/>
    <s v="Public"/>
    <x v="0"/>
    <s v="Nyanza"/>
    <s v="Mukingo"/>
    <s v="NNYU_3"/>
    <s v="Nyabarongo Upstream Sub-Catchment"/>
    <n v="1751.8248000000001"/>
  </r>
  <r>
    <x v="3"/>
    <s v="GAHAMA"/>
    <s v="Public"/>
    <x v="0"/>
    <s v="Nyanza"/>
    <s v="Mukingo"/>
    <s v="NNYU_3"/>
    <s v="Nyabarongo Upstream Sub-Catchment"/>
    <n v="867.24000000000012"/>
  </r>
  <r>
    <x v="3"/>
    <s v="NYAMUKO"/>
    <s v="Public"/>
    <x v="0"/>
    <s v="Nyanza"/>
    <s v="Mukingo"/>
    <s v="NNYU_3"/>
    <s v="Nyabarongo Upstream Sub-Catchment"/>
    <n v="2175.9840000000004"/>
  </r>
  <r>
    <x v="3"/>
    <s v="GATARE"/>
    <s v="Public"/>
    <x v="0"/>
    <s v="Nyanza"/>
    <s v="Mukingo"/>
    <s v="NNYU_3"/>
    <s v="Nyabarongo Upstream Sub-Catchment"/>
    <n v="5250.7439999999997"/>
  </r>
  <r>
    <x v="3"/>
    <s v="GATARE 2"/>
    <s v="Public"/>
    <x v="0"/>
    <s v="Nyanza"/>
    <s v="Mukingo"/>
    <s v="NNYU_3"/>
    <s v="Nyabarongo Upstream Sub-Catchment"/>
    <n v="927.15840000000003"/>
  </r>
  <r>
    <x v="3"/>
    <s v="KAJINJA"/>
    <s v="Public"/>
    <x v="0"/>
    <s v="Nyanza"/>
    <s v="Mukingo"/>
    <s v="NNYU_3"/>
    <s v="Nyabarongo Upstream Sub-Catchment"/>
    <n v="315.36"/>
  </r>
  <r>
    <x v="3"/>
    <s v="KAJAGI"/>
    <s v="Public"/>
    <x v="0"/>
    <s v="Nyanza"/>
    <s v="Mukingo"/>
    <s v="NNYU_3"/>
    <s v="Nyabarongo Upstream Sub-Catchment"/>
    <n v="646.48800000000006"/>
  </r>
  <r>
    <x v="3"/>
    <s v="RUSEKE 2"/>
    <s v="Public"/>
    <x v="0"/>
    <s v="Nyanza"/>
    <s v="Mukingo"/>
    <s v="NNYU_3"/>
    <s v="Nyabarongo Upstream Sub-Catchment"/>
    <n v="823.08960000000002"/>
  </r>
  <r>
    <x v="3"/>
    <s v="KAGINA"/>
    <s v="Public"/>
    <x v="0"/>
    <s v="Nyanza"/>
    <s v="Mukingo"/>
    <s v="NNYU_3"/>
    <s v="Nyabarongo Upstream Sub-Catchment"/>
    <n v="1313.4744000000001"/>
  </r>
  <r>
    <x v="3"/>
    <s v="RUSEKE 1"/>
    <s v="Public"/>
    <x v="0"/>
    <s v="Nyanza"/>
    <s v="Mukingo"/>
    <s v="NNYU_3"/>
    <s v="Nyabarongo Upstream Sub-Catchment"/>
    <n v="927.15840000000003"/>
  </r>
  <r>
    <x v="3"/>
    <s v="NYARUGABO"/>
    <s v="Public"/>
    <x v="0"/>
    <s v="Nyanza"/>
    <s v="Mukingo"/>
    <s v="NNYU_3"/>
    <s v="Nyabarongo Upstream Sub-Catchment"/>
    <n v="599.18399999999986"/>
  </r>
  <r>
    <x v="3"/>
    <s v="CYAMUTABAZI"/>
    <s v="Public"/>
    <x v="0"/>
    <s v="Nyanza"/>
    <s v="Mukingo"/>
    <s v="NNYU_3"/>
    <s v="Nyabarongo Upstream Sub-Catchment"/>
    <n v="1050.1488000000002"/>
  </r>
  <r>
    <x v="3"/>
    <s v="NYAKABANDA"/>
    <s v="Public"/>
    <x v="0"/>
    <s v="Nyanza"/>
    <s v="Mukingo"/>
    <s v="NNYU_3"/>
    <s v="Nyabarongo Upstream Sub-Catchment"/>
    <n v="394.20000000000005"/>
  </r>
  <r>
    <x v="3"/>
    <s v="KABAYOGO"/>
    <s v="Public"/>
    <x v="0"/>
    <s v="Nyanza"/>
    <s v="Mukingo"/>
    <s v="NNYU_3"/>
    <s v="Nyabarongo Upstream Sub-Catchment"/>
    <n v="402.08399999999995"/>
  </r>
  <r>
    <x v="3"/>
    <s v="KABINGO 2"/>
    <s v="Public"/>
    <x v="0"/>
    <s v="Nyanza"/>
    <s v="Mukingo"/>
    <s v="NNYU_3"/>
    <s v="Nyabarongo Upstream Sub-Catchment"/>
    <n v="2626.9488000000001"/>
  </r>
  <r>
    <x v="3"/>
    <s v="GASHONGORE"/>
    <s v="Public"/>
    <x v="0"/>
    <s v="Nyanza"/>
    <s v="Mukingo"/>
    <s v="NNYU_3"/>
    <s v="Nyabarongo Upstream Sub-Catchment"/>
    <n v="1050.1488000000002"/>
  </r>
  <r>
    <x v="3"/>
    <s v="NYABISHINGE"/>
    <s v="Public"/>
    <x v="0"/>
    <s v="Nyanza"/>
    <s v="Mukingo"/>
    <s v="NNYU_3"/>
    <s v="Nyabarongo Upstream Sub-Catchment"/>
    <n v="2102.34744"/>
  </r>
  <r>
    <x v="3"/>
    <s v="NYABIBONE"/>
    <s v="Public"/>
    <x v="0"/>
    <s v="Nyanza"/>
    <s v="Mukingo"/>
    <s v="NNYU_3"/>
    <s v="Nyabarongo Upstream Sub-Catchment"/>
    <n v="2175.9840000000004"/>
  </r>
  <r>
    <x v="3"/>
    <s v="BYIRINGIRO"/>
    <s v="Public"/>
    <x v="0"/>
    <s v="Nyanza"/>
    <s v="Mukingo"/>
    <s v="NNYU_3"/>
    <s v="Nyabarongo Upstream Sub-Catchment"/>
    <n v="3311.2799999999997"/>
  </r>
  <r>
    <x v="3"/>
    <s v="KADUGUDUGU"/>
    <s v="Public"/>
    <x v="0"/>
    <s v="Nyanza"/>
    <s v="Mukingo"/>
    <s v="NNYU_3"/>
    <s v="Nyabarongo Upstream Sub-Catchment"/>
    <n v="1313.4744000000001"/>
  </r>
  <r>
    <x v="3"/>
    <s v="GAKINGUSHI"/>
    <s v="Public"/>
    <x v="0"/>
    <s v="Nyanza"/>
    <s v="Mukingo"/>
    <s v="NNYU_3"/>
    <s v="Nyabarongo Upstream Sub-Catchment"/>
    <n v="788.40000000000009"/>
  </r>
  <r>
    <x v="3"/>
    <s v="NGARUYE"/>
    <s v="Public"/>
    <x v="0"/>
    <s v="Nyanza"/>
    <s v="Mukingo"/>
    <s v="NNYU_3"/>
    <s v="Nyabarongo Upstream Sub-Catchment"/>
    <n v="805.74480000000005"/>
  </r>
  <r>
    <x v="3"/>
    <s v="GAKOMEYE"/>
    <s v="Public"/>
    <x v="0"/>
    <s v="Nyanza"/>
    <s v="Mukingo"/>
    <s v="NNYU_3"/>
    <s v="Nyabarongo Upstream Sub-Catchment"/>
    <n v="3153.6000000000004"/>
  </r>
  <r>
    <x v="3"/>
    <s v="MUNOMBE"/>
    <s v="Public"/>
    <x v="0"/>
    <s v="Nyanza"/>
    <s v="Mukingo"/>
    <s v="NNYU_3"/>
    <s v="Nyabarongo Upstream Sub-Catchment"/>
    <n v="789.97680000000003"/>
  </r>
  <r>
    <x v="3"/>
    <s v="MASOZERA"/>
    <s v="Public"/>
    <x v="0"/>
    <s v="Nyanza"/>
    <s v="Mukingo"/>
    <s v="NNYU_3"/>
    <s v="Nyabarongo Upstream Sub-Catchment"/>
    <n v="5250.7439999999997"/>
  </r>
  <r>
    <x v="3"/>
    <s v="GIKOMBE"/>
    <s v="Public"/>
    <x v="0"/>
    <s v="Nyanza"/>
    <s v="Mukingo"/>
    <s v="NNYU_3"/>
    <s v="Nyabarongo Upstream Sub-Catchment"/>
    <n v="4203.7488000000003"/>
  </r>
  <r>
    <x v="3"/>
    <s v="NYABIHANGA"/>
    <s v="Public"/>
    <x v="0"/>
    <s v="Nyanza"/>
    <s v="Mukingo"/>
    <s v="NNYU_3"/>
    <s v="Nyabarongo Upstream Sub-Catchment"/>
    <n v="1278.7848000000004"/>
  </r>
  <r>
    <x v="3"/>
    <s v="MUSAVE"/>
    <s v="Public"/>
    <x v="0"/>
    <s v="Nyanza"/>
    <s v="Mukingo"/>
    <s v="NNYU_3"/>
    <s v="Nyabarongo Upstream Sub-Catchment"/>
    <n v="1576.8000000000002"/>
  </r>
  <r>
    <x v="3"/>
    <s v="KAGEZI"/>
    <s v="Public"/>
    <x v="0"/>
    <s v="Nyanza"/>
    <s v="Mukingo"/>
    <s v="NNYU_3"/>
    <s v="Nyabarongo Upstream Sub-Catchment"/>
    <n v="2995.92"/>
  </r>
  <r>
    <x v="3"/>
    <s v="NYABIHANGA"/>
    <s v="Public"/>
    <x v="0"/>
    <s v="Nyanza"/>
    <s v="Mukingo"/>
    <s v="NNYU_3"/>
    <s v="Nyabarongo Upstream Sub-Catchment"/>
    <n v="2333.6639999999998"/>
  </r>
  <r>
    <x v="3"/>
    <s v="RUGORWE"/>
    <s v="Public"/>
    <x v="0"/>
    <s v="Nyanza"/>
    <s v="Mukingo"/>
    <s v="NNYU_3"/>
    <s v="Nyabarongo Upstream Sub-Catchment"/>
    <n v="2049.84"/>
  </r>
  <r>
    <x v="3"/>
    <s v="KARUHUBUKA"/>
    <s v="Public"/>
    <x v="0"/>
    <s v="Nyanza"/>
    <s v="Mukingo"/>
    <s v="NNYU_3"/>
    <s v="Nyabarongo Upstream Sub-Catchment"/>
    <n v="840.43439999999987"/>
  </r>
  <r>
    <x v="3"/>
    <s v="RWIRU"/>
    <s v="Public"/>
    <x v="0"/>
    <s v="Nyanza"/>
    <s v="Mukingo"/>
    <s v="NNYU_3"/>
    <s v="Nyabarongo Upstream Sub-Catchment"/>
    <n v="682.75439999999992"/>
  </r>
  <r>
    <x v="3"/>
    <s v="GASENYI"/>
    <s v="Public"/>
    <x v="0"/>
    <s v="Nyanza"/>
    <s v="Mukingo"/>
    <s v="NNYU_3"/>
    <s v="Nyabarongo Upstream Sub-Catchment"/>
    <n v="1050.1488000000002"/>
  </r>
  <r>
    <x v="3"/>
    <s v="KABAKOBWA"/>
    <s v="Public"/>
    <x v="0"/>
    <s v="Nyanza"/>
    <s v="Mukingo"/>
    <s v="NNYU_3"/>
    <s v="Nyabarongo Upstream Sub-Catchment"/>
    <n v="805.90248000000008"/>
  </r>
  <r>
    <x v="3"/>
    <s v="KABATENDE"/>
    <s v="Public"/>
    <x v="0"/>
    <s v="Nyanza"/>
    <s v="Mukingo"/>
    <s v="NNYU_3"/>
    <s v="Nyabarongo Upstream Sub-Catchment"/>
    <n v="1750.248"/>
  </r>
  <r>
    <x v="3"/>
    <s v="GAHIMANO"/>
    <s v="Public"/>
    <x v="0"/>
    <s v="Nyanza"/>
    <s v="Mukingo"/>
    <s v="NNYU_3"/>
    <s v="Nyabarongo Upstream Sub-Catchment"/>
    <n v="2626.9488000000001"/>
  </r>
  <r>
    <x v="3"/>
    <s v="NYABITARE"/>
    <s v="Public"/>
    <x v="0"/>
    <s v="Nyanza"/>
    <s v="Mukingo"/>
    <s v="NNYU_3"/>
    <s v="Nyabarongo Upstream Sub-Catchment"/>
    <n v="220.75200000000001"/>
  </r>
  <r>
    <x v="3"/>
    <s v="NTOSHYO"/>
    <s v="Public"/>
    <x v="0"/>
    <s v="Nyanza"/>
    <s v="Mukingo"/>
    <s v="NNYU_3"/>
    <s v="Nyabarongo Upstream Sub-Catchment"/>
    <n v="209.71439999999998"/>
  </r>
  <r>
    <x v="3"/>
    <s v="NTOSHYO 2"/>
    <s v="Public"/>
    <x v="0"/>
    <s v="Nyanza"/>
    <s v="Mukingo"/>
    <s v="NNYU_3"/>
    <s v="Nyabarongo Upstream Sub-Catchment"/>
    <n v="332.70480000000003"/>
  </r>
  <r>
    <x v="3"/>
    <s v="KINYOTA"/>
    <s v="Public"/>
    <x v="0"/>
    <s v="Nyanza"/>
    <s v="Mukingo"/>
    <s v="NNYU_3"/>
    <s v="Nyabarongo Upstream Sub-Catchment"/>
    <n v="1087.9920000000002"/>
  </r>
  <r>
    <x v="3"/>
    <s v="NYAKABUNGO"/>
    <s v="Public"/>
    <x v="0"/>
    <s v="Nyanza"/>
    <s v="Mukingo"/>
    <s v="NNYU_3"/>
    <s v="Nyabarongo Upstream Sub-Catchment"/>
    <n v="1971.0000000000002"/>
  </r>
  <r>
    <x v="3"/>
    <s v="KWA RAZARO"/>
    <s v="Public"/>
    <x v="0"/>
    <s v="Nyanza"/>
    <s v="Mukingo"/>
    <s v="NNYU_3"/>
    <s v="Nyabarongo Upstream Sub-Catchment"/>
    <n v="1308.7440000000001"/>
  </r>
  <r>
    <x v="3"/>
    <s v="MUNYU"/>
    <s v="Public"/>
    <x v="0"/>
    <s v="Nyanza"/>
    <s v="Mukingo"/>
    <s v="NNYU_3"/>
    <s v="Nyabarongo Upstream Sub-Catchment"/>
    <n v="2819.3183999999997"/>
  </r>
  <r>
    <x v="3"/>
    <s v="RWIGOMBA"/>
    <s v="Public"/>
    <x v="0"/>
    <s v="Nyanza"/>
    <s v="Mukingo"/>
    <s v="NNYU_3"/>
    <s v="Nyabarongo Upstream Sub-Catchment"/>
    <n v="1971.0000000000002"/>
  </r>
  <r>
    <x v="3"/>
    <s v="GASEKE"/>
    <s v="Public"/>
    <x v="0"/>
    <s v="Nyanza"/>
    <s v="Mukingo"/>
    <s v="NNYU_3"/>
    <s v="Nyabarongo Upstream Sub-Catchment"/>
    <n v="648.06479999999988"/>
  </r>
  <r>
    <x v="3"/>
    <s v="KIBONDE"/>
    <s v="Public"/>
    <x v="0"/>
    <s v="Nyanza"/>
    <s v="Mukingo"/>
    <s v="NNYU_3"/>
    <s v="Nyabarongo Upstream Sub-Catchment"/>
    <n v="927.15840000000003"/>
  </r>
  <r>
    <x v="3"/>
    <s v="KAGINA"/>
    <s v="Public"/>
    <x v="0"/>
    <s v="Nyanza"/>
    <s v="Mukingo"/>
    <s v="NNYU_3"/>
    <s v="Nyabarongo Upstream Sub-Catchment"/>
    <n v="578.05488000000014"/>
  </r>
  <r>
    <x v="3"/>
    <s v="KIGOGO"/>
    <s v="Public"/>
    <x v="0"/>
    <s v="Nyanza"/>
    <s v="Mukingo"/>
    <s v="NNYU_3"/>
    <s v="Nyabarongo Upstream Sub-Catchment"/>
    <n v="3503.6496000000002"/>
  </r>
  <r>
    <x v="3"/>
    <s v="NTUNGAMO"/>
    <s v="Public"/>
    <x v="0"/>
    <s v="Nyanza"/>
    <s v="Mukingo"/>
    <s v="NNYU_3"/>
    <s v="Nyabarongo Upstream Sub-Catchment"/>
    <n v="805.74480000000005"/>
  </r>
  <r>
    <x v="3"/>
    <s v="KADUDUBIZO"/>
    <s v="Public"/>
    <x v="0"/>
    <s v="Nyanza"/>
    <s v="Mukingo"/>
    <s v="NNYU_3"/>
    <s v="Nyabarongo Upstream Sub-Catchment"/>
    <n v="13139.474399999999"/>
  </r>
  <r>
    <x v="3"/>
    <s v="RWINGOGO"/>
    <s v="Public"/>
    <x v="0"/>
    <s v="Rutsiro"/>
    <s v="Mukura"/>
    <s v="NNYU_3"/>
    <s v="Nyabarongo Upstream Sub-Catchment"/>
    <n v="346.89599999999996"/>
  </r>
  <r>
    <x v="3"/>
    <s v="RUGOMERO"/>
    <s v="Public"/>
    <x v="0"/>
    <s v="Rutsiro"/>
    <s v="Mukura"/>
    <s v="NNYU_3"/>
    <s v="Nyabarongo Upstream Sub-Catchment"/>
    <n v="394.20000000000005"/>
  </r>
  <r>
    <x v="3"/>
    <s v="NYABITERETSO"/>
    <s v="Public"/>
    <x v="0"/>
    <s v="Rutsiro"/>
    <s v="Mukura"/>
    <s v="NNYU_3"/>
    <s v="Nyabarongo Upstream Sub-Catchment"/>
    <n v="3153.6000000000004"/>
  </r>
  <r>
    <x v="3"/>
    <s v="KAGOGO"/>
    <s v="Public"/>
    <x v="0"/>
    <s v="Rutsiro"/>
    <s v="Mukura"/>
    <s v="NNYU_3"/>
    <s v="Nyabarongo Upstream Sub-Catchment"/>
    <n v="3626.64"/>
  </r>
  <r>
    <x v="3"/>
    <s v="BARAHOGA"/>
    <s v="Public"/>
    <x v="0"/>
    <s v="Rutsiro"/>
    <s v="Mukura"/>
    <s v="NNYU_3"/>
    <s v="Nyabarongo Upstream Sub-Catchment"/>
    <n v="2049.84"/>
  </r>
  <r>
    <x v="3"/>
    <s v="SARUMANGA"/>
    <s v="Public"/>
    <x v="0"/>
    <s v="Rutsiro"/>
    <s v="Mukura"/>
    <s v="NNYU_3"/>
    <s v="Nyabarongo Upstream Sub-Catchment"/>
    <n v="1576.8000000000002"/>
  </r>
  <r>
    <x v="3"/>
    <s v="RYASEMIVUMBI"/>
    <s v="Public"/>
    <x v="0"/>
    <s v="Rutsiro"/>
    <s v="Mukura"/>
    <s v="NNYU_3"/>
    <s v="Nyabarongo Upstream Sub-Catchment"/>
    <n v="4730.4000000000005"/>
  </r>
  <r>
    <x v="3"/>
    <s v="RUGEGE"/>
    <s v="Public"/>
    <x v="0"/>
    <s v="Rutsiro"/>
    <s v="Mukura"/>
    <s v="NNYU_3"/>
    <s v="Nyabarongo Upstream Sub-Catchment"/>
    <n v="946.08"/>
  </r>
  <r>
    <x v="3"/>
    <s v="KADASOMWA"/>
    <s v="Public"/>
    <x v="0"/>
    <s v="Rutsiro"/>
    <s v="Mukura"/>
    <s v="NNYU_3"/>
    <s v="Nyabarongo Upstream Sub-Catchment"/>
    <n v="1419.12"/>
  </r>
  <r>
    <x v="3"/>
    <s v="MUCYOMO"/>
    <s v="Public"/>
    <x v="0"/>
    <s v="Rutsiro"/>
    <s v="Mukura"/>
    <s v="NNYU_3"/>
    <s v="Nyabarongo Upstream Sub-Catchment"/>
    <n v="3468.9600000000005"/>
  </r>
  <r>
    <x v="3"/>
    <s v="MARUMBA"/>
    <s v="Public"/>
    <x v="0"/>
    <s v="Rutsiro"/>
    <s v="Mukura"/>
    <s v="NNYU_3"/>
    <s v="Nyabarongo Upstream Sub-Catchment"/>
    <n v="946.08"/>
  </r>
  <r>
    <x v="3"/>
    <s v="KUMVUMO"/>
    <s v="Public"/>
    <x v="0"/>
    <s v="Rutsiro"/>
    <s v="Mukura"/>
    <s v="NNYU_3"/>
    <s v="Nyabarongo Upstream Sub-Catchment"/>
    <n v="4415.0400000000009"/>
  </r>
  <r>
    <x v="3"/>
    <s v="RUGOMERO"/>
    <s v="Public"/>
    <x v="0"/>
    <s v="Rutsiro"/>
    <s v="Mukura"/>
    <s v="NNYU_3"/>
    <s v="Nyabarongo Upstream Sub-Catchment"/>
    <n v="7884.0000000000009"/>
  </r>
  <r>
    <x v="3"/>
    <s v="RYANYANJURA"/>
    <s v="Public"/>
    <x v="0"/>
    <s v="Rutsiro"/>
    <s v="Mukura"/>
    <s v="NNYU_3"/>
    <s v="Nyabarongo Upstream Sub-Catchment"/>
    <n v="315.36"/>
  </r>
  <r>
    <x v="3"/>
    <s v="GITWE"/>
    <s v="Public"/>
    <x v="0"/>
    <s v="Rutsiro"/>
    <s v="Mukura"/>
    <s v="NNYU_3"/>
    <s v="Nyabarongo Upstream Sub-Catchment"/>
    <n v="1103.7600000000002"/>
  </r>
  <r>
    <x v="3"/>
    <s v="NZARUBARA"/>
    <s v="Public"/>
    <x v="0"/>
    <s v="Rutsiro"/>
    <s v="Mukura"/>
    <s v="NNYU_3"/>
    <s v="Nyabarongo Upstream Sub-Catchment"/>
    <n v="1419.12"/>
  </r>
  <r>
    <x v="3"/>
    <s v="NYAKABINGO"/>
    <s v="Public"/>
    <x v="0"/>
    <s v="Rutsiro"/>
    <s v="Mukura"/>
    <s v="NNYU_3"/>
    <s v="Nyabarongo Upstream Sub-Catchment"/>
    <n v="8199.36"/>
  </r>
  <r>
    <x v="3"/>
    <s v="NYAKAGEZI"/>
    <s v="Public"/>
    <x v="0"/>
    <s v="Rutsiro"/>
    <s v="Mukura"/>
    <s v="NNYU_3"/>
    <s v="Nyabarongo Upstream Sub-Catchment"/>
    <n v="4730.4000000000005"/>
  </r>
  <r>
    <x v="3"/>
    <s v="RUHIHI"/>
    <s v="Public"/>
    <x v="0"/>
    <s v="Rutsiro"/>
    <s v="Mukura"/>
    <s v="NNYU_3"/>
    <s v="Nyabarongo Upstream Sub-Catchment"/>
    <n v="2365.2000000000003"/>
  </r>
  <r>
    <x v="3"/>
    <s v="NYIRAMUTUKURA"/>
    <s v="Public"/>
    <x v="0"/>
    <s v="Rutsiro"/>
    <s v="Mukura"/>
    <s v="NNYU_3"/>
    <s v="Nyabarongo Upstream Sub-Catchment"/>
    <n v="1576.8000000000002"/>
  </r>
  <r>
    <x v="3"/>
    <s v="BAHIMBA"/>
    <s v="Public"/>
    <x v="0"/>
    <s v="Rutsiro"/>
    <s v="Mukura"/>
    <s v="NNYU_3"/>
    <s v="Nyabarongo Upstream Sub-Catchment"/>
    <n v="5203.4400000000005"/>
  </r>
  <r>
    <x v="3"/>
    <s v="KONDO"/>
    <s v="Public"/>
    <x v="0"/>
    <s v="Rutsiro"/>
    <s v="Mukura"/>
    <s v="NNYU_3"/>
    <s v="Nyabarongo Upstream Sub-Catchment"/>
    <n v="2207.5200000000004"/>
  </r>
  <r>
    <x v="3"/>
    <s v="MIYOVE"/>
    <s v="Public"/>
    <x v="0"/>
    <s v="Rutsiro"/>
    <s v="Mukura"/>
    <s v="NNYU_3"/>
    <s v="Nyabarongo Upstream Sub-Catchment"/>
    <n v="1103.7600000000002"/>
  </r>
  <r>
    <x v="3"/>
    <s v="GATARE"/>
    <s v="Public"/>
    <x v="0"/>
    <s v="Rutsiro"/>
    <s v="Mukura"/>
    <s v="NNYU_3"/>
    <s v="Nyabarongo Upstream Sub-Catchment"/>
    <n v="473.04"/>
  </r>
  <r>
    <x v="3"/>
    <s v="NYIRAMUTUKURA II"/>
    <s v="Public"/>
    <x v="0"/>
    <s v="Rutsiro"/>
    <s v="Mukura"/>
    <s v="NNYU_3"/>
    <s v="Nyabarongo Upstream Sub-Catchment"/>
    <n v="15768.000000000002"/>
  </r>
  <r>
    <x v="3"/>
    <s v="KABUGITA"/>
    <s v="Public"/>
    <x v="0"/>
    <s v="Rutsiro"/>
    <s v="Mukura"/>
    <s v="NNYU_3"/>
    <s v="Nyabarongo Upstream Sub-Catchment"/>
    <n v="7568.64"/>
  </r>
  <r>
    <x v="3"/>
    <s v="RUHONDO"/>
    <s v="Public"/>
    <x v="0"/>
    <s v="Rutsiro"/>
    <s v="Mukura"/>
    <s v="NNYU_3"/>
    <s v="Nyabarongo Upstream Sub-Catchment"/>
    <n v="1576.8000000000002"/>
  </r>
  <r>
    <x v="3"/>
    <s v="MWUMBA"/>
    <s v="Public"/>
    <x v="0"/>
    <s v="Rutsiro"/>
    <s v="Mukura"/>
    <s v="NNYU_3"/>
    <s v="Nyabarongo Upstream Sub-Catchment"/>
    <n v="946.08"/>
  </r>
  <r>
    <x v="3"/>
    <s v="BYUNGA"/>
    <s v="Public"/>
    <x v="0"/>
    <s v="Rutsiro"/>
    <s v="Mukura"/>
    <s v="NNYU_3"/>
    <s v="Nyabarongo Upstream Sub-Catchment"/>
    <n v="1576.8000000000002"/>
  </r>
  <r>
    <x v="3"/>
    <s v="NYAMATA"/>
    <s v="Public"/>
    <x v="0"/>
    <s v="Rutsiro"/>
    <s v="Mukura"/>
    <s v="NNYU_3"/>
    <s v="Nyabarongo Upstream Sub-Catchment"/>
    <n v="1261.44"/>
  </r>
  <r>
    <x v="3"/>
    <s v="GAHURI"/>
    <s v="Public"/>
    <x v="0"/>
    <s v="Rutsiro"/>
    <s v="Mukura"/>
    <s v="NNYU_3"/>
    <s v="Nyabarongo Upstream Sub-Catchment"/>
    <n v="946.08"/>
  </r>
  <r>
    <x v="3"/>
    <s v="GATARE"/>
    <s v="Public"/>
    <x v="0"/>
    <s v="Rutsiro"/>
    <s v="Mukura"/>
    <s v="NNYU_3"/>
    <s v="Nyabarongo Upstream Sub-Catchment"/>
    <n v="473.04"/>
  </r>
  <r>
    <x v="3"/>
    <s v="NYIRAKAGEZI"/>
    <s v="Public"/>
    <x v="0"/>
    <s v="Rutsiro"/>
    <s v="Mukura"/>
    <s v="NNYU_3"/>
    <s v="Nyabarongo Upstream Sub-Catchment"/>
    <n v="1261.44"/>
  </r>
  <r>
    <x v="3"/>
    <s v="RYABIRIMA"/>
    <s v="Public"/>
    <x v="0"/>
    <s v="Rutsiro"/>
    <s v="Mukura"/>
    <s v="NNYU_3"/>
    <s v="Nyabarongo Upstream Sub-Catchment"/>
    <n v="1576.8000000000002"/>
  </r>
  <r>
    <x v="3"/>
    <s v="KARARAMA"/>
    <s v="Public"/>
    <x v="0"/>
    <s v="Rutsiro"/>
    <s v="Mukura"/>
    <s v="NNYU_3"/>
    <s v="Nyabarongo Upstream Sub-Catchment"/>
    <n v="7884.0000000000009"/>
  </r>
  <r>
    <x v="3"/>
    <s v="KABIRONGORO"/>
    <s v="Public"/>
    <x v="0"/>
    <s v="Rutsiro"/>
    <s v="Mukura"/>
    <s v="NNYU_3"/>
    <s v="Nyabarongo Upstream Sub-Catchment"/>
    <n v="946.08"/>
  </r>
  <r>
    <x v="3"/>
    <s v="BINYAMBAGURE II"/>
    <s v="Public"/>
    <x v="0"/>
    <s v="Rutsiro"/>
    <s v="Mukura"/>
    <s v="NNYU_3"/>
    <s v="Nyabarongo Upstream Sub-Catchment"/>
    <n v="394.20000000000005"/>
  </r>
  <r>
    <x v="3"/>
    <s v="GAKERI"/>
    <s v="Public"/>
    <x v="0"/>
    <s v="Rutsiro"/>
    <s v="Mukura"/>
    <s v="NNYU_3"/>
    <s v="Nyabarongo Upstream Sub-Catchment"/>
    <n v="1734.4800000000002"/>
  </r>
  <r>
    <x v="3"/>
    <s v="BINYAMBAGURE I"/>
    <s v="Public"/>
    <x v="0"/>
    <s v="Rutsiro"/>
    <s v="Mukura"/>
    <s v="NNYU_3"/>
    <s v="Nyabarongo Upstream Sub-Catchment"/>
    <n v="6307.2000000000007"/>
  </r>
  <r>
    <x v="3"/>
    <s v="KAGANWA"/>
    <s v="Public"/>
    <x v="0"/>
    <s v="Rutsiro"/>
    <s v="Mukura"/>
    <s v="NNYU_3"/>
    <s v="Nyabarongo Upstream Sub-Catchment"/>
    <n v="1576.8000000000002"/>
  </r>
  <r>
    <x v="3"/>
    <s v="GAHONDO"/>
    <s v="Public"/>
    <x v="0"/>
    <s v="Rutsiro"/>
    <s v="Mukura"/>
    <s v="NNYU_3"/>
    <s v="Nyabarongo Upstream Sub-Catchment"/>
    <n v="1576.8000000000002"/>
  </r>
  <r>
    <x v="3"/>
    <s v="MIGOG0 I"/>
    <s v="Public"/>
    <x v="0"/>
    <s v="Karongi"/>
    <s v="Murambi"/>
    <s v="NNYU_3"/>
    <s v="Nyabarongo Upstream Sub-Catchment"/>
    <n v="3942.0000000000005"/>
  </r>
  <r>
    <x v="3"/>
    <s v="NYABITARE"/>
    <s v="Public"/>
    <x v="0"/>
    <s v="Karongi"/>
    <s v="Murambi"/>
    <s v="NNYU_3"/>
    <s v="Nyabarongo Upstream Sub-Catchment"/>
    <n v="4099.68"/>
  </r>
  <r>
    <x v="3"/>
    <s v="MUGAHAGA"/>
    <s v="Public"/>
    <x v="0"/>
    <s v="Karongi"/>
    <s v="Murambi"/>
    <s v="NNYU_3"/>
    <s v="Nyabarongo Upstream Sub-Catchment"/>
    <n v="2049.84"/>
  </r>
  <r>
    <x v="3"/>
    <s v="MIGOGO II"/>
    <s v="Public"/>
    <x v="0"/>
    <s v="Karongi"/>
    <s v="Murambi"/>
    <s v="NNYU_3"/>
    <s v="Nyabarongo Upstream Sub-Catchment"/>
    <n v="3153.6000000000004"/>
  </r>
  <r>
    <x v="3"/>
    <s v="KIZIBAZIBA"/>
    <s v="Public"/>
    <x v="0"/>
    <s v="Karongi"/>
    <s v="Murambi"/>
    <s v="NNYU_3"/>
    <s v="Nyabarongo Upstream Sub-Catchment"/>
    <n v="1576.8000000000002"/>
  </r>
  <r>
    <x v="3"/>
    <s v="NYAMPYISI"/>
    <s v="Public"/>
    <x v="0"/>
    <s v="Karongi"/>
    <s v="Murambi"/>
    <s v="NNYU_3"/>
    <s v="Nyabarongo Upstream Sub-Catchment"/>
    <n v="3311.2799999999997"/>
  </r>
  <r>
    <x v="3"/>
    <s v="NYACYONGO"/>
    <s v="Public"/>
    <x v="0"/>
    <s v="Karongi"/>
    <s v="Murambi"/>
    <s v="NNYU_3"/>
    <s v="Nyabarongo Upstream Sub-Catchment"/>
    <n v="1576.8000000000002"/>
  </r>
  <r>
    <x v="3"/>
    <s v="KARUMUNANZOGA"/>
    <s v="Public"/>
    <x v="0"/>
    <s v="Karongi"/>
    <s v="Murambi"/>
    <s v="NNYU_3"/>
    <s v="Nyabarongo Upstream Sub-Catchment"/>
    <n v="1734.4800000000002"/>
  </r>
  <r>
    <x v="3"/>
    <s v="RUHONDO"/>
    <s v="Public"/>
    <x v="0"/>
    <s v="Karongi"/>
    <s v="Murambi"/>
    <s v="NNYU_3"/>
    <s v="Nyabarongo Upstream Sub-Catchment"/>
    <n v="2207.5200000000004"/>
  </r>
  <r>
    <x v="3"/>
    <s v="CYAHAFI"/>
    <s v="Public"/>
    <x v="0"/>
    <s v="Karongi"/>
    <s v="Murambi"/>
    <s v="NNYU_3"/>
    <s v="Nyabarongo Upstream Sub-Catchment"/>
    <n v="4415.0400000000009"/>
  </r>
  <r>
    <x v="3"/>
    <s v="KAVUGANGOMA"/>
    <s v="Public"/>
    <x v="0"/>
    <s v="Karongi"/>
    <s v="Murambi"/>
    <s v="NNYU_3"/>
    <s v="Nyabarongo Upstream Sub-Catchment"/>
    <n v="4257.3600000000006"/>
  </r>
  <r>
    <x v="3"/>
    <s v="KUCYUZI"/>
    <s v="Public"/>
    <x v="0"/>
    <s v="Karongi"/>
    <s v="Murambi"/>
    <s v="NNYU_3"/>
    <s v="Nyabarongo Upstream Sub-Catchment"/>
    <n v="1419.12"/>
  </r>
  <r>
    <x v="3"/>
    <s v="NYARUHANGA"/>
    <s v="Public"/>
    <x v="0"/>
    <s v="Karongi"/>
    <s v="Murambi"/>
    <s v="NNYU_3"/>
    <s v="Nyabarongo Upstream Sub-Catchment"/>
    <n v="3626.64"/>
  </r>
  <r>
    <x v="3"/>
    <s v="GASAVE"/>
    <s v="Public"/>
    <x v="0"/>
    <s v="Karongi"/>
    <s v="Murambi"/>
    <s v="NNYU_3"/>
    <s v="Nyabarongo Upstream Sub-Catchment"/>
    <n v="2207.5200000000004"/>
  </r>
  <r>
    <x v="3"/>
    <s v="MUKABAYA"/>
    <s v="Public"/>
    <x v="0"/>
    <s v="Karongi"/>
    <s v="Murambi"/>
    <s v="NNYU_3"/>
    <s v="Nyabarongo Upstream Sub-Catchment"/>
    <n v="1261.44"/>
  </r>
  <r>
    <x v="3"/>
    <s v="GAKOMA"/>
    <s v="Public"/>
    <x v="0"/>
    <s v="Karongi"/>
    <s v="Murambi"/>
    <s v="NNYU_3"/>
    <s v="Nyabarongo Upstream Sub-Catchment"/>
    <n v="3784.32"/>
  </r>
  <r>
    <x v="3"/>
    <s v="CYASERUKOBWA"/>
    <s v="Public"/>
    <x v="0"/>
    <s v="Karongi"/>
    <s v="Murambi"/>
    <s v="NNYU_3"/>
    <s v="Nyabarongo Upstream Sub-Catchment"/>
    <n v="7095.6"/>
  </r>
  <r>
    <x v="3"/>
    <s v="GASUMA"/>
    <s v="Public"/>
    <x v="0"/>
    <s v="Karongi"/>
    <s v="Murambi"/>
    <s v="NNYU_3"/>
    <s v="Nyabarongo Upstream Sub-Catchment"/>
    <n v="630.72"/>
  </r>
  <r>
    <x v="3"/>
    <s v="NYARUTOVU II"/>
    <s v="Public"/>
    <x v="0"/>
    <s v="Karongi"/>
    <s v="Murambi"/>
    <s v="NNYU_3"/>
    <s v="Nyabarongo Upstream Sub-Catchment"/>
    <n v="3468.9600000000005"/>
  </r>
  <r>
    <x v="3"/>
    <s v="GAKONI"/>
    <s v="Public"/>
    <x v="0"/>
    <s v="Karongi"/>
    <s v="Murambi"/>
    <s v="NNYU_3"/>
    <s v="Nyabarongo Upstream Sub-Catchment"/>
    <n v="1576.8000000000002"/>
  </r>
  <r>
    <x v="3"/>
    <s v="KAZIBAZIBA"/>
    <s v="Public"/>
    <x v="0"/>
    <s v="Karongi"/>
    <s v="Murambi"/>
    <s v="NNYU_3"/>
    <s v="Nyabarongo Upstream Sub-Catchment"/>
    <n v="630.72"/>
  </r>
  <r>
    <x v="3"/>
    <s v="NYARUTOVU I"/>
    <s v="Public"/>
    <x v="0"/>
    <s v="Karongi"/>
    <s v="Murambi"/>
    <s v="NNYU_3"/>
    <s v="Nyabarongo Upstream Sub-Catchment"/>
    <n v="2838.24"/>
  </r>
  <r>
    <x v="3"/>
    <s v="MURUZIBAZIBA"/>
    <s v="Public"/>
    <x v="0"/>
    <s v="Karongi"/>
    <s v="Murambi"/>
    <s v="NNYU_3"/>
    <s v="Nyabarongo Upstream Sub-Catchment"/>
    <n v="2838.24"/>
  </r>
  <r>
    <x v="3"/>
    <s v="NYAMAKOMA"/>
    <s v="Public"/>
    <x v="0"/>
    <s v="Karongi"/>
    <s v="Murambi"/>
    <s v="NNYU_3"/>
    <s v="Nyabarongo Upstream Sub-Catchment"/>
    <n v="1419.12"/>
  </r>
  <r>
    <x v="3"/>
    <s v="KABASOSO"/>
    <s v="Public"/>
    <x v="0"/>
    <s v="Karongi"/>
    <s v="Murambi"/>
    <s v="NNYU_3"/>
    <s v="Nyabarongo Upstream Sub-Catchment"/>
    <n v="2838.24"/>
  </r>
  <r>
    <x v="3"/>
    <s v="KABINGO"/>
    <s v="Public"/>
    <x v="0"/>
    <s v="Karongi"/>
    <s v="Murambi"/>
    <s v="NNYU_3"/>
    <s v="Nyabarongo Upstream Sub-Catchment"/>
    <n v="1103.7600000000002"/>
  </r>
  <r>
    <x v="3"/>
    <s v="MUKAVUMU"/>
    <s v="Public"/>
    <x v="0"/>
    <s v="Karongi"/>
    <s v="Murambi"/>
    <s v="NNYU_3"/>
    <s v="Nyabarongo Upstream Sub-Catchment"/>
    <n v="630.72"/>
  </r>
  <r>
    <x v="3"/>
    <s v="KIBAMBA"/>
    <s v="Public"/>
    <x v="0"/>
    <s v="Karongi"/>
    <s v="Murambi"/>
    <s v="NNYU_3"/>
    <s v="Nyabarongo Upstream Sub-Catchment"/>
    <n v="946.08"/>
  </r>
  <r>
    <x v="3"/>
    <s v="NYAKISHWA"/>
    <s v="Public"/>
    <x v="0"/>
    <s v="Karongi"/>
    <s v="Murambi"/>
    <s v="NNYU_3"/>
    <s v="Nyabarongo Upstream Sub-Catchment"/>
    <n v="2680.56"/>
  </r>
  <r>
    <x v="3"/>
    <s v="NYARUBANDE"/>
    <s v="Public"/>
    <x v="0"/>
    <s v="Karongi"/>
    <s v="Murambi"/>
    <s v="NNYU_3"/>
    <s v="Nyabarongo Upstream Sub-Catchment"/>
    <n v="1576.8000000000002"/>
  </r>
  <r>
    <x v="3"/>
    <s v="NYIRAKIZIGA"/>
    <s v="Public"/>
    <x v="0"/>
    <s v="Karongi"/>
    <s v="Murambi"/>
    <s v="NNYU_3"/>
    <s v="Nyabarongo Upstream Sub-Catchment"/>
    <n v="3153.6000000000004"/>
  </r>
  <r>
    <x v="3"/>
    <s v="MUKIREHE"/>
    <s v="Public"/>
    <x v="0"/>
    <s v="Karongi"/>
    <s v="Murambi"/>
    <s v="NNYU_3"/>
    <s v="Nyabarongo Upstream Sub-Catchment"/>
    <n v="1892.16"/>
  </r>
  <r>
    <x v="3"/>
    <s v="KAMUSANA"/>
    <s v="Public"/>
    <x v="0"/>
    <s v="Karongi"/>
    <s v="Murambi"/>
    <s v="NNYU_3"/>
    <s v="Nyabarongo Upstream Sub-Catchment"/>
    <n v="4099.68"/>
  </r>
  <r>
    <x v="3"/>
    <s v="NYAKIBANDE"/>
    <s v="Public"/>
    <x v="0"/>
    <s v="Karongi"/>
    <s v="Murambi"/>
    <s v="NNYU_3"/>
    <s v="Nyabarongo Upstream Sub-Catchment"/>
    <n v="1103.7600000000002"/>
  </r>
  <r>
    <x v="3"/>
    <s v="MURIKARAMA"/>
    <s v="Public"/>
    <x v="0"/>
    <s v="Karongi"/>
    <s v="Murambi"/>
    <s v="NNYU_3"/>
    <s v="Nyabarongo Upstream Sub-Catchment"/>
    <n v="2995.92"/>
  </r>
  <r>
    <x v="3"/>
    <s v="MUKABIGEGA"/>
    <s v="Public"/>
    <x v="0"/>
    <s v="Karongi"/>
    <s v="Murambi"/>
    <s v="NNYU_3"/>
    <s v="Nyabarongo Upstream Sub-Catchment"/>
    <n v="3784.32"/>
  </r>
  <r>
    <x v="3"/>
    <s v="KARAMBO"/>
    <s v="Public"/>
    <x v="0"/>
    <s v="Karongi"/>
    <s v="Murambi"/>
    <s v="NNYU_3"/>
    <s v="Nyabarongo Upstream Sub-Catchment"/>
    <n v="1419.12"/>
  </r>
  <r>
    <x v="3"/>
    <s v="KUWAGATARE"/>
    <s v="Public"/>
    <x v="0"/>
    <s v="Karongi"/>
    <s v="Murambi"/>
    <s v="NNYU_3"/>
    <s v="Nyabarongo Upstream Sub-Catchment"/>
    <n v="0"/>
  </r>
  <r>
    <x v="3"/>
    <s v="MURINANGA"/>
    <s v="Public"/>
    <x v="0"/>
    <s v="Karongi"/>
    <s v="Murambi"/>
    <s v="NNYU_3"/>
    <s v="Nyabarongo Upstream Sub-Catchment"/>
    <n v="1261.44"/>
  </r>
  <r>
    <x v="3"/>
    <s v="NYABINOMBE"/>
    <s v="Public"/>
    <x v="0"/>
    <s v="Karongi"/>
    <s v="Murambi"/>
    <s v="NNYU_3"/>
    <s v="Nyabarongo Upstream Sub-Catchment"/>
    <n v="1892.16"/>
  </r>
  <r>
    <x v="3"/>
    <s v="GITABA"/>
    <s v="Public"/>
    <x v="0"/>
    <s v="Karongi"/>
    <s v="Murambi"/>
    <s v="NNYU_3"/>
    <s v="Nyabarongo Upstream Sub-Catchment"/>
    <n v="788.40000000000009"/>
  </r>
  <r>
    <x v="3"/>
    <s v="BYONDO"/>
    <s v="Public"/>
    <x v="0"/>
    <s v="Karongi"/>
    <s v="Murambi"/>
    <s v="NNYU_3"/>
    <s v="Nyabarongo Upstream Sub-Catchment"/>
    <n v="788.40000000000009"/>
  </r>
  <r>
    <x v="3"/>
    <s v="MUGISIZA"/>
    <s v="Public"/>
    <x v="0"/>
    <s v="Karongi"/>
    <s v="Murambi"/>
    <s v="NNYU_3"/>
    <s v="Nyabarongo Upstream Sub-Catchment"/>
    <n v="1103.7600000000002"/>
  </r>
  <r>
    <x v="3"/>
    <s v="GAHONDOHONDO"/>
    <s v="Public"/>
    <x v="0"/>
    <s v="Karongi"/>
    <s v="Murambi"/>
    <s v="NNYU_3"/>
    <s v="Nyabarongo Upstream Sub-Catchment"/>
    <n v="3311.2799999999997"/>
  </r>
  <r>
    <x v="3"/>
    <s v="MUKAZINGO"/>
    <s v="Public"/>
    <x v="0"/>
    <s v="Karongi"/>
    <s v="Murambi"/>
    <s v="NNYU_3"/>
    <s v="Nyabarongo Upstream Sub-Catchment"/>
    <n v="1576.8000000000002"/>
  </r>
  <r>
    <x v="3"/>
    <s v="CYARUSHEGA"/>
    <s v="Public"/>
    <x v="0"/>
    <s v="Karongi"/>
    <s v="Murambi"/>
    <s v="NNYU_3"/>
    <s v="Nyabarongo Upstream Sub-Catchment"/>
    <n v="3153.6000000000004"/>
  </r>
  <r>
    <x v="3"/>
    <s v="RWAMUGIMBA"/>
    <s v="Public"/>
    <x v="0"/>
    <s v="Karongi"/>
    <s v="Murambi"/>
    <s v="NNYU_3"/>
    <s v="Nyabarongo Upstream Sub-Catchment"/>
    <n v="1892.16"/>
  </r>
  <r>
    <x v="3"/>
    <s v="KINYWEKA"/>
    <s v="Public"/>
    <x v="0"/>
    <s v="Karongi"/>
    <s v="Murambi"/>
    <s v="NNYU_3"/>
    <s v="Nyabarongo Upstream Sub-Catchment"/>
    <n v="2207.5200000000004"/>
  </r>
  <r>
    <x v="3"/>
    <s v="NYARUCUNDURA"/>
    <s v="Public"/>
    <x v="0"/>
    <s v="Rutsiro"/>
    <s v="Murunda"/>
    <s v="NNYU_3"/>
    <s v="Nyabarongo Upstream Sub-Catchment"/>
    <n v="1419.12"/>
  </r>
  <r>
    <x v="3"/>
    <s v="RUKARARANKA"/>
    <s v="Public"/>
    <x v="0"/>
    <s v="Rutsiro"/>
    <s v="Murunda"/>
    <s v="NNYU_3"/>
    <s v="Nyabarongo Upstream Sub-Catchment"/>
    <n v="3153.6000000000004"/>
  </r>
  <r>
    <x v="3"/>
    <s v="GITEKATEKE"/>
    <s v="Public"/>
    <x v="0"/>
    <s v="Rutsiro"/>
    <s v="Murunda"/>
    <s v="NNYU_3"/>
    <s v="Nyabarongo Upstream Sub-Catchment"/>
    <n v="4730.4000000000005"/>
  </r>
  <r>
    <x v="3"/>
    <s v="RUHOMBO"/>
    <s v="Public"/>
    <x v="0"/>
    <s v="Rutsiro"/>
    <s v="Murunda"/>
    <s v="NNYU_3"/>
    <s v="Nyabarongo Upstream Sub-Catchment"/>
    <n v="473.04"/>
  </r>
  <r>
    <x v="3"/>
    <s v="MASABANO"/>
    <s v="Public"/>
    <x v="0"/>
    <s v="Rutsiro"/>
    <s v="Murunda"/>
    <s v="NNYU_3"/>
    <s v="Nyabarongo Upstream Sub-Catchment"/>
    <n v="5991.84"/>
  </r>
  <r>
    <x v="3"/>
    <s v="NYAMARABA II"/>
    <s v="Public"/>
    <x v="0"/>
    <s v="Rutsiro"/>
    <s v="Murunda"/>
    <s v="NNYU_3"/>
    <s v="Nyabarongo Upstream Sub-Catchment"/>
    <n v="3153.6000000000004"/>
  </r>
  <r>
    <x v="3"/>
    <s v="KARUSHONGO"/>
    <s v="Public"/>
    <x v="0"/>
    <s v="Rutsiro"/>
    <s v="Murunda"/>
    <s v="NNYU_3"/>
    <s v="Nyabarongo Upstream Sub-Catchment"/>
    <n v="3468.9600000000005"/>
  </r>
  <r>
    <x v="3"/>
    <s v="MWANANUNDI"/>
    <s v="Public"/>
    <x v="0"/>
    <s v="Rutsiro"/>
    <s v="Murunda"/>
    <s v="NNYU_3"/>
    <s v="Nyabarongo Upstream Sub-Catchment"/>
    <n v="1576.8000000000002"/>
  </r>
  <r>
    <x v="3"/>
    <s v="RUGOMERO"/>
    <s v="Public"/>
    <x v="0"/>
    <s v="Rutsiro"/>
    <s v="Murunda"/>
    <s v="NNYU_3"/>
    <s v="Nyabarongo Upstream Sub-Catchment"/>
    <n v="2207.5200000000004"/>
  </r>
  <r>
    <x v="3"/>
    <s v="GISHUSHU"/>
    <s v="Public"/>
    <x v="0"/>
    <s v="Rutsiro"/>
    <s v="Murunda"/>
    <s v="NNYU_3"/>
    <s v="Nyabarongo Upstream Sub-Catchment"/>
    <n v="1103.7600000000002"/>
  </r>
  <r>
    <x v="3"/>
    <s v="RUTOMVU"/>
    <s v="Public"/>
    <x v="0"/>
    <s v="Rutsiro"/>
    <s v="Murunda"/>
    <s v="NNYU_3"/>
    <s v="Nyabarongo Upstream Sub-Catchment"/>
    <n v="1419.12"/>
  </r>
  <r>
    <x v="3"/>
    <s v="GISUMA"/>
    <s v="Public"/>
    <x v="0"/>
    <s v="Rutsiro"/>
    <s v="Murunda"/>
    <s v="NNYU_3"/>
    <s v="Nyabarongo Upstream Sub-Catchment"/>
    <n v="1261.44"/>
  </r>
  <r>
    <x v="3"/>
    <s v="RUKINGU II"/>
    <s v="Public"/>
    <x v="0"/>
    <s v="Rutsiro"/>
    <s v="Murunda"/>
    <s v="NNYU_3"/>
    <s v="Nyabarongo Upstream Sub-Catchment"/>
    <n v="473.04"/>
  </r>
  <r>
    <x v="3"/>
    <s v="KABAGAYA"/>
    <s v="Public"/>
    <x v="0"/>
    <s v="Rutsiro"/>
    <s v="Murunda"/>
    <s v="NNYU_3"/>
    <s v="Nyabarongo Upstream Sub-Catchment"/>
    <n v="1103.7600000000002"/>
  </r>
  <r>
    <x v="3"/>
    <s v="RUKINGU I"/>
    <s v="Public"/>
    <x v="0"/>
    <s v="Rutsiro"/>
    <s v="Murunda"/>
    <s v="NNYU_3"/>
    <s v="Nyabarongo Upstream Sub-Catchment"/>
    <n v="2680.56"/>
  </r>
  <r>
    <x v="3"/>
    <s v="KAZIBAZIBA II"/>
    <s v="Public"/>
    <x v="0"/>
    <s v="Rutsiro"/>
    <s v="Murunda"/>
    <s v="NNYU_3"/>
    <s v="Nyabarongo Upstream Sub-Catchment"/>
    <n v="473.04"/>
  </r>
  <r>
    <x v="3"/>
    <s v="KAZIBAZIBA I"/>
    <s v="Public"/>
    <x v="0"/>
    <s v="Rutsiro"/>
    <s v="Murunda"/>
    <s v="NNYU_3"/>
    <s v="Nyabarongo Upstream Sub-Catchment"/>
    <n v="157.68"/>
  </r>
  <r>
    <x v="3"/>
    <s v="NYARUTOVU"/>
    <s v="Public"/>
    <x v="0"/>
    <s v="Rutsiro"/>
    <s v="Murunda"/>
    <s v="NNYU_3"/>
    <s v="Nyabarongo Upstream Sub-Catchment"/>
    <n v="1576.8000000000002"/>
  </r>
  <r>
    <x v="3"/>
    <s v="KASEMUCACA"/>
    <s v="Public"/>
    <x v="0"/>
    <s v="Rutsiro"/>
    <s v="Murunda"/>
    <s v="NNYU_3"/>
    <s v="Nyabarongo Upstream Sub-Catchment"/>
    <n v="3153.6000000000004"/>
  </r>
  <r>
    <x v="3"/>
    <s v="GATOBOTOBO II"/>
    <s v="Public"/>
    <x v="0"/>
    <s v="Muhanga"/>
    <s v="Mushishiro"/>
    <s v="NNYU_3"/>
    <s v="Nyabarongo Upstream Sub-Catchment"/>
    <n v="4730.4000000000005"/>
  </r>
  <r>
    <x v="3"/>
    <s v="GATOBOTOBO I"/>
    <s v="Public"/>
    <x v="0"/>
    <s v="Muhanga"/>
    <s v="Mushishiro"/>
    <s v="NNYU_3"/>
    <s v="Nyabarongo Upstream Sub-Catchment"/>
    <n v="473.04"/>
  </r>
  <r>
    <x v="3"/>
    <s v="RUSENYI"/>
    <s v="Public"/>
    <x v="0"/>
    <s v="Muhanga"/>
    <s v="Mushishiro"/>
    <s v="NNYU_3"/>
    <s v="Nyabarongo Upstream Sub-Catchment"/>
    <n v="315.36"/>
  </r>
  <r>
    <x v="3"/>
    <s v="GISUMA"/>
    <s v="Public"/>
    <x v="0"/>
    <s v="Muhanga"/>
    <s v="Mushishiro"/>
    <s v="NNYU_3"/>
    <s v="Nyabarongo Upstream Sub-Catchment"/>
    <n v="0"/>
  </r>
  <r>
    <x v="3"/>
    <s v="MURUBINGO II"/>
    <s v="Public"/>
    <x v="0"/>
    <s v="Muhanga"/>
    <s v="Mushishiro"/>
    <s v="NNYU_3"/>
    <s v="Nyabarongo Upstream Sub-Catchment"/>
    <n v="157.68"/>
  </r>
  <r>
    <x v="3"/>
    <s v="GAKOMBE"/>
    <s v="Public"/>
    <x v="0"/>
    <s v="Muhanga"/>
    <s v="Mushishiro"/>
    <s v="NNYU_3"/>
    <s v="Nyabarongo Upstream Sub-Catchment"/>
    <n v="315.36"/>
  </r>
  <r>
    <x v="3"/>
    <s v="MURUBINGI I"/>
    <s v="Public"/>
    <x v="0"/>
    <s v="Muhanga"/>
    <s v="Mushishiro"/>
    <s v="NNYU_3"/>
    <s v="Nyabarongo Upstream Sub-Catchment"/>
    <n v="157.68"/>
  </r>
  <r>
    <x v="3"/>
    <s v="NYAKAGEZI"/>
    <s v="Public"/>
    <x v="0"/>
    <s v="Muhanga"/>
    <s v="Mushishiro"/>
    <s v="NNYU_3"/>
    <s v="Nyabarongo Upstream Sub-Catchment"/>
    <n v="6307.2000000000007"/>
  </r>
  <r>
    <x v="3"/>
    <s v="KANNYOGO"/>
    <s v="Public"/>
    <x v="0"/>
    <s v="Muhanga"/>
    <s v="Mushishiro"/>
    <s v="NNYU_3"/>
    <s v="Nyabarongo Upstream Sub-Catchment"/>
    <n v="0"/>
  </r>
  <r>
    <x v="3"/>
    <s v="NYARUTEMBE"/>
    <s v="Public"/>
    <x v="0"/>
    <s v="Muhanga"/>
    <s v="Mushishiro"/>
    <s v="NNYU_3"/>
    <s v="Nyabarongo Upstream Sub-Catchment"/>
    <n v="315.36"/>
  </r>
  <r>
    <x v="3"/>
    <s v="GAKUKU"/>
    <s v="Public"/>
    <x v="0"/>
    <s v="Muhanga"/>
    <s v="Mushishiro"/>
    <s v="NNYU_3"/>
    <s v="Nyabarongo Upstream Sub-Catchment"/>
    <n v="4730.4000000000005"/>
  </r>
  <r>
    <x v="3"/>
    <s v="KANOGO"/>
    <s v="Public"/>
    <x v="0"/>
    <s v="Muhanga"/>
    <s v="Mushishiro"/>
    <s v="NNYU_3"/>
    <s v="Nyabarongo Upstream Sub-Catchment"/>
    <n v="473.04"/>
  </r>
  <r>
    <x v="3"/>
    <s v="CYAHAFI"/>
    <s v="Public"/>
    <x v="0"/>
    <s v="Muhanga"/>
    <s v="Mushishiro"/>
    <s v="NNYU_3"/>
    <s v="Nyabarongo Upstream Sub-Catchment"/>
    <n v="3153.6000000000004"/>
  </r>
  <r>
    <x v="3"/>
    <s v="RYERWA"/>
    <s v="Public"/>
    <x v="0"/>
    <s v="Muhanga"/>
    <s v="Mushishiro"/>
    <s v="NNYU_3"/>
    <s v="Nyabarongo Upstream Sub-Catchment"/>
    <n v="7884.0000000000009"/>
  </r>
  <r>
    <x v="3"/>
    <s v="NYAKABINGO I"/>
    <s v="Public"/>
    <x v="0"/>
    <s v="Muhanga"/>
    <s v="Mushishiro"/>
    <s v="NNYU_3"/>
    <s v="Nyabarongo Upstream Sub-Catchment"/>
    <n v="6307.2000000000007"/>
  </r>
  <r>
    <x v="3"/>
    <s v="NYAKABINGO II"/>
    <s v="Public"/>
    <x v="0"/>
    <s v="Muhanga"/>
    <s v="Mushishiro"/>
    <s v="NNYU_3"/>
    <s v="Nyabarongo Upstream Sub-Catchment"/>
    <n v="3153.6000000000004"/>
  </r>
  <r>
    <x v="3"/>
    <s v="GAHORORO"/>
    <s v="Public"/>
    <x v="0"/>
    <s v="Muhanga"/>
    <s v="Mushishiro"/>
    <s v="NNYU_3"/>
    <s v="Nyabarongo Upstream Sub-Catchment"/>
    <n v="4730.4000000000005"/>
  </r>
  <r>
    <x v="3"/>
    <s v="kigaga"/>
    <s v="Public"/>
    <x v="0"/>
    <s v="Muhanga"/>
    <s v="Mushishiro"/>
    <s v="NNYU_3"/>
    <s v="Nyabarongo Upstream Sub-Catchment"/>
    <n v="4730.4000000000005"/>
  </r>
  <r>
    <x v="3"/>
    <s v="GATARAGA I"/>
    <s v="Public"/>
    <x v="0"/>
    <s v="Muhanga"/>
    <s v="Mushishiro"/>
    <s v="NNYU_3"/>
    <s v="Nyabarongo Upstream Sub-Catchment"/>
    <n v="157.68"/>
  </r>
  <r>
    <x v="3"/>
    <s v="KARUMBI"/>
    <s v="Public"/>
    <x v="0"/>
    <s v="Muhanga"/>
    <s v="Mushishiro"/>
    <s v="NNYU_3"/>
    <s v="Nyabarongo Upstream Sub-Catchment"/>
    <n v="4730.4000000000005"/>
  </r>
  <r>
    <x v="3"/>
    <s v="RWUKI II"/>
    <s v="Public"/>
    <x v="0"/>
    <s v="Muhanga"/>
    <s v="Mushishiro"/>
    <s v="NNYU_3"/>
    <s v="Nyabarongo Upstream Sub-Catchment"/>
    <n v="4730.4000000000005"/>
  </r>
  <r>
    <x v="3"/>
    <s v="GATARAGA II"/>
    <s v="Public"/>
    <x v="0"/>
    <s v="Muhanga"/>
    <s v="Mushishiro"/>
    <s v="NNYU_3"/>
    <s v="Nyabarongo Upstream Sub-Catchment"/>
    <n v="3153.6000000000004"/>
  </r>
  <r>
    <x v="3"/>
    <s v="NYAKAGEZI"/>
    <s v="Public"/>
    <x v="0"/>
    <s v="Muhanga"/>
    <s v="Mushishiro"/>
    <s v="NNYU_3"/>
    <s v="Nyabarongo Upstream Sub-Catchment"/>
    <n v="315.36"/>
  </r>
  <r>
    <x v="3"/>
    <s v="RUKUNGANO"/>
    <s v="Public"/>
    <x v="0"/>
    <s v="Muhanga"/>
    <s v="Mushishiro"/>
    <s v="NNYU_3"/>
    <s v="Nyabarongo Upstream Sub-Catchment"/>
    <n v="4730.4000000000005"/>
  </r>
  <r>
    <x v="3"/>
    <s v="KUBUTANE"/>
    <s v="Public"/>
    <x v="0"/>
    <s v="Muhanga"/>
    <s v="Mushishiro"/>
    <s v="NNYU_3"/>
    <s v="Nyabarongo Upstream Sub-Catchment"/>
    <n v="315.36"/>
  </r>
  <r>
    <x v="3"/>
    <s v="NYARURE"/>
    <s v="Public"/>
    <x v="0"/>
    <s v="Muhanga"/>
    <s v="Mushishiro"/>
    <s v="NNYU_3"/>
    <s v="Nyabarongo Upstream Sub-Catchment"/>
    <n v="3153.6000000000004"/>
  </r>
  <r>
    <x v="3"/>
    <s v="gatare i"/>
    <s v="Public"/>
    <x v="0"/>
    <s v="Muhanga"/>
    <s v="Mushishiro"/>
    <s v="NNYU_3"/>
    <s v="Nyabarongo Upstream Sub-Catchment"/>
    <n v="630.72"/>
  </r>
  <r>
    <x v="3"/>
    <s v="RWUKI I"/>
    <s v="Public"/>
    <x v="0"/>
    <s v="Muhanga"/>
    <s v="Mushishiro"/>
    <s v="NNYU_3"/>
    <s v="Nyabarongo Upstream Sub-Catchment"/>
    <n v="6307.2000000000007"/>
  </r>
  <r>
    <x v="3"/>
    <s v="GASIZA"/>
    <s v="Public"/>
    <x v="0"/>
    <s v="Muhanga"/>
    <s v="Mushishiro"/>
    <s v="NNYU_3"/>
    <s v="Nyabarongo Upstream Sub-Catchment"/>
    <n v="157.68"/>
  </r>
  <r>
    <x v="3"/>
    <s v="KAZIBAZIBA"/>
    <s v="Public"/>
    <x v="0"/>
    <s v="Muhanga"/>
    <s v="Mushishiro"/>
    <s v="NNYU_3"/>
    <s v="Nyabarongo Upstream Sub-Catchment"/>
    <n v="315.36"/>
  </r>
  <r>
    <x v="3"/>
    <s v="RUKOMA"/>
    <s v="Public"/>
    <x v="0"/>
    <s v="Muhanga"/>
    <s v="Mushishiro"/>
    <s v="NNYU_3"/>
    <s v="Nyabarongo Upstream Sub-Catchment"/>
    <n v="31536.000000000004"/>
  </r>
  <r>
    <x v="3"/>
    <s v="GAKOMA"/>
    <s v="Public"/>
    <x v="0"/>
    <s v="Muhanga"/>
    <s v="Mushishiro"/>
    <s v="NNYU_3"/>
    <s v="Nyabarongo Upstream Sub-Catchment"/>
    <n v="473.04"/>
  </r>
  <r>
    <x v="3"/>
    <s v="RWANYAMIGEZI"/>
    <s v="Public"/>
    <x v="0"/>
    <s v="Muhanga"/>
    <s v="Mushishiro"/>
    <s v="NNYU_3"/>
    <s v="Nyabarongo Upstream Sub-Catchment"/>
    <n v="4730.4000000000005"/>
  </r>
  <r>
    <x v="3"/>
    <s v="GITWA"/>
    <s v="Public"/>
    <x v="0"/>
    <s v="Muhanga"/>
    <s v="Mushishiro"/>
    <s v="NNYU_3"/>
    <s v="Nyabarongo Upstream Sub-Catchment"/>
    <n v="4730.4000000000005"/>
  </r>
  <r>
    <x v="3"/>
    <s v="KABURARA"/>
    <s v="Public"/>
    <x v="0"/>
    <s v="Muhanga"/>
    <s v="Mushishiro"/>
    <s v="NNYU_3"/>
    <s v="Nyabarongo Upstream Sub-Catchment"/>
    <n v="315.36"/>
  </r>
  <r>
    <x v="3"/>
    <s v="KAMUHOKA"/>
    <s v="Public"/>
    <x v="0"/>
    <s v="Muhanga"/>
    <s v="Mushishiro"/>
    <s v="NNYU_3"/>
    <s v="Nyabarongo Upstream Sub-Catchment"/>
    <n v="47304.000000000007"/>
  </r>
  <r>
    <x v="3"/>
    <s v="GATOKI"/>
    <s v="Public"/>
    <x v="0"/>
    <s v="Muhanga"/>
    <s v="Mushishiro"/>
    <s v="NNYU_3"/>
    <s v="Nyabarongo Upstream Sub-Catchment"/>
    <n v="3153.6000000000004"/>
  </r>
  <r>
    <x v="3"/>
    <s v="GAHAMA"/>
    <s v="Public"/>
    <x v="0"/>
    <s v="Muhanga"/>
    <s v="Mushishiro"/>
    <s v="NNYU_3"/>
    <s v="Nyabarongo Upstream Sub-Catchment"/>
    <n v="630.72"/>
  </r>
  <r>
    <x v="3"/>
    <s v="KWITABA"/>
    <s v="Public"/>
    <x v="0"/>
    <s v="Muhanga"/>
    <s v="Mushishiro"/>
    <s v="NNYU_3"/>
    <s v="Nyabarongo Upstream Sub-Catchment"/>
    <n v="3153.6000000000004"/>
  </r>
  <r>
    <x v="3"/>
    <s v="NYANKUNAMIRWA"/>
    <s v="Public"/>
    <x v="0"/>
    <s v="Muhanga"/>
    <s v="Mushishiro"/>
    <s v="NNYU_3"/>
    <s v="Nyabarongo Upstream Sub-Catchment"/>
    <n v="315.36"/>
  </r>
  <r>
    <x v="3"/>
    <s v="GASEKE"/>
    <s v="Public"/>
    <x v="0"/>
    <s v="Muhanga"/>
    <s v="Mushishiro"/>
    <s v="NNYU_3"/>
    <s v="Nyabarongo Upstream Sub-Catchment"/>
    <n v="6307.2000000000007"/>
  </r>
  <r>
    <x v="3"/>
    <s v="GATOBO I"/>
    <s v="Public"/>
    <x v="0"/>
    <s v="Muhanga"/>
    <s v="Mushishiro"/>
    <s v="NNYU_3"/>
    <s v="Nyabarongo Upstream Sub-Catchment"/>
    <n v="157.68"/>
  </r>
  <r>
    <x v="3"/>
    <s v="GATARE"/>
    <s v="Public"/>
    <x v="0"/>
    <s v="Muhanga"/>
    <s v="Mushishiro"/>
    <s v="NNYU_3"/>
    <s v="Nyabarongo Upstream Sub-Catchment"/>
    <n v="4730.4000000000005"/>
  </r>
  <r>
    <x v="3"/>
    <s v="NYIRABWIDUMBURE"/>
    <s v="Public"/>
    <x v="0"/>
    <s v="Muhanga"/>
    <s v="Mushishiro"/>
    <s v="NNYU_3"/>
    <s v="Nyabarongo Upstream Sub-Catchment"/>
    <n v="315.36"/>
  </r>
  <r>
    <x v="3"/>
    <s v="nyakaliba"/>
    <s v="Public"/>
    <x v="0"/>
    <s v="Muhanga"/>
    <s v="Mushishiro"/>
    <s v="NNYU_3"/>
    <s v="Nyabarongo Upstream Sub-Catchment"/>
    <n v="315.36"/>
  </r>
  <r>
    <x v="3"/>
    <s v="GASEKE"/>
    <s v="Public"/>
    <x v="0"/>
    <s v="Muhanga"/>
    <s v="Mushishiro"/>
    <s v="NNYU_3"/>
    <s v="Nyabarongo Upstream Sub-Catchment"/>
    <n v="4730.4000000000005"/>
  </r>
  <r>
    <x v="3"/>
    <s v="NYAKAGEZI"/>
    <s v="Public"/>
    <x v="0"/>
    <s v="Muhanga"/>
    <s v="Mushishiro"/>
    <s v="NNYU_3"/>
    <s v="Nyabarongo Upstream Sub-Catchment"/>
    <n v="315.36"/>
  </r>
  <r>
    <x v="3"/>
    <s v="GASEKE"/>
    <s v="Public"/>
    <x v="0"/>
    <s v="Muhanga"/>
    <s v="Mushishiro"/>
    <s v="NNYU_3"/>
    <s v="Nyabarongo Upstream Sub-Catchment"/>
    <n v="4730.4000000000005"/>
  </r>
  <r>
    <x v="3"/>
    <s v="GATARE"/>
    <s v="Public"/>
    <x v="0"/>
    <s v="Muhanga"/>
    <s v="Mushishiro"/>
    <s v="NNYU_3"/>
    <s v="Nyabarongo Upstream Sub-Catchment"/>
    <n v="3153.6000000000004"/>
  </r>
  <r>
    <x v="3"/>
    <s v="GAHAGA"/>
    <s v="Public"/>
    <x v="0"/>
    <s v="Muhanga"/>
    <s v="Mushishiro"/>
    <s v="NNYU_3"/>
    <s v="Nyabarongo Upstream Sub-Catchment"/>
    <n v="4730.4000000000005"/>
  </r>
  <r>
    <x v="3"/>
    <s v="KANOGO"/>
    <s v="Public"/>
    <x v="0"/>
    <s v="Muhanga"/>
    <s v="Mushishiro"/>
    <s v="NNYU_3"/>
    <s v="Nyabarongo Upstream Sub-Catchment"/>
    <n v="4730.4000000000005"/>
  </r>
  <r>
    <x v="3"/>
    <s v="RWAGAHAMA"/>
    <s v="Public"/>
    <x v="0"/>
    <s v="Muhanga"/>
    <s v="Mushishiro"/>
    <s v="NNYU_3"/>
    <s v="Nyabarongo Upstream Sub-Catchment"/>
    <n v="157.68"/>
  </r>
  <r>
    <x v="3"/>
    <s v="NYAMYISHWA"/>
    <s v="Public"/>
    <x v="0"/>
    <s v="Muhanga"/>
    <s v="Mushishiro"/>
    <s v="NNYU_3"/>
    <s v="Nyabarongo Upstream Sub-Catchment"/>
    <n v="4730.4000000000005"/>
  </r>
  <r>
    <x v="3"/>
    <s v="KABWINYO"/>
    <s v="Public"/>
    <x v="0"/>
    <s v="Muhanga"/>
    <s v="Mushishiro"/>
    <s v="NNYU_3"/>
    <s v="Nyabarongo Upstream Sub-Catchment"/>
    <n v="630.72"/>
  </r>
  <r>
    <x v="3"/>
    <s v="KAVUMU"/>
    <s v="Public"/>
    <x v="0"/>
    <s v="Muhanga"/>
    <s v="Mushishiro"/>
    <s v="NNYU_3"/>
    <s v="Nyabarongo Upstream Sub-Catchment"/>
    <n v="4730.4000000000005"/>
  </r>
  <r>
    <x v="3"/>
    <s v="KAGOMBERO"/>
    <s v="Public"/>
    <x v="0"/>
    <s v="Muhanga"/>
    <s v="Mushishiro"/>
    <s v="NNYU_3"/>
    <s v="Nyabarongo Upstream Sub-Catchment"/>
    <n v="473.04"/>
  </r>
  <r>
    <x v="3"/>
    <s v="KABASEKA I"/>
    <s v="Public"/>
    <x v="0"/>
    <s v="Muhanga"/>
    <s v="Mushishiro"/>
    <s v="NNYU_3"/>
    <s v="Nyabarongo Upstream Sub-Catchment"/>
    <n v="473.04"/>
  </r>
  <r>
    <x v="3"/>
    <s v="GATABA I"/>
    <s v="Public"/>
    <x v="0"/>
    <s v="Muhanga"/>
    <s v="Mushishiro"/>
    <s v="NNYU_3"/>
    <s v="Nyabarongo Upstream Sub-Catchment"/>
    <n v="157.68"/>
  </r>
  <r>
    <x v="3"/>
    <s v="MARYOHE"/>
    <s v="Public"/>
    <x v="0"/>
    <s v="Muhanga"/>
    <s v="Mushishiro"/>
    <s v="NNYU_3"/>
    <s v="Nyabarongo Upstream Sub-Catchment"/>
    <n v="6307.2000000000007"/>
  </r>
  <r>
    <x v="3"/>
    <s v="KADOBOGO"/>
    <s v="Public"/>
    <x v="0"/>
    <s v="Muhanga"/>
    <s v="Mushishiro"/>
    <s v="NNYU_3"/>
    <s v="Nyabarongo Upstream Sub-Catchment"/>
    <n v="630.72"/>
  </r>
  <r>
    <x v="3"/>
    <s v="GAHONDO"/>
    <s v="Public"/>
    <x v="0"/>
    <s v="Muhanga"/>
    <s v="Mushishiro"/>
    <s v="NNYU_3"/>
    <s v="Nyabarongo Upstream Sub-Catchment"/>
    <n v="4730.4000000000005"/>
  </r>
  <r>
    <x v="3"/>
    <s v="KAMUYONGWE"/>
    <s v="Public"/>
    <x v="0"/>
    <s v="Muhanga"/>
    <s v="Mushishiro"/>
    <s v="NNYU_3"/>
    <s v="Nyabarongo Upstream Sub-Catchment"/>
    <n v="4730.4000000000005"/>
  </r>
  <r>
    <x v="3"/>
    <s v="KADOHA"/>
    <s v="Public"/>
    <x v="0"/>
    <s v="Muhanga"/>
    <s v="Mushishiro"/>
    <s v="NNYU_3"/>
    <s v="Nyabarongo Upstream Sub-Catchment"/>
    <n v="6307.2000000000007"/>
  </r>
  <r>
    <x v="3"/>
    <s v="GATARE"/>
    <s v="Public"/>
    <x v="0"/>
    <s v="Muhanga"/>
    <s v="Mushishiro"/>
    <s v="NNYU_3"/>
    <s v="Nyabarongo Upstream Sub-Catchment"/>
    <n v="3153.6000000000004"/>
  </r>
  <r>
    <x v="3"/>
    <s v="KABIGEGA"/>
    <s v="Public"/>
    <x v="0"/>
    <s v="Muhanga"/>
    <s v="Mushishiro"/>
    <s v="NNYU_3"/>
    <s v="Nyabarongo Upstream Sub-Catchment"/>
    <n v="7884.0000000000009"/>
  </r>
  <r>
    <x v="3"/>
    <s v="RUDUNDO"/>
    <s v="Public"/>
    <x v="0"/>
    <s v="Muhanga"/>
    <s v="Mushishiro"/>
    <s v="NNYU_3"/>
    <s v="Nyabarongo Upstream Sub-Catchment"/>
    <n v="4730.4000000000005"/>
  </r>
  <r>
    <x v="3"/>
    <s v="KAGARAMA"/>
    <s v="Public"/>
    <x v="0"/>
    <s v="Muhanga"/>
    <s v="Mushishiro"/>
    <s v="NNYU_3"/>
    <s v="Nyabarongo Upstream Sub-Catchment"/>
    <n v="3153.6000000000004"/>
  </r>
  <r>
    <x v="3"/>
    <s v="GITUNTU"/>
    <s v="Public"/>
    <x v="0"/>
    <s v="Muhanga"/>
    <s v="Mushishiro"/>
    <s v="NNYU_3"/>
    <s v="Nyabarongo Upstream Sub-Catchment"/>
    <n v="4730.4000000000005"/>
  </r>
  <r>
    <x v="3"/>
    <s v="KABASEKA II"/>
    <s v="Public"/>
    <x v="0"/>
    <s v="Muhanga"/>
    <s v="Mushishiro"/>
    <s v="NNYU_3"/>
    <s v="Nyabarongo Upstream Sub-Catchment"/>
    <n v="3153.6000000000004"/>
  </r>
  <r>
    <x v="3"/>
    <s v="KARONGOZI"/>
    <s v="Public"/>
    <x v="0"/>
    <s v="Muhanga"/>
    <s v="Mushishiro"/>
    <s v="NNYU_3"/>
    <s v="Nyabarongo Upstream Sub-Catchment"/>
    <n v="4730.4000000000005"/>
  </r>
  <r>
    <x v="3"/>
    <s v="KUKABUGA"/>
    <s v="Public"/>
    <x v="0"/>
    <s v="Muhanga"/>
    <s v="Mushishiro"/>
    <s v="NNYU_3"/>
    <s v="Nyabarongo Upstream Sub-Catchment"/>
    <n v="6307.2000000000007"/>
  </r>
  <r>
    <x v="3"/>
    <s v="GASHERI"/>
    <s v="Public"/>
    <x v="0"/>
    <s v="Muhanga"/>
    <s v="Mushishiro"/>
    <s v="NNYU_3"/>
    <s v="Nyabarongo Upstream Sub-Catchment"/>
    <n v="315.36"/>
  </r>
  <r>
    <x v="3"/>
    <s v="KURUTARE II"/>
    <s v="Public"/>
    <x v="0"/>
    <s v="Muhanga"/>
    <s v="Mushishiro"/>
    <s v="NNYU_3"/>
    <s v="Nyabarongo Upstream Sub-Catchment"/>
    <n v="4730.4000000000005"/>
  </r>
  <r>
    <x v="3"/>
    <s v="KURUTARE I"/>
    <s v="Public"/>
    <x v="0"/>
    <s v="Muhanga"/>
    <s v="Mushishiro"/>
    <s v="NNYU_3"/>
    <s v="Nyabarongo Upstream Sub-Catchment"/>
    <n v="3153.6000000000004"/>
  </r>
  <r>
    <x v="3"/>
    <s v="NYARUTOVU"/>
    <s v="Public"/>
    <x v="0"/>
    <s v="Ruhango"/>
    <s v="Mwendo"/>
    <s v="NNYU_3"/>
    <s v="Nyabarongo Upstream Sub-Catchment"/>
    <n v="2239.0559999999996"/>
  </r>
  <r>
    <x v="3"/>
    <s v="KABONOBONO"/>
    <s v="Public"/>
    <x v="0"/>
    <s v="Ruhango"/>
    <s v="Mwendo"/>
    <s v="NNYU_3"/>
    <s v="Nyabarongo Upstream Sub-Catchment"/>
    <n v="525.07440000000008"/>
  </r>
  <r>
    <x v="3"/>
    <s v="NYIRABAGARUKA"/>
    <s v="Public"/>
    <x v="0"/>
    <s v="Ruhango"/>
    <s v="Mwendo"/>
    <s v="NNYU_3"/>
    <s v="Nyabarongo Upstream Sub-Catchment"/>
    <n v="1971.0000000000002"/>
  </r>
  <r>
    <x v="3"/>
    <s v="MATA"/>
    <s v="Public"/>
    <x v="0"/>
    <s v="Ruhango"/>
    <s v="Mwendo"/>
    <s v="NNYU_3"/>
    <s v="Nyabarongo Upstream Sub-Catchment"/>
    <n v="3169.3679999999999"/>
  </r>
  <r>
    <x v="3"/>
    <s v="NYARUGUGU"/>
    <s v="Public"/>
    <x v="0"/>
    <s v="Ruhango"/>
    <s v="Mwendo"/>
    <s v="NNYU_3"/>
    <s v="Nyabarongo Upstream Sub-Catchment"/>
    <n v="525.07440000000008"/>
  </r>
  <r>
    <x v="3"/>
    <s v="GAKOMA"/>
    <s v="Public"/>
    <x v="0"/>
    <s v="Ruhango"/>
    <s v="Mwendo"/>
    <s v="NNYU_3"/>
    <s v="Nyabarongo Upstream Sub-Catchment"/>
    <n v="1971.0000000000002"/>
  </r>
  <r>
    <x v="3"/>
    <s v="GAHAMA 2"/>
    <s v="Public"/>
    <x v="0"/>
    <s v="Ruhango"/>
    <s v="Mwendo"/>
    <s v="NNYU_3"/>
    <s v="Nyabarongo Upstream Sub-Catchment"/>
    <n v="1971.0000000000002"/>
  </r>
  <r>
    <x v="3"/>
    <s v="RUGASARI"/>
    <s v="Public"/>
    <x v="0"/>
    <s v="Ruhango"/>
    <s v="Mwendo"/>
    <s v="NNYU_3"/>
    <s v="Nyabarongo Upstream Sub-Catchment"/>
    <n v="655.94880000000001"/>
  </r>
  <r>
    <x v="3"/>
    <s v="GATARE"/>
    <s v="Public"/>
    <x v="0"/>
    <s v="Ruhango"/>
    <s v="Mwendo"/>
    <s v="NNYU_3"/>
    <s v="Nyabarongo Upstream Sub-Catchment"/>
    <n v="2626.9488000000001"/>
  </r>
  <r>
    <x v="3"/>
    <s v="GATARE2"/>
    <s v="Public"/>
    <x v="0"/>
    <s v="Ruhango"/>
    <s v="Mwendo"/>
    <s v="NNYU_3"/>
    <s v="Nyabarongo Upstream Sub-Catchment"/>
    <n v="788.40000000000009"/>
  </r>
  <r>
    <x v="3"/>
    <s v="NYAKABINGO"/>
    <s v="Public"/>
    <x v="0"/>
    <s v="Ruhango"/>
    <s v="Mwendo"/>
    <s v="NNYU_3"/>
    <s v="Nyabarongo Upstream Sub-Catchment"/>
    <n v="1971.0000000000002"/>
  </r>
  <r>
    <x v="3"/>
    <s v="MUKADIGI"/>
    <s v="Public"/>
    <x v="0"/>
    <s v="Ruhango"/>
    <s v="Mwendo"/>
    <s v="NNYU_3"/>
    <s v="Nyabarongo Upstream Sub-Catchment"/>
    <n v="525.07440000000008"/>
  </r>
  <r>
    <x v="3"/>
    <s v="BUHIGIRO"/>
    <s v="Public"/>
    <x v="0"/>
    <s v="Ruhango"/>
    <s v="Mwendo"/>
    <s v="NNYU_3"/>
    <s v="Nyabarongo Upstream Sub-Catchment"/>
    <n v="2101.8744000000002"/>
  </r>
  <r>
    <x v="3"/>
    <s v="NYAKAGEZI"/>
    <s v="Public"/>
    <x v="0"/>
    <s v="Ruhango"/>
    <s v="Mwendo"/>
    <s v="NNYU_3"/>
    <s v="Nyabarongo Upstream Sub-Catchment"/>
    <n v="262.69488000000007"/>
  </r>
  <r>
    <x v="3"/>
    <s v="RYAMIHIGO"/>
    <s v="Public"/>
    <x v="0"/>
    <s v="Ruhango"/>
    <s v="Mwendo"/>
    <s v="NNYU_3"/>
    <s v="Nyabarongo Upstream Sub-Catchment"/>
    <n v="3942.0000000000005"/>
  </r>
  <r>
    <x v="3"/>
    <s v="KABITUGU"/>
    <s v="Public"/>
    <x v="0"/>
    <s v="Ruhango"/>
    <s v="Mwendo"/>
    <s v="NNYU_3"/>
    <s v="Nyabarongo Upstream Sub-Catchment"/>
    <n v="1971.0000000000002"/>
  </r>
  <r>
    <x v="3"/>
    <s v="KABINGO 2"/>
    <s v="Public"/>
    <x v="0"/>
    <s v="Ruhango"/>
    <s v="Mwendo"/>
    <s v="NNYU_3"/>
    <s v="Nyabarongo Upstream Sub-Catchment"/>
    <n v="262.69488000000007"/>
  </r>
  <r>
    <x v="3"/>
    <s v="IBANGA"/>
    <s v="Public"/>
    <x v="0"/>
    <s v="Ruhango"/>
    <s v="Mwendo"/>
    <s v="NNYU_3"/>
    <s v="Nyabarongo Upstream Sub-Catchment"/>
    <n v="350.04960000000005"/>
  </r>
  <r>
    <x v="3"/>
    <s v="KABINGO"/>
    <s v="Public"/>
    <x v="0"/>
    <s v="Ruhango"/>
    <s v="Mwendo"/>
    <s v="NNYU_3"/>
    <s v="Nyabarongo Upstream Sub-Catchment"/>
    <n v="1313.4744000000001"/>
  </r>
  <r>
    <x v="3"/>
    <s v="MWUMBA"/>
    <s v="Public"/>
    <x v="0"/>
    <s v="Ruhango"/>
    <s v="Mwendo"/>
    <s v="NNYU_3"/>
    <s v="Nyabarongo Upstream Sub-Catchment"/>
    <n v="2626.9488000000001"/>
  </r>
  <r>
    <x v="3"/>
    <s v="KWA TEOPHILA"/>
    <s v="Public"/>
    <x v="0"/>
    <s v="Ruhango"/>
    <s v="Mwendo"/>
    <s v="NNYU_3"/>
    <s v="Nyabarongo Upstream Sub-Catchment"/>
    <n v="1040.6880000000001"/>
  </r>
  <r>
    <x v="3"/>
    <s v="GATUMBA"/>
    <s v="Public"/>
    <x v="0"/>
    <s v="Ruhango"/>
    <s v="Mwendo"/>
    <s v="NNYU_3"/>
    <s v="Nyabarongo Upstream Sub-Catchment"/>
    <n v="1313.9474400000001"/>
  </r>
  <r>
    <x v="3"/>
    <s v="GAHAMA"/>
    <s v="Public"/>
    <x v="0"/>
    <s v="Ruhango"/>
    <s v="Mwendo"/>
    <s v="NNYU_3"/>
    <s v="Nyabarongo Upstream Sub-Catchment"/>
    <n v="5255.4743999999992"/>
  </r>
  <r>
    <x v="3"/>
    <s v="IRYARUSEKE"/>
    <s v="Public"/>
    <x v="0"/>
    <s v="Ruhango"/>
    <s v="Mwendo"/>
    <s v="NNYU_3"/>
    <s v="Nyabarongo Upstream Sub-Catchment"/>
    <n v="3942.0000000000005"/>
  </r>
  <r>
    <x v="3"/>
    <s v="MUGAHAMA"/>
    <s v="Public"/>
    <x v="0"/>
    <s v="Ruhango"/>
    <s v="Mwendo"/>
    <s v="NNYU_3"/>
    <s v="Nyabarongo Upstream Sub-Catchment"/>
    <n v="4378.7736000000004"/>
  </r>
  <r>
    <x v="3"/>
    <s v="KIRUHURA"/>
    <s v="Public"/>
    <x v="0"/>
    <s v="Ruhango"/>
    <s v="Mwendo"/>
    <s v="NNYU_3"/>
    <s v="Nyabarongo Upstream Sub-Catchment"/>
    <n v="1313.9474400000001"/>
  </r>
  <r>
    <x v="3"/>
    <s v="NYIRAMAZURU"/>
    <s v="Public"/>
    <x v="0"/>
    <s v="Ruhango"/>
    <s v="Mwendo"/>
    <s v="NNYU_3"/>
    <s v="Nyabarongo Upstream Sub-Catchment"/>
    <n v="1313.9474400000001"/>
  </r>
  <r>
    <x v="3"/>
    <s v="KIDAKAMA"/>
    <s v="Public"/>
    <x v="0"/>
    <s v="Ruhango"/>
    <s v="Mwendo"/>
    <s v="NNYU_3"/>
    <s v="Nyabarongo Upstream Sub-Catchment"/>
    <n v="1313.9474400000001"/>
  </r>
  <r>
    <x v="3"/>
    <s v="GITARAGA"/>
    <s v="Public"/>
    <x v="0"/>
    <s v="Ruhango"/>
    <s v="Mwendo"/>
    <s v="NNYU_3"/>
    <s v="Nyabarongo Upstream Sub-Catchment"/>
    <n v="2626.9488000000001"/>
  </r>
  <r>
    <x v="3"/>
    <s v="kwa KAMONYO"/>
    <s v="Public"/>
    <x v="0"/>
    <s v="Ruhango"/>
    <s v="Mwendo"/>
    <s v="NNYU_3"/>
    <s v="Nyabarongo Upstream Sub-Catchment"/>
    <n v="1313.9474400000001"/>
  </r>
  <r>
    <x v="3"/>
    <s v="KIDAKAMA"/>
    <s v="Public"/>
    <x v="0"/>
    <s v="Ruhango"/>
    <s v="Mwendo"/>
    <s v="NNYU_3"/>
    <s v="Nyabarongo Upstream Sub-Catchment"/>
    <n v="2626.9488000000001"/>
  </r>
  <r>
    <x v="3"/>
    <s v="GASIZA"/>
    <s v="Public"/>
    <x v="0"/>
    <s v="Ruhango"/>
    <s v="Mwendo"/>
    <s v="NNYU_3"/>
    <s v="Nyabarongo Upstream Sub-Catchment"/>
    <n v="1971.0000000000002"/>
  </r>
  <r>
    <x v="3"/>
    <s v="NYABYUNYU"/>
    <s v="Public"/>
    <x v="0"/>
    <s v="Ruhango"/>
    <s v="Mwendo"/>
    <s v="NNYU_3"/>
    <s v="Nyabarongo Upstream Sub-Catchment"/>
    <n v="3169.3679999999999"/>
  </r>
  <r>
    <x v="3"/>
    <s v="NYAKARIBA"/>
    <s v="Public"/>
    <x v="0"/>
    <s v="Ruhango"/>
    <s v="Mwendo"/>
    <s v="NNYU_3"/>
    <s v="Nyabarongo Upstream Sub-Catchment"/>
    <n v="3153.6000000000004"/>
  </r>
  <r>
    <x v="3"/>
    <s v="RUKOMBE"/>
    <s v="Public"/>
    <x v="0"/>
    <s v="Ruhango"/>
    <s v="Mwendo"/>
    <s v="NNYU_3"/>
    <s v="Nyabarongo Upstream Sub-Catchment"/>
    <n v="1313.9474400000001"/>
  </r>
  <r>
    <x v="3"/>
    <s v="RWUBIKA"/>
    <s v="Public"/>
    <x v="0"/>
    <s v="Ruhango"/>
    <s v="Mwendo"/>
    <s v="NNYU_3"/>
    <s v="Nyabarongo Upstream Sub-Catchment"/>
    <n v="1313.9474400000001"/>
  </r>
  <r>
    <x v="3"/>
    <s v="GAKOMA"/>
    <s v="Public"/>
    <x v="0"/>
    <s v="Ruhango"/>
    <s v="Mwendo"/>
    <s v="NNYU_3"/>
    <s v="Nyabarongo Upstream Sub-Catchment"/>
    <n v="7363.655999999999"/>
  </r>
  <r>
    <x v="3"/>
    <s v="MARIA TEREZA"/>
    <s v="Public"/>
    <x v="0"/>
    <s v="Ruhango"/>
    <s v="Mwendo"/>
    <s v="NNYU_3"/>
    <s v="Nyabarongo Upstream Sub-Catchment"/>
    <n v="867.24000000000012"/>
  </r>
  <r>
    <x v="3"/>
    <s v="RWAHANDA"/>
    <s v="Public"/>
    <x v="0"/>
    <s v="Ruhango"/>
    <s v="Mwendo"/>
    <s v="NNYU_3"/>
    <s v="Nyabarongo Upstream Sub-Catchment"/>
    <n v="9855"/>
  </r>
  <r>
    <x v="3"/>
    <s v="MUNANIRA"/>
    <s v="Public"/>
    <x v="0"/>
    <s v="Ruhango"/>
    <s v="Mwendo"/>
    <s v="NNYU_3"/>
    <s v="Nyabarongo Upstream Sub-Catchment"/>
    <n v="788.40000000000009"/>
  </r>
  <r>
    <x v="3"/>
    <s v="GASEKE"/>
    <s v="Public"/>
    <x v="0"/>
    <s v="Ruhango"/>
    <s v="Mwendo"/>
    <s v="NNYU_3"/>
    <s v="Nyabarongo Upstream Sub-Catchment"/>
    <n v="3503.6496000000002"/>
  </r>
  <r>
    <x v="3"/>
    <s v="MURUTENGA"/>
    <s v="Public"/>
    <x v="0"/>
    <s v="Ruhango"/>
    <s v="Mwendo"/>
    <s v="NNYU_3"/>
    <s v="Nyabarongo Upstream Sub-Catchment"/>
    <n v="1751.8248000000001"/>
  </r>
  <r>
    <x v="3"/>
    <s v="MUTUKURA"/>
    <s v="Public"/>
    <x v="0"/>
    <s v="Ruhango"/>
    <s v="Mwendo"/>
    <s v="NNYU_3"/>
    <s v="Nyabarongo Upstream Sub-Catchment"/>
    <n v="4746.1679999999997"/>
  </r>
  <r>
    <x v="3"/>
    <s v="NTERURA"/>
    <s v="Public"/>
    <x v="0"/>
    <s v="Ruhango"/>
    <s v="Mwendo"/>
    <s v="NNYU_3"/>
    <s v="Nyabarongo Upstream Sub-Catchment"/>
    <n v="788.40000000000009"/>
  </r>
  <r>
    <x v="3"/>
    <s v="KAMARAZA"/>
    <s v="Public"/>
    <x v="0"/>
    <s v="Ruhango"/>
    <s v="Mwendo"/>
    <s v="NNYU_3"/>
    <s v="Nyabarongo Upstream Sub-Catchment"/>
    <n v="1971.0000000000002"/>
  </r>
  <r>
    <x v="3"/>
    <s v="RWAGISIMBA"/>
    <s v="Public"/>
    <x v="0"/>
    <s v="Ruhango"/>
    <s v="Mwendo"/>
    <s v="NNYU_3"/>
    <s v="Nyabarongo Upstream Sub-Catchment"/>
    <n v="2626.9488000000001"/>
  </r>
  <r>
    <x v="3"/>
    <s v="KAMBONYE"/>
    <s v="Public"/>
    <x v="0"/>
    <s v="Ruhango"/>
    <s v="Mwendo"/>
    <s v="NNYU_3"/>
    <s v="Nyabarongo Upstream Sub-Catchment"/>
    <n v="5255.4743999999992"/>
  </r>
  <r>
    <x v="3"/>
    <s v="RUBANGA"/>
    <s v="Public"/>
    <x v="0"/>
    <s v="Ruhango"/>
    <s v="Mwendo"/>
    <s v="NNYU_3"/>
    <s v="Nyabarongo Upstream Sub-Catchment"/>
    <n v="1750.248"/>
  </r>
  <r>
    <x v="3"/>
    <s v="RUHONDO"/>
    <s v="Public"/>
    <x v="0"/>
    <s v="Ruhango"/>
    <s v="Mwendo"/>
    <s v="NNYU_3"/>
    <s v="Nyabarongo Upstream Sub-Catchment"/>
    <n v="1450.6559999999999"/>
  </r>
  <r>
    <x v="3"/>
    <s v="GAKOMA"/>
    <s v="Public"/>
    <x v="0"/>
    <s v="Ruhango"/>
    <s v="Mwendo"/>
    <s v="NNYU_3"/>
    <s v="Nyabarongo Upstream Sub-Catchment"/>
    <n v="1592.5680000000002"/>
  </r>
  <r>
    <x v="3"/>
    <s v="RUBONA"/>
    <s v="Public"/>
    <x v="0"/>
    <s v="Ruhango"/>
    <s v="Mwendo"/>
    <s v="NNYU_3"/>
    <s v="Nyabarongo Upstream Sub-Catchment"/>
    <n v="3169.3679999999999"/>
  </r>
  <r>
    <x v="3"/>
    <s v="KAVUZO"/>
    <s v="Public"/>
    <x v="0"/>
    <s v="Ruhango"/>
    <s v="Mwendo"/>
    <s v="NNYU_3"/>
    <s v="Nyabarongo Upstream Sub-Catchment"/>
    <n v="6568.9487999999992"/>
  </r>
  <r>
    <x v="3"/>
    <s v="MWUMBA"/>
    <s v="Public"/>
    <x v="0"/>
    <s v="Ruhango"/>
    <s v="Mwendo"/>
    <s v="NNYU_3"/>
    <s v="Nyabarongo Upstream Sub-Catchment"/>
    <n v="1734.4800000000002"/>
  </r>
  <r>
    <x v="3"/>
    <s v="NYAMUKO"/>
    <s v="Public"/>
    <x v="0"/>
    <s v="Ruhango"/>
    <s v="Mwendo"/>
    <s v="NNYU_3"/>
    <s v="Nyabarongo Upstream Sub-Catchment"/>
    <n v="1040.6880000000001"/>
  </r>
  <r>
    <x v="3"/>
    <s v="NYABITARE"/>
    <s v="Public"/>
    <x v="0"/>
    <s v="Ruhango"/>
    <s v="Mwendo"/>
    <s v="NNYU_3"/>
    <s v="Nyabarongo Upstream Sub-Catchment"/>
    <n v="788.40000000000009"/>
  </r>
  <r>
    <x v="3"/>
    <s v="RUGUHU"/>
    <s v="Public"/>
    <x v="0"/>
    <s v="Ruhango"/>
    <s v="Mwendo"/>
    <s v="NNYU_3"/>
    <s v="Nyabarongo Upstream Sub-Catchment"/>
    <n v="2365.2000000000003"/>
  </r>
  <r>
    <x v="3"/>
    <s v="RUSUSA"/>
    <s v="Public"/>
    <x v="0"/>
    <s v="Ruhango"/>
    <s v="Mwendo"/>
    <s v="NNYU_3"/>
    <s v="Nyabarongo Upstream Sub-Catchment"/>
    <n v="3500.4960000000001"/>
  </r>
  <r>
    <x v="3"/>
    <s v="KAMBANZA"/>
    <s v="Public"/>
    <x v="0"/>
    <s v="Ruhango"/>
    <s v="Mwendo"/>
    <s v="NNYU_3"/>
    <s v="Nyabarongo Upstream Sub-Catchment"/>
    <n v="1592.5680000000002"/>
  </r>
  <r>
    <x v="3"/>
    <s v="GATARE"/>
    <s v="Public"/>
    <x v="0"/>
    <s v="Ruhango"/>
    <s v="Mwendo"/>
    <s v="NNYU_3"/>
    <s v="Nyabarongo Upstream Sub-Catchment"/>
    <n v="1313.4744000000001"/>
  </r>
  <r>
    <x v="3"/>
    <s v="KABINJA"/>
    <s v="Public"/>
    <x v="0"/>
    <s v="Ruhango"/>
    <s v="Mwendo"/>
    <s v="NNYU_3"/>
    <s v="Nyabarongo Upstream Sub-Catchment"/>
    <n v="3942.0000000000005"/>
  </r>
  <r>
    <x v="3"/>
    <s v="NTABONERANA"/>
    <s v="Public"/>
    <x v="0"/>
    <s v="Ruhango"/>
    <s v="Mwendo"/>
    <s v="NNYU_3"/>
    <s v="Nyabarongo Upstream Sub-Catchment"/>
    <n v="1971.0000000000002"/>
  </r>
  <r>
    <x v="3"/>
    <s v="KIBUNDI"/>
    <s v="Public"/>
    <x v="0"/>
    <s v="Ruhango"/>
    <s v="Mwendo"/>
    <s v="NNYU_3"/>
    <s v="Nyabarongo Upstream Sub-Catchment"/>
    <n v="1892.16"/>
  </r>
  <r>
    <x v="3"/>
    <s v="NYABUHORO"/>
    <s v="Public"/>
    <x v="0"/>
    <s v="Ruhango"/>
    <s v="Mwendo"/>
    <s v="NNYU_3"/>
    <s v="Nyabarongo Upstream Sub-Catchment"/>
    <n v="1313.9474400000001"/>
  </r>
  <r>
    <x v="3"/>
    <s v="KIBANDO"/>
    <s v="Public"/>
    <x v="0"/>
    <s v="Ruhango"/>
    <s v="Mwendo"/>
    <s v="NNYU_3"/>
    <s v="Nyabarongo Upstream Sub-Catchment"/>
    <n v="2617.4880000000003"/>
  </r>
  <r>
    <x v="3"/>
    <s v="NYABITARE"/>
    <s v="Public"/>
    <x v="0"/>
    <s v="Ruhango"/>
    <s v="Mwendo"/>
    <s v="NNYU_3"/>
    <s v="Nyabarongo Upstream Sub-Catchment"/>
    <n v="2775.1679999999997"/>
  </r>
  <r>
    <x v="3"/>
    <s v="TWIMANA"/>
    <s v="Public"/>
    <x v="0"/>
    <s v="Ruhango"/>
    <s v="Mwendo"/>
    <s v="NNYU_3"/>
    <s v="Nyabarongo Upstream Sub-Catchment"/>
    <n v="2626.9488000000001"/>
  </r>
  <r>
    <x v="3"/>
    <s v="NYAKARI"/>
    <s v="Public"/>
    <x v="0"/>
    <s v="Ruhango"/>
    <s v="Mwendo"/>
    <s v="NNYU_3"/>
    <s v="Nyabarongo Upstream Sub-Catchment"/>
    <n v="1876.3920000000003"/>
  </r>
  <r>
    <x v="3"/>
    <s v="KAZABAGARURA"/>
    <s v="Public"/>
    <x v="0"/>
    <s v="Ruhango"/>
    <s v="Mwendo"/>
    <s v="NNYU_3"/>
    <s v="Nyabarongo Upstream Sub-Catchment"/>
    <n v="3942.0000000000005"/>
  </r>
  <r>
    <x v="3"/>
    <s v="NYABUHORO"/>
    <s v="Public"/>
    <x v="0"/>
    <s v="Ruhango"/>
    <s v="Mwendo"/>
    <s v="NNYU_3"/>
    <s v="Nyabarongo Upstream Sub-Catchment"/>
    <n v="2617.4880000000003"/>
  </r>
  <r>
    <x v="3"/>
    <s v="NYARUSANGE"/>
    <s v="Public"/>
    <x v="0"/>
    <s v="Ruhango"/>
    <s v="Mwendo"/>
    <s v="NNYU_3"/>
    <s v="Nyabarongo Upstream Sub-Catchment"/>
    <n v="3942.0000000000005"/>
  </r>
  <r>
    <x v="3"/>
    <s v="NYAMIGOGO"/>
    <s v="Public"/>
    <x v="0"/>
    <s v="Ruhango"/>
    <s v="Mwendo"/>
    <s v="NNYU_3"/>
    <s v="Nyabarongo Upstream Sub-Catchment"/>
    <n v="3942.0000000000005"/>
  </r>
  <r>
    <x v="3"/>
    <s v="BINOMBE"/>
    <s v="Public"/>
    <x v="0"/>
    <s v="Ruhango"/>
    <s v="Mwendo"/>
    <s v="NNYU_3"/>
    <s v="Nyabarongo Upstream Sub-Catchment"/>
    <n v="7884.0000000000009"/>
  </r>
  <r>
    <x v="3"/>
    <s v="NYAMAGANA"/>
    <s v="Public"/>
    <x v="0"/>
    <s v="Ruhango"/>
    <s v="Mwendo"/>
    <s v="NNYU_3"/>
    <s v="Nyabarongo Upstream Sub-Catchment"/>
    <n v="788.40000000000009"/>
  </r>
  <r>
    <x v="3"/>
    <s v="RUSEKE"/>
    <s v="Public"/>
    <x v="0"/>
    <s v="Ruhango"/>
    <s v="Mwendo"/>
    <s v="NNYU_3"/>
    <s v="Nyabarongo Upstream Sub-Catchment"/>
    <n v="2626.9488000000001"/>
  </r>
  <r>
    <x v="3"/>
    <s v="RUSAVE"/>
    <s v="Public"/>
    <x v="0"/>
    <s v="Ruhango"/>
    <s v="Mwendo"/>
    <s v="NNYU_3"/>
    <s v="Nyabarongo Upstream Sub-Catchment"/>
    <n v="1277.2080000000001"/>
  </r>
  <r>
    <x v="3"/>
    <s v="WUMUNYINYA"/>
    <s v="Public"/>
    <x v="0"/>
    <s v="Ruhango"/>
    <s v="Mwendo"/>
    <s v="NNYU_3"/>
    <s v="Nyabarongo Upstream Sub-Catchment"/>
    <n v="2617.4880000000003"/>
  </r>
  <r>
    <x v="3"/>
    <s v="NSANZEBENGA"/>
    <s v="Public"/>
    <x v="0"/>
    <s v="Ruhango"/>
    <s v="Mwendo"/>
    <s v="NNYU_3"/>
    <s v="Nyabarongo Upstream Sub-Catchment"/>
    <n v="1592.5680000000002"/>
  </r>
  <r>
    <x v="3"/>
    <s v="RUSEKE"/>
    <s v="Public"/>
    <x v="0"/>
    <s v="Ruhango"/>
    <s v="Mwendo"/>
    <s v="NNYU_3"/>
    <s v="Nyabarongo Upstream Sub-Catchment"/>
    <n v="1182.6000000000001"/>
  </r>
  <r>
    <x v="3"/>
    <s v="NKOMANE"/>
    <s v="Public"/>
    <x v="0"/>
    <s v="Ngororero"/>
    <s v="Ndaro"/>
    <s v="NNYU_3"/>
    <s v="Nyabarongo Upstream Sub-Catchment"/>
    <n v="946.08"/>
  </r>
  <r>
    <x v="3"/>
    <s v="KAJEVUBA"/>
    <s v="Public"/>
    <x v="0"/>
    <s v="Ngororero"/>
    <s v="Ndaro"/>
    <s v="NNYU_3"/>
    <s v="Nyabarongo Upstream Sub-Catchment"/>
    <n v="473.04"/>
  </r>
  <r>
    <x v="3"/>
    <s v="RUGINA"/>
    <s v="Public"/>
    <x v="0"/>
    <s v="Ngororero"/>
    <s v="Ndaro"/>
    <s v="NNYU_3"/>
    <s v="Nyabarongo Upstream Sub-Catchment"/>
    <n v="1419.12"/>
  </r>
  <r>
    <x v="3"/>
    <s v="MUHOHWE  I"/>
    <s v="Public"/>
    <x v="0"/>
    <s v="Ngororero"/>
    <s v="Ndaro"/>
    <s v="NNYU_3"/>
    <s v="Nyabarongo Upstream Sub-Catchment"/>
    <n v="2049.84"/>
  </r>
  <r>
    <x v="3"/>
    <s v="MUHOHWE  II"/>
    <s v="Public"/>
    <x v="0"/>
    <s v="Ngororero"/>
    <s v="Ndaro"/>
    <s v="NNYU_3"/>
    <s v="Nyabarongo Upstream Sub-Catchment"/>
    <n v="2365.2000000000003"/>
  </r>
  <r>
    <x v="3"/>
    <s v="NYAMUGARI"/>
    <s v="Public"/>
    <x v="0"/>
    <s v="Ngororero"/>
    <s v="Ndaro"/>
    <s v="NNYU_3"/>
    <s v="Nyabarongo Upstream Sub-Catchment"/>
    <n v="1261.44"/>
  </r>
  <r>
    <x v="3"/>
    <s v="KABINGO"/>
    <s v="Public"/>
    <x v="0"/>
    <s v="Ngororero"/>
    <s v="Ndaro"/>
    <s v="NNYU_3"/>
    <s v="Nyabarongo Upstream Sub-Catchment"/>
    <n v="3784.32"/>
  </r>
  <r>
    <x v="3"/>
    <s v="NTERESI"/>
    <s v="Public"/>
    <x v="0"/>
    <s v="Ngororero"/>
    <s v="Ndaro"/>
    <s v="NNYU_3"/>
    <s v="Nyabarongo Upstream Sub-Catchment"/>
    <n v="1103.7600000000002"/>
  </r>
  <r>
    <x v="3"/>
    <s v="SIMUGOMWA"/>
    <s v="Public"/>
    <x v="0"/>
    <s v="Ngororero"/>
    <s v="Ndaro"/>
    <s v="NNYU_3"/>
    <s v="Nyabarongo Upstream Sub-Catchment"/>
    <n v="4730.4000000000005"/>
  </r>
  <r>
    <x v="3"/>
    <s v="GATARE"/>
    <s v="Public"/>
    <x v="0"/>
    <s v="Ngororero"/>
    <s v="Ndaro"/>
    <s v="NNYU_3"/>
    <s v="Nyabarongo Upstream Sub-Catchment"/>
    <n v="788.40000000000009"/>
  </r>
  <r>
    <x v="3"/>
    <s v="MPAZI"/>
    <s v="Public"/>
    <x v="0"/>
    <s v="Ngororero"/>
    <s v="Ndaro"/>
    <s v="NNYU_3"/>
    <s v="Nyabarongo Upstream Sub-Catchment"/>
    <n v="2522.88"/>
  </r>
  <r>
    <x v="3"/>
    <s v="GASEKE  III"/>
    <s v="Public"/>
    <x v="0"/>
    <s v="Ngororero"/>
    <s v="Ndaro"/>
    <s v="NNYU_3"/>
    <s v="Nyabarongo Upstream Sub-Catchment"/>
    <n v="473.04"/>
  </r>
  <r>
    <x v="3"/>
    <s v="KAGARAMA I"/>
    <s v="Public"/>
    <x v="0"/>
    <s v="Ngororero"/>
    <s v="Ndaro"/>
    <s v="NNYU_3"/>
    <s v="Nyabarongo Upstream Sub-Catchment"/>
    <n v="315.36"/>
  </r>
  <r>
    <x v="3"/>
    <s v="KAGARAMA  II"/>
    <s v="Public"/>
    <x v="0"/>
    <s v="Ngororero"/>
    <s v="Ndaro"/>
    <s v="NNYU_3"/>
    <s v="Nyabarongo Upstream Sub-Catchment"/>
    <n v="473.04"/>
  </r>
  <r>
    <x v="3"/>
    <s v="KABUGITA"/>
    <s v="Public"/>
    <x v="0"/>
    <s v="Ngororero"/>
    <s v="Ndaro"/>
    <s v="NNYU_3"/>
    <s v="Nyabarongo Upstream Sub-Catchment"/>
    <n v="4730.4000000000005"/>
  </r>
  <r>
    <x v="3"/>
    <s v="RWISHYWA"/>
    <s v="Public"/>
    <x v="0"/>
    <s v="Ngororero"/>
    <s v="Ndaro"/>
    <s v="NNYU_3"/>
    <s v="Nyabarongo Upstream Sub-Catchment"/>
    <n v="3626.64"/>
  </r>
  <r>
    <x v="3"/>
    <s v="RUKUBI  I"/>
    <s v="Public"/>
    <x v="0"/>
    <s v="Ngororero"/>
    <s v="Ndaro"/>
    <s v="NNYU_3"/>
    <s v="Nyabarongo Upstream Sub-Catchment"/>
    <n v="17817.839999999997"/>
  </r>
  <r>
    <x v="3"/>
    <s v="KAVUMU"/>
    <s v="Public"/>
    <x v="0"/>
    <s v="Ngororero"/>
    <s v="Ndaro"/>
    <s v="NNYU_3"/>
    <s v="Nyabarongo Upstream Sub-Catchment"/>
    <n v="1892.16"/>
  </r>
  <r>
    <x v="3"/>
    <s v="BUHORO"/>
    <s v="Public"/>
    <x v="0"/>
    <s v="Ngororero"/>
    <s v="Ndaro"/>
    <s v="NNYU_3"/>
    <s v="Nyabarongo Upstream Sub-Catchment"/>
    <n v="788.40000000000009"/>
  </r>
  <r>
    <x v="3"/>
    <s v="GASIZA"/>
    <s v="Public"/>
    <x v="0"/>
    <s v="Ngororero"/>
    <s v="Ndaro"/>
    <s v="NNYU_3"/>
    <s v="Nyabarongo Upstream Sub-Catchment"/>
    <n v="5518.8"/>
  </r>
  <r>
    <x v="3"/>
    <s v="MITOKE"/>
    <s v="Public"/>
    <x v="0"/>
    <s v="Ngororero"/>
    <s v="Ndaro"/>
    <s v="NNYU_3"/>
    <s v="Nyabarongo Upstream Sub-Catchment"/>
    <n v="946.08"/>
  </r>
  <r>
    <x v="3"/>
    <s v="RUTARE"/>
    <s v="Public"/>
    <x v="0"/>
    <s v="Ngororero"/>
    <s v="Ndaro"/>
    <s v="NNYU_3"/>
    <s v="Nyabarongo Upstream Sub-Catchment"/>
    <n v="1419.12"/>
  </r>
  <r>
    <x v="3"/>
    <s v="GAHONDO"/>
    <s v="Public"/>
    <x v="0"/>
    <s v="Ngororero"/>
    <s v="Ndaro"/>
    <s v="NNYU_3"/>
    <s v="Nyabarongo Upstream Sub-Catchment"/>
    <n v="4257.3600000000006"/>
  </r>
  <r>
    <x v="3"/>
    <s v="GAKUBIRANE"/>
    <s v="Public"/>
    <x v="0"/>
    <s v="Ngororero"/>
    <s v="Ndaro"/>
    <s v="NNYU_3"/>
    <s v="Nyabarongo Upstream Sub-Catchment"/>
    <n v="1419.12"/>
  </r>
  <r>
    <x v="3"/>
    <s v="SINGAYIFU"/>
    <s v="Public"/>
    <x v="0"/>
    <s v="Ngororero"/>
    <s v="Ndaro"/>
    <s v="NNYU_3"/>
    <s v="Nyabarongo Upstream Sub-Catchment"/>
    <n v="25228.800000000003"/>
  </r>
  <r>
    <x v="3"/>
    <s v="KWIHEMBE"/>
    <s v="Public"/>
    <x v="0"/>
    <s v="Ngororero"/>
    <s v="Ndaro"/>
    <s v="NNYU_3"/>
    <s v="Nyabarongo Upstream Sub-Catchment"/>
    <n v="630.72"/>
  </r>
  <r>
    <x v="3"/>
    <s v="GISIBE"/>
    <s v="Public"/>
    <x v="0"/>
    <s v="Ngororero"/>
    <s v="Ndaro"/>
    <s v="NNYU_3"/>
    <s v="Nyabarongo Upstream Sub-Catchment"/>
    <n v="1419.12"/>
  </r>
  <r>
    <x v="3"/>
    <s v="KARAMBO"/>
    <s v="Public"/>
    <x v="0"/>
    <s v="Ngororero"/>
    <s v="Ndaro"/>
    <s v="NNYU_3"/>
    <s v="Nyabarongo Upstream Sub-Catchment"/>
    <n v="788.40000000000009"/>
  </r>
  <r>
    <x v="3"/>
    <s v="KAVUZO"/>
    <s v="Public"/>
    <x v="0"/>
    <s v="Ngororero"/>
    <s v="Ndaro"/>
    <s v="NNYU_3"/>
    <s v="Nyabarongo Upstream Sub-Catchment"/>
    <n v="1261.44"/>
  </r>
  <r>
    <x v="3"/>
    <s v="RWAKOMA"/>
    <s v="Public"/>
    <x v="0"/>
    <s v="Ngororero"/>
    <s v="Ndaro"/>
    <s v="NNYU_3"/>
    <s v="Nyabarongo Upstream Sub-Catchment"/>
    <n v="2522.88"/>
  </r>
  <r>
    <x v="3"/>
    <s v="RWAMUHOZI"/>
    <s v="Public"/>
    <x v="0"/>
    <s v="Ngororero"/>
    <s v="Ndaro"/>
    <s v="NNYU_3"/>
    <s v="Nyabarongo Upstream Sub-Catchment"/>
    <n v="946.08"/>
  </r>
  <r>
    <x v="3"/>
    <s v="MBURAMAZI"/>
    <s v="Public"/>
    <x v="0"/>
    <s v="Ngororero"/>
    <s v="Ndaro"/>
    <s v="NNYU_3"/>
    <s v="Nyabarongo Upstream Sub-Catchment"/>
    <n v="5518.8"/>
  </r>
  <r>
    <x v="3"/>
    <s v="RUKURARUHOMBO"/>
    <s v="Public"/>
    <x v="0"/>
    <s v="Ngororero"/>
    <s v="Ndaro"/>
    <s v="NNYU_3"/>
    <s v="Nyabarongo Upstream Sub-Catchment"/>
    <n v="1261.44"/>
  </r>
  <r>
    <x v="3"/>
    <s v="KAJENJERO"/>
    <s v="Public"/>
    <x v="0"/>
    <s v="Ngororero"/>
    <s v="Ndaro"/>
    <s v="NNYU_3"/>
    <s v="Nyabarongo Upstream Sub-Catchment"/>
    <n v="788.40000000000009"/>
  </r>
  <r>
    <x v="3"/>
    <s v="GASHONYI II"/>
    <s v="Public"/>
    <x v="0"/>
    <s v="Ngororero"/>
    <s v="Ndaro"/>
    <s v="NNYU_3"/>
    <s v="Nyabarongo Upstream Sub-Catchment"/>
    <n v="788.40000000000009"/>
  </r>
  <r>
    <x v="3"/>
    <s v="CYAHUNDE"/>
    <s v="Public"/>
    <x v="0"/>
    <s v="Ngororero"/>
    <s v="Ndaro"/>
    <s v="NNYU_3"/>
    <s v="Nyabarongo Upstream Sub-Catchment"/>
    <n v="4099.68"/>
  </r>
  <r>
    <x v="3"/>
    <s v="GASHONYI I"/>
    <s v="Public"/>
    <x v="0"/>
    <s v="Ngororero"/>
    <s v="Ndaro"/>
    <s v="NNYU_3"/>
    <s v="Nyabarongo Upstream Sub-Catchment"/>
    <n v="473.04"/>
  </r>
  <r>
    <x v="3"/>
    <s v="GIKANGU"/>
    <s v="Public"/>
    <x v="0"/>
    <s v="Ngororero"/>
    <s v="Ndaro"/>
    <s v="NNYU_3"/>
    <s v="Nyabarongo Upstream Sub-Catchment"/>
    <n v="1261.44"/>
  </r>
  <r>
    <x v="3"/>
    <s v="KIBAHIMA"/>
    <s v="Public"/>
    <x v="0"/>
    <s v="Ngororero"/>
    <s v="Ndaro"/>
    <s v="NNYU_3"/>
    <s v="Nyabarongo Upstream Sub-Catchment"/>
    <n v="3942.0000000000005"/>
  </r>
  <r>
    <x v="3"/>
    <s v="GASATE"/>
    <s v="Public"/>
    <x v="0"/>
    <s v="Ngororero"/>
    <s v="Ndaro"/>
    <s v="NNYU_3"/>
    <s v="Nyabarongo Upstream Sub-Catchment"/>
    <n v="946.08"/>
  </r>
  <r>
    <x v="3"/>
    <s v="KIBAHIMA II"/>
    <s v="Public"/>
    <x v="0"/>
    <s v="Ngororero"/>
    <s v="Ndaro"/>
    <s v="NNYU_3"/>
    <s v="Nyabarongo Upstream Sub-Catchment"/>
    <n v="1261.44"/>
  </r>
  <r>
    <x v="3"/>
    <s v="MUKAGEZI"/>
    <s v="Public"/>
    <x v="0"/>
    <s v="Ngororero"/>
    <s v="Ndaro"/>
    <s v="NNYU_3"/>
    <s v="Nyabarongo Upstream Sub-Catchment"/>
    <n v="5045.76"/>
  </r>
  <r>
    <x v="3"/>
    <s v="GAHAMA"/>
    <s v="Public"/>
    <x v="0"/>
    <s v="Ngororero"/>
    <s v="Ndaro"/>
    <s v="NNYU_3"/>
    <s v="Nyabarongo Upstream Sub-Catchment"/>
    <n v="630.72"/>
  </r>
  <r>
    <x v="3"/>
    <s v="GASEKE II"/>
    <s v="Public"/>
    <x v="0"/>
    <s v="Ngororero"/>
    <s v="Ndaro"/>
    <s v="NNYU_3"/>
    <s v="Nyabarongo Upstream Sub-Catchment"/>
    <n v="473.04"/>
  </r>
  <r>
    <x v="3"/>
    <s v="KAGAGA"/>
    <s v="Public"/>
    <x v="0"/>
    <s v="Ngororero"/>
    <s v="Ndaro"/>
    <s v="NNYU_3"/>
    <s v="Nyabarongo Upstream Sub-Catchment"/>
    <n v="1103.7600000000002"/>
  </r>
  <r>
    <x v="3"/>
    <s v="GAHOBOBO"/>
    <s v="Public"/>
    <x v="0"/>
    <s v="Ngororero"/>
    <s v="Ndaro"/>
    <s v="NNYU_3"/>
    <s v="Nyabarongo Upstream Sub-Catchment"/>
    <n v="630.72"/>
  </r>
  <r>
    <x v="3"/>
    <s v="KAZABAGARURA"/>
    <s v="Public"/>
    <x v="0"/>
    <s v="Ngororero"/>
    <s v="Ndaro"/>
    <s v="NNYU_3"/>
    <s v="Nyabarongo Upstream Sub-Catchment"/>
    <n v="315.36"/>
  </r>
  <r>
    <x v="3"/>
    <s v="DIVAYE"/>
    <s v="Public"/>
    <x v="0"/>
    <s v="Ngororero"/>
    <s v="Ndaro"/>
    <s v="NNYU_3"/>
    <s v="Nyabarongo Upstream Sub-Catchment"/>
    <n v="3942.0000000000005"/>
  </r>
  <r>
    <x v="3"/>
    <s v="NYIRAMENSHI"/>
    <s v="Public"/>
    <x v="0"/>
    <s v="Ngororero"/>
    <s v="Ndaro"/>
    <s v="NNYU_3"/>
    <s v="Nyabarongo Upstream Sub-Catchment"/>
    <n v="788.40000000000009"/>
  </r>
  <r>
    <x v="3"/>
    <s v="KAREHE"/>
    <s v="Public"/>
    <x v="0"/>
    <s v="Ngororero"/>
    <s v="Ndaro"/>
    <s v="NNYU_3"/>
    <s v="Nyabarongo Upstream Sub-Catchment"/>
    <n v="3942.0000000000005"/>
  </r>
  <r>
    <x v="3"/>
    <s v="NTAMUHAYE"/>
    <s v="Public"/>
    <x v="0"/>
    <s v="Ngororero"/>
    <s v="Ndaro"/>
    <s v="NNYU_3"/>
    <s v="Nyabarongo Upstream Sub-Catchment"/>
    <n v="1261.44"/>
  </r>
  <r>
    <x v="3"/>
    <s v="RWAKANYOMBYA"/>
    <s v="Public"/>
    <x v="0"/>
    <s v="Ngororero"/>
    <s v="Ndaro"/>
    <s v="NNYU_3"/>
    <s v="Nyabarongo Upstream Sub-Catchment"/>
    <n v="630.72"/>
  </r>
  <r>
    <x v="3"/>
    <s v="NGANZO"/>
    <s v="Public"/>
    <x v="0"/>
    <s v="Ngororero"/>
    <s v="Ndaro"/>
    <s v="NNYU_3"/>
    <s v="Nyabarongo Upstream Sub-Catchment"/>
    <n v="1419.12"/>
  </r>
  <r>
    <x v="3"/>
    <s v="NYARUTEJA I"/>
    <s v="Public"/>
    <x v="0"/>
    <s v="Ngororero"/>
    <s v="Ndaro"/>
    <s v="NNYU_3"/>
    <s v="Nyabarongo Upstream Sub-Catchment"/>
    <n v="2049.84"/>
  </r>
  <r>
    <x v="3"/>
    <s v="CYAGAHORO"/>
    <s v="Public"/>
    <x v="0"/>
    <s v="Ngororero"/>
    <s v="Ndaro"/>
    <s v="NNYU_3"/>
    <s v="Nyabarongo Upstream Sub-Catchment"/>
    <n v="2522.88"/>
  </r>
  <r>
    <x v="3"/>
    <s v="RWINGWE"/>
    <s v="Public"/>
    <x v="0"/>
    <s v="Ngororero"/>
    <s v="Ndaro"/>
    <s v="NNYU_3"/>
    <s v="Nyabarongo Upstream Sub-Catchment"/>
    <n v="3153.6000000000004"/>
  </r>
  <r>
    <x v="3"/>
    <s v="RWABASAZI"/>
    <s v="Public"/>
    <x v="0"/>
    <s v="Ngororero"/>
    <s v="Ndaro"/>
    <s v="NNYU_3"/>
    <s v="Nyabarongo Upstream Sub-Catchment"/>
    <n v="473.04"/>
  </r>
  <r>
    <x v="3"/>
    <s v="NYAMABARE 2"/>
    <s v="Public"/>
    <x v="0"/>
    <s v="Ngororero"/>
    <s v="Ndaro"/>
    <s v="NNYU_3"/>
    <s v="Nyabarongo Upstream Sub-Catchment"/>
    <n v="630.72"/>
  </r>
  <r>
    <x v="3"/>
    <s v="KAGATI"/>
    <s v="Public"/>
    <x v="0"/>
    <s v="Ngororero"/>
    <s v="Ndaro"/>
    <s v="NNYU_3"/>
    <s v="Nyabarongo Upstream Sub-Catchment"/>
    <n v="788.40000000000009"/>
  </r>
  <r>
    <x v="3"/>
    <s v="GASAYO"/>
    <s v="Public"/>
    <x v="0"/>
    <s v="Ngororero"/>
    <s v="Ndaro"/>
    <s v="NNYU_3"/>
    <s v="Nyabarongo Upstream Sub-Catchment"/>
    <n v="8987.76"/>
  </r>
  <r>
    <x v="3"/>
    <s v="MUSEKERA"/>
    <s v="Public"/>
    <x v="0"/>
    <s v="Ngororero"/>
    <s v="Ndaro"/>
    <s v="NNYU_3"/>
    <s v="Nyabarongo Upstream Sub-Catchment"/>
    <n v="3942.0000000000005"/>
  </r>
  <r>
    <x v="3"/>
    <s v="NYAGAHANGA"/>
    <s v="Public"/>
    <x v="0"/>
    <s v="Ngororero"/>
    <s v="Ndaro"/>
    <s v="NNYU_3"/>
    <s v="Nyabarongo Upstream Sub-Catchment"/>
    <n v="9460.8000000000011"/>
  </r>
  <r>
    <x v="3"/>
    <s v="GAHAMA"/>
    <s v="Public"/>
    <x v="0"/>
    <s v="Ngororero"/>
    <s v="Ndaro"/>
    <s v="NNYU_3"/>
    <s v="Nyabarongo Upstream Sub-Catchment"/>
    <n v="630.72"/>
  </r>
  <r>
    <x v="3"/>
    <s v="KAGENGE"/>
    <s v="Public"/>
    <x v="0"/>
    <s v="Ngororero"/>
    <s v="Ndaro"/>
    <s v="NNYU_3"/>
    <s v="Nyabarongo Upstream Sub-Catchment"/>
    <n v="1261.44"/>
  </r>
  <r>
    <x v="3"/>
    <s v="NYARUTEJA 2"/>
    <s v="Public"/>
    <x v="0"/>
    <s v="Ngororero"/>
    <s v="Ndaro"/>
    <s v="NNYU_3"/>
    <s v="Nyabarongo Upstream Sub-Catchment"/>
    <n v="1419.12"/>
  </r>
  <r>
    <x v="3"/>
    <s v="KIBUGA"/>
    <s v="Public"/>
    <x v="0"/>
    <s v="Ngororero"/>
    <s v="Ndaro"/>
    <s v="NNYU_3"/>
    <s v="Nyabarongo Upstream Sub-Catchment"/>
    <n v="630.72"/>
  </r>
  <r>
    <x v="3"/>
    <s v="KAVOGO"/>
    <s v="Public"/>
    <x v="0"/>
    <s v="Ngororero"/>
    <s v="Ndaro"/>
    <s v="NNYU_3"/>
    <s v="Nyabarongo Upstream Sub-Catchment"/>
    <n v="630.72"/>
  </r>
  <r>
    <x v="3"/>
    <s v="KATAVOGERWA"/>
    <s v="Public"/>
    <x v="0"/>
    <s v="Ngororero"/>
    <s v="Ndaro"/>
    <s v="NNYU_3"/>
    <s v="Nyabarongo Upstream Sub-Catchment"/>
    <n v="2522.88"/>
  </r>
  <r>
    <x v="3"/>
    <s v="KIBARI  I"/>
    <s v="Public"/>
    <x v="0"/>
    <s v="Ngororero"/>
    <s v="Ndaro"/>
    <s v="NNYU_3"/>
    <s v="Nyabarongo Upstream Sub-Catchment"/>
    <n v="3153.6000000000004"/>
  </r>
  <r>
    <x v="3"/>
    <s v="MBURAMAZI"/>
    <s v="Public"/>
    <x v="0"/>
    <s v="Ngororero"/>
    <s v="Ndaro"/>
    <s v="NNYU_3"/>
    <s v="Nyabarongo Upstream Sub-Catchment"/>
    <n v="315.36"/>
  </r>
  <r>
    <x v="3"/>
    <s v="NYIRAMUSENGO"/>
    <s v="Public"/>
    <x v="0"/>
    <s v="Ngororero"/>
    <s v="Ndaro"/>
    <s v="NNYU_3"/>
    <s v="Nyabarongo Upstream Sub-Catchment"/>
    <n v="2522.88"/>
  </r>
  <r>
    <x v="3"/>
    <s v="MARANDA"/>
    <s v="Public"/>
    <x v="0"/>
    <s v="Ngororero"/>
    <s v="Ndaro"/>
    <s v="NNYU_3"/>
    <s v="Nyabarongo Upstream Sub-Catchment"/>
    <n v="1103.7600000000002"/>
  </r>
  <r>
    <x v="3"/>
    <s v="KABAFIRI I"/>
    <s v="Public"/>
    <x v="0"/>
    <s v="Ngororero"/>
    <s v="Ndaro"/>
    <s v="NNYU_3"/>
    <s v="Nyabarongo Upstream Sub-Catchment"/>
    <n v="473.04"/>
  </r>
  <r>
    <x v="3"/>
    <s v="MUKOPFU"/>
    <s v="Public"/>
    <x v="0"/>
    <s v="Ngororero"/>
    <s v="Ndaro"/>
    <s v="NNYU_3"/>
    <s v="Nyabarongo Upstream Sub-Catchment"/>
    <n v="788.40000000000009"/>
  </r>
  <r>
    <x v="3"/>
    <s v="RUTUNTU"/>
    <s v="Public"/>
    <x v="0"/>
    <s v="Ngororero"/>
    <s v="Ndaro"/>
    <s v="NNYU_3"/>
    <s v="Nyabarongo Upstream Sub-Catchment"/>
    <n v="2838.24"/>
  </r>
  <r>
    <x v="3"/>
    <s v="KAMFIZI"/>
    <s v="Public"/>
    <x v="0"/>
    <s v="Ngororero"/>
    <s v="Ndaro"/>
    <s v="NNYU_3"/>
    <s v="Nyabarongo Upstream Sub-Catchment"/>
    <n v="2522.88"/>
  </r>
  <r>
    <x v="3"/>
    <s v="GASEKE"/>
    <s v="Public"/>
    <x v="0"/>
    <s v="Ngororero"/>
    <s v="Ndaro"/>
    <s v="NNYU_3"/>
    <s v="Nyabarongo Upstream Sub-Catchment"/>
    <n v="3942.0000000000005"/>
  </r>
  <r>
    <x v="3"/>
    <s v="MBURAMAZI  III"/>
    <s v="Public"/>
    <x v="0"/>
    <s v="Ngororero"/>
    <s v="Ndaro"/>
    <s v="NNYU_3"/>
    <s v="Nyabarongo Upstream Sub-Catchment"/>
    <n v="630.72"/>
  </r>
  <r>
    <x v="3"/>
    <s v="RWAMIKO"/>
    <s v="Public"/>
    <x v="0"/>
    <s v="Ngororero"/>
    <s v="Ndaro"/>
    <s v="NNYU_3"/>
    <s v="Nyabarongo Upstream Sub-Catchment"/>
    <n v="10249.199999999999"/>
  </r>
  <r>
    <x v="3"/>
    <s v="RUGEYO"/>
    <s v="Public"/>
    <x v="0"/>
    <s v="Ngororero"/>
    <s v="Ndaro"/>
    <s v="NNYU_3"/>
    <s v="Nyabarongo Upstream Sub-Catchment"/>
    <n v="1419.12"/>
  </r>
  <r>
    <x v="3"/>
    <s v="MUSAHO"/>
    <s v="Public"/>
    <x v="0"/>
    <s v="Ngororero"/>
    <s v="Ndaro"/>
    <s v="NNYU_3"/>
    <s v="Nyabarongo Upstream Sub-Catchment"/>
    <n v="9933.84"/>
  </r>
  <r>
    <x v="3"/>
    <s v="RYABAVUGA"/>
    <s v="Public"/>
    <x v="0"/>
    <s v="Ngororero"/>
    <s v="Ndaro"/>
    <s v="NNYU_3"/>
    <s v="Nyabarongo Upstream Sub-Catchment"/>
    <n v="630.72"/>
  </r>
  <r>
    <x v="3"/>
    <s v="RUTARE II"/>
    <s v="Public"/>
    <x v="0"/>
    <s v="Ngororero"/>
    <s v="Ndaro"/>
    <s v="NNYU_3"/>
    <s v="Nyabarongo Upstream Sub-Catchment"/>
    <n v="1103.7600000000002"/>
  </r>
  <r>
    <x v="3"/>
    <s v="RYARUTANGA"/>
    <s v="Public"/>
    <x v="0"/>
    <s v="Ngororero"/>
    <s v="Ndaro"/>
    <s v="NNYU_3"/>
    <s v="Nyabarongo Upstream Sub-Catchment"/>
    <n v="473.04"/>
  </r>
  <r>
    <x v="3"/>
    <s v="RUTARE  I"/>
    <s v="Public"/>
    <x v="0"/>
    <s v="Ngororero"/>
    <s v="Ndaro"/>
    <s v="NNYU_3"/>
    <s v="Nyabarongo Upstream Sub-Catchment"/>
    <n v="473.04"/>
  </r>
  <r>
    <x v="3"/>
    <s v="KASERUKONI"/>
    <s v="Public"/>
    <x v="0"/>
    <s v="Ngororero"/>
    <s v="Ndaro"/>
    <s v="NNYU_3"/>
    <s v="Nyabarongo Upstream Sub-Catchment"/>
    <n v="6307.2000000000007"/>
  </r>
  <r>
    <x v="3"/>
    <s v="RUKINGU"/>
    <s v="Public"/>
    <x v="0"/>
    <s v="Ngororero"/>
    <s v="Ndaro"/>
    <s v="NNYU_3"/>
    <s v="Nyabarongo Upstream Sub-Catchment"/>
    <n v="3153.6000000000004"/>
  </r>
  <r>
    <x v="3"/>
    <s v="KAMURINDWI"/>
    <s v="Public"/>
    <x v="0"/>
    <s v="Ngororero"/>
    <s v="Ndaro"/>
    <s v="NNYU_3"/>
    <s v="Nyabarongo Upstream Sub-Catchment"/>
    <n v="788.40000000000009"/>
  </r>
  <r>
    <x v="3"/>
    <s v="MUMUNYENGE"/>
    <s v="Public"/>
    <x v="0"/>
    <s v="Ngororero"/>
    <s v="Ndaro"/>
    <s v="NNYU_3"/>
    <s v="Nyabarongo Upstream Sub-Catchment"/>
    <n v="473.04"/>
  </r>
  <r>
    <x v="3"/>
    <s v="TABUGEZI  IBIJ"/>
    <s v="Public"/>
    <x v="0"/>
    <s v="Ngororero"/>
    <s v="Ndaro"/>
    <s v="NNYU_3"/>
    <s v="Nyabarongo Upstream Sub-Catchment"/>
    <n v="1419.12"/>
  </r>
  <r>
    <x v="3"/>
    <s v="MARYOHA"/>
    <s v="Public"/>
    <x v="0"/>
    <s v="Ngororero"/>
    <s v="Ndaro"/>
    <s v="NNYU_3"/>
    <s v="Nyabarongo Upstream Sub-Catchment"/>
    <n v="2365.2000000000003"/>
  </r>
  <r>
    <x v="3"/>
    <s v="KAGANO"/>
    <s v="Public"/>
    <x v="0"/>
    <s v="Ngororero"/>
    <s v="Ndaro"/>
    <s v="NNYU_3"/>
    <s v="Nyabarongo Upstream Sub-Catchment"/>
    <n v="2680.56"/>
  </r>
  <r>
    <x v="3"/>
    <s v="RWUNGO II"/>
    <s v="Public"/>
    <x v="0"/>
    <s v="Ngororero"/>
    <s v="Ndaro"/>
    <s v="NNYU_3"/>
    <s v="Nyabarongo Upstream Sub-Catchment"/>
    <n v="788.40000000000009"/>
  </r>
  <r>
    <x v="3"/>
    <s v="KANNYOGO  I"/>
    <s v="Public"/>
    <x v="0"/>
    <s v="Ngororero"/>
    <s v="Ndaro"/>
    <s v="NNYU_3"/>
    <s v="Nyabarongo Upstream Sub-Catchment"/>
    <n v="9460.8000000000011"/>
  </r>
  <r>
    <x v="3"/>
    <s v="KIBUMBIRO"/>
    <s v="Public"/>
    <x v="0"/>
    <s v="Ngororero"/>
    <s v="Ndaro"/>
    <s v="NNYU_3"/>
    <s v="Nyabarongo Upstream Sub-Catchment"/>
    <n v="2207.5200000000004"/>
  </r>
  <r>
    <x v="3"/>
    <s v="BOSHYA"/>
    <s v="Public"/>
    <x v="0"/>
    <s v="Ngororero"/>
    <s v="Ndaro"/>
    <s v="NNYU_3"/>
    <s v="Nyabarongo Upstream Sub-Catchment"/>
    <n v="1261.44"/>
  </r>
  <r>
    <x v="3"/>
    <s v="CYANJONGO"/>
    <s v="Public"/>
    <x v="0"/>
    <s v="Ngororero"/>
    <s v="Ndaro"/>
    <s v="NNYU_3"/>
    <s v="Nyabarongo Upstream Sub-Catchment"/>
    <n v="1103.7600000000002"/>
  </r>
  <r>
    <x v="3"/>
    <s v="KABIRA"/>
    <s v="Public"/>
    <x v="0"/>
    <s v="Ngororero"/>
    <s v="Ndaro"/>
    <s v="NNYU_3"/>
    <s v="Nyabarongo Upstream Sub-Catchment"/>
    <n v="788.40000000000009"/>
  </r>
  <r>
    <x v="3"/>
    <s v="GISUMA"/>
    <s v="Public"/>
    <x v="0"/>
    <s v="Ngororero"/>
    <s v="Ndaro"/>
    <s v="NNYU_3"/>
    <s v="Nyabarongo Upstream Sub-Catchment"/>
    <n v="473.04"/>
  </r>
  <r>
    <x v="3"/>
    <s v="GISHONYI"/>
    <s v="Public"/>
    <x v="0"/>
    <s v="Ngororero"/>
    <s v="Ndaro"/>
    <s v="NNYU_3"/>
    <s v="Nyabarongo Upstream Sub-Catchment"/>
    <n v="12614.400000000001"/>
  </r>
  <r>
    <x v="3"/>
    <s v="NGENDOMBI"/>
    <s v="Public"/>
    <x v="0"/>
    <s v="Ngororero"/>
    <s v="Ndaro"/>
    <s v="NNYU_3"/>
    <s v="Nyabarongo Upstream Sub-Catchment"/>
    <n v="3153.6000000000004"/>
  </r>
  <r>
    <x v="3"/>
    <s v="NYABIMATA"/>
    <s v="Public"/>
    <x v="0"/>
    <s v="Ngororero"/>
    <s v="Ndaro"/>
    <s v="NNYU_3"/>
    <s v="Nyabarongo Upstream Sub-Catchment"/>
    <n v="946.08"/>
  </r>
  <r>
    <x v="3"/>
    <s v="GIKWANGU"/>
    <s v="Public"/>
    <x v="0"/>
    <s v="Ngororero"/>
    <s v="Ndaro"/>
    <s v="NNYU_3"/>
    <s v="Nyabarongo Upstream Sub-Catchment"/>
    <n v="1103.7600000000002"/>
  </r>
  <r>
    <x v="3"/>
    <s v="KWITEKE"/>
    <s v="Public"/>
    <x v="0"/>
    <s v="Ngororero"/>
    <s v="Ndaro"/>
    <s v="NNYU_3"/>
    <s v="Nyabarongo Upstream Sub-Catchment"/>
    <n v="2365.2000000000003"/>
  </r>
  <r>
    <x v="3"/>
    <s v="NYIRANKORONKO"/>
    <s v="Public"/>
    <x v="0"/>
    <s v="Ngororero"/>
    <s v="Ndaro"/>
    <s v="NNYU_3"/>
    <s v="Nyabarongo Upstream Sub-Catchment"/>
    <n v="1419.12"/>
  </r>
  <r>
    <x v="3"/>
    <s v="NYIRANGOGA"/>
    <s v="Public"/>
    <x v="0"/>
    <s v="Ngororero"/>
    <s v="Ndaro"/>
    <s v="NNYU_3"/>
    <s v="Nyabarongo Upstream Sub-Catchment"/>
    <n v="2049.84"/>
  </r>
  <r>
    <x v="3"/>
    <s v="KARUGORORA"/>
    <s v="Public"/>
    <x v="0"/>
    <s v="Ngororero"/>
    <s v="Ndaro"/>
    <s v="NNYU_3"/>
    <s v="Nyabarongo Upstream Sub-Catchment"/>
    <n v="3942.0000000000005"/>
  </r>
  <r>
    <x v="3"/>
    <s v="GAKONGORA"/>
    <s v="Public"/>
    <x v="0"/>
    <s v="Ngororero"/>
    <s v="Ndaro"/>
    <s v="NNYU_3"/>
    <s v="Nyabarongo Upstream Sub-Catchment"/>
    <n v="788.40000000000009"/>
  </r>
  <r>
    <x v="3"/>
    <s v="KANNYOGO  II"/>
    <s v="Public"/>
    <x v="0"/>
    <s v="Ngororero"/>
    <s v="Ndaro"/>
    <s v="NNYU_3"/>
    <s v="Nyabarongo Upstream Sub-Catchment"/>
    <n v="9776.1600000000017"/>
  </r>
  <r>
    <x v="3"/>
    <s v="RUGANZU"/>
    <s v="Public"/>
    <x v="0"/>
    <s v="Ngororero"/>
    <s v="Ndaro"/>
    <s v="NNYU_3"/>
    <s v="Nyabarongo Upstream Sub-Catchment"/>
    <n v="3942.0000000000005"/>
  </r>
  <r>
    <x v="3"/>
    <s v="RWUNGO"/>
    <s v="Public"/>
    <x v="0"/>
    <s v="Ngororero"/>
    <s v="Ndaro"/>
    <s v="NNYU_3"/>
    <s v="Nyabarongo Upstream Sub-Catchment"/>
    <n v="1576.8000000000002"/>
  </r>
  <r>
    <x v="3"/>
    <s v="RUBINDI"/>
    <s v="Public"/>
    <x v="0"/>
    <s v="Ngororero"/>
    <s v="Ndaro"/>
    <s v="NNYU_3"/>
    <s v="Nyabarongo Upstream Sub-Catchment"/>
    <n v="1576.8000000000002"/>
  </r>
  <r>
    <x v="3"/>
    <s v="KARAMBO  II"/>
    <s v="Public"/>
    <x v="0"/>
    <s v="Ngororero"/>
    <s v="Ndaro"/>
    <s v="NNYU_3"/>
    <s v="Nyabarongo Upstream Sub-Catchment"/>
    <n v="473.04"/>
  </r>
  <r>
    <x v="3"/>
    <s v="NTAKAJUMBA"/>
    <s v="Public"/>
    <x v="0"/>
    <s v="Ngororero"/>
    <s v="Ndaro"/>
    <s v="NNYU_3"/>
    <s v="Nyabarongo Upstream Sub-Catchment"/>
    <n v="8041.68"/>
  </r>
  <r>
    <x v="3"/>
    <s v="RUKURI  II"/>
    <s v="Public"/>
    <x v="0"/>
    <s v="Ngororero"/>
    <s v="Ndaro"/>
    <s v="NNYU_3"/>
    <s v="Nyabarongo Upstream Sub-Catchment"/>
    <n v="4099.68"/>
  </r>
  <r>
    <x v="3"/>
    <s v="GISUNZU"/>
    <s v="Public"/>
    <x v="0"/>
    <s v="Ngororero"/>
    <s v="Ndaro"/>
    <s v="NNYU_3"/>
    <s v="Nyabarongo Upstream Sub-Catchment"/>
    <n v="2680.56"/>
  </r>
  <r>
    <x v="3"/>
    <s v="RUHUHA"/>
    <s v="Public"/>
    <x v="0"/>
    <s v="Ngororero"/>
    <s v="Ndaro"/>
    <s v="NNYU_3"/>
    <s v="Nyabarongo Upstream Sub-Catchment"/>
    <n v="4415.0400000000009"/>
  </r>
  <r>
    <x v="3"/>
    <s v="NYARUGOTE"/>
    <s v="Public"/>
    <x v="0"/>
    <s v="Ngororero"/>
    <s v="Ndaro"/>
    <s v="NNYU_3"/>
    <s v="Nyabarongo Upstream Sub-Catchment"/>
    <n v="7095.6"/>
  </r>
  <r>
    <x v="3"/>
    <s v="GIKOMBE"/>
    <s v="Public"/>
    <x v="0"/>
    <s v="Ngororero"/>
    <s v="Ndaro"/>
    <s v="NNYU_3"/>
    <s v="Nyabarongo Upstream Sub-Catchment"/>
    <n v="6307.2000000000007"/>
  </r>
  <r>
    <x v="3"/>
    <s v="NYABIKERI"/>
    <s v="Public"/>
    <x v="0"/>
    <s v="Ngororero"/>
    <s v="Ngororero"/>
    <s v="NNYU_3"/>
    <s v="Nyabarongo Upstream Sub-Catchment"/>
    <n v="473.04"/>
  </r>
  <r>
    <x v="3"/>
    <s v="GIHINDIRO"/>
    <s v="Public"/>
    <x v="0"/>
    <s v="Ngororero"/>
    <s v="Ngororero"/>
    <s v="NNYU_3"/>
    <s v="Nyabarongo Upstream Sub-Catchment"/>
    <n v="1576.8000000000002"/>
  </r>
  <r>
    <x v="3"/>
    <s v="SIMBUKA"/>
    <s v="Public"/>
    <x v="0"/>
    <s v="Ngororero"/>
    <s v="Ngororero"/>
    <s v="NNYU_3"/>
    <s v="Nyabarongo Upstream Sub-Catchment"/>
    <n v="2049.84"/>
  </r>
  <r>
    <x v="3"/>
    <s v="GAKURU"/>
    <s v="Public"/>
    <x v="0"/>
    <s v="Ngororero"/>
    <s v="Ngororero"/>
    <s v="NNYU_3"/>
    <s v="Nyabarongo Upstream Sub-Catchment"/>
    <n v="2049.84"/>
  </r>
  <r>
    <x v="3"/>
    <s v="NANGAMASINDE"/>
    <s v="Public"/>
    <x v="0"/>
    <s v="Ngororero"/>
    <s v="Ngororero"/>
    <s v="NNYU_3"/>
    <s v="Nyabarongo Upstream Sub-Catchment"/>
    <n v="2838.24"/>
  </r>
  <r>
    <x v="3"/>
    <s v="AKABATABI"/>
    <s v="Public"/>
    <x v="0"/>
    <s v="Ngororero"/>
    <s v="Ngororero"/>
    <s v="NNYU_3"/>
    <s v="Nyabarongo Upstream Sub-Catchment"/>
    <n v="1103.7600000000002"/>
  </r>
  <r>
    <x v="3"/>
    <s v="KARABOSHYA"/>
    <s v="Public"/>
    <x v="0"/>
    <s v="Ngororero"/>
    <s v="Ngororero"/>
    <s v="NNYU_3"/>
    <s v="Nyabarongo Upstream Sub-Catchment"/>
    <n v="1576.8000000000002"/>
  </r>
  <r>
    <x v="3"/>
    <s v="KUMURAMA"/>
    <s v="Public"/>
    <x v="0"/>
    <s v="Ngororero"/>
    <s v="Ngororero"/>
    <s v="NNYU_3"/>
    <s v="Nyabarongo Upstream Sub-Catchment"/>
    <n v="2680.56"/>
  </r>
  <r>
    <x v="3"/>
    <s v="NANGAKARUSHO"/>
    <s v="Public"/>
    <x v="0"/>
    <s v="Ngororero"/>
    <s v="Ngororero"/>
    <s v="NNYU_3"/>
    <s v="Nyabarongo Upstream Sub-Catchment"/>
    <n v="3942.0000000000005"/>
  </r>
  <r>
    <x v="3"/>
    <s v="NYIRAMARUMBA"/>
    <s v="Public"/>
    <x v="0"/>
    <s v="Ngororero"/>
    <s v="Ngororero"/>
    <s v="NNYU_3"/>
    <s v="Nyabarongo Upstream Sub-Catchment"/>
    <n v="473.04"/>
  </r>
  <r>
    <x v="3"/>
    <s v="CYANJYE"/>
    <s v="Public"/>
    <x v="0"/>
    <s v="Ngororero"/>
    <s v="Ngororero"/>
    <s v="NNYU_3"/>
    <s v="Nyabarongo Upstream Sub-Catchment"/>
    <n v="4415.0400000000009"/>
  </r>
  <r>
    <x v="3"/>
    <s v="NYAMVURA"/>
    <s v="Public"/>
    <x v="0"/>
    <s v="Ngororero"/>
    <s v="Ngororero"/>
    <s v="NNYU_3"/>
    <s v="Nyabarongo Upstream Sub-Catchment"/>
    <n v="788.40000000000009"/>
  </r>
  <r>
    <x v="3"/>
    <s v="KAGANGO"/>
    <s v="Public"/>
    <x v="0"/>
    <s v="Ngororero"/>
    <s v="Ngororero"/>
    <s v="NNYU_3"/>
    <s v="Nyabarongo Upstream Sub-Catchment"/>
    <n v="473.04"/>
  </r>
  <r>
    <x v="3"/>
    <s v="NYARUTENDE"/>
    <s v="Public"/>
    <x v="0"/>
    <s v="Ngororero"/>
    <s v="Ngororero"/>
    <s v="NNYU_3"/>
    <s v="Nyabarongo Upstream Sub-Catchment"/>
    <n v="630.72"/>
  </r>
  <r>
    <x v="3"/>
    <s v="KARUSHWA"/>
    <s v="Public"/>
    <x v="0"/>
    <s v="Ngororero"/>
    <s v="Ngororero"/>
    <s v="NNYU_3"/>
    <s v="Nyabarongo Upstream Sub-Catchment"/>
    <n v="1261.44"/>
  </r>
  <r>
    <x v="3"/>
    <s v="NYAKAGANO"/>
    <s v="Public"/>
    <x v="0"/>
    <s v="Ngororero"/>
    <s v="Ngororero"/>
    <s v="NNYU_3"/>
    <s v="Nyabarongo Upstream Sub-Catchment"/>
    <n v="1576.8000000000002"/>
  </r>
  <r>
    <x v="3"/>
    <s v="MASHYUZA"/>
    <s v="Public"/>
    <x v="0"/>
    <s v="Ngororero"/>
    <s v="Ngororero"/>
    <s v="NNYU_3"/>
    <s v="Nyabarongo Upstream Sub-Catchment"/>
    <n v="473.04"/>
  </r>
  <r>
    <x v="3"/>
    <s v="NYAMISA"/>
    <s v="Public"/>
    <x v="0"/>
    <s v="Ngororero"/>
    <s v="Ngororero"/>
    <s v="NNYU_3"/>
    <s v="Nyabarongo Upstream Sub-Catchment"/>
    <n v="630.72"/>
  </r>
  <r>
    <x v="3"/>
    <s v="GATARE"/>
    <s v="Public"/>
    <x v="0"/>
    <s v="Ngororero"/>
    <s v="Ngororero"/>
    <s v="NNYU_3"/>
    <s v="Nyabarongo Upstream Sub-Catchment"/>
    <n v="1892.16"/>
  </r>
  <r>
    <x v="3"/>
    <s v="GISAYO"/>
    <s v="Public"/>
    <x v="0"/>
    <s v="Ngororero"/>
    <s v="Ngororero"/>
    <s v="NNYU_3"/>
    <s v="Nyabarongo Upstream Sub-Catchment"/>
    <n v="946.08"/>
  </r>
  <r>
    <x v="3"/>
    <s v="BITARE"/>
    <s v="Public"/>
    <x v="0"/>
    <s v="Ngororero"/>
    <s v="Ngororero"/>
    <s v="NNYU_3"/>
    <s v="Nyabarongo Upstream Sub-Catchment"/>
    <n v="1576.8000000000002"/>
  </r>
  <r>
    <x v="3"/>
    <s v="GASUMO"/>
    <s v="Public"/>
    <x v="0"/>
    <s v="Ngororero"/>
    <s v="Ngororero"/>
    <s v="NNYU_3"/>
    <s v="Nyabarongo Upstream Sub-Catchment"/>
    <n v="630.72"/>
  </r>
  <r>
    <x v="3"/>
    <s v="CYANGE"/>
    <s v="Public"/>
    <x v="0"/>
    <s v="Ngororero"/>
    <s v="Ngororero"/>
    <s v="NNYU_3"/>
    <s v="Nyabarongo Upstream Sub-Catchment"/>
    <n v="5045.76"/>
  </r>
  <r>
    <x v="3"/>
    <s v="GASAGARA I"/>
    <s v="Public"/>
    <x v="0"/>
    <s v="Ngororero"/>
    <s v="Ngororero"/>
    <s v="NNYU_3"/>
    <s v="Nyabarongo Upstream Sub-Catchment"/>
    <n v="946.08"/>
  </r>
  <r>
    <x v="3"/>
    <s v="BAJUGURI"/>
    <s v="Public"/>
    <x v="0"/>
    <s v="Ngororero"/>
    <s v="Ngororero"/>
    <s v="NNYU_3"/>
    <s v="Nyabarongo Upstream Sub-Catchment"/>
    <n v="1261.44"/>
  </r>
  <r>
    <x v="3"/>
    <s v="SESERO"/>
    <s v="Public"/>
    <x v="0"/>
    <s v="Ngororero"/>
    <s v="Ngororero"/>
    <s v="NNYU_3"/>
    <s v="Nyabarongo Upstream Sub-Catchment"/>
    <n v="1103.7600000000002"/>
  </r>
  <r>
    <x v="3"/>
    <s v="GAKONI"/>
    <s v="Public"/>
    <x v="0"/>
    <s v="Ngororero"/>
    <s v="Ngororero"/>
    <s v="NNYU_3"/>
    <s v="Nyabarongo Upstream Sub-Catchment"/>
    <n v="630.72"/>
  </r>
  <r>
    <x v="3"/>
    <s v="NYARUNYINYA"/>
    <s v="Public"/>
    <x v="0"/>
    <s v="Ngororero"/>
    <s v="Ngororero"/>
    <s v="NNYU_3"/>
    <s v="Nyabarongo Upstream Sub-Catchment"/>
    <n v="788.40000000000009"/>
  </r>
  <r>
    <x v="3"/>
    <s v="BIGAGA"/>
    <s v="Public"/>
    <x v="0"/>
    <s v="Ngororero"/>
    <s v="Ngororero"/>
    <s v="NNYU_3"/>
    <s v="Nyabarongo Upstream Sub-Catchment"/>
    <n v="630.72"/>
  </r>
  <r>
    <x v="3"/>
    <s v="GIKOMBE"/>
    <s v="Public"/>
    <x v="0"/>
    <s v="Ngororero"/>
    <s v="Ngororero"/>
    <s v="NNYU_3"/>
    <s v="Nyabarongo Upstream Sub-Catchment"/>
    <n v="1261.44"/>
  </r>
  <r>
    <x v="3"/>
    <s v="RWAMPIRI"/>
    <s v="Public"/>
    <x v="0"/>
    <s v="Ngororero"/>
    <s v="Ngororero"/>
    <s v="NNYU_3"/>
    <s v="Nyabarongo Upstream Sub-Catchment"/>
    <n v="473.04"/>
  </r>
  <r>
    <x v="3"/>
    <s v="RUKUBO"/>
    <s v="Public"/>
    <x v="0"/>
    <s v="Ngororero"/>
    <s v="Ngororero"/>
    <s v="NNYU_3"/>
    <s v="Nyabarongo Upstream Sub-Catchment"/>
    <n v="630.72"/>
  </r>
  <r>
    <x v="3"/>
    <s v="NYARWISHYWA"/>
    <s v="Public"/>
    <x v="0"/>
    <s v="Ngororero"/>
    <s v="Ngororero"/>
    <s v="NNYU_3"/>
    <s v="Nyabarongo Upstream Sub-Catchment"/>
    <n v="3626.64"/>
  </r>
  <r>
    <x v="3"/>
    <s v="RUKINGU"/>
    <s v="Public"/>
    <x v="0"/>
    <s v="Ngororero"/>
    <s v="Ngororero"/>
    <s v="NNYU_3"/>
    <s v="Nyabarongo Upstream Sub-Catchment"/>
    <n v="1261.44"/>
  </r>
  <r>
    <x v="3"/>
    <s v="NYAKABINGO"/>
    <s v="Public"/>
    <x v="0"/>
    <s v="Ngororero"/>
    <s v="Ngororero"/>
    <s v="NNYU_3"/>
    <s v="Nyabarongo Upstream Sub-Catchment"/>
    <n v="5045.76"/>
  </r>
  <r>
    <x v="3"/>
    <s v="KARABOSHYA"/>
    <s v="Public"/>
    <x v="0"/>
    <s v="Ngororero"/>
    <s v="Ngororero"/>
    <s v="NNYU_3"/>
    <s v="Nyabarongo Upstream Sub-Catchment"/>
    <n v="630.72"/>
  </r>
  <r>
    <x v="3"/>
    <s v="NYARUBORI"/>
    <s v="Public"/>
    <x v="0"/>
    <s v="Ngororero"/>
    <s v="Ngororero"/>
    <s v="NNYU_3"/>
    <s v="Nyabarongo Upstream Sub-Catchment"/>
    <n v="3311.2799999999997"/>
  </r>
  <r>
    <x v="3"/>
    <s v="CYUHA"/>
    <s v="Public"/>
    <x v="0"/>
    <s v="Ngororero"/>
    <s v="Ngororero"/>
    <s v="NNYU_3"/>
    <s v="Nyabarongo Upstream Sub-Catchment"/>
    <n v="1419.12"/>
  </r>
  <r>
    <x v="3"/>
    <s v="BUKONGI"/>
    <s v="Public"/>
    <x v="0"/>
    <s v="Ngororero"/>
    <s v="Ngororero"/>
    <s v="NNYU_3"/>
    <s v="Nyabarongo Upstream Sub-Catchment"/>
    <n v="3311.2799999999997"/>
  </r>
  <r>
    <x v="3"/>
    <s v="NYIRAKIBAYI"/>
    <s v="Public"/>
    <x v="0"/>
    <s v="Ngororero"/>
    <s v="Ngororero"/>
    <s v="NNYU_3"/>
    <s v="Nyabarongo Upstream Sub-Catchment"/>
    <n v="946.08"/>
  </r>
  <r>
    <x v="3"/>
    <s v="NANGUMURIMBO"/>
    <s v="Public"/>
    <x v="0"/>
    <s v="Ngororero"/>
    <s v="Ngororero"/>
    <s v="NNYU_3"/>
    <s v="Nyabarongo Upstream Sub-Catchment"/>
    <n v="2365.2000000000003"/>
  </r>
  <r>
    <x v="3"/>
    <s v="GASEKE III"/>
    <s v="Public"/>
    <x v="0"/>
    <s v="Ngororero"/>
    <s v="Ngororero"/>
    <s v="NNYU_3"/>
    <s v="Nyabarongo Upstream Sub-Catchment"/>
    <n v="1261.44"/>
  </r>
  <r>
    <x v="3"/>
    <s v="RUGOMERO"/>
    <s v="Public"/>
    <x v="0"/>
    <s v="Ngororero"/>
    <s v="Ngororero"/>
    <s v="NNYU_3"/>
    <s v="Nyabarongo Upstream Sub-Catchment"/>
    <n v="946.08"/>
  </r>
  <r>
    <x v="3"/>
    <s v="RUTARIBA"/>
    <s v="Public"/>
    <x v="0"/>
    <s v="Ngororero"/>
    <s v="Ngororero"/>
    <s v="NNYU_3"/>
    <s v="Nyabarongo Upstream Sub-Catchment"/>
    <n v="3626.64"/>
  </r>
  <r>
    <x v="3"/>
    <s v="NYAKAGEZI"/>
    <s v="Public"/>
    <x v="0"/>
    <s v="Ngororero"/>
    <s v="Ngororero"/>
    <s v="NNYU_3"/>
    <s v="Nyabarongo Upstream Sub-Catchment"/>
    <n v="5045.76"/>
  </r>
  <r>
    <x v="3"/>
    <s v="KARAMA"/>
    <s v="Public"/>
    <x v="0"/>
    <s v="Ngororero"/>
    <s v="Ngororero"/>
    <s v="NNYU_3"/>
    <s v="Nyabarongo Upstream Sub-Catchment"/>
    <n v="630.72"/>
  </r>
  <r>
    <x v="3"/>
    <s v="GAHANGA II"/>
    <s v="Public"/>
    <x v="0"/>
    <s v="Ngororero"/>
    <s v="Ngororero"/>
    <s v="NNYU_3"/>
    <s v="Nyabarongo Upstream Sub-Catchment"/>
    <n v="1261.44"/>
  </r>
  <r>
    <x v="3"/>
    <s v="MANA"/>
    <s v="Public"/>
    <x v="0"/>
    <s v="Ngororero"/>
    <s v="Ngororero"/>
    <s v="NNYU_3"/>
    <s v="Nyabarongo Upstream Sub-Catchment"/>
    <n v="473.04"/>
  </r>
  <r>
    <x v="3"/>
    <s v="GASAGARA II"/>
    <s v="Public"/>
    <x v="0"/>
    <s v="Ngororero"/>
    <s v="Ngororero"/>
    <s v="NNYU_3"/>
    <s v="Nyabarongo Upstream Sub-Catchment"/>
    <n v="1419.12"/>
  </r>
  <r>
    <x v="3"/>
    <s v="RWAMATEMBE"/>
    <s v="Public"/>
    <x v="0"/>
    <s v="Ngororero"/>
    <s v="Ngororero"/>
    <s v="NNYU_3"/>
    <s v="Nyabarongo Upstream Sub-Catchment"/>
    <n v="3626.64"/>
  </r>
  <r>
    <x v="3"/>
    <s v="KIRAMBA"/>
    <s v="Public"/>
    <x v="0"/>
    <s v="Ngororero"/>
    <s v="Ngororero"/>
    <s v="NNYU_3"/>
    <s v="Nyabarongo Upstream Sub-Catchment"/>
    <n v="1734.4800000000002"/>
  </r>
  <r>
    <x v="3"/>
    <s v="CYATINGA"/>
    <s v="Public"/>
    <x v="0"/>
    <s v="Ngororero"/>
    <s v="Ngororero"/>
    <s v="NNYU_3"/>
    <s v="Nyabarongo Upstream Sub-Catchment"/>
    <n v="788.40000000000009"/>
  </r>
  <r>
    <x v="3"/>
    <s v="CYABAKECURU"/>
    <s v="Public"/>
    <x v="0"/>
    <s v="Ngororero"/>
    <s v="Ngororero"/>
    <s v="NNYU_3"/>
    <s v="Nyabarongo Upstream Sub-Catchment"/>
    <n v="2365.2000000000003"/>
  </r>
  <r>
    <x v="3"/>
    <s v="NYANGE"/>
    <s v="Public"/>
    <x v="0"/>
    <s v="Ngororero"/>
    <s v="Ngororero"/>
    <s v="NNYU_3"/>
    <s v="Nyabarongo Upstream Sub-Catchment"/>
    <n v="1261.44"/>
  </r>
  <r>
    <x v="3"/>
    <s v="GATEBEZA  I"/>
    <s v="Public"/>
    <x v="0"/>
    <s v="Ngororero"/>
    <s v="Ngororero"/>
    <s v="NNYU_3"/>
    <s v="Nyabarongo Upstream Sub-Catchment"/>
    <n v="473.04"/>
  </r>
  <r>
    <x v="3"/>
    <s v="KUMUHANA"/>
    <s v="Public"/>
    <x v="0"/>
    <s v="Ngororero"/>
    <s v="Ngororero"/>
    <s v="NNYU_3"/>
    <s v="Nyabarongo Upstream Sub-Catchment"/>
    <n v="1892.16"/>
  </r>
  <r>
    <x v="3"/>
    <s v="MUBYIMANA"/>
    <s v="Public"/>
    <x v="0"/>
    <s v="Ngororero"/>
    <s v="Ngororero"/>
    <s v="NNYU_3"/>
    <s v="Nyabarongo Upstream Sub-Catchment"/>
    <n v="788.40000000000009"/>
  </r>
  <r>
    <x v="3"/>
    <s v="GATEBEZA  II"/>
    <s v="Public"/>
    <x v="0"/>
    <s v="Ngororero"/>
    <s v="Ngororero"/>
    <s v="NNYU_3"/>
    <s v="Nyabarongo Upstream Sub-Catchment"/>
    <n v="630.72"/>
  </r>
  <r>
    <x v="3"/>
    <s v="RWAMIGIHO"/>
    <s v="Public"/>
    <x v="0"/>
    <s v="Ngororero"/>
    <s v="Ngororero"/>
    <s v="NNYU_3"/>
    <s v="Nyabarongo Upstream Sub-Catchment"/>
    <n v="946.08"/>
  </r>
  <r>
    <x v="3"/>
    <s v="NYARUSANGE"/>
    <s v="Public"/>
    <x v="0"/>
    <s v="Ngororero"/>
    <s v="Ngororero"/>
    <s v="NNYU_3"/>
    <s v="Nyabarongo Upstream Sub-Catchment"/>
    <n v="1892.16"/>
  </r>
  <r>
    <x v="3"/>
    <s v="NTABWENGE"/>
    <s v="Public"/>
    <x v="0"/>
    <s v="Ngororero"/>
    <s v="Ngororero"/>
    <s v="NNYU_3"/>
    <s v="Nyabarongo Upstream Sub-Catchment"/>
    <n v="473.04"/>
  </r>
  <r>
    <x v="3"/>
    <s v="NKURIKIZA"/>
    <s v="Public"/>
    <x v="0"/>
    <s v="Ngororero"/>
    <s v="Ngororero"/>
    <s v="NNYU_3"/>
    <s v="Nyabarongo Upstream Sub-Catchment"/>
    <n v="630.72"/>
  </r>
  <r>
    <x v="3"/>
    <s v="MUKAGANO"/>
    <s v="Public"/>
    <x v="0"/>
    <s v="Ngororero"/>
    <s v="Ngororero"/>
    <s v="NNYU_3"/>
    <s v="Nyabarongo Upstream Sub-Catchment"/>
    <n v="946.08"/>
  </r>
  <r>
    <x v="3"/>
    <s v="GATOVU"/>
    <s v="Public"/>
    <x v="0"/>
    <s v="Ngororero"/>
    <s v="Ngororero"/>
    <s v="NNYU_3"/>
    <s v="Nyabarongo Upstream Sub-Catchment"/>
    <n v="788.40000000000009"/>
  </r>
  <r>
    <x v="3"/>
    <s v="MFUKIYE"/>
    <s v="Public"/>
    <x v="0"/>
    <s v="Ngororero"/>
    <s v="Ngororero"/>
    <s v="NNYU_3"/>
    <s v="Nyabarongo Upstream Sub-Catchment"/>
    <n v="788.40000000000009"/>
  </r>
  <r>
    <x v="3"/>
    <s v="KABADEGE"/>
    <s v="Public"/>
    <x v="0"/>
    <s v="Ngororero"/>
    <s v="Ngororero"/>
    <s v="NNYU_3"/>
    <s v="Nyabarongo Upstream Sub-Catchment"/>
    <n v="630.72"/>
  </r>
  <r>
    <x v="3"/>
    <s v="NYAKILIBA"/>
    <s v="Public"/>
    <x v="0"/>
    <s v="Ngororero"/>
    <s v="Ngororero"/>
    <s v="NNYU_3"/>
    <s v="Nyabarongo Upstream Sub-Catchment"/>
    <n v="788.40000000000009"/>
  </r>
  <r>
    <x v="3"/>
    <s v="GITUZA"/>
    <s v="Public"/>
    <x v="0"/>
    <s v="Ngororero"/>
    <s v="Ngororero"/>
    <s v="NNYU_3"/>
    <s v="Nyabarongo Upstream Sub-Catchment"/>
    <n v="630.72"/>
  </r>
  <r>
    <x v="3"/>
    <s v="BIRASINKERI"/>
    <s v="Public"/>
    <x v="0"/>
    <s v="Ngororero"/>
    <s v="Ngororero"/>
    <s v="NNYU_3"/>
    <s v="Nyabarongo Upstream Sub-Catchment"/>
    <n v="946.08"/>
  </r>
  <r>
    <x v="3"/>
    <s v="GIHEMBE"/>
    <s v="Public"/>
    <x v="0"/>
    <s v="Ngororero"/>
    <s v="Ngororero"/>
    <s v="NNYU_3"/>
    <s v="Nyabarongo Upstream Sub-Catchment"/>
    <n v="5045.76"/>
  </r>
  <r>
    <x v="3"/>
    <s v="RWINYONI"/>
    <s v="Public"/>
    <x v="0"/>
    <s v="Ngororero"/>
    <s v="Ngororero"/>
    <s v="NNYU_3"/>
    <s v="Nyabarongo Upstream Sub-Catchment"/>
    <n v="1261.44"/>
  </r>
  <r>
    <x v="3"/>
    <s v="SEMATAMA"/>
    <s v="Public"/>
    <x v="0"/>
    <s v="Ngororero"/>
    <s v="Ngororero"/>
    <s v="NNYU_3"/>
    <s v="Nyabarongo Upstream Sub-Catchment"/>
    <n v="1261.44"/>
  </r>
  <r>
    <x v="3"/>
    <s v="RUSEKE"/>
    <s v="Public"/>
    <x v="0"/>
    <s v="Ngororero"/>
    <s v="Ngororero"/>
    <s v="NNYU_3"/>
    <s v="Nyabarongo Upstream Sub-Catchment"/>
    <n v="1608335.9999999998"/>
  </r>
  <r>
    <x v="3"/>
    <s v="KIMPAZI"/>
    <s v="Public"/>
    <x v="0"/>
    <s v="Ngororero"/>
    <s v="Ngororero"/>
    <s v="NNYU_3"/>
    <s v="Nyabarongo Upstream Sub-Catchment"/>
    <n v="473.04"/>
  </r>
  <r>
    <x v="3"/>
    <s v="NZIMYA"/>
    <s v="Public"/>
    <x v="0"/>
    <s v="Ngororero"/>
    <s v="Ngororero"/>
    <s v="NNYU_3"/>
    <s v="Nyabarongo Upstream Sub-Catchment"/>
    <n v="473.04"/>
  </r>
  <r>
    <x v="3"/>
    <s v="KINYAMAGANA"/>
    <s v="Public"/>
    <x v="0"/>
    <s v="Ngororero"/>
    <s v="Ngororero"/>
    <s v="NNYU_3"/>
    <s v="Nyabarongo Upstream Sub-Catchment"/>
    <n v="788.40000000000009"/>
  </r>
  <r>
    <x v="3"/>
    <s v="KADOBOGO"/>
    <s v="Public"/>
    <x v="0"/>
    <s v="Ngororero"/>
    <s v="Ngororero"/>
    <s v="NNYU_3"/>
    <s v="Nyabarongo Upstream Sub-Catchment"/>
    <n v="1261.44"/>
  </r>
  <r>
    <x v="3"/>
    <s v="KABUMBIRO"/>
    <s v="Public"/>
    <x v="0"/>
    <s v="Ngororero"/>
    <s v="Ngororero"/>
    <s v="NNYU_3"/>
    <s v="Nyabarongo Upstream Sub-Catchment"/>
    <n v="630.72"/>
  </r>
  <r>
    <x v="3"/>
    <s v="BIHURU"/>
    <s v="Public"/>
    <x v="0"/>
    <s v="Ngororero"/>
    <s v="Ngororero"/>
    <s v="NNYU_3"/>
    <s v="Nyabarongo Upstream Sub-Catchment"/>
    <n v="788.40000000000009"/>
  </r>
  <r>
    <x v="3"/>
    <s v="RUSERERA"/>
    <s v="Public"/>
    <x v="0"/>
    <s v="Ngororero"/>
    <s v="Ngororero"/>
    <s v="NNYU_3"/>
    <s v="Nyabarongo Upstream Sub-Catchment"/>
    <n v="1419.12"/>
  </r>
  <r>
    <x v="3"/>
    <s v="NYAMABUYE I"/>
    <s v="Public"/>
    <x v="0"/>
    <s v="Ngororero"/>
    <s v="Ngororero"/>
    <s v="NNYU_3"/>
    <s v="Nyabarongo Upstream Sub-Catchment"/>
    <n v="788.40000000000009"/>
  </r>
  <r>
    <x v="3"/>
    <s v="RWANYURURUT"/>
    <s v="Public"/>
    <x v="0"/>
    <s v="Ngororero"/>
    <s v="Ngororero"/>
    <s v="NNYU_3"/>
    <s v="Nyabarongo Upstream Sub-Catchment"/>
    <n v="1576.8000000000002"/>
  </r>
  <r>
    <x v="3"/>
    <s v="GAHANGA"/>
    <s v="Public"/>
    <x v="0"/>
    <s v="Ngororero"/>
    <s v="Ngororero"/>
    <s v="NNYU_3"/>
    <s v="Nyabarongo Upstream Sub-Catchment"/>
    <n v="788.40000000000009"/>
  </r>
  <r>
    <x v="3"/>
    <s v="KAMURINDI I"/>
    <s v="Public"/>
    <x v="0"/>
    <s v="Ngororero"/>
    <s v="Ngororero"/>
    <s v="NNYU_3"/>
    <s v="Nyabarongo Upstream Sub-Catchment"/>
    <n v="2049.84"/>
  </r>
  <r>
    <x v="3"/>
    <s v="KAMURINDI II"/>
    <s v="Public"/>
    <x v="0"/>
    <s v="Ngororero"/>
    <s v="Ngororero"/>
    <s v="NNYU_3"/>
    <s v="Nyabarongo Upstream Sub-Catchment"/>
    <n v="1261.44"/>
  </r>
  <r>
    <x v="3"/>
    <s v="KAMWERO"/>
    <s v="Public"/>
    <x v="0"/>
    <s v="Ngororero"/>
    <s v="Ngororero"/>
    <s v="NNYU_3"/>
    <s v="Nyabarongo Upstream Sub-Catchment"/>
    <n v="630.72"/>
  </r>
  <r>
    <x v="3"/>
    <s v="NYAGASOZI"/>
    <s v="Public"/>
    <x v="0"/>
    <s v="Ngororero"/>
    <s v="Ngororero"/>
    <s v="NNYU_3"/>
    <s v="Nyabarongo Upstream Sub-Catchment"/>
    <n v="788.40000000000009"/>
  </r>
  <r>
    <x v="3"/>
    <s v="NYAMABUYE II"/>
    <s v="Public"/>
    <x v="0"/>
    <s v="Ngororero"/>
    <s v="Ngororero"/>
    <s v="NNYU_3"/>
    <s v="Nyabarongo Upstream Sub-Catchment"/>
    <n v="630.72"/>
  </r>
  <r>
    <x v="3"/>
    <s v="KABERANYA  B"/>
    <s v="Public"/>
    <x v="0"/>
    <s v="Ngororero"/>
    <s v="Ngororero"/>
    <s v="NNYU_3"/>
    <s v="Nyabarongo Upstream Sub-Catchment"/>
    <n v="788.40000000000009"/>
  </r>
  <r>
    <x v="3"/>
    <s v="KABERANYA  A"/>
    <s v="Public"/>
    <x v="0"/>
    <s v="Ngororero"/>
    <s v="Ngororero"/>
    <s v="NNYU_3"/>
    <s v="Nyabarongo Upstream Sub-Catchment"/>
    <n v="1576.8000000000002"/>
  </r>
  <r>
    <x v="3"/>
    <s v="KINYANGA"/>
    <s v="Public"/>
    <x v="0"/>
    <s v="Ngororero"/>
    <s v="Ngororero"/>
    <s v="NNYU_3"/>
    <s v="Nyabarongo Upstream Sub-Catchment"/>
    <n v="788.40000000000009"/>
  </r>
  <r>
    <x v="3"/>
    <s v="NYABITARE"/>
    <s v="Public"/>
    <x v="0"/>
    <s v="Ngororero"/>
    <s v="Ngororero"/>
    <s v="NNYU_3"/>
    <s v="Nyabarongo Upstream Sub-Catchment"/>
    <n v="4888.0800000000008"/>
  </r>
  <r>
    <x v="3"/>
    <s v="NYAKABINGO II"/>
    <s v="Public"/>
    <x v="0"/>
    <s v="Ngororero"/>
    <s v="Ngororero"/>
    <s v="NNYU_3"/>
    <s v="Nyabarongo Upstream Sub-Catchment"/>
    <n v="2365.2000000000003"/>
  </r>
  <r>
    <x v="3"/>
    <s v="BUGOMERO"/>
    <s v="Public"/>
    <x v="0"/>
    <s v="Ngororero"/>
    <s v="Ngororero"/>
    <s v="NNYU_3"/>
    <s v="Nyabarongo Upstream Sub-Catchment"/>
    <n v="1892.16"/>
  </r>
  <r>
    <x v="3"/>
    <s v="GATARE I"/>
    <s v="Public"/>
    <x v="0"/>
    <s v="Ngororero"/>
    <s v="Ngororero"/>
    <s v="NNYU_3"/>
    <s v="Nyabarongo Upstream Sub-Catchment"/>
    <n v="788.40000000000009"/>
  </r>
  <r>
    <x v="3"/>
    <s v="KINZERERI"/>
    <s v="Public"/>
    <x v="0"/>
    <s v="Ngororero"/>
    <s v="Ngororero"/>
    <s v="NNYU_3"/>
    <s v="Nyabarongo Upstream Sub-Catchment"/>
    <n v="1261.44"/>
  </r>
  <r>
    <x v="3"/>
    <s v="NYABIBUNDU"/>
    <s v="Public"/>
    <x v="0"/>
    <s v="Ngororero"/>
    <s v="Ngororero"/>
    <s v="NNYU_3"/>
    <s v="Nyabarongo Upstream Sub-Catchment"/>
    <n v="630.72"/>
  </r>
  <r>
    <x v="3"/>
    <s v="KARERA"/>
    <s v="Public"/>
    <x v="0"/>
    <s v="Ngororero"/>
    <s v="Ngororero"/>
    <s v="NNYU_3"/>
    <s v="Nyabarongo Upstream Sub-Catchment"/>
    <n v="1419.12"/>
  </r>
  <r>
    <x v="3"/>
    <s v="GATARE II"/>
    <s v="Public"/>
    <x v="0"/>
    <s v="Ngororero"/>
    <s v="Ngororero"/>
    <s v="NNYU_3"/>
    <s v="Nyabarongo Upstream Sub-Catchment"/>
    <n v="315.36"/>
  </r>
  <r>
    <x v="3"/>
    <s v="NYAMUKO"/>
    <s v="Public"/>
    <x v="0"/>
    <s v="Ngororero"/>
    <s v="Ngororero"/>
    <s v="NNYU_3"/>
    <s v="Nyabarongo Upstream Sub-Catchment"/>
    <n v="1261.44"/>
  </r>
  <r>
    <x v="3"/>
    <s v="KAJAGI"/>
    <s v="Public"/>
    <x v="0"/>
    <s v="Ngororero"/>
    <s v="Ngororero"/>
    <s v="NNYU_3"/>
    <s v="Nyabarongo Upstream Sub-Catchment"/>
    <n v="2838.24"/>
  </r>
  <r>
    <x v="3"/>
    <s v="NYAKABINGO I"/>
    <s v="Public"/>
    <x v="0"/>
    <s v="Ngororero"/>
    <s v="Ngororero"/>
    <s v="NNYU_3"/>
    <s v="Nyabarongo Upstream Sub-Catchment"/>
    <n v="1892.16"/>
  </r>
  <r>
    <x v="3"/>
    <s v="RWANGWE"/>
    <s v="Public"/>
    <x v="0"/>
    <s v="Ngororero"/>
    <s v="Ngororero"/>
    <s v="NNYU_3"/>
    <s v="Nyabarongo Upstream Sub-Catchment"/>
    <n v="1576.8000000000002"/>
  </r>
  <r>
    <x v="3"/>
    <s v="NYIRANTARENGWA"/>
    <s v="Public"/>
    <x v="0"/>
    <s v="Ngororero"/>
    <s v="Ngororero"/>
    <s v="NNYU_3"/>
    <s v="Nyabarongo Upstream Sub-Catchment"/>
    <n v="946.08"/>
  </r>
  <r>
    <x v="3"/>
    <s v="NGARUYINKA"/>
    <s v="Public"/>
    <x v="0"/>
    <s v="Ngororero"/>
    <s v="Ngororero"/>
    <s v="NNYU_3"/>
    <s v="Nyabarongo Upstream Sub-Catchment"/>
    <n v="630.72"/>
  </r>
  <r>
    <x v="3"/>
    <s v="KARAMBO"/>
    <s v="Public"/>
    <x v="0"/>
    <s v="Ngororero"/>
    <s v="Ngororero"/>
    <s v="NNYU_3"/>
    <s v="Nyabarongo Upstream Sub-Catchment"/>
    <n v="1261.44"/>
  </r>
  <r>
    <x v="3"/>
    <s v="GASEKE"/>
    <s v="Public"/>
    <x v="0"/>
    <s v="Ngororero"/>
    <s v="Ngororero"/>
    <s v="NNYU_3"/>
    <s v="Nyabarongo Upstream Sub-Catchment"/>
    <n v="5045.76"/>
  </r>
  <r>
    <x v="3"/>
    <s v="MUKUKURI"/>
    <s v="Public"/>
    <x v="0"/>
    <s v="Ngororero"/>
    <s v="Ngororero"/>
    <s v="NNYU_3"/>
    <s v="Nyabarongo Upstream Sub-Catchment"/>
    <n v="788.40000000000009"/>
  </r>
  <r>
    <x v="3"/>
    <s v="NYAMUGARI A"/>
    <s v="Public"/>
    <x v="0"/>
    <s v="Ngororero"/>
    <s v="Ngororero"/>
    <s v="NNYU_3"/>
    <s v="Nyabarongo Upstream Sub-Catchment"/>
    <n v="1261.44"/>
  </r>
  <r>
    <x v="3"/>
    <s v="RUZIBAZIBA"/>
    <s v="Public"/>
    <x v="0"/>
    <s v="Ngororero"/>
    <s v="Ngororero"/>
    <s v="NNYU_3"/>
    <s v="Nyabarongo Upstream Sub-Catchment"/>
    <n v="1892.16"/>
  </r>
  <r>
    <x v="3"/>
    <s v="GAKOMA III"/>
    <s v="Public"/>
    <x v="0"/>
    <s v="Ngororero"/>
    <s v="Ngororero"/>
    <s v="NNYU_3"/>
    <s v="Nyabarongo Upstream Sub-Catchment"/>
    <n v="2049.84"/>
  </r>
  <r>
    <x v="3"/>
    <s v="NYAMUGARI B"/>
    <s v="Public"/>
    <x v="0"/>
    <s v="Ngororero"/>
    <s v="Ngororero"/>
    <s v="NNYU_3"/>
    <s v="Nyabarongo Upstream Sub-Catchment"/>
    <n v="5045.76"/>
  </r>
  <r>
    <x v="3"/>
    <s v="GAKOMA II"/>
    <s v="Public"/>
    <x v="0"/>
    <s v="Ngororero"/>
    <s v="Ngororero"/>
    <s v="NNYU_3"/>
    <s v="Nyabarongo Upstream Sub-Catchment"/>
    <n v="788.40000000000009"/>
  </r>
  <r>
    <x v="3"/>
    <s v="MWAMBARANGWE"/>
    <s v="Public"/>
    <x v="0"/>
    <s v="Ngororero"/>
    <s v="Ngororero"/>
    <s v="NNYU_3"/>
    <s v="Nyabarongo Upstream Sub-Catchment"/>
    <n v="1419.12"/>
  </r>
  <r>
    <x v="3"/>
    <s v="GAKOMA I"/>
    <s v="Public"/>
    <x v="0"/>
    <s v="Ngororero"/>
    <s v="Ngororero"/>
    <s v="NNYU_3"/>
    <s v="Nyabarongo Upstream Sub-Catchment"/>
    <n v="1261.44"/>
  </r>
  <r>
    <x v="3"/>
    <s v="MASUNZU I"/>
    <s v="Public"/>
    <x v="0"/>
    <s v="Ngororero"/>
    <s v="Ngororero"/>
    <s v="NNYU_3"/>
    <s v="Nyabarongo Upstream Sub-Catchment"/>
    <n v="1261.44"/>
  </r>
  <r>
    <x v="3"/>
    <s v="NYAKILIBA"/>
    <s v="Public"/>
    <x v="0"/>
    <s v="Ngororero"/>
    <s v="Ngororero"/>
    <s v="NNYU_3"/>
    <s v="Nyabarongo Upstream Sub-Catchment"/>
    <n v="473.04"/>
  </r>
  <r>
    <x v="3"/>
    <s v="MASUNZU II"/>
    <s v="Public"/>
    <x v="0"/>
    <s v="Ngororero"/>
    <s v="Ngororero"/>
    <s v="NNYU_3"/>
    <s v="Nyabarongo Upstream Sub-Catchment"/>
    <n v="630.72"/>
  </r>
  <r>
    <x v="3"/>
    <s v="MARIRAKABIRI"/>
    <s v="Public"/>
    <x v="0"/>
    <s v="Ngororero"/>
    <s v="Ngororero"/>
    <s v="NNYU_3"/>
    <s v="Nyabarongo Upstream Sub-Catchment"/>
    <n v="1576.8000000000002"/>
  </r>
  <r>
    <x v="3"/>
    <s v="NYAMABUYE"/>
    <s v="Public"/>
    <x v="0"/>
    <s v="Ngororero"/>
    <s v="Ngororero"/>
    <s v="NNYU_3"/>
    <s v="Nyabarongo Upstream Sub-Catchment"/>
    <n v="1261.44"/>
  </r>
  <r>
    <x v="3"/>
    <s v="KINYABARANGA"/>
    <s v="Public"/>
    <x v="0"/>
    <s v="Ngororero"/>
    <s v="Ngororero"/>
    <s v="NNYU_3"/>
    <s v="Nyabarongo Upstream Sub-Catchment"/>
    <n v="2049.84"/>
  </r>
  <r>
    <x v="3"/>
    <s v="NYIRANTASHYA"/>
    <s v="Public"/>
    <x v="0"/>
    <s v="Ngororero"/>
    <s v="Ngororero"/>
    <s v="NNYU_3"/>
    <s v="Nyabarongo Upstream Sub-Catchment"/>
    <n v="1892.16"/>
  </r>
  <r>
    <x v="3"/>
    <s v="KABUTI"/>
    <s v="Public"/>
    <x v="0"/>
    <s v="Ngororero"/>
    <s v="Ngororero"/>
    <s v="NNYU_3"/>
    <s v="Nyabarongo Upstream Sub-Catchment"/>
    <n v="204.98400000000001"/>
  </r>
  <r>
    <x v="3"/>
    <s v="KIBAYA"/>
    <s v="Public"/>
    <x v="0"/>
    <s v="Ngororero"/>
    <s v="Ngororero"/>
    <s v="NNYU_3"/>
    <s v="Nyabarongo Upstream Sub-Catchment"/>
    <n v="630.72"/>
  </r>
  <r>
    <x v="3"/>
    <s v="GATARE III"/>
    <s v="Public"/>
    <x v="0"/>
    <s v="Ngororero"/>
    <s v="Ngororero"/>
    <s v="NNYU_3"/>
    <s v="Nyabarongo Upstream Sub-Catchment"/>
    <n v="1103.7600000000002"/>
  </r>
  <r>
    <x v="3"/>
    <s v="MUNKANGU"/>
    <s v="Public"/>
    <x v="0"/>
    <s v="Ngororero"/>
    <s v="Ngororero"/>
    <s v="NNYU_3"/>
    <s v="Nyabarongo Upstream Sub-Catchment"/>
    <n v="946.08"/>
  </r>
  <r>
    <x v="3"/>
    <s v="GAHAMA II"/>
    <s v="Public"/>
    <x v="0"/>
    <s v="Ngororero"/>
    <s v="Ngororero"/>
    <s v="NNYU_3"/>
    <s v="Nyabarongo Upstream Sub-Catchment"/>
    <n v="2049.84"/>
  </r>
  <r>
    <x v="3"/>
    <s v="NGEZI"/>
    <s v="Public"/>
    <x v="0"/>
    <s v="Ngororero"/>
    <s v="Ngororero"/>
    <s v="NNYU_3"/>
    <s v="Nyabarongo Upstream Sub-Catchment"/>
    <n v="1103.7600000000002"/>
  </r>
  <r>
    <x v="3"/>
    <s v="GAHAMA III"/>
    <s v="Public"/>
    <x v="0"/>
    <s v="Ngororero"/>
    <s v="Ngororero"/>
    <s v="NNYU_3"/>
    <s v="Nyabarongo Upstream Sub-Catchment"/>
    <n v="2838.24"/>
  </r>
  <r>
    <x v="3"/>
    <s v="RUBABA"/>
    <s v="Public"/>
    <x v="0"/>
    <s v="Ngororero"/>
    <s v="Ngororero"/>
    <s v="NNYU_3"/>
    <s v="Nyabarongo Upstream Sub-Catchment"/>
    <n v="1261.44"/>
  </r>
  <r>
    <x v="3"/>
    <s v="NYAKABANDA"/>
    <s v="Public"/>
    <x v="0"/>
    <s v="Ngororero"/>
    <s v="Ngororero"/>
    <s v="NNYU_3"/>
    <s v="Nyabarongo Upstream Sub-Catchment"/>
    <n v="1261.44"/>
  </r>
  <r>
    <x v="3"/>
    <s v="GAHORORO"/>
    <s v="Public"/>
    <x v="0"/>
    <s v="Ngororero"/>
    <s v="Ngororero"/>
    <s v="NNYU_3"/>
    <s v="Nyabarongo Upstream Sub-Catchment"/>
    <n v="788.40000000000009"/>
  </r>
  <r>
    <x v="3"/>
    <s v="RYAMITERERI"/>
    <s v="Public"/>
    <x v="0"/>
    <s v="Ngororero"/>
    <s v="Ngororero"/>
    <s v="NNYU_3"/>
    <s v="Nyabarongo Upstream Sub-Catchment"/>
    <n v="473.04"/>
  </r>
  <r>
    <x v="3"/>
    <s v="RUNYENKARA"/>
    <s v="Public"/>
    <x v="0"/>
    <s v="Ngororero"/>
    <s v="Ngororero"/>
    <s v="NNYU_3"/>
    <s v="Nyabarongo Upstream Sub-Catchment"/>
    <n v="788.40000000000009"/>
  </r>
  <r>
    <x v="3"/>
    <s v="GASOKO"/>
    <s v="Public"/>
    <x v="0"/>
    <s v="Ngororero"/>
    <s v="Ngororero"/>
    <s v="NNYU_3"/>
    <s v="Nyabarongo Upstream Sub-Catchment"/>
    <n v="1419.12"/>
  </r>
  <r>
    <x v="3"/>
    <s v="MBURAMAZI"/>
    <s v="Public"/>
    <x v="0"/>
    <s v="Ngororero"/>
    <s v="Ngororero"/>
    <s v="NNYU_3"/>
    <s v="Nyabarongo Upstream Sub-Catchment"/>
    <n v="473.04"/>
  </r>
  <r>
    <x v="3"/>
    <s v="KADOGO"/>
    <s v="Public"/>
    <x v="0"/>
    <s v="Muhanga"/>
    <s v="Nyabinoni"/>
    <s v="NNYU_3"/>
    <s v="Nyabarongo Upstream Sub-Catchment"/>
    <n v="473.04"/>
  </r>
  <r>
    <x v="3"/>
    <s v="CYAMAGANA I"/>
    <s v="Public"/>
    <x v="0"/>
    <s v="Muhanga"/>
    <s v="Nyabinoni"/>
    <s v="NNYU_3"/>
    <s v="Nyabarongo Upstream Sub-Catchment"/>
    <n v="0"/>
  </r>
  <r>
    <x v="3"/>
    <s v="MBUGA III"/>
    <s v="Public"/>
    <x v="0"/>
    <s v="Muhanga"/>
    <s v="Nyabinoni"/>
    <s v="NNYU_3"/>
    <s v="Nyabarongo Upstream Sub-Catchment"/>
    <n v="6307.2000000000007"/>
  </r>
  <r>
    <x v="3"/>
    <s v="CYANZOVU II"/>
    <s v="Public"/>
    <x v="0"/>
    <s v="Muhanga"/>
    <s v="Nyabinoni"/>
    <s v="NNYU_3"/>
    <s v="Nyabarongo Upstream Sub-Catchment"/>
    <n v="4730.4000000000005"/>
  </r>
  <r>
    <x v="3"/>
    <s v="RYAMUHIZI"/>
    <s v="Public"/>
    <x v="0"/>
    <s v="Muhanga"/>
    <s v="Nyabinoni"/>
    <s v="NNYU_3"/>
    <s v="Nyabarongo Upstream Sub-Catchment"/>
    <n v="4730.4000000000005"/>
  </r>
  <r>
    <x v="3"/>
    <s v="KAMESERO"/>
    <s v="Public"/>
    <x v="0"/>
    <s v="Muhanga"/>
    <s v="Nyabinoni"/>
    <s v="NNYU_3"/>
    <s v="Nyabarongo Upstream Sub-Catchment"/>
    <n v="946.08"/>
  </r>
  <r>
    <x v="3"/>
    <s v="CYANZOVU I"/>
    <s v="Public"/>
    <x v="0"/>
    <s v="Muhanga"/>
    <s v="Nyabinoni"/>
    <s v="NNYU_3"/>
    <s v="Nyabarongo Upstream Sub-Catchment"/>
    <n v="4730.4000000000005"/>
  </r>
  <r>
    <x v="3"/>
    <s v="KABERE"/>
    <s v="Public"/>
    <x v="0"/>
    <s v="Muhanga"/>
    <s v="Nyabinoni"/>
    <s v="NNYU_3"/>
    <s v="Nyabarongo Upstream Sub-Catchment"/>
    <n v="3153.6000000000004"/>
  </r>
  <r>
    <x v="3"/>
    <s v="NYABITARE"/>
    <s v="Public"/>
    <x v="0"/>
    <s v="Muhanga"/>
    <s v="Nyabinoni"/>
    <s v="NNYU_3"/>
    <s v="Nyabarongo Upstream Sub-Catchment"/>
    <n v="630.72"/>
  </r>
  <r>
    <x v="3"/>
    <s v="BWATO II"/>
    <s v="Public"/>
    <x v="0"/>
    <s v="Muhanga"/>
    <s v="Nyabinoni"/>
    <s v="NNYU_3"/>
    <s v="Nyabarongo Upstream Sub-Catchment"/>
    <n v="4730.4000000000005"/>
  </r>
  <r>
    <x v="3"/>
    <s v="NYAKAVUMU"/>
    <s v="Public"/>
    <x v="0"/>
    <s v="Muhanga"/>
    <s v="Nyabinoni"/>
    <s v="NNYU_3"/>
    <s v="Nyabarongo Upstream Sub-Catchment"/>
    <n v="788.40000000000009"/>
  </r>
  <r>
    <x v="3"/>
    <s v="KAJAGI"/>
    <s v="Public"/>
    <x v="0"/>
    <s v="Muhanga"/>
    <s v="Nyabinoni"/>
    <s v="NNYU_3"/>
    <s v="Nyabarongo Upstream Sub-Catchment"/>
    <n v="1576.8000000000002"/>
  </r>
  <r>
    <x v="3"/>
    <s v="KANYAMUNABA"/>
    <s v="Public"/>
    <x v="0"/>
    <s v="Muhanga"/>
    <s v="Nyabinoni"/>
    <s v="NNYU_3"/>
    <s v="Nyabarongo Upstream Sub-Catchment"/>
    <n v="6307.2000000000007"/>
  </r>
  <r>
    <x v="3"/>
    <s v="CYAMAGANA II"/>
    <s v="Public"/>
    <x v="0"/>
    <s v="Muhanga"/>
    <s v="Nyabinoni"/>
    <s v="NNYU_3"/>
    <s v="Nyabarongo Upstream Sub-Catchment"/>
    <n v="63.072000000000003"/>
  </r>
  <r>
    <x v="3"/>
    <s v="KAMESERO II"/>
    <s v="Public"/>
    <x v="0"/>
    <s v="Muhanga"/>
    <s v="Nyabinoni"/>
    <s v="NNYU_3"/>
    <s v="Nyabarongo Upstream Sub-Catchment"/>
    <n v="1103.7600000000002"/>
  </r>
  <r>
    <x v="3"/>
    <s v="BWATO I"/>
    <s v="Public"/>
    <x v="0"/>
    <s v="Muhanga"/>
    <s v="Nyabinoni"/>
    <s v="NNYU_3"/>
    <s v="Nyabarongo Upstream Sub-Catchment"/>
    <n v="0"/>
  </r>
  <r>
    <x v="3"/>
    <s v="RUHANGA"/>
    <s v="Public"/>
    <x v="0"/>
    <s v="Muhanga"/>
    <s v="Nyabinoni"/>
    <s v="NNYU_3"/>
    <s v="Nyabarongo Upstream Sub-Catchment"/>
    <n v="1576.8000000000002"/>
  </r>
  <r>
    <x v="3"/>
    <s v="GAKATSI"/>
    <s v="Public"/>
    <x v="0"/>
    <s v="Muhanga"/>
    <s v="Nyabinoni"/>
    <s v="NNYU_3"/>
    <s v="Nyabarongo Upstream Sub-Catchment"/>
    <n v="3153.6000000000004"/>
  </r>
  <r>
    <x v="3"/>
    <s v="NDUBA"/>
    <s v="Public"/>
    <x v="0"/>
    <s v="Muhanga"/>
    <s v="Nyabinoni"/>
    <s v="NNYU_3"/>
    <s v="Nyabarongo Upstream Sub-Catchment"/>
    <n v="473.04"/>
  </r>
  <r>
    <x v="3"/>
    <s v="GASHONGONOKO"/>
    <s v="Public"/>
    <x v="0"/>
    <s v="Muhanga"/>
    <s v="Nyabinoni"/>
    <s v="NNYU_3"/>
    <s v="Nyabarongo Upstream Sub-Catchment"/>
    <n v="473.04"/>
  </r>
  <r>
    <x v="3"/>
    <s v="MUSANGE"/>
    <s v="Public"/>
    <x v="0"/>
    <s v="Muhanga"/>
    <s v="Nyabinoni"/>
    <s v="NNYU_3"/>
    <s v="Nyabarongo Upstream Sub-Catchment"/>
    <n v="4730.4000000000005"/>
  </r>
  <r>
    <x v="3"/>
    <s v="NYIRAGATSAMA"/>
    <s v="Public"/>
    <x v="0"/>
    <s v="Muhanga"/>
    <s v="Nyabinoni"/>
    <s v="NNYU_3"/>
    <s v="Nyabarongo Upstream Sub-Catchment"/>
    <n v="4730.4000000000005"/>
  </r>
  <r>
    <x v="3"/>
    <s v="ruhubura"/>
    <s v="Public"/>
    <x v="0"/>
    <s v="Muhanga"/>
    <s v="Nyabinoni"/>
    <s v="NNYU_3"/>
    <s v="Nyabarongo Upstream Sub-Catchment"/>
    <n v="4730.4000000000005"/>
  </r>
  <r>
    <x v="3"/>
    <s v="KINYAMIGO II"/>
    <s v="Public"/>
    <x v="0"/>
    <s v="Muhanga"/>
    <s v="Nyabinoni"/>
    <s v="NNYU_3"/>
    <s v="Nyabarongo Upstream Sub-Catchment"/>
    <n v="630.72"/>
  </r>
  <r>
    <x v="3"/>
    <s v="NYAKAGEZI"/>
    <s v="Public"/>
    <x v="0"/>
    <s v="Muhanga"/>
    <s v="Nyabinoni"/>
    <s v="NNYU_3"/>
    <s v="Nyabarongo Upstream Sub-Catchment"/>
    <n v="630.72"/>
  </r>
  <r>
    <x v="3"/>
    <s v="NGANDO"/>
    <s v="Public"/>
    <x v="0"/>
    <s v="Muhanga"/>
    <s v="Nyabinoni"/>
    <s v="NNYU_3"/>
    <s v="Nyabarongo Upstream Sub-Catchment"/>
    <n v="6307.2000000000007"/>
  </r>
  <r>
    <x v="3"/>
    <s v="GIHONDOGO"/>
    <s v="Public"/>
    <x v="0"/>
    <s v="Muhanga"/>
    <s v="Nyabinoni"/>
    <s v="NNYU_3"/>
    <s v="Nyabarongo Upstream Sub-Catchment"/>
    <n v="7884.0000000000009"/>
  </r>
  <r>
    <x v="3"/>
    <s v="nyarugenda"/>
    <s v="Public"/>
    <x v="0"/>
    <s v="Muhanga"/>
    <s v="Nyabinoni"/>
    <s v="NNYU_3"/>
    <s v="Nyabarongo Upstream Sub-Catchment"/>
    <n v="4730.4000000000005"/>
  </r>
  <r>
    <x v="3"/>
    <s v="KINYAMIGO"/>
    <s v="Public"/>
    <x v="0"/>
    <s v="Muhanga"/>
    <s v="Nyabinoni"/>
    <s v="NNYU_3"/>
    <s v="Nyabarongo Upstream Sub-Catchment"/>
    <n v="9460.8000000000011"/>
  </r>
  <r>
    <x v="3"/>
    <s v="KANYIRANTASHYA"/>
    <s v="Public"/>
    <x v="0"/>
    <s v="Muhanga"/>
    <s v="Nyabinoni"/>
    <s v="NNYU_3"/>
    <s v="Nyabarongo Upstream Sub-Catchment"/>
    <n v="3153.6000000000004"/>
  </r>
  <r>
    <x v="3"/>
    <s v="KABASODA"/>
    <s v="Public"/>
    <x v="0"/>
    <s v="Muhanga"/>
    <s v="Nyabinoni"/>
    <s v="NNYU_3"/>
    <s v="Nyabarongo Upstream Sub-Catchment"/>
    <n v="7884.0000000000009"/>
  </r>
  <r>
    <x v="3"/>
    <s v="KARESHYANYONI"/>
    <s v="Public"/>
    <x v="0"/>
    <s v="Muhanga"/>
    <s v="Nyabinoni"/>
    <s v="NNYU_3"/>
    <s v="Nyabarongo Upstream Sub-Catchment"/>
    <n v="315.36"/>
  </r>
  <r>
    <x v="3"/>
    <s v="KAGEGE"/>
    <s v="Public"/>
    <x v="0"/>
    <s v="Muhanga"/>
    <s v="Nyabinoni"/>
    <s v="NNYU_3"/>
    <s v="Nyabarongo Upstream Sub-Catchment"/>
    <n v="3153.6000000000004"/>
  </r>
  <r>
    <x v="3"/>
    <s v="KABASOTA I"/>
    <s v="Public"/>
    <x v="0"/>
    <s v="Muhanga"/>
    <s v="Nyabinoni"/>
    <s v="NNYU_3"/>
    <s v="Nyabarongo Upstream Sub-Catchment"/>
    <n v="946.08"/>
  </r>
  <r>
    <x v="3"/>
    <s v="MIGEZIBIRI"/>
    <s v="Public"/>
    <x v="0"/>
    <s v="Muhanga"/>
    <s v="Nyabinoni"/>
    <s v="NNYU_3"/>
    <s v="Nyabarongo Upstream Sub-Catchment"/>
    <n v="473.04"/>
  </r>
  <r>
    <x v="3"/>
    <s v="NYABWANA"/>
    <s v="Public"/>
    <x v="0"/>
    <s v="Muhanga"/>
    <s v="Nyabinoni"/>
    <s v="NNYU_3"/>
    <s v="Nyabarongo Upstream Sub-Catchment"/>
    <n v="7884.0000000000009"/>
  </r>
  <r>
    <x v="3"/>
    <s v="MUKECURU"/>
    <s v="Public"/>
    <x v="0"/>
    <s v="Muhanga"/>
    <s v="Nyabinoni"/>
    <s v="NNYU_3"/>
    <s v="Nyabarongo Upstream Sub-Catchment"/>
    <n v="4730.4000000000005"/>
  </r>
  <r>
    <x v="3"/>
    <s v="KANUNGA"/>
    <s v="Public"/>
    <x v="0"/>
    <s v="Muhanga"/>
    <s v="Nyabinoni"/>
    <s v="NNYU_3"/>
    <s v="Nyabarongo Upstream Sub-Catchment"/>
    <n v="946.08"/>
  </r>
  <r>
    <x v="3"/>
    <s v="RUTERANA"/>
    <s v="Public"/>
    <x v="0"/>
    <s v="Muhanga"/>
    <s v="Nyabinoni"/>
    <s v="NNYU_3"/>
    <s v="Nyabarongo Upstream Sub-Catchment"/>
    <n v="946.08"/>
  </r>
  <r>
    <x v="3"/>
    <s v="NYAKAGEZI"/>
    <s v="Public"/>
    <x v="0"/>
    <s v="Muhanga"/>
    <s v="Nyabinoni"/>
    <s v="NNYU_3"/>
    <s v="Nyabarongo Upstream Sub-Catchment"/>
    <n v="4730.4000000000005"/>
  </r>
  <r>
    <x v="3"/>
    <s v="KIJANA"/>
    <s v="Public"/>
    <x v="0"/>
    <s v="Muhanga"/>
    <s v="Nyabinoni"/>
    <s v="NNYU_3"/>
    <s v="Nyabarongo Upstream Sub-Catchment"/>
    <n v="473.04"/>
  </r>
  <r>
    <x v="3"/>
    <s v="NGIRIYE"/>
    <s v="Public"/>
    <x v="0"/>
    <s v="Muhanga"/>
    <s v="Nyabinoni"/>
    <s v="NNYU_3"/>
    <s v="Nyabarongo Upstream Sub-Catchment"/>
    <n v="3153.6000000000004"/>
  </r>
  <r>
    <x v="3"/>
    <s v="ngaru"/>
    <s v="Public"/>
    <x v="0"/>
    <s v="Muhanga"/>
    <s v="Nyabinoni"/>
    <s v="NNYU_3"/>
    <s v="Nyabarongo Upstream Sub-Catchment"/>
    <n v="630.72"/>
  </r>
  <r>
    <x v="3"/>
    <s v="MUHONGERWA"/>
    <s v="Public"/>
    <x v="0"/>
    <s v="Muhanga"/>
    <s v="Nyabinoni"/>
    <s v="NNYU_3"/>
    <s v="Nyabarongo Upstream Sub-Catchment"/>
    <n v="63.072000000000003"/>
  </r>
  <r>
    <x v="3"/>
    <s v="NGARU II"/>
    <s v="Public"/>
    <x v="0"/>
    <s v="Muhanga"/>
    <s v="Nyabinoni"/>
    <s v="NNYU_3"/>
    <s v="Nyabarongo Upstream Sub-Catchment"/>
    <n v="788.40000000000009"/>
  </r>
  <r>
    <x v="3"/>
    <s v="GASHUBI"/>
    <s v="Public"/>
    <x v="0"/>
    <s v="Muhanga"/>
    <s v="Nyabinoni"/>
    <s v="NNYU_3"/>
    <s v="Nyabarongo Upstream Sub-Catchment"/>
    <n v="4730.4000000000005"/>
  </r>
  <r>
    <x v="3"/>
    <s v="RURANGA"/>
    <s v="Public"/>
    <x v="0"/>
    <s v="Muhanga"/>
    <s v="Nyabinoni"/>
    <s v="NNYU_3"/>
    <s v="Nyabarongo Upstream Sub-Catchment"/>
    <n v="4730.4000000000005"/>
  </r>
  <r>
    <x v="3"/>
    <s v="KARIBA II"/>
    <s v="Public"/>
    <x v="0"/>
    <s v="Muhanga"/>
    <s v="Nyamabuye"/>
    <s v="NNYU_3"/>
    <s v="Nyabarongo Upstream Sub-Catchment"/>
    <n v="3942.0000000000005"/>
  </r>
  <r>
    <x v="3"/>
    <s v="KARIBA I"/>
    <s v="Public"/>
    <x v="0"/>
    <s v="Muhanga"/>
    <s v="Nyamabuye"/>
    <s v="NNYU_3"/>
    <s v="Nyabarongo Upstream Sub-Catchment"/>
    <n v="9460.8000000000011"/>
  </r>
  <r>
    <x v="3"/>
    <s v="KWIRIBA RISHYA"/>
    <s v="Public"/>
    <x v="0"/>
    <s v="Muhanga"/>
    <s v="Nyamabuye"/>
    <s v="NNYU_3"/>
    <s v="Nyabarongo Upstream Sub-Catchment"/>
    <n v="4730.4000000000005"/>
  </r>
  <r>
    <x v="3"/>
    <s v="RWABUHANGA"/>
    <s v="Public"/>
    <x v="0"/>
    <s v="Muhanga"/>
    <s v="Nyamabuye"/>
    <s v="NNYU_3"/>
    <s v="Nyabarongo Upstream Sub-Catchment"/>
    <n v="12614.400000000001"/>
  </r>
  <r>
    <x v="3"/>
    <s v="BYABONYINKA I"/>
    <s v="Public"/>
    <x v="0"/>
    <s v="Muhanga"/>
    <s v="Nyamabuye"/>
    <s v="NNYU_3"/>
    <s v="Nyabarongo Upstream Sub-Catchment"/>
    <n v="10249.199999999999"/>
  </r>
  <r>
    <x v="3"/>
    <s v="BYABONYINKA II"/>
    <s v="Public"/>
    <x v="0"/>
    <s v="Muhanga"/>
    <s v="Nyamabuye"/>
    <s v="NNYU_3"/>
    <s v="Nyabarongo Upstream Sub-Catchment"/>
    <n v="7884.0000000000009"/>
  </r>
  <r>
    <x v="3"/>
    <s v="NYIRANZOGA"/>
    <s v="Public"/>
    <x v="0"/>
    <s v="Muhanga"/>
    <s v="Nyamabuye"/>
    <s v="NNYU_3"/>
    <s v="Nyabarongo Upstream Sub-Catchment"/>
    <n v="3153.6000000000004"/>
  </r>
  <r>
    <x v="3"/>
    <s v="NYAKABINGO"/>
    <s v="Public"/>
    <x v="0"/>
    <s v="Muhanga"/>
    <s v="Nyamabuye"/>
    <s v="NNYU_3"/>
    <s v="Nyabarongo Upstream Sub-Catchment"/>
    <n v="5518.8"/>
  </r>
  <r>
    <x v="3"/>
    <s v="KIBUMBA"/>
    <s v="Public"/>
    <x v="0"/>
    <s v="Muhanga"/>
    <s v="Nyamabuye"/>
    <s v="NNYU_3"/>
    <s v="Nyabarongo Upstream Sub-Catchment"/>
    <n v="4730.4000000000005"/>
  </r>
  <r>
    <x v="3"/>
    <s v="NYAGIFUKU"/>
    <s v="Public"/>
    <x v="0"/>
    <s v="Muhanga"/>
    <s v="Nyamabuye"/>
    <s v="NNYU_3"/>
    <s v="Nyabarongo Upstream Sub-Catchment"/>
    <n v="5518.8"/>
  </r>
  <r>
    <x v="3"/>
    <s v="KABINGO"/>
    <s v="Public"/>
    <x v="0"/>
    <s v="Muhanga"/>
    <s v="Nyamabuye"/>
    <s v="NNYU_3"/>
    <s v="Nyabarongo Upstream Sub-Catchment"/>
    <n v="0"/>
  </r>
  <r>
    <x v="3"/>
    <s v="MUKANYEGENYEGE"/>
    <s v="Public"/>
    <x v="0"/>
    <s v="Muhanga"/>
    <s v="Nyamabuye"/>
    <s v="NNYU_3"/>
    <s v="Nyabarongo Upstream Sub-Catchment"/>
    <n v="1892.16"/>
  </r>
  <r>
    <x v="3"/>
    <s v="RWANKUBA"/>
    <s v="Public"/>
    <x v="0"/>
    <s v="Muhanga"/>
    <s v="Nyamabuye"/>
    <s v="NNYU_3"/>
    <s v="Nyabarongo Upstream Sub-Catchment"/>
    <n v="4257.3600000000006"/>
  </r>
  <r>
    <x v="3"/>
    <s v="NYAKABINGO"/>
    <s v="Public"/>
    <x v="0"/>
    <s v="Muhanga"/>
    <s v="Nyamabuye"/>
    <s v="NNYU_3"/>
    <s v="Nyabarongo Upstream Sub-Catchment"/>
    <n v="3942.0000000000005"/>
  </r>
  <r>
    <x v="3"/>
    <s v="GATARE"/>
    <s v="Public"/>
    <x v="0"/>
    <s v="Muhanga"/>
    <s v="Nyamabuye"/>
    <s v="NNYU_3"/>
    <s v="Nyabarongo Upstream Sub-Catchment"/>
    <n v="1892.16"/>
  </r>
  <r>
    <x v="3"/>
    <s v="NYAGATOVU"/>
    <s v="Public"/>
    <x v="0"/>
    <s v="Muhanga"/>
    <s v="Nyamabuye"/>
    <s v="NNYU_3"/>
    <s v="Nyabarongo Upstream Sub-Catchment"/>
    <n v="5361.12"/>
  </r>
  <r>
    <x v="3"/>
    <s v="NYABITARE"/>
    <s v="Public"/>
    <x v="0"/>
    <s v="Muhanga"/>
    <s v="Nyamabuye"/>
    <s v="NNYU_3"/>
    <s v="Nyabarongo Upstream Sub-Catchment"/>
    <n v="4257.3600000000006"/>
  </r>
  <r>
    <x v="3"/>
    <s v="GASEKE"/>
    <s v="Public"/>
    <x v="0"/>
    <s v="Muhanga"/>
    <s v="Nyamabuye"/>
    <s v="NNYU_3"/>
    <s v="Nyabarongo Upstream Sub-Catchment"/>
    <n v="3942.0000000000005"/>
  </r>
  <r>
    <x v="3"/>
    <s v="CYAHAFI"/>
    <s v="Public"/>
    <x v="0"/>
    <s v="Muhanga"/>
    <s v="Nyamabuye"/>
    <s v="NNYU_3"/>
    <s v="Nyabarongo Upstream Sub-Catchment"/>
    <n v="1576.8000000000002"/>
  </r>
  <r>
    <x v="3"/>
    <s v="KABIRIZI"/>
    <s v="Public"/>
    <x v="0"/>
    <s v="Muhanga"/>
    <s v="Nyamabuye"/>
    <s v="NNYU_3"/>
    <s v="Nyabarongo Upstream Sub-Catchment"/>
    <n v="0"/>
  </r>
  <r>
    <x v="3"/>
    <s v="GAKONI"/>
    <s v="Public"/>
    <x v="0"/>
    <s v="Muhanga"/>
    <s v="Nyamabuye"/>
    <s v="NNYU_3"/>
    <s v="Nyabarongo Upstream Sub-Catchment"/>
    <n v="5518.8"/>
  </r>
  <r>
    <x v="3"/>
    <s v="KABAYI"/>
    <s v="Public"/>
    <x v="0"/>
    <s v="Muhanga"/>
    <s v="Nyamabuye"/>
    <s v="NNYU_3"/>
    <s v="Nyabarongo Upstream Sub-Catchment"/>
    <n v="6307.2000000000007"/>
  </r>
  <r>
    <x v="3"/>
    <s v="NYAGASEKE"/>
    <s v="Public"/>
    <x v="0"/>
    <s v="Muhanga"/>
    <s v="Nyamabuye"/>
    <s v="NNYU_3"/>
    <s v="Nyabarongo Upstream Sub-Catchment"/>
    <n v="3153.6000000000004"/>
  </r>
  <r>
    <x v="3"/>
    <s v="MAGANURA"/>
    <s v="Public"/>
    <x v="0"/>
    <s v="Muhanga"/>
    <s v="Nyamabuye"/>
    <s v="NNYU_3"/>
    <s v="Nyabarongo Upstream Sub-Catchment"/>
    <n v="6307.2000000000007"/>
  </r>
  <r>
    <x v="3"/>
    <s v="NYAKABINGO"/>
    <s v="Public"/>
    <x v="0"/>
    <s v="Muhanga"/>
    <s v="Nyamabuye"/>
    <s v="NNYU_3"/>
    <s v="Nyabarongo Upstream Sub-Catchment"/>
    <n v="12614.400000000001"/>
  </r>
  <r>
    <x v="3"/>
    <s v="RUHONDO II"/>
    <s v="Public"/>
    <x v="0"/>
    <s v="Ngororero"/>
    <s v="Nyange"/>
    <s v="NNYU_3"/>
    <s v="Nyabarongo Upstream Sub-Catchment"/>
    <n v="1576.8000000000002"/>
  </r>
  <r>
    <x v="3"/>
    <s v="RUSEKE"/>
    <s v="Public"/>
    <x v="0"/>
    <s v="Ngororero"/>
    <s v="Nyange"/>
    <s v="NNYU_3"/>
    <s v="Nyabarongo Upstream Sub-Catchment"/>
    <n v="1261.44"/>
  </r>
  <r>
    <x v="3"/>
    <s v="NYIRAKAJARAMA"/>
    <s v="Public"/>
    <x v="0"/>
    <s v="Ngororero"/>
    <s v="Nyange"/>
    <s v="NNYU_3"/>
    <s v="Nyabarongo Upstream Sub-Catchment"/>
    <n v="1734.4800000000002"/>
  </r>
  <r>
    <x v="3"/>
    <s v="RYNYIRANDUHURA"/>
    <s v="Public"/>
    <x v="0"/>
    <s v="Ngororero"/>
    <s v="Nyange"/>
    <s v="NNYU_3"/>
    <s v="Nyabarongo Upstream Sub-Catchment"/>
    <n v="946.08"/>
  </r>
  <r>
    <x v="3"/>
    <s v="MUKARAGATA"/>
    <s v="Public"/>
    <x v="0"/>
    <s v="Ngororero"/>
    <s v="Nyange"/>
    <s v="NNYU_3"/>
    <s v="Nyabarongo Upstream Sub-Catchment"/>
    <n v="2049.84"/>
  </r>
  <r>
    <x v="3"/>
    <s v="KAGIMBO"/>
    <s v="Public"/>
    <x v="0"/>
    <s v="Ngororero"/>
    <s v="Nyange"/>
    <s v="NNYU_3"/>
    <s v="Nyabarongo Upstream Sub-Catchment"/>
    <n v="2049.84"/>
  </r>
  <r>
    <x v="3"/>
    <s v="KANYABUNGO"/>
    <s v="Public"/>
    <x v="0"/>
    <s v="Ngororero"/>
    <s v="Nyange"/>
    <s v="NNYU_3"/>
    <s v="Nyabarongo Upstream Sub-Catchment"/>
    <n v="10406.880000000001"/>
  </r>
  <r>
    <x v="3"/>
    <s v="KABUGITA"/>
    <s v="Public"/>
    <x v="0"/>
    <s v="Ngororero"/>
    <s v="Nyange"/>
    <s v="NNYU_3"/>
    <s v="Nyabarongo Upstream Sub-Catchment"/>
    <n v="473.04"/>
  </r>
  <r>
    <x v="3"/>
    <s v="RUBONOBONO"/>
    <s v="Public"/>
    <x v="0"/>
    <s v="Ngororero"/>
    <s v="Nyange"/>
    <s v="NNYU_3"/>
    <s v="Nyabarongo Upstream Sub-Catchment"/>
    <n v="1261.44"/>
  </r>
  <r>
    <x v="3"/>
    <s v="KABUYE"/>
    <s v="Public"/>
    <x v="0"/>
    <s v="Ngororero"/>
    <s v="Nyange"/>
    <s v="NNYU_3"/>
    <s v="Nyabarongo Upstream Sub-Catchment"/>
    <n v="2049.84"/>
  </r>
  <r>
    <x v="3"/>
    <s v="KARUKONDO"/>
    <s v="Public"/>
    <x v="0"/>
    <s v="Ngororero"/>
    <s v="Nyange"/>
    <s v="NNYU_3"/>
    <s v="Nyabarongo Upstream Sub-Catchment"/>
    <n v="473.04"/>
  </r>
  <r>
    <x v="3"/>
    <s v="KIRIZA"/>
    <s v="Public"/>
    <x v="0"/>
    <s v="Ngororero"/>
    <s v="Nyange"/>
    <s v="NNYU_3"/>
    <s v="Nyabarongo Upstream Sub-Catchment"/>
    <n v="946.08"/>
  </r>
  <r>
    <x v="3"/>
    <s v="BYORERA"/>
    <s v="Public"/>
    <x v="0"/>
    <s v="Ngororero"/>
    <s v="Nyange"/>
    <s v="NNYU_3"/>
    <s v="Nyabarongo Upstream Sub-Catchment"/>
    <n v="1103.7600000000002"/>
  </r>
  <r>
    <x v="3"/>
    <s v="RUTAHA"/>
    <s v="Public"/>
    <x v="0"/>
    <s v="Ngororero"/>
    <s v="Nyange"/>
    <s v="NNYU_3"/>
    <s v="Nyabarongo Upstream Sub-Catchment"/>
    <n v="1261.44"/>
  </r>
  <r>
    <x v="3"/>
    <s v="KADOBOGO I"/>
    <s v="Public"/>
    <x v="0"/>
    <s v="Ngororero"/>
    <s v="Nyange"/>
    <s v="NNYU_3"/>
    <s v="Nyabarongo Upstream Sub-Catchment"/>
    <n v="788.40000000000009"/>
  </r>
  <r>
    <x v="3"/>
    <s v="KADOBOGO II"/>
    <s v="Public"/>
    <x v="0"/>
    <s v="Ngororero"/>
    <s v="Nyange"/>
    <s v="NNYU_3"/>
    <s v="Nyabarongo Upstream Sub-Catchment"/>
    <n v="2365.2000000000003"/>
  </r>
  <r>
    <x v="3"/>
    <s v="KABIKORO"/>
    <s v="Public"/>
    <x v="0"/>
    <s v="Ngororero"/>
    <s v="Nyange"/>
    <s v="NNYU_3"/>
    <s v="Nyabarongo Upstream Sub-Catchment"/>
    <n v="8672.4000000000015"/>
  </r>
  <r>
    <x v="3"/>
    <s v="RUHONDO"/>
    <s v="Public"/>
    <x v="0"/>
    <s v="Ngororero"/>
    <s v="Nyange"/>
    <s v="NNYU_3"/>
    <s v="Nyabarongo Upstream Sub-Catchment"/>
    <n v="315.36"/>
  </r>
  <r>
    <x v="3"/>
    <s v="MUGERA"/>
    <s v="Public"/>
    <x v="0"/>
    <s v="Ngororero"/>
    <s v="Nyange"/>
    <s v="NNYU_3"/>
    <s v="Nyabarongo Upstream Sub-Catchment"/>
    <n v="315.36"/>
  </r>
  <r>
    <x v="3"/>
    <s v="MUGIKUKO"/>
    <s v="Public"/>
    <x v="0"/>
    <s v="Ngororero"/>
    <s v="Nyange"/>
    <s v="NNYU_3"/>
    <s v="Nyabarongo Upstream Sub-Catchment"/>
    <n v="946.08"/>
  </r>
  <r>
    <x v="3"/>
    <s v="GISUMA"/>
    <s v="Public"/>
    <x v="0"/>
    <s v="Ngororero"/>
    <s v="Nyange"/>
    <s v="NNYU_3"/>
    <s v="Nyabarongo Upstream Sub-Catchment"/>
    <n v="2049.84"/>
  </r>
  <r>
    <x v="3"/>
    <s v="NYABYUNYU"/>
    <s v="Public"/>
    <x v="0"/>
    <s v="Ngororero"/>
    <s v="Nyange"/>
    <s v="NNYU_3"/>
    <s v="Nyabarongo Upstream Sub-Catchment"/>
    <n v="3153.6000000000004"/>
  </r>
  <r>
    <x v="3"/>
    <s v="GAHAMA II"/>
    <s v="Public"/>
    <x v="0"/>
    <s v="Ngororero"/>
    <s v="Nyange"/>
    <s v="NNYU_3"/>
    <s v="Nyabarongo Upstream Sub-Catchment"/>
    <n v="1576.8000000000002"/>
  </r>
  <r>
    <x v="3"/>
    <s v="MBURAMMAZI II"/>
    <s v="Public"/>
    <x v="0"/>
    <s v="Ngororero"/>
    <s v="Nyange"/>
    <s v="NNYU_3"/>
    <s v="Nyabarongo Upstream Sub-Catchment"/>
    <n v="3942.0000000000005"/>
  </r>
  <r>
    <x v="3"/>
    <s v="GATARE III"/>
    <s v="Public"/>
    <x v="0"/>
    <s v="Ngororero"/>
    <s v="Nyange"/>
    <s v="NNYU_3"/>
    <s v="Nyabarongo Upstream Sub-Catchment"/>
    <n v="946.08"/>
  </r>
  <r>
    <x v="3"/>
    <s v="BAKIGANYA"/>
    <s v="Public"/>
    <x v="0"/>
    <s v="Ngororero"/>
    <s v="Nyange"/>
    <s v="NNYU_3"/>
    <s v="Nyabarongo Upstream Sub-Catchment"/>
    <n v="2207.5200000000004"/>
  </r>
  <r>
    <x v="3"/>
    <s v="KAZABAGARURA"/>
    <s v="Public"/>
    <x v="0"/>
    <s v="Ngororero"/>
    <s v="Nyange"/>
    <s v="NNYU_3"/>
    <s v="Nyabarongo Upstream Sub-Catchment"/>
    <n v="946.08"/>
  </r>
  <r>
    <x v="3"/>
    <s v="KAMURERA"/>
    <s v="Public"/>
    <x v="0"/>
    <s v="Ngororero"/>
    <s v="Nyange"/>
    <s v="NNYU_3"/>
    <s v="Nyabarongo Upstream Sub-Catchment"/>
    <n v="788.40000000000009"/>
  </r>
  <r>
    <x v="3"/>
    <s v="NYAMYISHYWA II"/>
    <s v="Public"/>
    <x v="0"/>
    <s v="Ngororero"/>
    <s v="Nyange"/>
    <s v="NNYU_3"/>
    <s v="Nyabarongo Upstream Sub-Catchment"/>
    <n v="788.40000000000009"/>
  </r>
  <r>
    <x v="3"/>
    <s v="GATSAMA"/>
    <s v="Public"/>
    <x v="0"/>
    <s v="Ngororero"/>
    <s v="Nyange"/>
    <s v="NNYU_3"/>
    <s v="Nyabarongo Upstream Sub-Catchment"/>
    <n v="1103.7600000000002"/>
  </r>
  <r>
    <x v="3"/>
    <s v="NYAMIREMBE"/>
    <s v="Public"/>
    <x v="0"/>
    <s v="Ngororero"/>
    <s v="Nyange"/>
    <s v="NNYU_3"/>
    <s v="Nyabarongo Upstream Sub-Catchment"/>
    <n v="3942.0000000000005"/>
  </r>
  <r>
    <x v="3"/>
    <s v="NYABIGUGU"/>
    <s v="Public"/>
    <x v="0"/>
    <s v="Ngororero"/>
    <s v="Nyange"/>
    <s v="NNYU_3"/>
    <s v="Nyabarongo Upstream Sub-Catchment"/>
    <n v="3153.6000000000004"/>
  </r>
  <r>
    <x v="3"/>
    <s v="GASEKE II"/>
    <s v="Public"/>
    <x v="0"/>
    <s v="Ngororero"/>
    <s v="Nyange"/>
    <s v="NNYU_3"/>
    <s v="Nyabarongo Upstream Sub-Catchment"/>
    <n v="1103.7600000000002"/>
  </r>
  <r>
    <x v="3"/>
    <s v="NYAKILIBA"/>
    <s v="Public"/>
    <x v="0"/>
    <s v="Ngororero"/>
    <s v="Nyange"/>
    <s v="NNYU_3"/>
    <s v="Nyabarongo Upstream Sub-Catchment"/>
    <n v="1419.12"/>
  </r>
  <r>
    <x v="3"/>
    <s v="RWAGASHUMBA"/>
    <s v="Public"/>
    <x v="0"/>
    <s v="Ngororero"/>
    <s v="Nyange"/>
    <s v="NNYU_3"/>
    <s v="Nyabarongo Upstream Sub-Catchment"/>
    <n v="788.40000000000009"/>
  </r>
  <r>
    <x v="3"/>
    <s v="GAHAMA"/>
    <s v="Public"/>
    <x v="0"/>
    <s v="Ngororero"/>
    <s v="Nyange"/>
    <s v="NNYU_3"/>
    <s v="Nyabarongo Upstream Sub-Catchment"/>
    <n v="788.40000000000009"/>
  </r>
  <r>
    <x v="3"/>
    <s v="RWANYIRANDAMIRA"/>
    <s v="Public"/>
    <x v="0"/>
    <s v="Ngororero"/>
    <s v="Nyange"/>
    <s v="NNYU_3"/>
    <s v="Nyabarongo Upstream Sub-Catchment"/>
    <n v="2049.84"/>
  </r>
  <r>
    <x v="3"/>
    <s v="GAHANGA"/>
    <s v="Public"/>
    <x v="0"/>
    <s v="Ngororero"/>
    <s v="Nyange"/>
    <s v="NNYU_3"/>
    <s v="Nyabarongo Upstream Sub-Catchment"/>
    <n v="473.04"/>
  </r>
  <r>
    <x v="3"/>
    <s v="GAKONI"/>
    <s v="Public"/>
    <x v="0"/>
    <s v="Ngororero"/>
    <s v="Nyange"/>
    <s v="NNYU_3"/>
    <s v="Nyabarongo Upstream Sub-Catchment"/>
    <n v="788.40000000000009"/>
  </r>
  <r>
    <x v="3"/>
    <s v="KAVOMERO"/>
    <s v="Public"/>
    <x v="0"/>
    <s v="Ngororero"/>
    <s v="Nyange"/>
    <s v="NNYU_3"/>
    <s v="Nyabarongo Upstream Sub-Catchment"/>
    <n v="315.36"/>
  </r>
  <r>
    <x v="3"/>
    <s v="RUKORA"/>
    <s v="Public"/>
    <x v="0"/>
    <s v="Ngororero"/>
    <s v="Nyange"/>
    <s v="NNYU_3"/>
    <s v="Nyabarongo Upstream Sub-Catchment"/>
    <n v="4099.68"/>
  </r>
  <r>
    <x v="3"/>
    <s v="GAKOMA I"/>
    <s v="Public"/>
    <x v="0"/>
    <s v="Ngororero"/>
    <s v="Nyange"/>
    <s v="NNYU_3"/>
    <s v="Nyabarongo Upstream Sub-Catchment"/>
    <n v="4099.68"/>
  </r>
  <r>
    <x v="3"/>
    <s v="RWAMIKABA"/>
    <s v="Public"/>
    <x v="0"/>
    <s v="Ngororero"/>
    <s v="Nyange"/>
    <s v="NNYU_3"/>
    <s v="Nyabarongo Upstream Sub-Catchment"/>
    <n v="2049.84"/>
  </r>
  <r>
    <x v="3"/>
    <s v="KARUTARE"/>
    <s v="Public"/>
    <x v="0"/>
    <s v="Ngororero"/>
    <s v="Nyange"/>
    <s v="NNYU_3"/>
    <s v="Nyabarongo Upstream Sub-Catchment"/>
    <n v="946.08"/>
  </r>
  <r>
    <x v="3"/>
    <s v="GASUMO"/>
    <s v="Public"/>
    <x v="0"/>
    <s v="Ngororero"/>
    <s v="Nyange"/>
    <s v="NNYU_3"/>
    <s v="Nyabarongo Upstream Sub-Catchment"/>
    <n v="1261.44"/>
  </r>
  <r>
    <x v="3"/>
    <s v="NYAMAHERI"/>
    <s v="Public"/>
    <x v="0"/>
    <s v="Ngororero"/>
    <s v="Nyange"/>
    <s v="NNYU_3"/>
    <s v="Nyabarongo Upstream Sub-Catchment"/>
    <n v="3153.6000000000004"/>
  </r>
  <r>
    <x v="3"/>
    <s v="MARIRAKABIRI"/>
    <s v="Public"/>
    <x v="0"/>
    <s v="Ngororero"/>
    <s v="Nyange"/>
    <s v="NNYU_3"/>
    <s v="Nyabarongo Upstream Sub-Catchment"/>
    <n v="1261.44"/>
  </r>
  <r>
    <x v="3"/>
    <s v="MABIHE"/>
    <s v="Public"/>
    <x v="0"/>
    <s v="Ngororero"/>
    <s v="Nyange"/>
    <s v="NNYU_3"/>
    <s v="Nyabarongo Upstream Sub-Catchment"/>
    <n v="946.08"/>
  </r>
  <r>
    <x v="3"/>
    <s v="KAGOMERO"/>
    <s v="Public"/>
    <x v="0"/>
    <s v="Ngororero"/>
    <s v="Nyange"/>
    <s v="NNYU_3"/>
    <s v="Nyabarongo Upstream Sub-Catchment"/>
    <n v="18921.600000000002"/>
  </r>
  <r>
    <x v="3"/>
    <s v="NYAKAGENDE"/>
    <s v="Public"/>
    <x v="0"/>
    <s v="Ngororero"/>
    <s v="Nyange"/>
    <s v="NNYU_3"/>
    <s v="Nyabarongo Upstream Sub-Catchment"/>
    <n v="473.04"/>
  </r>
  <r>
    <x v="3"/>
    <s v="NYIRABUNOSHI"/>
    <s v="Public"/>
    <x v="0"/>
    <s v="Ngororero"/>
    <s v="Nyange"/>
    <s v="NNYU_3"/>
    <s v="Nyabarongo Upstream Sub-Catchment"/>
    <n v="9145.44"/>
  </r>
  <r>
    <x v="3"/>
    <s v="RUBUYENGE"/>
    <s v="Public"/>
    <x v="0"/>
    <s v="Ngororero"/>
    <s v="Nyange"/>
    <s v="NNYU_3"/>
    <s v="Nyabarongo Upstream Sub-Catchment"/>
    <n v="1103.7600000000002"/>
  </r>
  <r>
    <x v="3"/>
    <s v="MBURAMAZI"/>
    <s v="Public"/>
    <x v="0"/>
    <s v="Ngororero"/>
    <s v="Nyange"/>
    <s v="NNYU_3"/>
    <s v="Nyabarongo Upstream Sub-Catchment"/>
    <n v="2049.84"/>
  </r>
  <r>
    <x v="3"/>
    <s v="NYIRAKAJARAMA II"/>
    <s v="Public"/>
    <x v="0"/>
    <s v="Ngororero"/>
    <s v="Nyange"/>
    <s v="NNYU_3"/>
    <s v="Nyabarongo Upstream Sub-Catchment"/>
    <n v="788.40000000000009"/>
  </r>
  <r>
    <x v="3"/>
    <s v="NYIRAKAJARAMA"/>
    <s v="Public"/>
    <x v="0"/>
    <s v="Ngororero"/>
    <s v="Nyange"/>
    <s v="NNYU_3"/>
    <s v="Nyabarongo Upstream Sub-Catchment"/>
    <n v="788.40000000000009"/>
  </r>
  <r>
    <x v="3"/>
    <s v="BAZIZANE"/>
    <s v="Public"/>
    <x v="0"/>
    <s v="Ngororero"/>
    <s v="Nyange"/>
    <s v="NNYU_3"/>
    <s v="Nyabarongo Upstream Sub-Catchment"/>
    <n v="1103.7600000000002"/>
  </r>
  <r>
    <x v="3"/>
    <s v="KIGINA"/>
    <s v="Public"/>
    <x v="0"/>
    <s v="Ngororero"/>
    <s v="Nyange"/>
    <s v="NNYU_3"/>
    <s v="Nyabarongo Upstream Sub-Catchment"/>
    <n v="5203.4400000000005"/>
  </r>
  <r>
    <x v="3"/>
    <s v="KIGINA"/>
    <s v="Public"/>
    <x v="0"/>
    <s v="Ngororero"/>
    <s v="Nyange"/>
    <s v="NNYU_3"/>
    <s v="Nyabarongo Upstream Sub-Catchment"/>
    <n v="5203.4400000000005"/>
  </r>
  <r>
    <x v="3"/>
    <s v="KAMUSURURU"/>
    <s v="Public"/>
    <x v="0"/>
    <s v="Ngororero"/>
    <s v="Nyange"/>
    <s v="NNYU_3"/>
    <s v="Nyabarongo Upstream Sub-Catchment"/>
    <n v="315.36"/>
  </r>
  <r>
    <x v="3"/>
    <s v="RWIBINYOGOTE"/>
    <s v="Public"/>
    <x v="0"/>
    <s v="Ngororero"/>
    <s v="Nyange"/>
    <s v="NNYU_3"/>
    <s v="Nyabarongo Upstream Sub-Catchment"/>
    <n v="630.72"/>
  </r>
  <r>
    <x v="3"/>
    <s v="NYAKARIBA"/>
    <s v="Public"/>
    <x v="0"/>
    <s v="Ngororero"/>
    <s v="Nyange"/>
    <s v="NNYU_3"/>
    <s v="Nyabarongo Upstream Sub-Catchment"/>
    <n v="788.40000000000009"/>
  </r>
  <r>
    <x v="3"/>
    <s v="KABASHANGA II"/>
    <s v="Public"/>
    <x v="0"/>
    <s v="Ngororero"/>
    <s v="Nyange"/>
    <s v="NNYU_3"/>
    <s v="Nyabarongo Upstream Sub-Catchment"/>
    <n v="11037.6"/>
  </r>
  <r>
    <x v="3"/>
    <s v="FUNGURA"/>
    <s v="Public"/>
    <x v="0"/>
    <s v="Ngororero"/>
    <s v="Nyange"/>
    <s v="NNYU_3"/>
    <s v="Nyabarongo Upstream Sub-Catchment"/>
    <n v="315.36"/>
  </r>
  <r>
    <x v="3"/>
    <s v="MUSASA"/>
    <s v="Public"/>
    <x v="0"/>
    <s v="Ngororero"/>
    <s v="Nyange"/>
    <s v="NNYU_3"/>
    <s v="Nyabarongo Upstream Sub-Catchment"/>
    <n v="788.40000000000009"/>
  </r>
  <r>
    <x v="3"/>
    <s v="KANYANSINDA"/>
    <s v="Public"/>
    <x v="0"/>
    <s v="Ngororero"/>
    <s v="Nyange"/>
    <s v="NNYU_3"/>
    <s v="Nyabarongo Upstream Sub-Catchment"/>
    <n v="788.40000000000009"/>
  </r>
  <r>
    <x v="3"/>
    <s v="KABASHANGA III"/>
    <s v="Public"/>
    <x v="0"/>
    <s v="Ngororero"/>
    <s v="Nyange"/>
    <s v="NNYU_3"/>
    <s v="Nyabarongo Upstream Sub-Catchment"/>
    <n v="12614.400000000001"/>
  </r>
  <r>
    <x v="3"/>
    <s v="RUBIRA"/>
    <s v="Public"/>
    <x v="0"/>
    <s v="Ngororero"/>
    <s v="Nyange"/>
    <s v="NNYU_3"/>
    <s v="Nyabarongo Upstream Sub-Catchment"/>
    <n v="7884.0000000000009"/>
  </r>
  <r>
    <x v="3"/>
    <s v="KAVOMO"/>
    <s v="Public"/>
    <x v="0"/>
    <s v="Ngororero"/>
    <s v="Nyange"/>
    <s v="NNYU_3"/>
    <s v="Nyabarongo Upstream Sub-Catchment"/>
    <n v="788.40000000000009"/>
  </r>
  <r>
    <x v="3"/>
    <s v="GATOKE II"/>
    <s v="Public"/>
    <x v="0"/>
    <s v="Ngororero"/>
    <s v="Nyange"/>
    <s v="NNYU_3"/>
    <s v="Nyabarongo Upstream Sub-Catchment"/>
    <n v="5203.4400000000005"/>
  </r>
  <r>
    <x v="3"/>
    <s v="GAKOMA II"/>
    <s v="Public"/>
    <x v="0"/>
    <s v="Ngororero"/>
    <s v="Nyange"/>
    <s v="NNYU_3"/>
    <s v="Nyabarongo Upstream Sub-Catchment"/>
    <n v="1576.8000000000002"/>
  </r>
  <r>
    <x v="3"/>
    <s v="RWAMAHINDO"/>
    <s v="Public"/>
    <x v="0"/>
    <s v="Ngororero"/>
    <s v="Nyange"/>
    <s v="NNYU_3"/>
    <s v="Nyabarongo Upstream Sub-Catchment"/>
    <n v="946.08"/>
  </r>
  <r>
    <x v="3"/>
    <s v="RULIZA"/>
    <s v="Public"/>
    <x v="0"/>
    <s v="Ngororero"/>
    <s v="Nyange"/>
    <s v="NNYU_3"/>
    <s v="Nyabarongo Upstream Sub-Catchment"/>
    <n v="7095.6"/>
  </r>
  <r>
    <x v="3"/>
    <s v="MWITEKE"/>
    <s v="Public"/>
    <x v="0"/>
    <s v="Ngororero"/>
    <s v="Nyange"/>
    <s v="NNYU_3"/>
    <s v="Nyabarongo Upstream Sub-Catchment"/>
    <n v="2049.84"/>
  </r>
  <r>
    <x v="3"/>
    <s v="NYARUGUMBA"/>
    <s v="Public"/>
    <x v="0"/>
    <s v="Ngororero"/>
    <s v="Nyange"/>
    <s v="NNYU_3"/>
    <s v="Nyabarongo Upstream Sub-Catchment"/>
    <n v="2522.88"/>
  </r>
  <r>
    <x v="3"/>
    <s v="KIVOMO I"/>
    <s v="Public"/>
    <x v="0"/>
    <s v="Ngororero"/>
    <s v="Nyange"/>
    <s v="NNYU_3"/>
    <s v="Nyabarongo Upstream Sub-Catchment"/>
    <n v="1103.7600000000002"/>
  </r>
  <r>
    <x v="3"/>
    <s v="KAJARI"/>
    <s v="Public"/>
    <x v="0"/>
    <s v="Ngororero"/>
    <s v="Nyange"/>
    <s v="NNYU_3"/>
    <s v="Nyabarongo Upstream Sub-Catchment"/>
    <n v="1261.44"/>
  </r>
  <r>
    <x v="3"/>
    <s v="KIVOMO II"/>
    <s v="Public"/>
    <x v="0"/>
    <s v="Ngororero"/>
    <s v="Nyange"/>
    <s v="NNYU_3"/>
    <s v="Nyabarongo Upstream Sub-Catchment"/>
    <n v="1576.8000000000002"/>
  </r>
  <r>
    <x v="3"/>
    <s v="KARUTETE"/>
    <s v="Public"/>
    <x v="0"/>
    <s v="Ngororero"/>
    <s v="Nyange"/>
    <s v="NNYU_3"/>
    <s v="Nyabarongo Upstream Sub-Catchment"/>
    <n v="3153.6000000000004"/>
  </r>
  <r>
    <x v="3"/>
    <s v="NYARUKOMA"/>
    <s v="Public"/>
    <x v="0"/>
    <s v="Ngororero"/>
    <s v="Nyange"/>
    <s v="NNYU_3"/>
    <s v="Nyabarongo Upstream Sub-Catchment"/>
    <n v="946.08"/>
  </r>
  <r>
    <x v="3"/>
    <s v="GGATARE2"/>
    <s v="Public"/>
    <x v="0"/>
    <s v="Ngororero"/>
    <s v="Nyange"/>
    <s v="NNYU_3"/>
    <s v="Nyabarongo Upstream Sub-Catchment"/>
    <n v="2365.2000000000003"/>
  </r>
  <r>
    <x v="3"/>
    <s v="KAMATONGO"/>
    <s v="Public"/>
    <x v="0"/>
    <s v="Ngororero"/>
    <s v="Nyange"/>
    <s v="NNYU_3"/>
    <s v="Nyabarongo Upstream Sub-Catchment"/>
    <n v="1261.44"/>
  </r>
  <r>
    <x v="3"/>
    <s v="NOGABEZA"/>
    <s v="Public"/>
    <x v="0"/>
    <s v="Ngororero"/>
    <s v="Nyange"/>
    <s v="NNYU_3"/>
    <s v="Nyabarongo Upstream Sub-Catchment"/>
    <n v="25228.800000000003"/>
  </r>
  <r>
    <x v="3"/>
    <s v="RUVUMBU"/>
    <s v="Public"/>
    <x v="0"/>
    <s v="Ngororero"/>
    <s v="Nyange"/>
    <s v="NNYU_3"/>
    <s v="Nyabarongo Upstream Sub-Catchment"/>
    <n v="2995.92"/>
  </r>
  <r>
    <x v="3"/>
    <s v="NYAMIRINGA"/>
    <s v="Public"/>
    <x v="0"/>
    <s v="Ngororero"/>
    <s v="Nyange"/>
    <s v="NNYU_3"/>
    <s v="Nyabarongo Upstream Sub-Catchment"/>
    <n v="2995.92"/>
  </r>
  <r>
    <x v="3"/>
    <s v="GAKOMA II"/>
    <s v="Public"/>
    <x v="0"/>
    <s v="Ngororero"/>
    <s v="Nyange"/>
    <s v="NNYU_3"/>
    <s v="Nyabarongo Upstream Sub-Catchment"/>
    <n v="788.40000000000009"/>
  </r>
  <r>
    <x v="3"/>
    <s v="GAHANGA 2"/>
    <s v="Public"/>
    <x v="0"/>
    <s v="Ngororero"/>
    <s v="Nyange"/>
    <s v="NNYU_3"/>
    <s v="Nyabarongo Upstream Sub-Catchment"/>
    <n v="1103.7600000000002"/>
  </r>
  <r>
    <x v="3"/>
    <s v="MUSASA"/>
    <s v="Public"/>
    <x v="0"/>
    <s v="Ngororero"/>
    <s v="Nyange"/>
    <s v="NNYU_3"/>
    <s v="Nyabarongo Upstream Sub-Catchment"/>
    <n v="630.72"/>
  </r>
  <r>
    <x v="3"/>
    <s v="KAMVENYA"/>
    <s v="Public"/>
    <x v="0"/>
    <s v="Ngororero"/>
    <s v="Nyange"/>
    <s v="NNYU_3"/>
    <s v="Nyabarongo Upstream Sub-Catchment"/>
    <n v="2049.84"/>
  </r>
  <r>
    <x v="3"/>
    <s v="CYURIMA"/>
    <s v="Public"/>
    <x v="0"/>
    <s v="Ngororero"/>
    <s v="Nyange"/>
    <s v="NNYU_3"/>
    <s v="Nyabarongo Upstream Sub-Catchment"/>
    <n v="1261.44"/>
  </r>
  <r>
    <x v="3"/>
    <s v="NYAMYISHWA"/>
    <s v="Public"/>
    <x v="0"/>
    <s v="Ngororero"/>
    <s v="Nyange"/>
    <s v="NNYU_3"/>
    <s v="Nyabarongo Upstream Sub-Catchment"/>
    <n v="946.08"/>
  </r>
  <r>
    <x v="3"/>
    <s v="NTARUSHYWA"/>
    <s v="Public"/>
    <x v="0"/>
    <s v="Ngororero"/>
    <s v="Nyange"/>
    <s v="NNYU_3"/>
    <s v="Nyabarongo Upstream Sub-Catchment"/>
    <n v="1576.8000000000002"/>
  </r>
  <r>
    <x v="3"/>
    <s v="NYAKIZENGA"/>
    <s v="Public"/>
    <x v="0"/>
    <s v="Ngororero"/>
    <s v="Nyange"/>
    <s v="NNYU_3"/>
    <s v="Nyabarongo Upstream Sub-Catchment"/>
    <n v="473.04"/>
  </r>
  <r>
    <x v="3"/>
    <s v="GATARE"/>
    <s v="Public"/>
    <x v="0"/>
    <s v="Ngororero"/>
    <s v="Nyange"/>
    <s v="NNYU_3"/>
    <s v="Nyabarongo Upstream Sub-Catchment"/>
    <n v="1419.12"/>
  </r>
  <r>
    <x v="3"/>
    <s v="NYAKABINGO"/>
    <s v="Public"/>
    <x v="0"/>
    <s v="Ngororero"/>
    <s v="Nyange"/>
    <s v="NNYU_3"/>
    <s v="Nyabarongo Upstream Sub-Catchment"/>
    <n v="946.08"/>
  </r>
  <r>
    <x v="3"/>
    <s v="GASEKE"/>
    <s v="Public"/>
    <x v="0"/>
    <s v="Ngororero"/>
    <s v="Nyange"/>
    <s v="NNYU_3"/>
    <s v="Nyabarongo Upstream Sub-Catchment"/>
    <n v="5518.8"/>
  </r>
  <r>
    <x v="3"/>
    <s v="GATOKE I"/>
    <s v="Public"/>
    <x v="0"/>
    <s v="Ngororero"/>
    <s v="Nyange"/>
    <s v="NNYU_3"/>
    <s v="Nyabarongo Upstream Sub-Catchment"/>
    <n v="5676.48"/>
  </r>
  <r>
    <x v="3"/>
    <s v="KABIRA"/>
    <s v="Public"/>
    <x v="0"/>
    <s v="Ngororero"/>
    <s v="Nyange"/>
    <s v="NNYU_3"/>
    <s v="Nyabarongo Upstream Sub-Catchment"/>
    <n v="2049.84"/>
  </r>
  <r>
    <x v="3"/>
    <s v="RUHUMIRO"/>
    <s v="Public"/>
    <x v="0"/>
    <s v="Ngororero"/>
    <s v="Nyange"/>
    <s v="NNYU_3"/>
    <s v="Nyabarongo Upstream Sub-Catchment"/>
    <n v="7884.0000000000009"/>
  </r>
  <r>
    <x v="3"/>
    <s v="RUGOMERO"/>
    <s v="Public"/>
    <x v="0"/>
    <s v="Ngororero"/>
    <s v="Nyange"/>
    <s v="NNYU_3"/>
    <s v="Nyabarongo Upstream Sub-Catchment"/>
    <n v="9933.84"/>
  </r>
  <r>
    <x v="3"/>
    <s v="NYIRAMWUNGERI"/>
    <s v="Public"/>
    <x v="0"/>
    <s v="Ngororero"/>
    <s v="Nyange"/>
    <s v="NNYU_3"/>
    <s v="Nyabarongo Upstream Sub-Catchment"/>
    <n v="1103.7600000000002"/>
  </r>
  <r>
    <x v="3"/>
    <s v="NYABIRETSO"/>
    <s v="Public"/>
    <x v="0"/>
    <s v="Ngororero"/>
    <s v="Nyange"/>
    <s v="NNYU_3"/>
    <s v="Nyabarongo Upstream Sub-Catchment"/>
    <n v="1103.7600000000002"/>
  </r>
  <r>
    <x v="3"/>
    <s v="KAMUCUZI"/>
    <s v="Public"/>
    <x v="0"/>
    <s v="Ngororero"/>
    <s v="Nyange"/>
    <s v="NNYU_3"/>
    <s v="Nyabarongo Upstream Sub-Catchment"/>
    <n v="2522.88"/>
  </r>
  <r>
    <x v="3"/>
    <s v="NANGUMURIMBO"/>
    <s v="Public"/>
    <x v="0"/>
    <s v="Ngororero"/>
    <s v="Nyange"/>
    <s v="NNYU_3"/>
    <s v="Nyabarongo Upstream Sub-Catchment"/>
    <n v="5203.4400000000005"/>
  </r>
  <r>
    <x v="3"/>
    <s v="RUNIHE"/>
    <s v="Public"/>
    <x v="0"/>
    <s v="Ngororero"/>
    <s v="Nyange"/>
    <s v="NNYU_3"/>
    <s v="Nyabarongo Upstream Sub-Catchment"/>
    <n v="2522.88"/>
  </r>
  <r>
    <x v="3"/>
    <s v="MUBUGA"/>
    <s v="Public"/>
    <x v="0"/>
    <s v="Ngororero"/>
    <s v="Nyange"/>
    <s v="NNYU_3"/>
    <s v="Nyabarongo Upstream Sub-Catchment"/>
    <n v="2049.84"/>
  </r>
  <r>
    <x v="3"/>
    <s v="MUGOMBERA"/>
    <s v="Public"/>
    <x v="0"/>
    <s v="Muhanga"/>
    <s v="Nyarusange"/>
    <s v="NNYU_3"/>
    <s v="Nyabarongo Upstream Sub-Catchment"/>
    <n v="7884.0000000000009"/>
  </r>
  <r>
    <x v="3"/>
    <s v="KAZIBAZIBA"/>
    <s v="Public"/>
    <x v="0"/>
    <s v="Muhanga"/>
    <s v="Nyarusange"/>
    <s v="NNYU_3"/>
    <s v="Nyabarongo Upstream Sub-Catchment"/>
    <n v="9460.8000000000011"/>
  </r>
  <r>
    <x v="3"/>
    <s v="GATARE"/>
    <s v="Public"/>
    <x v="0"/>
    <s v="Muhanga"/>
    <s v="Nyarusange"/>
    <s v="NNYU_3"/>
    <s v="Nyabarongo Upstream Sub-Catchment"/>
    <n v="7884.0000000000009"/>
  </r>
  <r>
    <x v="3"/>
    <s v="NYAMUGALI"/>
    <s v="Public"/>
    <x v="0"/>
    <s v="Muhanga"/>
    <s v="Nyarusange"/>
    <s v="NNYU_3"/>
    <s v="Nyabarongo Upstream Sub-Catchment"/>
    <n v="6307.2000000000007"/>
  </r>
  <r>
    <x v="3"/>
    <s v="BUHONONGO"/>
    <s v="Public"/>
    <x v="0"/>
    <s v="Muhanga"/>
    <s v="Nyarusange"/>
    <s v="NNYU_3"/>
    <s v="Nyabarongo Upstream Sub-Catchment"/>
    <n v="3153.6000000000004"/>
  </r>
  <r>
    <x v="3"/>
    <s v="RYAMUGANYA"/>
    <s v="Public"/>
    <x v="0"/>
    <s v="Muhanga"/>
    <s v="Nyarusange"/>
    <s v="NNYU_3"/>
    <s v="Nyabarongo Upstream Sub-Catchment"/>
    <n v="4730.4000000000005"/>
  </r>
  <r>
    <x v="3"/>
    <s v="RUBINDI"/>
    <s v="Public"/>
    <x v="0"/>
    <s v="Muhanga"/>
    <s v="Rongi"/>
    <s v="NNYU_3"/>
    <s v="Nyabarongo Upstream Sub-Catchment"/>
    <n v="6307.2000000000007"/>
  </r>
  <r>
    <x v="3"/>
    <s v="BAJYINDUGA"/>
    <s v="Public"/>
    <x v="0"/>
    <s v="Muhanga"/>
    <s v="Rongi"/>
    <s v="NNYU_3"/>
    <s v="Nyabarongo Upstream Sub-Catchment"/>
    <n v="315.36"/>
  </r>
  <r>
    <x v="3"/>
    <s v="GAKINDO II"/>
    <s v="Public"/>
    <x v="0"/>
    <s v="Muhanga"/>
    <s v="Rongi"/>
    <s v="NNYU_3"/>
    <s v="Nyabarongo Upstream Sub-Catchment"/>
    <n v="3153.6000000000004"/>
  </r>
  <r>
    <x v="3"/>
    <s v="GAKINDO I"/>
    <s v="Public"/>
    <x v="0"/>
    <s v="Muhanga"/>
    <s v="Rongi"/>
    <s v="NNYU_3"/>
    <s v="Nyabarongo Upstream Sub-Catchment"/>
    <n v="4730.4000000000005"/>
  </r>
  <r>
    <x v="3"/>
    <s v="SAGAHARA"/>
    <s v="Public"/>
    <x v="0"/>
    <s v="Muhanga"/>
    <s v="Rongi"/>
    <s v="NNYU_3"/>
    <s v="Nyabarongo Upstream Sub-Catchment"/>
    <n v="315.36"/>
  </r>
  <r>
    <x v="3"/>
    <s v="MBURAMAZI"/>
    <s v="Public"/>
    <x v="0"/>
    <s v="Muhanga"/>
    <s v="Rongi"/>
    <s v="NNYU_3"/>
    <s v="Nyabarongo Upstream Sub-Catchment"/>
    <n v="473.04"/>
  </r>
  <r>
    <x v="3"/>
    <s v="NYAMUKO"/>
    <s v="Public"/>
    <x v="0"/>
    <s v="Muhanga"/>
    <s v="Rongi"/>
    <s v="NNYU_3"/>
    <s v="Nyabarongo Upstream Sub-Catchment"/>
    <n v="473.04"/>
  </r>
  <r>
    <x v="3"/>
    <s v="CYONDO"/>
    <s v="Public"/>
    <x v="0"/>
    <s v="Muhanga"/>
    <s v="Rongi"/>
    <s v="NNYU_3"/>
    <s v="Nyabarongo Upstream Sub-Catchment"/>
    <n v="3153.6000000000004"/>
  </r>
  <r>
    <x v="3"/>
    <s v="GATARE"/>
    <s v="Public"/>
    <x v="0"/>
    <s v="Muhanga"/>
    <s v="Rongi"/>
    <s v="NNYU_3"/>
    <s v="Nyabarongo Upstream Sub-Catchment"/>
    <n v="0"/>
  </r>
  <r>
    <x v="3"/>
    <s v="KARYANGO"/>
    <s v="Public"/>
    <x v="0"/>
    <s v="Muhanga"/>
    <s v="Rongi"/>
    <s v="NNYU_3"/>
    <s v="Nyabarongo Upstream Sub-Catchment"/>
    <n v="4730.4000000000005"/>
  </r>
  <r>
    <x v="3"/>
    <s v="MUREKO"/>
    <s v="Public"/>
    <x v="0"/>
    <s v="Muhanga"/>
    <s v="Rongi"/>
    <s v="NNYU_3"/>
    <s v="Nyabarongo Upstream Sub-Catchment"/>
    <n v="4730.4000000000005"/>
  </r>
  <r>
    <x v="3"/>
    <s v="NYIRAMBUGA"/>
    <s v="Public"/>
    <x v="0"/>
    <s v="Muhanga"/>
    <s v="Rongi"/>
    <s v="NNYU_3"/>
    <s v="Nyabarongo Upstream Sub-Catchment"/>
    <n v="0"/>
  </r>
  <r>
    <x v="3"/>
    <s v="KAGUSA"/>
    <s v="Public"/>
    <x v="0"/>
    <s v="Muhanga"/>
    <s v="Rongi"/>
    <s v="NNYU_3"/>
    <s v="Nyabarongo Upstream Sub-Catchment"/>
    <n v="3153.6000000000004"/>
  </r>
  <r>
    <x v="3"/>
    <s v="NYARUBUZA"/>
    <s v="Public"/>
    <x v="0"/>
    <s v="Muhanga"/>
    <s v="Rongi"/>
    <s v="NNYU_3"/>
    <s v="Nyabarongo Upstream Sub-Catchment"/>
    <n v="4730.4000000000005"/>
  </r>
  <r>
    <x v="3"/>
    <s v="CYAHAFI"/>
    <s v="Public"/>
    <x v="0"/>
    <s v="Muhanga"/>
    <s v="Rongi"/>
    <s v="NNYU_3"/>
    <s v="Nyabarongo Upstream Sub-Catchment"/>
    <n v="4730.4000000000005"/>
  </r>
  <r>
    <x v="3"/>
    <s v="MABINDI"/>
    <s v="Public"/>
    <x v="0"/>
    <s v="Muhanga"/>
    <s v="Rongi"/>
    <s v="NNYU_3"/>
    <s v="Nyabarongo Upstream Sub-Catchment"/>
    <n v="4730.4000000000005"/>
  </r>
  <r>
    <x v="3"/>
    <s v="CYONDO I"/>
    <s v="Public"/>
    <x v="0"/>
    <s v="Muhanga"/>
    <s v="Rongi"/>
    <s v="NNYU_3"/>
    <s v="Nyabarongo Upstream Sub-Catchment"/>
    <n v="315.36"/>
  </r>
  <r>
    <x v="3"/>
    <s v="CYAMASHIRA"/>
    <s v="Public"/>
    <x v="0"/>
    <s v="Muhanga"/>
    <s v="Rongi"/>
    <s v="NNYU_3"/>
    <s v="Nyabarongo Upstream Sub-Catchment"/>
    <n v="3153.6000000000004"/>
  </r>
  <r>
    <x v="3"/>
    <s v="MUKAVURE"/>
    <s v="Public"/>
    <x v="0"/>
    <s v="Muhanga"/>
    <s v="Rongi"/>
    <s v="NNYU_3"/>
    <s v="Nyabarongo Upstream Sub-Catchment"/>
    <n v="3153.6000000000004"/>
  </r>
  <r>
    <x v="3"/>
    <s v="KIRUHURA"/>
    <s v="Public"/>
    <x v="0"/>
    <s v="Muhanga"/>
    <s v="Rongi"/>
    <s v="NNYU_3"/>
    <s v="Nyabarongo Upstream Sub-Catchment"/>
    <n v="4730.4000000000005"/>
  </r>
  <r>
    <x v="3"/>
    <s v="MUGOZI"/>
    <s v="Public"/>
    <x v="0"/>
    <s v="Muhanga"/>
    <s v="Rongi"/>
    <s v="NNYU_3"/>
    <s v="Nyabarongo Upstream Sub-Catchment"/>
    <n v="6307.2000000000007"/>
  </r>
  <r>
    <x v="3"/>
    <s v="MASIZI II"/>
    <s v="Public"/>
    <x v="0"/>
    <s v="Muhanga"/>
    <s v="Rongi"/>
    <s v="NNYU_3"/>
    <s v="Nyabarongo Upstream Sub-Catchment"/>
    <n v="4730.4000000000005"/>
  </r>
  <r>
    <x v="3"/>
    <s v="KIVUMU"/>
    <s v="Public"/>
    <x v="0"/>
    <s v="Muhanga"/>
    <s v="Rongi"/>
    <s v="NNYU_3"/>
    <s v="Nyabarongo Upstream Sub-Catchment"/>
    <n v="473.04"/>
  </r>
  <r>
    <x v="3"/>
    <s v="KAZABAGARURA"/>
    <s v="Public"/>
    <x v="0"/>
    <s v="Muhanga"/>
    <s v="Rongi"/>
    <s v="NNYU_3"/>
    <s v="Nyabarongo Upstream Sub-Catchment"/>
    <n v="94.60799999999999"/>
  </r>
  <r>
    <x v="3"/>
    <s v="NYAKAGEZI"/>
    <s v="Public"/>
    <x v="0"/>
    <s v="Muhanga"/>
    <s v="Rongi"/>
    <s v="NNYU_3"/>
    <s v="Nyabarongo Upstream Sub-Catchment"/>
    <n v="6307.2000000000007"/>
  </r>
  <r>
    <x v="3"/>
    <s v="NYAKIBYEYI"/>
    <s v="Public"/>
    <x v="0"/>
    <s v="Muhanga"/>
    <s v="Rongi"/>
    <s v="NNYU_3"/>
    <s v="Nyabarongo Upstream Sub-Catchment"/>
    <n v="4730.4000000000005"/>
  </r>
  <r>
    <x v="3"/>
    <s v="KAZABAGARURA"/>
    <s v="Public"/>
    <x v="0"/>
    <s v="Muhanga"/>
    <s v="Rongi"/>
    <s v="NNYU_3"/>
    <s v="Nyabarongo Upstream Sub-Catchment"/>
    <n v="4730.4000000000005"/>
  </r>
  <r>
    <x v="3"/>
    <s v="NYAMISEKE"/>
    <s v="Public"/>
    <x v="0"/>
    <s v="Muhanga"/>
    <s v="Rongi"/>
    <s v="NNYU_3"/>
    <s v="Nyabarongo Upstream Sub-Catchment"/>
    <n v="6307.2000000000007"/>
  </r>
  <r>
    <x v="3"/>
    <s v="BUKABA I"/>
    <s v="Public"/>
    <x v="0"/>
    <s v="Muhanga"/>
    <s v="Rongi"/>
    <s v="NNYU_3"/>
    <s v="Nyabarongo Upstream Sub-Catchment"/>
    <n v="31.536000000000001"/>
  </r>
  <r>
    <x v="3"/>
    <s v="GASAKA"/>
    <s v="Public"/>
    <x v="0"/>
    <s v="Muhanga"/>
    <s v="Rongi"/>
    <s v="NNYU_3"/>
    <s v="Nyabarongo Upstream Sub-Catchment"/>
    <n v="3153.6000000000004"/>
  </r>
  <r>
    <x v="3"/>
    <s v="BAHIMBA"/>
    <s v="Public"/>
    <x v="0"/>
    <s v="Muhanga"/>
    <s v="Rongi"/>
    <s v="NNYU_3"/>
    <s v="Nyabarongo Upstream Sub-Catchment"/>
    <n v="0"/>
  </r>
  <r>
    <x v="3"/>
    <s v="UWIMPETA"/>
    <s v="Public"/>
    <x v="0"/>
    <s v="Muhanga"/>
    <s v="Rongi"/>
    <s v="NNYU_3"/>
    <s v="Nyabarongo Upstream Sub-Catchment"/>
    <n v="315.36"/>
  </r>
  <r>
    <x v="3"/>
    <s v="GATARE"/>
    <s v="Public"/>
    <x v="0"/>
    <s v="Muhanga"/>
    <s v="Rongi"/>
    <s v="NNYU_3"/>
    <s v="Nyabarongo Upstream Sub-Catchment"/>
    <n v="0"/>
  </r>
  <r>
    <x v="3"/>
    <s v="NTAMAKEMWA"/>
    <s v="Public"/>
    <x v="0"/>
    <s v="Muhanga"/>
    <s v="Rongi"/>
    <s v="NNYU_3"/>
    <s v="Nyabarongo Upstream Sub-Catchment"/>
    <n v="473.04"/>
  </r>
  <r>
    <x v="3"/>
    <s v="MABERA"/>
    <s v="Public"/>
    <x v="0"/>
    <s v="Muhanga"/>
    <s v="Rongi"/>
    <s v="NNYU_3"/>
    <s v="Nyabarongo Upstream Sub-Catchment"/>
    <n v="1576.8000000000002"/>
  </r>
  <r>
    <x v="3"/>
    <s v="BARUSANGA"/>
    <s v="Public"/>
    <x v="0"/>
    <s v="Muhanga"/>
    <s v="Rongi"/>
    <s v="NNYU_3"/>
    <s v="Nyabarongo Upstream Sub-Catchment"/>
    <n v="157.68"/>
  </r>
  <r>
    <x v="3"/>
    <s v="RUHANGA"/>
    <s v="Public"/>
    <x v="0"/>
    <s v="Muhanga"/>
    <s v="Rongi"/>
    <s v="NNYU_3"/>
    <s v="Nyabarongo Upstream Sub-Catchment"/>
    <n v="110.376"/>
  </r>
  <r>
    <x v="3"/>
    <s v="RUHIRIKA"/>
    <s v="Public"/>
    <x v="0"/>
    <s v="Muhanga"/>
    <s v="Rongi"/>
    <s v="NNYU_3"/>
    <s v="Nyabarongo Upstream Sub-Catchment"/>
    <n v="4730.4000000000005"/>
  </r>
  <r>
    <x v="3"/>
    <s v="RUHANGO"/>
    <s v="Public"/>
    <x v="0"/>
    <s v="Muhanga"/>
    <s v="Rongi"/>
    <s v="NNYU_3"/>
    <s v="Nyabarongo Upstream Sub-Catchment"/>
    <n v="3153.6000000000004"/>
  </r>
  <r>
    <x v="3"/>
    <s v="NYARURAMA"/>
    <s v="Public"/>
    <x v="0"/>
    <s v="Muhanga"/>
    <s v="Rongi"/>
    <s v="NNYU_3"/>
    <s v="Nyabarongo Upstream Sub-Catchment"/>
    <n v="3153.6000000000004"/>
  </r>
  <r>
    <x v="3"/>
    <s v="NYUNDO"/>
    <s v="Public"/>
    <x v="0"/>
    <s v="Muhanga"/>
    <s v="Rongi"/>
    <s v="NNYU_3"/>
    <s v="Nyabarongo Upstream Sub-Catchment"/>
    <n v="630.72"/>
  </r>
  <r>
    <x v="3"/>
    <s v="NYARURAMA II"/>
    <s v="Public"/>
    <x v="0"/>
    <s v="Muhanga"/>
    <s v="Rongi"/>
    <s v="NNYU_3"/>
    <s v="Nyabarongo Upstream Sub-Catchment"/>
    <n v="157.68"/>
  </r>
  <r>
    <x v="3"/>
    <s v="MIGERI"/>
    <s v="Public"/>
    <x v="0"/>
    <s v="Muhanga"/>
    <s v="Rongi"/>
    <s v="NNYU_3"/>
    <s v="Nyabarongo Upstream Sub-Catchment"/>
    <n v="630.72"/>
  </r>
  <r>
    <x v="3"/>
    <s v="GATINDO"/>
    <s v="Public"/>
    <x v="0"/>
    <s v="Muhanga"/>
    <s v="Rongi"/>
    <s v="NNYU_3"/>
    <s v="Nyabarongo Upstream Sub-Catchment"/>
    <n v="4730.4000000000005"/>
  </r>
  <r>
    <x v="3"/>
    <s v="CYAHAFI"/>
    <s v="Public"/>
    <x v="0"/>
    <s v="Muhanga"/>
    <s v="Rongi"/>
    <s v="NNYU_3"/>
    <s v="Nyabarongo Upstream Sub-Catchment"/>
    <n v="4730.4000000000005"/>
  </r>
  <r>
    <x v="3"/>
    <s v="RUTEMBE"/>
    <s v="Public"/>
    <x v="0"/>
    <s v="Muhanga"/>
    <s v="Rongi"/>
    <s v="NNYU_3"/>
    <s v="Nyabarongo Upstream Sub-Catchment"/>
    <n v="157.68"/>
  </r>
  <r>
    <x v="3"/>
    <s v="GAHAMA"/>
    <s v="Public"/>
    <x v="0"/>
    <s v="Muhanga"/>
    <s v="Rongi"/>
    <s v="NNYU_3"/>
    <s v="Nyabarongo Upstream Sub-Catchment"/>
    <n v="4730.4000000000005"/>
  </r>
  <r>
    <x v="3"/>
    <s v="RWAMURE"/>
    <s v="Public"/>
    <x v="0"/>
    <s v="Muhanga"/>
    <s v="Rongi"/>
    <s v="NNYU_3"/>
    <s v="Nyabarongo Upstream Sub-Catchment"/>
    <n v="3153.6000000000004"/>
  </r>
  <r>
    <x v="3"/>
    <s v="BISIKA"/>
    <s v="Public"/>
    <x v="0"/>
    <s v="Muhanga"/>
    <s v="Rongi"/>
    <s v="NNYU_3"/>
    <s v="Nyabarongo Upstream Sub-Catchment"/>
    <n v="157.68"/>
  </r>
  <r>
    <x v="3"/>
    <s v="NYARURAMAIII"/>
    <s v="Public"/>
    <x v="0"/>
    <s v="Muhanga"/>
    <s v="Rongi"/>
    <s v="NNYU_3"/>
    <s v="Nyabarongo Upstream Sub-Catchment"/>
    <n v="3153.6000000000004"/>
  </r>
  <r>
    <x v="3"/>
    <s v="NYAKAGEZI II"/>
    <s v="Public"/>
    <x v="0"/>
    <s v="Muhanga"/>
    <s v="Rongi"/>
    <s v="NNYU_3"/>
    <s v="Nyabarongo Upstream Sub-Catchment"/>
    <n v="4730.4000000000005"/>
  </r>
  <r>
    <x v="3"/>
    <s v="MUHAMA"/>
    <s v="Public"/>
    <x v="0"/>
    <s v="Muhanga"/>
    <s v="Rongi"/>
    <s v="NNYU_3"/>
    <s v="Nyabarongo Upstream Sub-Catchment"/>
    <n v="6307.2000000000007"/>
  </r>
  <r>
    <x v="3"/>
    <s v="NYAKAGEZI"/>
    <s v="Public"/>
    <x v="0"/>
    <s v="Muhanga"/>
    <s v="Rongi"/>
    <s v="NNYU_3"/>
    <s v="Nyabarongo Upstream Sub-Catchment"/>
    <n v="630.72"/>
  </r>
  <r>
    <x v="3"/>
    <s v="AKUMUSENYI"/>
    <s v="Public"/>
    <x v="0"/>
    <s v="Muhanga"/>
    <s v="Rongi"/>
    <s v="NNYU_3"/>
    <s v="Nyabarongo Upstream Sub-Catchment"/>
    <n v="0"/>
  </r>
  <r>
    <x v="3"/>
    <s v="RUHANGA"/>
    <s v="Public"/>
    <x v="0"/>
    <s v="Muhanga"/>
    <s v="Rongi"/>
    <s v="NNYU_3"/>
    <s v="Nyabarongo Upstream Sub-Catchment"/>
    <n v="4730.4000000000005"/>
  </r>
  <r>
    <x v="3"/>
    <s v="KAZIRAMWANDA"/>
    <s v="Public"/>
    <x v="0"/>
    <s v="Muhanga"/>
    <s v="Rongi"/>
    <s v="NNYU_3"/>
    <s v="Nyabarongo Upstream Sub-Catchment"/>
    <n v="4730.4000000000005"/>
  </r>
  <r>
    <x v="3"/>
    <s v="KADUHA"/>
    <s v="Public"/>
    <x v="0"/>
    <s v="Muhanga"/>
    <s v="Rongi"/>
    <s v="NNYU_3"/>
    <s v="Nyabarongo Upstream Sub-Catchment"/>
    <n v="4730.4000000000005"/>
  </r>
  <r>
    <x v="3"/>
    <s v="MASULI I"/>
    <s v="Public"/>
    <x v="0"/>
    <s v="Muhanga"/>
    <s v="Rongi"/>
    <s v="NNYU_3"/>
    <s v="Nyabarongo Upstream Sub-Catchment"/>
    <n v="4730.4000000000005"/>
  </r>
  <r>
    <x v="3"/>
    <s v="KABERE"/>
    <s v="Public"/>
    <x v="0"/>
    <s v="Muhanga"/>
    <s v="Rongi"/>
    <s v="NNYU_3"/>
    <s v="Nyabarongo Upstream Sub-Catchment"/>
    <n v="4730.4000000000005"/>
  </r>
  <r>
    <x v="3"/>
    <s v="GAKO"/>
    <s v="Public"/>
    <x v="0"/>
    <s v="Muhanga"/>
    <s v="Rongi"/>
    <s v="NNYU_3"/>
    <s v="Nyabarongo Upstream Sub-Catchment"/>
    <n v="6307.2000000000007"/>
  </r>
  <r>
    <x v="3"/>
    <s v="KAJATWE I"/>
    <s v="Public"/>
    <x v="0"/>
    <s v="Muhanga"/>
    <s v="Rongi"/>
    <s v="NNYU_3"/>
    <s v="Nyabarongo Upstream Sub-Catchment"/>
    <n v="3153.6000000000004"/>
  </r>
  <r>
    <x v="3"/>
    <s v="GAHOBOBO"/>
    <s v="Public"/>
    <x v="0"/>
    <s v="Muhanga"/>
    <s v="Rongi"/>
    <s v="NNYU_3"/>
    <s v="Nyabarongo Upstream Sub-Catchment"/>
    <n v="473.04"/>
  </r>
  <r>
    <x v="3"/>
    <s v="KAROMOROMO"/>
    <s v="Public"/>
    <x v="0"/>
    <s v="Muhanga"/>
    <s v="Rongi"/>
    <s v="NNYU_3"/>
    <s v="Nyabarongo Upstream Sub-Catchment"/>
    <n v="1576.8000000000002"/>
  </r>
  <r>
    <x v="3"/>
    <s v="KAJATWE II"/>
    <s v="Public"/>
    <x v="0"/>
    <s v="Muhanga"/>
    <s v="Rongi"/>
    <s v="NNYU_3"/>
    <s v="Nyabarongo Upstream Sub-Catchment"/>
    <n v="6307.2000000000007"/>
  </r>
  <r>
    <x v="3"/>
    <s v="NYABAGANZA"/>
    <s v="Public"/>
    <x v="0"/>
    <s v="Muhanga"/>
    <s v="Rongi"/>
    <s v="NNYU_3"/>
    <s v="Nyabarongo Upstream Sub-Catchment"/>
    <n v="473.04"/>
  </r>
  <r>
    <x v="3"/>
    <s v="NDABERETSE"/>
    <s v="Public"/>
    <x v="0"/>
    <s v="Muhanga"/>
    <s v="Rongi"/>
    <s v="NNYU_3"/>
    <s v="Nyabarongo Upstream Sub-Catchment"/>
    <n v="946.08"/>
  </r>
  <r>
    <x v="3"/>
    <s v="NANGAMADUMBU"/>
    <s v="Public"/>
    <x v="0"/>
    <s v="Muhanga"/>
    <s v="Rongi"/>
    <s v="NNYU_3"/>
    <s v="Nyabarongo Upstream Sub-Catchment"/>
    <n v="11037.6"/>
  </r>
  <r>
    <x v="3"/>
    <s v="NYAKAGEZI"/>
    <s v="Public"/>
    <x v="0"/>
    <s v="Muhanga"/>
    <s v="Rongi"/>
    <s v="NNYU_3"/>
    <s v="Nyabarongo Upstream Sub-Catchment"/>
    <n v="157.68"/>
  </r>
  <r>
    <x v="3"/>
    <s v="MASIZI I"/>
    <s v="Public"/>
    <x v="0"/>
    <s v="Muhanga"/>
    <s v="Rongi"/>
    <s v="NNYU_3"/>
    <s v="Nyabarongo Upstream Sub-Catchment"/>
    <n v="110.376"/>
  </r>
  <r>
    <x v="3"/>
    <s v="GAHAMA"/>
    <s v="Public"/>
    <x v="0"/>
    <s v="Muhanga"/>
    <s v="Rongi"/>
    <s v="NNYU_3"/>
    <s v="Nyabarongo Upstream Sub-Catchment"/>
    <n v="4730.4000000000005"/>
  </r>
  <r>
    <x v="3"/>
    <s v="KANYINYA"/>
    <s v="Public"/>
    <x v="0"/>
    <s v="Muhanga"/>
    <s v="Rongi"/>
    <s v="NNYU_3"/>
    <s v="Nyabarongo Upstream Sub-Catchment"/>
    <n v="7884.0000000000009"/>
  </r>
  <r>
    <x v="3"/>
    <s v="GITOVU"/>
    <s v="Public"/>
    <x v="0"/>
    <s v="Muhanga"/>
    <s v="Rongi"/>
    <s v="NNYU_3"/>
    <s v="Nyabarongo Upstream Sub-Catchment"/>
    <n v="4730.4000000000005"/>
  </r>
  <r>
    <x v="3"/>
    <s v="MAKANA"/>
    <s v="Public"/>
    <x v="0"/>
    <s v="Muhanga"/>
    <s v="Rongi"/>
    <s v="NNYU_3"/>
    <s v="Nyabarongo Upstream Sub-Catchment"/>
    <n v="14191.2"/>
  </r>
  <r>
    <x v="3"/>
    <s v="KAZAMUGARURA"/>
    <s v="Public"/>
    <x v="0"/>
    <s v="Muhanga"/>
    <s v="Rongi"/>
    <s v="NNYU_3"/>
    <s v="Nyabarongo Upstream Sub-Catchment"/>
    <n v="7884.0000000000009"/>
  </r>
  <r>
    <x v="3"/>
    <s v="MAYEBE II"/>
    <s v="Public"/>
    <x v="0"/>
    <s v="Muhanga"/>
    <s v="Rongi"/>
    <s v="NNYU_3"/>
    <s v="Nyabarongo Upstream Sub-Catchment"/>
    <n v="6307.2000000000007"/>
  </r>
  <r>
    <x v="3"/>
    <s v="MAYEBE I"/>
    <s v="Public"/>
    <x v="0"/>
    <s v="Muhanga"/>
    <s v="Rongi"/>
    <s v="NNYU_3"/>
    <s v="Nyabarongo Upstream Sub-Catchment"/>
    <n v="0"/>
  </r>
  <r>
    <x v="3"/>
    <s v="RYARUKATSA"/>
    <s v="Public"/>
    <x v="0"/>
    <s v="Muhanga"/>
    <s v="Rongi"/>
    <s v="NNYU_3"/>
    <s v="Nyabarongo Upstream Sub-Catchment"/>
    <n v="15768.000000000002"/>
  </r>
  <r>
    <x v="3"/>
    <s v="AKIMUHANA"/>
    <s v="Public"/>
    <x v="0"/>
    <s v="Muhanga"/>
    <s v="Rongi"/>
    <s v="NNYU_3"/>
    <s v="Nyabarongo Upstream Sub-Catchment"/>
    <n v="7884.0000000000009"/>
  </r>
  <r>
    <x v="3"/>
    <s v="MAKANA"/>
    <s v="Public"/>
    <x v="0"/>
    <s v="Muhanga"/>
    <s v="Rongi"/>
    <s v="NNYU_3"/>
    <s v="Nyabarongo Upstream Sub-Catchment"/>
    <n v="946.08"/>
  </r>
  <r>
    <x v="3"/>
    <s v="RYAMBO NYUMUGENZI"/>
    <s v="Public"/>
    <x v="0"/>
    <s v="Karongi"/>
    <s v="Rugabano"/>
    <s v="NNYU_3"/>
    <s v="Nyabarongo Upstream Sub-Catchment"/>
    <n v="1576.8000000000002"/>
  </r>
  <r>
    <x v="3"/>
    <s v="KAMUCYURA"/>
    <s v="Public"/>
    <x v="0"/>
    <s v="Karongi"/>
    <s v="Rugabano"/>
    <s v="NNYU_3"/>
    <s v="Nyabarongo Upstream Sub-Catchment"/>
    <n v="2365.2000000000003"/>
  </r>
  <r>
    <x v="3"/>
    <s v="MUCYATO"/>
    <s v="Public"/>
    <x v="0"/>
    <s v="Karongi"/>
    <s v="Rugabano"/>
    <s v="NNYU_3"/>
    <s v="Nyabarongo Upstream Sub-Catchment"/>
    <n v="1576.8000000000002"/>
  </r>
  <r>
    <x v="3"/>
    <s v="KIBAYA"/>
    <s v="Public"/>
    <x v="0"/>
    <s v="Karongi"/>
    <s v="Rugabano"/>
    <s v="NNYU_3"/>
    <s v="Nyabarongo Upstream Sub-Catchment"/>
    <n v="1419.12"/>
  </r>
  <r>
    <x v="3"/>
    <s v="NYAKAGEZI"/>
    <s v="Public"/>
    <x v="0"/>
    <s v="Karongi"/>
    <s v="Rugabano"/>
    <s v="NNYU_3"/>
    <s v="Nyabarongo Upstream Sub-Catchment"/>
    <n v="1892.16"/>
  </r>
  <r>
    <x v="3"/>
    <s v="MUKABINGO"/>
    <s v="Public"/>
    <x v="0"/>
    <s v="Karongi"/>
    <s v="Rugabano"/>
    <s v="NNYU_3"/>
    <s v="Nyabarongo Upstream Sub-Catchment"/>
    <n v="1892.16"/>
  </r>
  <r>
    <x v="3"/>
    <s v="MUMWA UTUMVA"/>
    <s v="Public"/>
    <x v="0"/>
    <s v="Karongi"/>
    <s v="Rugabano"/>
    <s v="NNYU_3"/>
    <s v="Nyabarongo Upstream Sub-Catchment"/>
    <n v="1419.12"/>
  </r>
  <r>
    <x v="3"/>
    <s v="RUSHISHI"/>
    <s v="Public"/>
    <x v="0"/>
    <s v="Karongi"/>
    <s v="Rugabano"/>
    <s v="NNYU_3"/>
    <s v="Nyabarongo Upstream Sub-Catchment"/>
    <n v="2365.2000000000003"/>
  </r>
  <r>
    <x v="3"/>
    <s v="MUGIHATSI"/>
    <s v="Public"/>
    <x v="0"/>
    <s v="Karongi"/>
    <s v="Rugabano"/>
    <s v="NNYU_3"/>
    <s v="Nyabarongo Upstream Sub-Catchment"/>
    <n v="2207.5200000000004"/>
  </r>
  <r>
    <x v="3"/>
    <s v="KAMURAMBI"/>
    <s v="Public"/>
    <x v="0"/>
    <s v="Karongi"/>
    <s v="Rugabano"/>
    <s v="NNYU_3"/>
    <s v="Nyabarongo Upstream Sub-Catchment"/>
    <n v="1892.16"/>
  </r>
  <r>
    <x v="3"/>
    <s v="RUYOVE"/>
    <s v="Public"/>
    <x v="0"/>
    <s v="Karongi"/>
    <s v="Rugabano"/>
    <s v="NNYU_3"/>
    <s v="Nyabarongo Upstream Sub-Catchment"/>
    <n v="1261.44"/>
  </r>
  <r>
    <x v="3"/>
    <s v="MUGUNDA II"/>
    <s v="Public"/>
    <x v="0"/>
    <s v="Karongi"/>
    <s v="Rugabano"/>
    <s v="NNYU_3"/>
    <s v="Nyabarongo Upstream Sub-Catchment"/>
    <n v="1576.8000000000002"/>
  </r>
  <r>
    <x v="3"/>
    <s v="RUYOVE II"/>
    <s v="Public"/>
    <x v="0"/>
    <s v="Karongi"/>
    <s v="Rugabano"/>
    <s v="NNYU_3"/>
    <s v="Nyabarongo Upstream Sub-Catchment"/>
    <n v="1576.8000000000002"/>
  </r>
  <r>
    <x v="3"/>
    <s v="KARIBA"/>
    <s v="Public"/>
    <x v="0"/>
    <s v="Karongi"/>
    <s v="Rugabano"/>
    <s v="NNYU_3"/>
    <s v="Nyabarongo Upstream Sub-Catchment"/>
    <n v="788.40000000000009"/>
  </r>
  <r>
    <x v="3"/>
    <s v="MUBUGA"/>
    <s v="Public"/>
    <x v="0"/>
    <s v="Karongi"/>
    <s v="Rugabano"/>
    <s v="NNYU_3"/>
    <s v="Nyabarongo Upstream Sub-Catchment"/>
    <n v="1419.12"/>
  </r>
  <r>
    <x v="3"/>
    <s v="RUSHISHI"/>
    <s v="Public"/>
    <x v="0"/>
    <s v="Karongi"/>
    <s v="Rugabano"/>
    <s v="NNYU_3"/>
    <s v="Nyabarongo Upstream Sub-Catchment"/>
    <n v="2838.24"/>
  </r>
  <r>
    <x v="3"/>
    <s v="KIBEHO"/>
    <s v="Public"/>
    <x v="0"/>
    <s v="Karongi"/>
    <s v="Rugabano"/>
    <s v="NNYU_3"/>
    <s v="Nyabarongo Upstream Sub-Catchment"/>
    <n v="946.08"/>
  </r>
  <r>
    <x v="3"/>
    <s v="RWUNGO"/>
    <s v="Public"/>
    <x v="0"/>
    <s v="Karongi"/>
    <s v="Rugabano"/>
    <s v="NNYU_3"/>
    <s v="Nyabarongo Upstream Sub-Catchment"/>
    <n v="2207.5200000000004"/>
  </r>
  <r>
    <x v="3"/>
    <s v="KIZENGA"/>
    <s v="Public"/>
    <x v="0"/>
    <s v="Karongi"/>
    <s v="Rugabano"/>
    <s v="NNYU_3"/>
    <s v="Nyabarongo Upstream Sub-Catchment"/>
    <n v="1419.12"/>
  </r>
  <r>
    <x v="3"/>
    <s v="RWABARERA"/>
    <s v="Public"/>
    <x v="0"/>
    <s v="Karongi"/>
    <s v="Rugabano"/>
    <s v="NNYU_3"/>
    <s v="Nyabarongo Upstream Sub-Catchment"/>
    <n v="1497.96"/>
  </r>
  <r>
    <x v="3"/>
    <s v="MURAMBI"/>
    <s v="Public"/>
    <x v="0"/>
    <s v="Karongi"/>
    <s v="Rugabano"/>
    <s v="NNYU_3"/>
    <s v="Nyabarongo Upstream Sub-Catchment"/>
    <n v="1103.7600000000002"/>
  </r>
  <r>
    <x v="3"/>
    <s v="MUYUGIRI"/>
    <s v="Public"/>
    <x v="0"/>
    <s v="Karongi"/>
    <s v="Rugabano"/>
    <s v="NNYU_3"/>
    <s v="Nyabarongo Upstream Sub-Catchment"/>
    <n v="1261.44"/>
  </r>
  <r>
    <x v="3"/>
    <s v="RWABASHI"/>
    <s v="Public"/>
    <x v="0"/>
    <s v="Karongi"/>
    <s v="Rugabano"/>
    <s v="NNYU_3"/>
    <s v="Nyabarongo Upstream Sub-Catchment"/>
    <n v="1892.16"/>
  </r>
  <r>
    <x v="3"/>
    <s v="BIGUGU"/>
    <s v="Public"/>
    <x v="0"/>
    <s v="Karongi"/>
    <s v="Rugabano"/>
    <s v="NNYU_3"/>
    <s v="Nyabarongo Upstream Sub-Catchment"/>
    <n v="1261.44"/>
  </r>
  <r>
    <x v="3"/>
    <s v="MIGENDA"/>
    <s v="Public"/>
    <x v="0"/>
    <s v="Karongi"/>
    <s v="Rugabano"/>
    <s v="NNYU_3"/>
    <s v="Nyabarongo Upstream Sub-Catchment"/>
    <n v="9460.8000000000011"/>
  </r>
  <r>
    <x v="3"/>
    <s v="KABUYE"/>
    <s v="Public"/>
    <x v="0"/>
    <s v="Karongi"/>
    <s v="Rugabano"/>
    <s v="NNYU_3"/>
    <s v="Nyabarongo Upstream Sub-Catchment"/>
    <n v="1103.7600000000002"/>
  </r>
  <r>
    <x v="3"/>
    <s v="RUHANGA"/>
    <s v="Public"/>
    <x v="0"/>
    <s v="Karongi"/>
    <s v="Rugabano"/>
    <s v="NNYU_3"/>
    <s v="Nyabarongo Upstream Sub-Catchment"/>
    <n v="1419.12"/>
  </r>
  <r>
    <x v="3"/>
    <s v="NYAKAGEZI"/>
    <s v="Public"/>
    <x v="0"/>
    <s v="Karongi"/>
    <s v="Rugabano"/>
    <s v="NNYU_3"/>
    <s v="Nyabarongo Upstream Sub-Catchment"/>
    <n v="788.40000000000009"/>
  </r>
  <r>
    <x v="3"/>
    <s v="RWINGURUBE"/>
    <s v="Public"/>
    <x v="0"/>
    <s v="Karongi"/>
    <s v="Rugabano"/>
    <s v="NNYU_3"/>
    <s v="Nyabarongo Upstream Sub-Catchment"/>
    <n v="3153.6000000000004"/>
  </r>
  <r>
    <x v="3"/>
    <s v="KINYOVU"/>
    <s v="Public"/>
    <x v="0"/>
    <s v="Karongi"/>
    <s v="Rugabano"/>
    <s v="NNYU_3"/>
    <s v="Nyabarongo Upstream Sub-Catchment"/>
    <n v="1261.44"/>
  </r>
  <r>
    <x v="3"/>
    <s v="RUBONDI"/>
    <s v="Public"/>
    <x v="0"/>
    <s v="Karongi"/>
    <s v="Rugabano"/>
    <s v="NNYU_3"/>
    <s v="Nyabarongo Upstream Sub-Catchment"/>
    <n v="946.08"/>
  </r>
  <r>
    <x v="3"/>
    <s v="RUSHAKAMBA"/>
    <s v="Public"/>
    <x v="0"/>
    <s v="Karongi"/>
    <s v="Rugabano"/>
    <s v="NNYU_3"/>
    <s v="Nyabarongo Upstream Sub-Catchment"/>
    <n v="1261.44"/>
  </r>
  <r>
    <x v="3"/>
    <s v="MUGALI"/>
    <s v="Public"/>
    <x v="0"/>
    <s v="Karongi"/>
    <s v="Rugabano"/>
    <s v="NNYU_3"/>
    <s v="Nyabarongo Upstream Sub-Catchment"/>
    <n v="1103.7600000000002"/>
  </r>
  <r>
    <x v="3"/>
    <s v="MUKIRIBA"/>
    <s v="Public"/>
    <x v="0"/>
    <s v="Karongi"/>
    <s v="Rugabano"/>
    <s v="NNYU_3"/>
    <s v="Nyabarongo Upstream Sub-Catchment"/>
    <n v="14191.2"/>
  </r>
  <r>
    <x v="3"/>
    <s v="RUHONDO"/>
    <s v="Public"/>
    <x v="0"/>
    <s v="Karongi"/>
    <s v="Rugabano"/>
    <s v="NNYU_3"/>
    <s v="Nyabarongo Upstream Sub-Catchment"/>
    <n v="1419.12"/>
  </r>
  <r>
    <x v="3"/>
    <s v="RUSEKE"/>
    <s v="Public"/>
    <x v="0"/>
    <s v="Karongi"/>
    <s v="Rugabano"/>
    <s v="NNYU_3"/>
    <s v="Nyabarongo Upstream Sub-Catchment"/>
    <n v="630.72"/>
  </r>
  <r>
    <x v="3"/>
    <s v="RUBIHA"/>
    <s v="Public"/>
    <x v="0"/>
    <s v="Karongi"/>
    <s v="Rugabano"/>
    <s v="NNYU_3"/>
    <s v="Nyabarongo Upstream Sub-Catchment"/>
    <n v="1103.7600000000002"/>
  </r>
  <r>
    <x v="3"/>
    <s v="KARAMBO"/>
    <s v="Public"/>
    <x v="0"/>
    <s v="Karongi"/>
    <s v="Rugabano"/>
    <s v="NNYU_3"/>
    <s v="Nyabarongo Upstream Sub-Catchment"/>
    <n v="630.72"/>
  </r>
  <r>
    <x v="3"/>
    <s v="GAHONGA"/>
    <s v="Public"/>
    <x v="0"/>
    <s v="Karongi"/>
    <s v="Rugabano"/>
    <s v="NNYU_3"/>
    <s v="Nyabarongo Upstream Sub-Catchment"/>
    <n v="12614.400000000001"/>
  </r>
  <r>
    <x v="3"/>
    <s v="MUCYANYA"/>
    <s v="Public"/>
    <x v="0"/>
    <s v="Karongi"/>
    <s v="Rugabano"/>
    <s v="NNYU_3"/>
    <s v="Nyabarongo Upstream Sub-Catchment"/>
    <n v="1892.16"/>
  </r>
  <r>
    <x v="3"/>
    <s v="GIKOMBE"/>
    <s v="Public"/>
    <x v="0"/>
    <s v="Karongi"/>
    <s v="Rugabano"/>
    <s v="NNYU_3"/>
    <s v="Nyabarongo Upstream Sub-Catchment"/>
    <n v="7095.6"/>
  </r>
  <r>
    <x v="3"/>
    <s v="GIHONDOHONDO"/>
    <s v="Public"/>
    <x v="0"/>
    <s v="Karongi"/>
    <s v="Rugabano"/>
    <s v="NNYU_3"/>
    <s v="Nyabarongo Upstream Sub-Catchment"/>
    <n v="0"/>
  </r>
  <r>
    <x v="3"/>
    <s v="KAMONYO"/>
    <s v="Public"/>
    <x v="0"/>
    <s v="Karongi"/>
    <s v="Rugabano"/>
    <s v="NNYU_3"/>
    <s v="Nyabarongo Upstream Sub-Catchment"/>
    <n v="1734.4800000000002"/>
  </r>
  <r>
    <x v="3"/>
    <s v="MANINDA"/>
    <s v="Public"/>
    <x v="0"/>
    <s v="Karongi"/>
    <s v="Rugabano"/>
    <s v="NNYU_3"/>
    <s v="Nyabarongo Upstream Sub-Catchment"/>
    <n v="4730.4000000000005"/>
  </r>
  <r>
    <x v="3"/>
    <s v="KURUGANDA"/>
    <s v="Public"/>
    <x v="0"/>
    <s v="Karongi"/>
    <s v="Rugabano"/>
    <s v="NNYU_3"/>
    <s v="Nyabarongo Upstream Sub-Catchment"/>
    <n v="1419.12"/>
  </r>
  <r>
    <x v="3"/>
    <s v="GAKOMBE"/>
    <s v="Public"/>
    <x v="0"/>
    <s v="Karongi"/>
    <s v="Rugabano"/>
    <s v="NNYU_3"/>
    <s v="Nyabarongo Upstream Sub-Catchment"/>
    <n v="1576.8000000000002"/>
  </r>
  <r>
    <x v="3"/>
    <s v="NYABIRARI"/>
    <s v="Public"/>
    <x v="0"/>
    <s v="Karongi"/>
    <s v="Rugabano"/>
    <s v="NNYU_3"/>
    <s v="Nyabarongo Upstream Sub-Catchment"/>
    <n v="1340.28"/>
  </r>
  <r>
    <x v="3"/>
    <s v="RWAMIKO"/>
    <s v="Public"/>
    <x v="0"/>
    <s v="Karongi"/>
    <s v="Rugabano"/>
    <s v="NNYU_3"/>
    <s v="Nyabarongo Upstream Sub-Catchment"/>
    <n v="1419.12"/>
  </r>
  <r>
    <x v="3"/>
    <s v="RUYOBERA"/>
    <s v="Public"/>
    <x v="0"/>
    <s v="Karongi"/>
    <s v="Rugabano"/>
    <s v="NNYU_3"/>
    <s v="Nyabarongo Upstream Sub-Catchment"/>
    <n v="1419.12"/>
  </r>
  <r>
    <x v="3"/>
    <s v="NYAMAKOMA"/>
    <s v="Public"/>
    <x v="0"/>
    <s v="Karongi"/>
    <s v="Rugabano"/>
    <s v="NNYU_3"/>
    <s v="Nyabarongo Upstream Sub-Catchment"/>
    <n v="1261.44"/>
  </r>
  <r>
    <x v="3"/>
    <s v="TWUMBU"/>
    <s v="Public"/>
    <x v="0"/>
    <s v="Karongi"/>
    <s v="Rugabano"/>
    <s v="NNYU_3"/>
    <s v="Nyabarongo Upstream Sub-Catchment"/>
    <n v="946.08"/>
  </r>
  <r>
    <x v="3"/>
    <s v="RUGOMERO"/>
    <s v="Public"/>
    <x v="0"/>
    <s v="Karongi"/>
    <s v="Rugabano"/>
    <s v="NNYU_3"/>
    <s v="Nyabarongo Upstream Sub-Catchment"/>
    <n v="2365.2000000000003"/>
  </r>
  <r>
    <x v="3"/>
    <s v="MUBARIHUTA"/>
    <s v="Public"/>
    <x v="0"/>
    <s v="Karongi"/>
    <s v="Rugabano"/>
    <s v="NNYU_3"/>
    <s v="Nyabarongo Upstream Sub-Catchment"/>
    <n v="1261.44"/>
  </r>
  <r>
    <x v="3"/>
    <s v="NGENDOMBI"/>
    <s v="Public"/>
    <x v="0"/>
    <s v="Karongi"/>
    <s v="Rugabano"/>
    <s v="NNYU_3"/>
    <s v="Nyabarongo Upstream Sub-Catchment"/>
    <n v="1419.12"/>
  </r>
  <r>
    <x v="3"/>
    <s v="MURWAMURAMBI"/>
    <s v="Public"/>
    <x v="0"/>
    <s v="Karongi"/>
    <s v="Rugabano"/>
    <s v="NNYU_3"/>
    <s v="Nyabarongo Upstream Sub-Catchment"/>
    <n v="0"/>
  </r>
  <r>
    <x v="3"/>
    <s v="GATENGA"/>
    <s v="Public"/>
    <x v="0"/>
    <s v="Karongi"/>
    <s v="Rugabano"/>
    <s v="NNYU_3"/>
    <s v="Nyabarongo Upstream Sub-Catchment"/>
    <n v="1419.12"/>
  </r>
  <r>
    <x v="3"/>
    <s v="GATOKI"/>
    <s v="Public"/>
    <x v="0"/>
    <s v="Karongi"/>
    <s v="Rugabano"/>
    <s v="NNYU_3"/>
    <s v="Nyabarongo Upstream Sub-Catchment"/>
    <n v="14191.2"/>
  </r>
  <r>
    <x v="3"/>
    <s v="GATETE"/>
    <s v="Public"/>
    <x v="0"/>
    <s v="Karongi"/>
    <s v="Rugabano"/>
    <s v="NNYU_3"/>
    <s v="Nyabarongo Upstream Sub-Catchment"/>
    <n v="1576.8000000000002"/>
  </r>
  <r>
    <x v="3"/>
    <s v="GAHATO"/>
    <s v="Public"/>
    <x v="0"/>
    <s v="Karongi"/>
    <s v="Rugabano"/>
    <s v="NNYU_3"/>
    <s v="Nyabarongo Upstream Sub-Catchment"/>
    <n v="1892.16"/>
  </r>
  <r>
    <x v="3"/>
    <s v="RUZIBAZIBA"/>
    <s v="Public"/>
    <x v="0"/>
    <s v="Karongi"/>
    <s v="Rugabano"/>
    <s v="NNYU_3"/>
    <s v="Nyabarongo Upstream Sub-Catchment"/>
    <n v="1261.44"/>
  </r>
  <r>
    <x v="3"/>
    <s v="BIHONDO"/>
    <s v="Public"/>
    <x v="0"/>
    <s v="Karongi"/>
    <s v="Rugabano"/>
    <s v="NNYU_3"/>
    <s v="Nyabarongo Upstream Sub-Catchment"/>
    <n v="1419.12"/>
  </r>
  <r>
    <x v="3"/>
    <s v="MARYOHE"/>
    <s v="Public"/>
    <x v="0"/>
    <s v="Karongi"/>
    <s v="Rugabano"/>
    <s v="NNYU_3"/>
    <s v="Nyabarongo Upstream Sub-Catchment"/>
    <n v="1103.7600000000002"/>
  </r>
  <r>
    <x v="3"/>
    <s v="GAKOMA"/>
    <s v="Public"/>
    <x v="0"/>
    <s v="Karongi"/>
    <s v="Rugabano"/>
    <s v="NNYU_3"/>
    <s v="Nyabarongo Upstream Sub-Catchment"/>
    <n v="1419.12"/>
  </r>
  <r>
    <x v="3"/>
    <s v="GAKOMAII"/>
    <s v="Public"/>
    <x v="0"/>
    <s v="Karongi"/>
    <s v="Rugabano"/>
    <s v="NNYU_3"/>
    <s v="Nyabarongo Upstream Sub-Catchment"/>
    <n v="1340.28"/>
  </r>
  <r>
    <x v="3"/>
    <s v="GAKOMA"/>
    <s v="Public"/>
    <x v="0"/>
    <s v="Karongi"/>
    <s v="Rugabano"/>
    <s v="NNYU_3"/>
    <s v="Nyabarongo Upstream Sub-Catchment"/>
    <n v="1419.12"/>
  </r>
  <r>
    <x v="3"/>
    <s v="GAHONDO II"/>
    <s v="Public"/>
    <x v="0"/>
    <s v="Karongi"/>
    <s v="Rugabano"/>
    <s v="NNYU_3"/>
    <s v="Nyabarongo Upstream Sub-Catchment"/>
    <n v="788.40000000000009"/>
  </r>
  <r>
    <x v="3"/>
    <s v="RUSASA"/>
    <s v="Public"/>
    <x v="0"/>
    <s v="Karongi"/>
    <s v="Rugabano"/>
    <s v="NNYU_3"/>
    <s v="Nyabarongo Upstream Sub-Catchment"/>
    <n v="1261.44"/>
  </r>
  <r>
    <x v="3"/>
    <s v="NYAKABINGO"/>
    <s v="Public"/>
    <x v="0"/>
    <s v="Karongi"/>
    <s v="Rugabano"/>
    <s v="NNYU_3"/>
    <s v="Nyabarongo Upstream Sub-Catchment"/>
    <n v="1261.44"/>
  </r>
  <r>
    <x v="3"/>
    <s v="GAKOMA II"/>
    <s v="Public"/>
    <x v="0"/>
    <s v="Karongi"/>
    <s v="Rugabano"/>
    <s v="NNYU_3"/>
    <s v="Nyabarongo Upstream Sub-Catchment"/>
    <n v="7884.0000000000009"/>
  </r>
  <r>
    <x v="3"/>
    <s v="KIGOGO"/>
    <s v="Public"/>
    <x v="0"/>
    <s v="Karongi"/>
    <s v="Rugabano"/>
    <s v="NNYU_3"/>
    <s v="Nyabarongo Upstream Sub-Catchment"/>
    <n v="1103.7600000000002"/>
  </r>
  <r>
    <x v="3"/>
    <s v="RYANGONDO"/>
    <s v="Public"/>
    <x v="0"/>
    <s v="Karongi"/>
    <s v="Rugabano"/>
    <s v="NNYU_3"/>
    <s v="Nyabarongo Upstream Sub-Catchment"/>
    <n v="2365.2000000000003"/>
  </r>
  <r>
    <x v="3"/>
    <s v="KAGARAMA"/>
    <s v="Public"/>
    <x v="0"/>
    <s v="Karongi"/>
    <s v="Rugabano"/>
    <s v="NNYU_3"/>
    <s v="Nyabarongo Upstream Sub-Catchment"/>
    <n v="1419.12"/>
  </r>
  <r>
    <x v="3"/>
    <s v="RUTIGITA"/>
    <s v="Public"/>
    <x v="0"/>
    <s v="Karongi"/>
    <s v="Rugabano"/>
    <s v="NNYU_3"/>
    <s v="Nyabarongo Upstream Sub-Catchment"/>
    <n v="1419.12"/>
  </r>
  <r>
    <x v="3"/>
    <s v="GAHONDOIII"/>
    <s v="Public"/>
    <x v="0"/>
    <s v="Karongi"/>
    <s v="Rugabano"/>
    <s v="NNYU_3"/>
    <s v="Nyabarongo Upstream Sub-Catchment"/>
    <n v="1576.8000000000002"/>
  </r>
  <r>
    <x v="3"/>
    <s v="RUKOMBE"/>
    <s v="Public"/>
    <x v="0"/>
    <s v="Karongi"/>
    <s v="Rugabano"/>
    <s v="NNYU_3"/>
    <s v="Nyabarongo Upstream Sub-Catchment"/>
    <n v="2680.56"/>
  </r>
  <r>
    <x v="3"/>
    <s v="GASHANGA"/>
    <s v="Public"/>
    <x v="0"/>
    <s v="Karongi"/>
    <s v="Rugabano"/>
    <s v="NNYU_3"/>
    <s v="Nyabarongo Upstream Sub-Catchment"/>
    <n v="2049.84"/>
  </r>
  <r>
    <x v="3"/>
    <s v="MUWARUGANZU"/>
    <s v="Public"/>
    <x v="0"/>
    <s v="Karongi"/>
    <s v="Rugabano"/>
    <s v="NNYU_3"/>
    <s v="Nyabarongo Upstream Sub-Catchment"/>
    <n v="2838.24"/>
  </r>
  <r>
    <x v="3"/>
    <s v="RUVUMERA"/>
    <s v="Public"/>
    <x v="0"/>
    <s v="Karongi"/>
    <s v="Rugabano"/>
    <s v="NNYU_3"/>
    <s v="Nyabarongo Upstream Sub-Catchment"/>
    <n v="3942.0000000000005"/>
  </r>
  <r>
    <x v="3"/>
    <s v="MUKANGAGA"/>
    <s v="Public"/>
    <x v="0"/>
    <s v="Karongi"/>
    <s v="Rugabano"/>
    <s v="NNYU_3"/>
    <s v="Nyabarongo Upstream Sub-Catchment"/>
    <n v="1261.44"/>
  </r>
  <r>
    <x v="3"/>
    <s v="KIGARAMA"/>
    <s v="Public"/>
    <x v="0"/>
    <s v="Karongi"/>
    <s v="Rugabano"/>
    <s v="NNYU_3"/>
    <s v="Nyabarongo Upstream Sub-Catchment"/>
    <n v="3153.6000000000004"/>
  </r>
  <r>
    <x v="3"/>
    <s v="KAZIGA"/>
    <s v="Public"/>
    <x v="0"/>
    <s v="Ruhango"/>
    <s v="Ruhango"/>
    <s v="NNYU_3"/>
    <s v="Nyabarongo Upstream Sub-Catchment"/>
    <n v="1576.8000000000002"/>
  </r>
  <r>
    <x v="3"/>
    <s v="VUGUTO"/>
    <s v="Public"/>
    <x v="0"/>
    <s v="Ruhango"/>
    <s v="Ruhango"/>
    <s v="NNYU_3"/>
    <s v="Nyabarongo Upstream Sub-Catchment"/>
    <n v="3626.64"/>
  </r>
  <r>
    <x v="3"/>
    <s v="NGANZO II"/>
    <s v="Public"/>
    <x v="0"/>
    <s v="Ruhango"/>
    <s v="Ruhango"/>
    <s v="NNYU_3"/>
    <s v="Nyabarongo Upstream Sub-Catchment"/>
    <n v="1734.4800000000002"/>
  </r>
  <r>
    <x v="3"/>
    <s v="NGANZO I"/>
    <s v="Public"/>
    <x v="0"/>
    <s v="Ruhango"/>
    <s v="Ruhango"/>
    <s v="NNYU_3"/>
    <s v="Nyabarongo Upstream Sub-Catchment"/>
    <n v="4099.68"/>
  </r>
  <r>
    <x v="3"/>
    <s v="BIROHWA"/>
    <s v="Public"/>
    <x v="0"/>
    <s v="Ruhango"/>
    <s v="Ruhango"/>
    <s v="NNYU_3"/>
    <s v="Nyabarongo Upstream Sub-Catchment"/>
    <n v="15768.000000000002"/>
  </r>
  <r>
    <x v="3"/>
    <s v="MUGARI"/>
    <s v="Public"/>
    <x v="0"/>
    <s v="Ruhango"/>
    <s v="Ruhango"/>
    <s v="NNYU_3"/>
    <s v="Nyabarongo Upstream Sub-Catchment"/>
    <n v="2522.88"/>
  </r>
  <r>
    <x v="3"/>
    <s v="KAMUHIMBA"/>
    <s v="Public"/>
    <x v="0"/>
    <s v="Ruhango"/>
    <s v="Ruhango"/>
    <s v="NNYU_3"/>
    <s v="Nyabarongo Upstream Sub-Catchment"/>
    <n v="4730.4000000000005"/>
  </r>
  <r>
    <x v="3"/>
    <s v="BAHENE"/>
    <s v="Public"/>
    <x v="0"/>
    <s v="Ruhango"/>
    <s v="Ruhango"/>
    <s v="NNYU_3"/>
    <s v="Nyabarongo Upstream Sub-Catchment"/>
    <n v="1419.12"/>
  </r>
  <r>
    <x v="3"/>
    <s v="RWAMPUNDU"/>
    <s v="Public"/>
    <x v="0"/>
    <s v="Ruhango"/>
    <s v="Ruhango"/>
    <s v="NNYU_3"/>
    <s v="Nyabarongo Upstream Sub-Catchment"/>
    <n v="1892.16"/>
  </r>
  <r>
    <x v="3"/>
    <s v="KAMIHIMBA"/>
    <s v="Public"/>
    <x v="0"/>
    <s v="Ruhango"/>
    <s v="Ruhango"/>
    <s v="NNYU_3"/>
    <s v="Nyabarongo Upstream Sub-Catchment"/>
    <n v="1892.16"/>
  </r>
  <r>
    <x v="3"/>
    <s v="KABAGARE"/>
    <s v="Public"/>
    <x v="0"/>
    <s v="Ruhango"/>
    <s v="Ruhango"/>
    <s v="NNYU_3"/>
    <s v="Nyabarongo Upstream Sub-Catchment"/>
    <n v="1419.12"/>
  </r>
  <r>
    <x v="3"/>
    <s v="KANYANZOVU"/>
    <s v="Public"/>
    <x v="0"/>
    <s v="Ruhango"/>
    <s v="Ruhango"/>
    <s v="NNYU_3"/>
    <s v="Nyabarongo Upstream Sub-Catchment"/>
    <n v="946.08"/>
  </r>
  <r>
    <x v="3"/>
    <s v="KANKENGA I"/>
    <s v="Public"/>
    <x v="0"/>
    <s v="Ruhango"/>
    <s v="Ruhango"/>
    <s v="NNYU_3"/>
    <s v="Nyabarongo Upstream Sub-Catchment"/>
    <n v="4099.68"/>
  </r>
  <r>
    <x v="3"/>
    <s v="NYIRAMUSENYI II"/>
    <s v="Public"/>
    <x v="0"/>
    <s v="Rutsiro"/>
    <s v="Rusebeya"/>
    <s v="NNYU_3"/>
    <s v="Nyabarongo Upstream Sub-Catchment"/>
    <n v="3311.2799999999997"/>
  </r>
  <r>
    <x v="3"/>
    <s v="RUHANGA"/>
    <s v="Public"/>
    <x v="0"/>
    <s v="Rutsiro"/>
    <s v="Rusebeya"/>
    <s v="NNYU_3"/>
    <s v="Nyabarongo Upstream Sub-Catchment"/>
    <n v="1419.12"/>
  </r>
  <r>
    <x v="3"/>
    <s v="KUMUHANDA"/>
    <s v="Public"/>
    <x v="0"/>
    <s v="Rutsiro"/>
    <s v="Rusebeya"/>
    <s v="NNYU_3"/>
    <s v="Nyabarongo Upstream Sub-Catchment"/>
    <n v="36581.760000000002"/>
  </r>
  <r>
    <x v="3"/>
    <s v="KABERE"/>
    <s v="Public"/>
    <x v="0"/>
    <s v="Ngororero"/>
    <s v="Sovu"/>
    <s v="NNYU_3"/>
    <s v="Nyabarongo Upstream Sub-Catchment"/>
    <n v="946.08"/>
  </r>
  <r>
    <x v="3"/>
    <s v="NANGA"/>
    <s v="Public"/>
    <x v="0"/>
    <s v="Ngororero"/>
    <s v="Sovu"/>
    <s v="NNYU_3"/>
    <s v="Nyabarongo Upstream Sub-Catchment"/>
    <n v="2049.84"/>
  </r>
  <r>
    <x v="3"/>
    <s v="KIGEZI"/>
    <s v="Public"/>
    <x v="0"/>
    <s v="Ngororero"/>
    <s v="Sovu"/>
    <s v="NNYU_3"/>
    <s v="Nyabarongo Upstream Sub-Catchment"/>
    <n v="1419.12"/>
  </r>
  <r>
    <x v="3"/>
    <s v="BUKEYE  IIMU"/>
    <s v="Public"/>
    <x v="0"/>
    <s v="Ngororero"/>
    <s v="Sovu"/>
    <s v="NNYU_3"/>
    <s v="Nyabarongo Upstream Sub-Catchment"/>
    <n v="946.08"/>
  </r>
  <r>
    <x v="3"/>
    <s v="BUKEYE  I"/>
    <s v="Public"/>
    <x v="0"/>
    <s v="Ngororero"/>
    <s v="Sovu"/>
    <s v="NNYU_3"/>
    <s v="Nyabarongo Upstream Sub-Catchment"/>
    <n v="1419.12"/>
  </r>
  <r>
    <x v="3"/>
    <s v="MUGOMERO"/>
    <s v="Public"/>
    <x v="0"/>
    <s v="Ngororero"/>
    <s v="Sovu"/>
    <s v="NNYU_3"/>
    <s v="Nyabarongo Upstream Sub-Catchment"/>
    <n v="1576.8000000000002"/>
  </r>
  <r>
    <x v="3"/>
    <s v="BATABI I"/>
    <s v="Public"/>
    <x v="0"/>
    <s v="Ngororero"/>
    <s v="Sovu"/>
    <s v="NNYU_3"/>
    <s v="Nyabarongo Upstream Sub-Catchment"/>
    <n v="2522.88"/>
  </r>
  <r>
    <x v="3"/>
    <s v="KIVUMU  II"/>
    <s v="Public"/>
    <x v="0"/>
    <s v="Ngororero"/>
    <s v="Sovu"/>
    <s v="NNYU_3"/>
    <s v="Nyabarongo Upstream Sub-Catchment"/>
    <n v="1576.8000000000002"/>
  </r>
  <r>
    <x v="3"/>
    <s v="MUNYEGE"/>
    <s v="Public"/>
    <x v="0"/>
    <s v="Ngororero"/>
    <s v="Sovu"/>
    <s v="NNYU_3"/>
    <s v="Nyabarongo Upstream Sub-Catchment"/>
    <n v="3153.6000000000004"/>
  </r>
  <r>
    <x v="3"/>
    <s v="NYAMURUME"/>
    <s v="Public"/>
    <x v="0"/>
    <s v="Ngororero"/>
    <s v="Sovu"/>
    <s v="NNYU_3"/>
    <s v="Nyabarongo Upstream Sub-Catchment"/>
    <n v="946.08"/>
  </r>
  <r>
    <x v="3"/>
    <s v="RUKOMBE"/>
    <s v="Public"/>
    <x v="0"/>
    <s v="Ngororero"/>
    <s v="Sovu"/>
    <s v="NNYU_3"/>
    <s v="Nyabarongo Upstream Sub-Catchment"/>
    <n v="1576.8000000000002"/>
  </r>
  <r>
    <x v="3"/>
    <s v="RUBINDI II"/>
    <s v="Public"/>
    <x v="0"/>
    <s v="Ngororero"/>
    <s v="Sovu"/>
    <s v="NNYU_3"/>
    <s v="Nyabarongo Upstream Sub-Catchment"/>
    <n v="3942.0000000000005"/>
  </r>
  <r>
    <x v="3"/>
    <s v="KANYIRAMANZA"/>
    <s v="Public"/>
    <x v="0"/>
    <s v="Ngororero"/>
    <s v="Sovu"/>
    <s v="NNYU_3"/>
    <s v="Nyabarongo Upstream Sub-Catchment"/>
    <n v="1261.44"/>
  </r>
  <r>
    <x v="3"/>
    <s v="RYAGASAZA"/>
    <s v="Public"/>
    <x v="0"/>
    <s v="Ngororero"/>
    <s v="Sovu"/>
    <s v="NNYU_3"/>
    <s v="Nyabarongo Upstream Sub-Catchment"/>
    <n v="2207.5200000000004"/>
  </r>
  <r>
    <x v="3"/>
    <s v="RUTEMBE II"/>
    <s v="Public"/>
    <x v="0"/>
    <s v="Ngororero"/>
    <s v="Sovu"/>
    <s v="NNYU_3"/>
    <s v="Nyabarongo Upstream Sub-Catchment"/>
    <n v="788.40000000000009"/>
  </r>
  <r>
    <x v="3"/>
    <s v="RUBINDI I"/>
    <s v="Public"/>
    <x v="0"/>
    <s v="Ngororero"/>
    <s v="Sovu"/>
    <s v="NNYU_3"/>
    <s v="Nyabarongo Upstream Sub-Catchment"/>
    <n v="2049.84"/>
  </r>
  <r>
    <x v="3"/>
    <s v="RUTEMBE I"/>
    <s v="Public"/>
    <x v="0"/>
    <s v="Ngororero"/>
    <s v="Sovu"/>
    <s v="NNYU_3"/>
    <s v="Nyabarongo Upstream Sub-Catchment"/>
    <n v="204984"/>
  </r>
  <r>
    <x v="3"/>
    <s v="MUYIRA"/>
    <s v="Public"/>
    <x v="0"/>
    <s v="Ngororero"/>
    <s v="Sovu"/>
    <s v="NNYU_3"/>
    <s v="Nyabarongo Upstream Sub-Catchment"/>
    <n v="1576.8000000000002"/>
  </r>
  <r>
    <x v="3"/>
    <s v="RUSEKE"/>
    <s v="Public"/>
    <x v="0"/>
    <s v="Ngororero"/>
    <s v="Sovu"/>
    <s v="NNYU_3"/>
    <s v="Nyabarongo Upstream Sub-Catchment"/>
    <n v="3153.6000000000004"/>
  </r>
  <r>
    <x v="3"/>
    <s v="RUYOVE I"/>
    <s v="Public"/>
    <x v="0"/>
    <s v="Ngororero"/>
    <s v="Sovu"/>
    <s v="NNYU_3"/>
    <s v="Nyabarongo Upstream Sub-Catchment"/>
    <n v="3942.0000000000005"/>
  </r>
  <r>
    <x v="3"/>
    <s v="RUTOYI"/>
    <s v="Public"/>
    <x v="0"/>
    <s v="Ngororero"/>
    <s v="Sovu"/>
    <s v="NNYU_3"/>
    <s v="Nyabarongo Upstream Sub-Catchment"/>
    <n v="3942.0000000000005"/>
  </r>
  <r>
    <x v="3"/>
    <s v="KIREGAMAZI"/>
    <s v="Public"/>
    <x v="0"/>
    <s v="Ngororero"/>
    <s v="Sovu"/>
    <s v="NNYU_3"/>
    <s v="Nyabarongo Upstream Sub-Catchment"/>
    <n v="2522.88"/>
  </r>
  <r>
    <x v="3"/>
    <s v="RUYOVE II"/>
    <s v="Public"/>
    <x v="0"/>
    <s v="Ngororero"/>
    <s v="Sovu"/>
    <s v="NNYU_3"/>
    <s v="Nyabarongo Upstream Sub-Catchment"/>
    <n v="4730.4000000000005"/>
  </r>
  <r>
    <x v="3"/>
    <s v="GIHUNGE I"/>
    <s v="Public"/>
    <x v="0"/>
    <s v="Ngororero"/>
    <s v="Sovu"/>
    <s v="NNYU_3"/>
    <s v="Nyabarongo Upstream Sub-Catchment"/>
    <n v="2522.88"/>
  </r>
  <r>
    <x v="3"/>
    <s v="RUYOVE III"/>
    <s v="Public"/>
    <x v="0"/>
    <s v="Ngororero"/>
    <s v="Sovu"/>
    <s v="NNYU_3"/>
    <s v="Nyabarongo Upstream Sub-Catchment"/>
    <n v="630.72"/>
  </r>
  <r>
    <x v="3"/>
    <s v="GATARE"/>
    <s v="Public"/>
    <x v="0"/>
    <s v="Ngororero"/>
    <s v="Sovu"/>
    <s v="NNYU_3"/>
    <s v="Nyabarongo Upstream Sub-Catchment"/>
    <n v="1103.7600000000002"/>
  </r>
  <r>
    <x v="3"/>
    <s v="GATARE"/>
    <s v="Public"/>
    <x v="0"/>
    <s v="Ngororero"/>
    <s v="Sovu"/>
    <s v="NNYU_3"/>
    <s v="Nyabarongo Upstream Sub-Catchment"/>
    <n v="3153.6000000000004"/>
  </r>
  <r>
    <x v="3"/>
    <s v="NYABINYONI"/>
    <s v="Public"/>
    <x v="0"/>
    <s v="Ngororero"/>
    <s v="Sovu"/>
    <s v="NNYU_3"/>
    <s v="Nyabarongo Upstream Sub-Catchment"/>
    <n v="2522.88"/>
  </r>
  <r>
    <x v="3"/>
    <s v="NGENDO"/>
    <s v="Public"/>
    <x v="0"/>
    <s v="Ngororero"/>
    <s v="Sovu"/>
    <s v="NNYU_3"/>
    <s v="Nyabarongo Upstream Sub-Catchment"/>
    <n v="3153.6000000000004"/>
  </r>
  <r>
    <x v="3"/>
    <s v="GIHUNGE II"/>
    <s v="Public"/>
    <x v="0"/>
    <s v="Ngororero"/>
    <s v="Sovu"/>
    <s v="NNYU_3"/>
    <s v="Nyabarongo Upstream Sub-Catchment"/>
    <n v="473.04"/>
  </r>
  <r>
    <x v="3"/>
    <s v="BUNYAMBIRIRI"/>
    <s v="Public"/>
    <x v="0"/>
    <s v="Ngororero"/>
    <s v="Sovu"/>
    <s v="NNYU_3"/>
    <s v="Nyabarongo Upstream Sub-Catchment"/>
    <n v="788.40000000000009"/>
  </r>
  <r>
    <x v="3"/>
    <s v="GITINDA"/>
    <s v="Public"/>
    <x v="0"/>
    <s v="Ngororero"/>
    <s v="Sovu"/>
    <s v="NNYU_3"/>
    <s v="Nyabarongo Upstream Sub-Catchment"/>
    <n v="1576.8000000000002"/>
  </r>
  <r>
    <x v="3"/>
    <s v="NYIRAMIRISHYO"/>
    <s v="Public"/>
    <x v="0"/>
    <s v="Ngororero"/>
    <s v="Sovu"/>
    <s v="NNYU_3"/>
    <s v="Nyabarongo Upstream Sub-Catchment"/>
    <n v="3942.0000000000005"/>
  </r>
  <r>
    <x v="3"/>
    <s v="RUZIBAZIBA"/>
    <s v="Public"/>
    <x v="0"/>
    <s v="Ngororero"/>
    <s v="Sovu"/>
    <s v="NNYU_3"/>
    <s v="Nyabarongo Upstream Sub-Catchment"/>
    <n v="2049.84"/>
  </r>
  <r>
    <x v="3"/>
    <s v="RUKANGANO"/>
    <s v="Public"/>
    <x v="0"/>
    <s v="Ngororero"/>
    <s v="Sovu"/>
    <s v="NNYU_3"/>
    <s v="Nyabarongo Upstream Sub-Catchment"/>
    <n v="1576.8000000000002"/>
  </r>
  <r>
    <x v="3"/>
    <s v="NYAGATARE II"/>
    <s v="Public"/>
    <x v="0"/>
    <s v="Ngororero"/>
    <s v="Sovu"/>
    <s v="NNYU_3"/>
    <s v="Nyabarongo Upstream Sub-Catchment"/>
    <n v="946.08"/>
  </r>
  <r>
    <x v="3"/>
    <s v="KABARORE"/>
    <s v="Public"/>
    <x v="0"/>
    <s v="Ngororero"/>
    <s v="Sovu"/>
    <s v="NNYU_3"/>
    <s v="Nyabarongo Upstream Sub-Catchment"/>
    <n v="2049.84"/>
  </r>
  <r>
    <x v="3"/>
    <s v="GISIBIRI II"/>
    <s v="Public"/>
    <x v="0"/>
    <s v="Ngororero"/>
    <s v="Sovu"/>
    <s v="NNYU_3"/>
    <s v="Nyabarongo Upstream Sub-Catchment"/>
    <n v="3153.6000000000004"/>
  </r>
  <r>
    <x v="3"/>
    <s v="NYAMUTONI"/>
    <s v="Public"/>
    <x v="0"/>
    <s v="Ngororero"/>
    <s v="Sovu"/>
    <s v="NNYU_3"/>
    <s v="Nyabarongo Upstream Sub-Catchment"/>
    <n v="7884.0000000000009"/>
  </r>
  <r>
    <x v="3"/>
    <s v="NYENTANGA"/>
    <s v="Public"/>
    <x v="0"/>
    <s v="Ngororero"/>
    <s v="Sovu"/>
    <s v="NNYU_3"/>
    <s v="Nyabarongo Upstream Sub-Catchment"/>
    <n v="2522.88"/>
  </r>
  <r>
    <x v="3"/>
    <s v="NYENTANGA"/>
    <s v="Public"/>
    <x v="0"/>
    <s v="Ngororero"/>
    <s v="Sovu"/>
    <s v="NNYU_3"/>
    <s v="Nyabarongo Upstream Sub-Catchment"/>
    <n v="1103.7600000000002"/>
  </r>
  <r>
    <x v="3"/>
    <s v="RUSEBEYA"/>
    <s v="Public"/>
    <x v="0"/>
    <s v="Ngororero"/>
    <s v="Sovu"/>
    <s v="NNYU_3"/>
    <s v="Nyabarongo Upstream Sub-Catchment"/>
    <n v="1734.4800000000002"/>
  </r>
  <r>
    <x v="3"/>
    <s v="GASHINE"/>
    <s v="Public"/>
    <x v="0"/>
    <s v="Ngororero"/>
    <s v="Sovu"/>
    <s v="NNYU_3"/>
    <s v="Nyabarongo Upstream Sub-Catchment"/>
    <n v="2049.84"/>
  </r>
  <r>
    <x v="3"/>
    <s v="MUHIMA"/>
    <s v="Public"/>
    <x v="0"/>
    <s v="Ngororero"/>
    <s v="Sovu"/>
    <s v="NNYU_3"/>
    <s v="Nyabarongo Upstream Sub-Catchment"/>
    <n v="2207.5200000000004"/>
  </r>
  <r>
    <x v="3"/>
    <s v="KAZABAGARURA"/>
    <s v="Public"/>
    <x v="0"/>
    <s v="Ngororero"/>
    <s v="Sovu"/>
    <s v="NNYU_3"/>
    <s v="Nyabarongo Upstream Sub-Catchment"/>
    <n v="1103.7600000000002"/>
  </r>
  <r>
    <x v="3"/>
    <s v="RUGANDA"/>
    <s v="Public"/>
    <x v="0"/>
    <s v="Ngororero"/>
    <s v="Sovu"/>
    <s v="NNYU_3"/>
    <s v="Nyabarongo Upstream Sub-Catchment"/>
    <n v="1576.8000000000002"/>
  </r>
  <r>
    <x v="3"/>
    <s v="MUNINI"/>
    <s v="Public"/>
    <x v="0"/>
    <s v="Ngororero"/>
    <s v="Sovu"/>
    <s v="NNYU_3"/>
    <s v="Nyabarongo Upstream Sub-Catchment"/>
    <n v="1103.7600000000002"/>
  </r>
  <r>
    <x v="3"/>
    <s v="NYAMUZA"/>
    <s v="Public"/>
    <x v="0"/>
    <s v="Ngororero"/>
    <s v="Sovu"/>
    <s v="NNYU_3"/>
    <s v="Nyabarongo Upstream Sub-Catchment"/>
    <n v="1261.44"/>
  </r>
  <r>
    <x v="3"/>
    <s v="MUSAMBI"/>
    <s v="Public"/>
    <x v="0"/>
    <s v="Ngororero"/>
    <s v="Sovu"/>
    <s v="NNYU_3"/>
    <s v="Nyabarongo Upstream Sub-Catchment"/>
    <n v="1261.44"/>
  </r>
  <r>
    <x v="3"/>
    <s v="MWOGAMBERE"/>
    <s v="Public"/>
    <x v="0"/>
    <s v="Ngororero"/>
    <s v="Sovu"/>
    <s v="NNYU_3"/>
    <s v="Nyabarongo Upstream Sub-Catchment"/>
    <n v="3942.0000000000005"/>
  </r>
  <r>
    <x v="3"/>
    <s v="NYAKIRIBA"/>
    <s v="Public"/>
    <x v="0"/>
    <s v="Ngororero"/>
    <s v="Sovu"/>
    <s v="NNYU_3"/>
    <s v="Nyabarongo Upstream Sub-Catchment"/>
    <n v="2207.5200000000004"/>
  </r>
  <r>
    <x v="3"/>
    <s v="BATEMBA"/>
    <s v="Public"/>
    <x v="0"/>
    <s v="Ngororero"/>
    <s v="Sovu"/>
    <s v="NNYU_3"/>
    <s v="Nyabarongo Upstream Sub-Catchment"/>
    <n v="11826.000000000002"/>
  </r>
  <r>
    <x v="3"/>
    <s v="KINYANTOZI"/>
    <s v="Public"/>
    <x v="0"/>
    <s v="Ngororero"/>
    <s v="Sovu"/>
    <s v="NNYU_3"/>
    <s v="Nyabarongo Upstream Sub-Catchment"/>
    <n v="9460.8000000000011"/>
  </r>
  <r>
    <x v="3"/>
    <s v="NYAKAGEZI"/>
    <s v="Public"/>
    <x v="0"/>
    <s v="Ngororero"/>
    <s v="Sovu"/>
    <s v="NNYU_3"/>
    <s v="Nyabarongo Upstream Sub-Catchment"/>
    <n v="1576.8000000000002"/>
  </r>
  <r>
    <x v="3"/>
    <s v="BITARE I"/>
    <s v="Public"/>
    <x v="0"/>
    <s v="Ngororero"/>
    <s v="Sovu"/>
    <s v="NNYU_3"/>
    <s v="Nyabarongo Upstream Sub-Catchment"/>
    <n v="2049.84"/>
  </r>
  <r>
    <x v="3"/>
    <s v="NGAMBI"/>
    <s v="Public"/>
    <x v="0"/>
    <s v="Ngororero"/>
    <s v="Sovu"/>
    <s v="NNYU_3"/>
    <s v="Nyabarongo Upstream Sub-Catchment"/>
    <n v="14191.2"/>
  </r>
  <r>
    <x v="3"/>
    <s v="NGANZO"/>
    <s v="Public"/>
    <x v="0"/>
    <s v="Ngororero"/>
    <s v="Sovu"/>
    <s v="NNYU_3"/>
    <s v="Nyabarongo Upstream Sub-Catchment"/>
    <n v="14191.2"/>
  </r>
  <r>
    <x v="3"/>
    <s v="NYANTONGA"/>
    <s v="Public"/>
    <x v="0"/>
    <s v="Ngororero"/>
    <s v="Sovu"/>
    <s v="NNYU_3"/>
    <s v="Nyabarongo Upstream Sub-Catchment"/>
    <n v="4730.4000000000005"/>
  </r>
  <r>
    <x v="3"/>
    <s v="RWINYONI"/>
    <s v="Public"/>
    <x v="0"/>
    <s v="Ngororero"/>
    <s v="Sovu"/>
    <s v="NNYU_3"/>
    <s v="Nyabarongo Upstream Sub-Catchment"/>
    <n v="11037.6"/>
  </r>
  <r>
    <x v="3"/>
    <s v="NYIRABWIRA"/>
    <s v="Public"/>
    <x v="0"/>
    <s v="Ngororero"/>
    <s v="Sovu"/>
    <s v="NNYU_3"/>
    <s v="Nyabarongo Upstream Sub-Catchment"/>
    <n v="3942.0000000000005"/>
  </r>
  <r>
    <x v="3"/>
    <s v="KIRIBA"/>
    <s v="Public"/>
    <x v="0"/>
    <s v="Ngororero"/>
    <s v="Sovu"/>
    <s v="NNYU_3"/>
    <s v="Nyabarongo Upstream Sub-Catchment"/>
    <n v="788.40000000000009"/>
  </r>
  <r>
    <x v="3"/>
    <s v="Kadahokwa"/>
    <s v="Public"/>
    <x v="0"/>
    <s v="Gicumbi"/>
    <s v="Bukure"/>
    <s v="NNYL_1"/>
    <s v="Nyabugogo Sub-Catchment"/>
    <n v="7884.0000000000009"/>
  </r>
  <r>
    <x v="3"/>
    <s v="Gakoko"/>
    <s v="Public"/>
    <x v="0"/>
    <s v="Gicumbi"/>
    <s v="Bukure"/>
    <s v="NNYL_1"/>
    <s v="Nyabugogo Sub-Catchment"/>
    <n v="2995.92"/>
  </r>
  <r>
    <x v="3"/>
    <s v="Kareko"/>
    <s v="Public"/>
    <x v="0"/>
    <s v="Gicumbi"/>
    <s v="Bukure"/>
    <s v="NNYL_1"/>
    <s v="Nyabugogo Sub-Catchment"/>
    <n v="3153.6000000000004"/>
  </r>
  <r>
    <x v="3"/>
    <s v="Kacyiru"/>
    <s v="Public"/>
    <x v="0"/>
    <s v="Gicumbi"/>
    <s v="Bukure"/>
    <s v="NNYL_1"/>
    <s v="Nyabugogo Sub-Catchment"/>
    <n v="4099.68"/>
  </r>
  <r>
    <x v="3"/>
    <s v="Kareranyana"/>
    <s v="Public"/>
    <x v="0"/>
    <s v="Gicumbi"/>
    <s v="Bukure"/>
    <s v="NNYL_1"/>
    <s v="Nyabugogo Sub-Catchment"/>
    <n v="3153.6000000000004"/>
  </r>
  <r>
    <x v="3"/>
    <s v="Kanyinya"/>
    <s v="Public"/>
    <x v="0"/>
    <s v="Gicumbi"/>
    <s v="Bukure"/>
    <s v="NNYL_1"/>
    <s v="Nyabugogo Sub-Catchment"/>
    <n v="7884.0000000000009"/>
  </r>
  <r>
    <x v="3"/>
    <s v="Byininda"/>
    <s v="Public"/>
    <x v="0"/>
    <s v="Gicumbi"/>
    <s v="Bukure"/>
    <s v="NNYL_1"/>
    <s v="Nyabugogo Sub-Catchment"/>
    <n v="13875.840000000002"/>
  </r>
  <r>
    <x v="3"/>
    <s v="Gatare"/>
    <s v="Public"/>
    <x v="0"/>
    <s v="Gicumbi"/>
    <s v="Bukure"/>
    <s v="NNYL_1"/>
    <s v="Nyabugogo Sub-Catchment"/>
    <n v="5203.4400000000005"/>
  </r>
  <r>
    <x v="3"/>
    <s v="Gahama"/>
    <s v="Public"/>
    <x v="0"/>
    <s v="Gicumbi"/>
    <s v="Bukure"/>
    <s v="NNYL_1"/>
    <s v="Nyabugogo Sub-Catchment"/>
    <n v="2207.5200000000004"/>
  </r>
  <r>
    <x v="3"/>
    <s v="Gatare"/>
    <s v="Public"/>
    <x v="0"/>
    <s v="Gicumbi"/>
    <s v="Bukure"/>
    <s v="NNYL_1"/>
    <s v="Nyabugogo Sub-Catchment"/>
    <n v="3942.0000000000005"/>
  </r>
  <r>
    <x v="3"/>
    <s v="Nyakagezi"/>
    <s v="Public"/>
    <x v="0"/>
    <s v="Gicumbi"/>
    <s v="Bukure"/>
    <s v="NNYL_1"/>
    <s v="Nyabugogo Sub-Catchment"/>
    <n v="2207.5200000000004"/>
  </r>
  <r>
    <x v="3"/>
    <s v="Kajaje"/>
    <s v="Public"/>
    <x v="0"/>
    <s v="Rulindo"/>
    <s v="Burega"/>
    <s v="NNYL_1"/>
    <s v="Nyabugogo Sub-Catchment"/>
    <n v="1419.12"/>
  </r>
  <r>
    <x v="3"/>
    <s v="Bugoboka"/>
    <s v="Public"/>
    <x v="0"/>
    <s v="Rulindo"/>
    <s v="Burega"/>
    <s v="NNYL_1"/>
    <s v="Nyabugogo Sub-Catchment"/>
    <n v="3942.0000000000005"/>
  </r>
  <r>
    <x v="3"/>
    <s v="Gasare"/>
    <s v="Public"/>
    <x v="0"/>
    <s v="Rulindo"/>
    <s v="Burega"/>
    <s v="NNYL_1"/>
    <s v="Nyabugogo Sub-Catchment"/>
    <n v="10249.199999999999"/>
  </r>
  <r>
    <x v="3"/>
    <s v="Rwashyiga"/>
    <s v="Public"/>
    <x v="0"/>
    <s v="Rulindo"/>
    <s v="Burega"/>
    <s v="NNYL_1"/>
    <s v="Nyabugogo Sub-Catchment"/>
    <n v="3153.6000000000004"/>
  </r>
  <r>
    <x v="3"/>
    <s v="Gatiba"/>
    <s v="Public"/>
    <x v="0"/>
    <s v="Rulindo"/>
    <s v="Burega"/>
    <s v="NNYL_1"/>
    <s v="Nyabugogo Sub-Catchment"/>
    <n v="5676.48"/>
  </r>
  <r>
    <x v="3"/>
    <s v="Nyarutovu"/>
    <s v="Public"/>
    <x v="0"/>
    <s v="Rulindo"/>
    <s v="Burega"/>
    <s v="NNYL_1"/>
    <s v="Nyabugogo Sub-Catchment"/>
    <n v="1734.4800000000002"/>
  </r>
  <r>
    <x v="3"/>
    <s v="Gasharu"/>
    <s v="Public"/>
    <x v="0"/>
    <s v="Rulindo"/>
    <s v="Burega"/>
    <s v="NNYL_1"/>
    <s v="Nyabugogo Sub-Catchment"/>
    <n v="5045.76"/>
  </r>
  <r>
    <x v="3"/>
    <s v="Mucyamo"/>
    <s v="Public"/>
    <x v="0"/>
    <s v="Rulindo"/>
    <s v="Burega"/>
    <s v="NNYL_1"/>
    <s v="Nyabugogo Sub-Catchment"/>
    <n v="2049.84"/>
  </r>
  <r>
    <x v="3"/>
    <s v="Gashinge"/>
    <s v="Public"/>
    <x v="0"/>
    <s v="Rulindo"/>
    <s v="Burega"/>
    <s v="NNYL_1"/>
    <s v="Nyabugogo Sub-Catchment"/>
    <n v="1892.16"/>
  </r>
  <r>
    <x v="3"/>
    <s v="Mukabakene"/>
    <s v="Public"/>
    <x v="0"/>
    <s v="Rulindo"/>
    <s v="Burega"/>
    <s v="NNYL_1"/>
    <s v="Nyabugogo Sub-Catchment"/>
    <n v="1261.44"/>
  </r>
  <r>
    <x v="3"/>
    <s v="Cyerwa"/>
    <s v="Public"/>
    <x v="0"/>
    <s v="Rulindo"/>
    <s v="Burega"/>
    <s v="NNYL_1"/>
    <s v="Nyabugogo Sub-Catchment"/>
    <n v="9460.8000000000011"/>
  </r>
  <r>
    <x v="3"/>
    <s v="Kizenga"/>
    <s v="Public"/>
    <x v="0"/>
    <s v="Rulindo"/>
    <s v="Burega"/>
    <s v="NNYL_1"/>
    <s v="Nyabugogo Sub-Catchment"/>
    <n v="8672.4000000000015"/>
  </r>
  <r>
    <x v="3"/>
    <s v="Ndimiro"/>
    <s v="Public"/>
    <x v="0"/>
    <s v="Rulindo"/>
    <s v="Burega"/>
    <s v="NNYL_1"/>
    <s v="Nyabugogo Sub-Catchment"/>
    <n v="1576.8000000000002"/>
  </r>
  <r>
    <x v="3"/>
    <s v="Kiboha"/>
    <s v="Public"/>
    <x v="0"/>
    <s v="Rulindo"/>
    <s v="Burega"/>
    <s v="NNYL_1"/>
    <s v="Nyabugogo Sub-Catchment"/>
    <n v="5203.4400000000005"/>
  </r>
  <r>
    <x v="3"/>
    <s v="Gasare"/>
    <s v="Public"/>
    <x v="0"/>
    <s v="Rulindo"/>
    <s v="Burega"/>
    <s v="NNYL_1"/>
    <s v="Nyabugogo Sub-Catchment"/>
    <n v="1892.16"/>
  </r>
  <r>
    <x v="3"/>
    <s v="Gasare"/>
    <s v="Public"/>
    <x v="0"/>
    <s v="Rulindo"/>
    <s v="Burega"/>
    <s v="NNYL_1"/>
    <s v="Nyabugogo Sub-Catchment"/>
    <n v="5518.8"/>
  </r>
  <r>
    <x v="3"/>
    <s v="Mpunwe"/>
    <s v="Public"/>
    <x v="0"/>
    <s v="Rulindo"/>
    <s v="Burega"/>
    <s v="NNYL_1"/>
    <s v="Nyabugogo Sub-Catchment"/>
    <n v="18921.600000000002"/>
  </r>
  <r>
    <x v="3"/>
    <s v="Nyange"/>
    <s v="Public"/>
    <x v="0"/>
    <s v="Rulindo"/>
    <s v="Burega"/>
    <s v="NNYL_1"/>
    <s v="Nyabugogo Sub-Catchment"/>
    <n v="1103.7600000000002"/>
  </r>
  <r>
    <x v="3"/>
    <s v="Gako"/>
    <s v="Public"/>
    <x v="0"/>
    <s v="Rulindo"/>
    <s v="Cyinzuzi"/>
    <s v="NNYL_1"/>
    <s v="Nyabugogo Sub-Catchment"/>
    <n v="31536.000000000004"/>
  </r>
  <r>
    <x v="3"/>
    <s v="Nyiranzogeye"/>
    <s v="Public"/>
    <x v="0"/>
    <s v="Rulindo"/>
    <s v="Cyinzuzi"/>
    <s v="NNYL_1"/>
    <s v="Nyabugogo Sub-Catchment"/>
    <n v="9460.8000000000011"/>
  </r>
  <r>
    <x v="3"/>
    <s v="Kadogo"/>
    <s v="Public"/>
    <x v="0"/>
    <s v="Rulindo"/>
    <s v="Cyinzuzi"/>
    <s v="NNYL_1"/>
    <s v="Nyabugogo Sub-Catchment"/>
    <n v="2049.84"/>
  </r>
  <r>
    <x v="3"/>
    <s v="Kamatongo"/>
    <s v="Public"/>
    <x v="0"/>
    <s v="Rulindo"/>
    <s v="Cyinzuzi"/>
    <s v="NNYL_1"/>
    <s v="Nyabugogo Sub-Catchment"/>
    <n v="1261.44"/>
  </r>
  <r>
    <x v="3"/>
    <s v="Gatengu"/>
    <s v="Public"/>
    <x v="0"/>
    <s v="Rulindo"/>
    <s v="Cyinzuzi"/>
    <s v="NNYL_1"/>
    <s v="Nyabugogo Sub-Catchment"/>
    <n v="2049.84"/>
  </r>
  <r>
    <x v="3"/>
    <s v="Nyakagezi"/>
    <s v="Public"/>
    <x v="0"/>
    <s v="Rulindo"/>
    <s v="Cyinzuzi"/>
    <s v="NNYL_1"/>
    <s v="Nyabugogo Sub-Catchment"/>
    <n v="9460.8000000000011"/>
  </r>
  <r>
    <x v="3"/>
    <s v="Rubiha"/>
    <s v="Public"/>
    <x v="0"/>
    <s v="Rulindo"/>
    <s v="Cyinzuzi"/>
    <s v="NNYL_1"/>
    <s v="Nyabugogo Sub-Catchment"/>
    <n v="2049.84"/>
  </r>
  <r>
    <x v="3"/>
    <s v="Kadogo I"/>
    <s v="Public"/>
    <x v="0"/>
    <s v="Rulindo"/>
    <s v="Cyinzuzi"/>
    <s v="NNYL_1"/>
    <s v="Nyabugogo Sub-Catchment"/>
    <n v="15768.000000000002"/>
  </r>
  <r>
    <x v="3"/>
    <s v="Ryanyirabarengu"/>
    <s v="Public"/>
    <x v="0"/>
    <s v="Rulindo"/>
    <s v="Cyinzuzi"/>
    <s v="NNYL_1"/>
    <s v="Nyabugogo Sub-Catchment"/>
    <n v="2522.88"/>
  </r>
  <r>
    <x v="3"/>
    <s v="Gasayo"/>
    <s v="Public"/>
    <x v="0"/>
    <s v="Rulindo"/>
    <s v="Cyinzuzi"/>
    <s v="NNYL_1"/>
    <s v="Nyabugogo Sub-Catchment"/>
    <n v="6307.2000000000007"/>
  </r>
  <r>
    <x v="3"/>
    <s v="Kadogo II"/>
    <s v="Public"/>
    <x v="0"/>
    <s v="Rulindo"/>
    <s v="Cyinzuzi"/>
    <s v="NNYL_1"/>
    <s v="Nyabugogo Sub-Catchment"/>
    <n v="15768.000000000002"/>
  </r>
  <r>
    <x v="3"/>
    <s v="Nyamuko"/>
    <s v="Public"/>
    <x v="0"/>
    <s v="Rulindo"/>
    <s v="Cyinzuzi"/>
    <s v="NNYL_1"/>
    <s v="Nyabugogo Sub-Catchment"/>
    <n v="14191.2"/>
  </r>
  <r>
    <x v="3"/>
    <s v="Nyamikombe"/>
    <s v="Public"/>
    <x v="0"/>
    <s v="Rulindo"/>
    <s v="Cyinzuzi"/>
    <s v="NNYL_1"/>
    <s v="Nyabugogo Sub-Catchment"/>
    <n v="2049.84"/>
  </r>
  <r>
    <x v="3"/>
    <s v="Kabindi"/>
    <s v="Public"/>
    <x v="0"/>
    <s v="Rulindo"/>
    <s v="Cyinzuzi"/>
    <s v="NNYL_1"/>
    <s v="Nyabugogo Sub-Catchment"/>
    <n v="1261.44"/>
  </r>
  <r>
    <x v="3"/>
    <s v="Gahama"/>
    <s v="Public"/>
    <x v="0"/>
    <s v="Rulindo"/>
    <s v="Cyinzuzi"/>
    <s v="NNYL_1"/>
    <s v="Nyabugogo Sub-Catchment"/>
    <n v="946.08"/>
  </r>
  <r>
    <x v="3"/>
    <s v="Shyondwe"/>
    <s v="Public"/>
    <x v="0"/>
    <s v="Rulindo"/>
    <s v="Cyinzuzi"/>
    <s v="NNYL_1"/>
    <s v="Nyabugogo Sub-Catchment"/>
    <n v="9460.8000000000011"/>
  </r>
  <r>
    <x v="3"/>
    <s v="Kabingo"/>
    <s v="Public"/>
    <x v="0"/>
    <s v="Rulindo"/>
    <s v="Cyinzuzi"/>
    <s v="NNYL_1"/>
    <s v="Nyabugogo Sub-Catchment"/>
    <n v="2522.88"/>
  </r>
  <r>
    <x v="3"/>
    <s v="Nyamuko"/>
    <s v="Public"/>
    <x v="0"/>
    <s v="Rulindo"/>
    <s v="Cyinzuzi"/>
    <s v="NNYL_1"/>
    <s v="Nyabugogo Sub-Catchment"/>
    <n v="6307.2000000000007"/>
  </r>
  <r>
    <x v="3"/>
    <s v="Runyinya"/>
    <s v="Public"/>
    <x v="0"/>
    <s v="Rulindo"/>
    <s v="Cyinzuzi"/>
    <s v="NNYL_1"/>
    <s v="Nyabugogo Sub-Catchment"/>
    <n v="3153.6000000000004"/>
  </r>
  <r>
    <x v="3"/>
    <s v="Nyabitare"/>
    <s v="Public"/>
    <x v="0"/>
    <s v="Rulindo"/>
    <s v="Cyinzuzi"/>
    <s v="NNYL_1"/>
    <s v="Nyabugogo Sub-Catchment"/>
    <n v="31536.000000000004"/>
  </r>
  <r>
    <x v="3"/>
    <s v="Kanywero"/>
    <s v="Public"/>
    <x v="0"/>
    <s v="Rulindo"/>
    <s v="Cyinzuzi"/>
    <s v="NNYL_1"/>
    <s v="Nyabugogo Sub-Catchment"/>
    <n v="946.08"/>
  </r>
  <r>
    <x v="3"/>
    <s v="Nyamakumba"/>
    <s v="Public"/>
    <x v="0"/>
    <s v="Rulindo"/>
    <s v="Cyinzuzi"/>
    <s v="NNYL_1"/>
    <s v="Nyabugogo Sub-Catchment"/>
    <n v="1261.44"/>
  </r>
  <r>
    <x v="3"/>
    <s v="Kajange"/>
    <s v="Public"/>
    <x v="0"/>
    <s v="Rulindo"/>
    <s v="Cyinzuzi"/>
    <s v="NNYL_1"/>
    <s v="Nyabugogo Sub-Catchment"/>
    <n v="946.08"/>
  </r>
  <r>
    <x v="3"/>
    <s v="Byabami"/>
    <s v="Public"/>
    <x v="0"/>
    <s v="Rulindo"/>
    <s v="Cyinzuzi"/>
    <s v="NNYL_1"/>
    <s v="Nyabugogo Sub-Catchment"/>
    <n v="946.08"/>
  </r>
  <r>
    <x v="3"/>
    <s v="Gahama II"/>
    <s v="Public"/>
    <x v="0"/>
    <s v="Rulindo"/>
    <s v="Cyinzuzi"/>
    <s v="NNYL_1"/>
    <s v="Nyabugogo Sub-Catchment"/>
    <n v="6307.2000000000007"/>
  </r>
  <r>
    <x v="3"/>
    <s v="Gahama I"/>
    <s v="Public"/>
    <x v="0"/>
    <s v="Rulindo"/>
    <s v="Cyinzuzi"/>
    <s v="NNYL_1"/>
    <s v="Nyabugogo Sub-Catchment"/>
    <n v="9460.8000000000011"/>
  </r>
  <r>
    <x v="3"/>
    <s v="Byiamana"/>
    <s v="Public"/>
    <x v="0"/>
    <s v="Rulindo"/>
    <s v="Cyinzuzi"/>
    <s v="NNYL_1"/>
    <s v="Nyabugogo Sub-Catchment"/>
    <n v="3153.6000000000004"/>
  </r>
  <r>
    <x v="3"/>
    <s v="Rukore"/>
    <s v="Public"/>
    <x v="0"/>
    <s v="Rulindo"/>
    <s v="Cyinzuzi"/>
    <s v="NNYL_1"/>
    <s v="Nyabugogo Sub-Catchment"/>
    <n v="2049.84"/>
  </r>
  <r>
    <x v="3"/>
    <s v="RWAMUGANDE"/>
    <s v="Public"/>
    <x v="0"/>
    <s v="Gatsibo"/>
    <s v="Gasange"/>
    <s v="NNYL_1"/>
    <s v="Nyabugogo Sub-Catchment"/>
    <n v="33112.800000000003"/>
  </r>
  <r>
    <x v="3"/>
    <s v="RUKARA"/>
    <s v="Public"/>
    <x v="0"/>
    <s v="Gatsibo"/>
    <s v="Gasange"/>
    <s v="NNYL_1"/>
    <s v="Nyabugogo Sub-Catchment"/>
    <n v="26805.599999999999"/>
  </r>
  <r>
    <x v="3"/>
    <s v="KIMANA"/>
    <s v="Public"/>
    <x v="0"/>
    <s v="Gatsibo"/>
    <s v="Gasange"/>
    <s v="NNYL_1"/>
    <s v="Nyabugogo Sub-Catchment"/>
    <n v="3153.6000000000004"/>
  </r>
  <r>
    <x v="3"/>
    <s v="KANAMUGIRE"/>
    <s v="Public"/>
    <x v="0"/>
    <s v="Gatsibo"/>
    <s v="Gasange"/>
    <s v="NNYL_1"/>
    <s v="Nyabugogo Sub-Catchment"/>
    <n v="11037.6"/>
  </r>
  <r>
    <x v="3"/>
    <s v="KAGABA"/>
    <s v="Public"/>
    <x v="0"/>
    <s v="Gatsibo"/>
    <s v="Gasange"/>
    <s v="NNYL_1"/>
    <s v="Nyabugogo Sub-Catchment"/>
    <n v="1103.7600000000002"/>
  </r>
  <r>
    <x v="3"/>
    <s v="KABURAME"/>
    <s v="Public"/>
    <x v="0"/>
    <s v="Gatsibo"/>
    <s v="Gasange"/>
    <s v="NNYL_1"/>
    <s v="Nyabugogo Sub-Catchment"/>
    <n v="17344.800000000003"/>
  </r>
  <r>
    <x v="3"/>
    <s v="BUTANA"/>
    <s v="Public"/>
    <x v="0"/>
    <s v="Gatsibo"/>
    <s v="Gasange"/>
    <s v="NNYL_1"/>
    <s v="Nyabugogo Sub-Catchment"/>
    <n v="11037.6"/>
  </r>
  <r>
    <x v="3"/>
    <s v="NYAKALIBAII/ku isoko"/>
    <s v="Public"/>
    <x v="0"/>
    <s v="Gasabo"/>
    <s v="Gatsata"/>
    <s v="NNYL_1"/>
    <s v="Nyabugogo Sub-Catchment"/>
    <n v="7884.0000000000009"/>
  </r>
  <r>
    <x v="3"/>
    <s v="NYAKALIBA/amarembo"/>
    <s v="Public"/>
    <x v="0"/>
    <s v="Gasabo"/>
    <s v="Gatsata"/>
    <s v="NNYL_1"/>
    <s v="Nyabugogo Sub-Catchment"/>
    <n v="10091.52"/>
  </r>
  <r>
    <x v="3"/>
    <s v="nyakaliba iv"/>
    <s v="Public"/>
    <x v="0"/>
    <s v="Gasabo"/>
    <s v="Gatsata"/>
    <s v="NNYL_1"/>
    <s v="Nyabugogo Sub-Catchment"/>
    <n v="7884.0000000000009"/>
  </r>
  <r>
    <x v="3"/>
    <s v="NYAKALIBAIII/kanyonyomba kamungozi"/>
    <s v="Public"/>
    <x v="0"/>
    <s v="Gasabo"/>
    <s v="Gatsata"/>
    <s v="NNYL_1"/>
    <s v="Nyabugogo Sub-Catchment"/>
    <n v="9460.8000000000011"/>
  </r>
  <r>
    <x v="3"/>
    <s v="GAHAMA"/>
    <s v="Public"/>
    <x v="0"/>
    <s v="Gasabo"/>
    <s v="Gikomero"/>
    <s v="NNYL_1"/>
    <s v="Nyabugogo Sub-Catchment"/>
    <n v="2522.88"/>
  </r>
  <r>
    <x v="3"/>
    <s v="cyokora"/>
    <s v="Public"/>
    <x v="0"/>
    <s v="Gasabo"/>
    <s v="Gikomero"/>
    <s v="NNYL_1"/>
    <s v="Nyabugogo Sub-Catchment"/>
    <n v="2995.92"/>
  </r>
  <r>
    <x v="3"/>
    <s v="RUKO"/>
    <s v="Public"/>
    <x v="0"/>
    <s v="Gasabo"/>
    <s v="Gikomero"/>
    <s v="NNYL_1"/>
    <s v="Nyabugogo Sub-Catchment"/>
    <n v="7884.0000000000009"/>
  </r>
  <r>
    <x v="3"/>
    <s v="NYAKAGEZI"/>
    <s v="Public"/>
    <x v="0"/>
    <s v="Gasabo"/>
    <s v="Gikomero"/>
    <s v="NNYL_1"/>
    <s v="Nyabugogo Sub-Catchment"/>
    <n v="3311.2799999999997"/>
  </r>
  <r>
    <x v="3"/>
    <s v="CANON MAGERWA"/>
    <s v="Public"/>
    <x v="0"/>
    <s v="Kicukiro"/>
    <s v="Gikondo"/>
    <s v="NNYL_1"/>
    <s v="Nyabugogo Sub-Catchment"/>
    <n v="12614.400000000001"/>
  </r>
  <r>
    <x v="3"/>
    <s v="CHEZ SAMUEL"/>
    <s v="Public"/>
    <x v="0"/>
    <s v="Kicukiro"/>
    <s v="Gikondo"/>
    <s v="NNYL_1"/>
    <s v="Nyabugogo Sub-Catchment"/>
    <n v="0"/>
  </r>
  <r>
    <x v="3"/>
    <s v="BUSE CHEZ MANUEL"/>
    <s v="Public"/>
    <x v="0"/>
    <s v="Kicukiro"/>
    <s v="Gikondo"/>
    <s v="NNYL_1"/>
    <s v="Nyabugogo Sub-Catchment"/>
    <n v="0"/>
  </r>
  <r>
    <x v="3"/>
    <s v="CHEZ NGIRIYUMVA"/>
    <s v="Public"/>
    <x v="0"/>
    <s v="Kicukiro"/>
    <s v="Gikondo"/>
    <s v="NNYL_1"/>
    <s v="Nyabugogo Sub-Catchment"/>
    <n v="0"/>
  </r>
  <r>
    <x v="3"/>
    <s v="CHEZ SELINDA EMMANUEL"/>
    <s v="Public"/>
    <x v="0"/>
    <s v="Kicukiro"/>
    <s v="Gikondo"/>
    <s v="NNYL_1"/>
    <s v="Nyabugogo Sub-Catchment"/>
    <n v="0"/>
  </r>
  <r>
    <x v="3"/>
    <s v="NYAKALIBA/KIGAGAII"/>
    <s v="Public"/>
    <x v="0"/>
    <s v="Gasabo"/>
    <s v="Gisozi"/>
    <s v="NNYL_1"/>
    <s v="Nyabugogo Sub-Catchment"/>
    <n v="4730.4000000000005"/>
  </r>
  <r>
    <x v="3"/>
    <s v="GASAVE"/>
    <s v="Public"/>
    <x v="0"/>
    <s v="Gasabo"/>
    <s v="Gisozi"/>
    <s v="NNYL_1"/>
    <s v="Nyabugogo Sub-Catchment"/>
    <n v="1892.16"/>
  </r>
  <r>
    <x v="3"/>
    <s v="NYABUGOGO/KUMANGA"/>
    <s v="Public"/>
    <x v="0"/>
    <s v="Gasabo"/>
    <s v="Gisozi"/>
    <s v="NNYL_1"/>
    <s v="Nyabugogo Sub-Catchment"/>
    <n v="2049.84"/>
  </r>
  <r>
    <x v="3"/>
    <s v="Nyakagezi"/>
    <s v="Public"/>
    <x v="0"/>
    <s v="Gicumbi"/>
    <s v="Giti"/>
    <s v="NNYL_1"/>
    <s v="Nyabugogo Sub-Catchment"/>
    <n v="1419.12"/>
  </r>
  <r>
    <x v="3"/>
    <s v="Rutanda"/>
    <s v="Public"/>
    <x v="0"/>
    <s v="Gicumbi"/>
    <s v="Giti"/>
    <s v="NNYL_1"/>
    <s v="Nyabugogo Sub-Catchment"/>
    <n v="315.36"/>
  </r>
  <r>
    <x v="3"/>
    <s v="Ryaruganzu"/>
    <s v="Public"/>
    <x v="0"/>
    <s v="Gicumbi"/>
    <s v="Giti"/>
    <s v="NNYL_1"/>
    <s v="Nyabugogo Sub-Catchment"/>
    <n v="315.36"/>
  </r>
  <r>
    <x v="3"/>
    <s v="Kanyama"/>
    <s v="Public"/>
    <x v="0"/>
    <s v="Gicumbi"/>
    <s v="Giti"/>
    <s v="NNYL_1"/>
    <s v="Nyabugogo Sub-Catchment"/>
    <n v="7726.32"/>
  </r>
  <r>
    <x v="3"/>
    <s v="Mashyoza"/>
    <s v="Public"/>
    <x v="0"/>
    <s v="Gicumbi"/>
    <s v="Giti"/>
    <s v="NNYL_1"/>
    <s v="Nyabugogo Sub-Catchment"/>
    <n v="2522.88"/>
  </r>
  <r>
    <x v="3"/>
    <s v="Nyabisindu"/>
    <s v="Public"/>
    <x v="0"/>
    <s v="Gicumbi"/>
    <s v="Giti"/>
    <s v="NNYL_1"/>
    <s v="Nyabugogo Sub-Catchment"/>
    <n v="3942.0000000000005"/>
  </r>
  <r>
    <x v="3"/>
    <s v="Katagayifu"/>
    <s v="Public"/>
    <x v="0"/>
    <s v="Gicumbi"/>
    <s v="Giti"/>
    <s v="NNYL_1"/>
    <s v="Nyabugogo Sub-Catchment"/>
    <n v="25228.800000000003"/>
  </r>
  <r>
    <x v="3"/>
    <s v="Ryaruhara"/>
    <s v="Public"/>
    <x v="0"/>
    <s v="Gicumbi"/>
    <s v="Giti"/>
    <s v="NNYL_1"/>
    <s v="Nyabugogo Sub-Catchment"/>
    <n v="11037.6"/>
  </r>
  <r>
    <x v="3"/>
    <s v="Gaseke"/>
    <s v="Public"/>
    <x v="0"/>
    <s v="Gicumbi"/>
    <s v="Giti"/>
    <s v="NNYL_1"/>
    <s v="Nyabugogo Sub-Catchment"/>
    <n v="9933.84"/>
  </r>
  <r>
    <x v="3"/>
    <s v="Ruhondo"/>
    <s v="Public"/>
    <x v="0"/>
    <s v="Gicumbi"/>
    <s v="Giti"/>
    <s v="NNYL_1"/>
    <s v="Nyabugogo Sub-Catchment"/>
    <n v="10249.199999999999"/>
  </r>
  <r>
    <x v="3"/>
    <s v="Rubonobono"/>
    <s v="Public"/>
    <x v="0"/>
    <s v="Gicumbi"/>
    <s v="Giti"/>
    <s v="NNYL_1"/>
    <s v="Nyabugogo Sub-Catchment"/>
    <n v="4257.3600000000006"/>
  </r>
  <r>
    <x v="3"/>
    <s v="Nyakagezi B"/>
    <s v="Public"/>
    <x v="0"/>
    <s v="Gicumbi"/>
    <s v="Giti"/>
    <s v="NNYL_1"/>
    <s v="Nyabugogo Sub-Catchment"/>
    <n v="1892.16"/>
  </r>
  <r>
    <x v="3"/>
    <s v="Kwa Ruremesha"/>
    <s v="Public"/>
    <x v="0"/>
    <s v="Gicumbi"/>
    <s v="Giti"/>
    <s v="NNYL_1"/>
    <s v="Nyabugogo Sub-Catchment"/>
    <n v="6307.2000000000007"/>
  </r>
  <r>
    <x v="3"/>
    <s v="Kamagwe"/>
    <s v="Public"/>
    <x v="0"/>
    <s v="Gicumbi"/>
    <s v="Giti"/>
    <s v="NNYL_1"/>
    <s v="Nyabugogo Sub-Catchment"/>
    <n v="4730.4000000000005"/>
  </r>
  <r>
    <x v="3"/>
    <s v="Kavumu"/>
    <s v="Public"/>
    <x v="0"/>
    <s v="Gicumbi"/>
    <s v="Giti"/>
    <s v="NNYL_1"/>
    <s v="Nyabugogo Sub-Catchment"/>
    <n v="2838.24"/>
  </r>
  <r>
    <x v="3"/>
    <s v="Kanyiramujari"/>
    <s v="Public"/>
    <x v="0"/>
    <s v="Gicumbi"/>
    <s v="Giti"/>
    <s v="NNYL_1"/>
    <s v="Nyabugogo Sub-Catchment"/>
    <n v="22075.200000000001"/>
  </r>
  <r>
    <x v="3"/>
    <s v="Nyakagezi"/>
    <s v="Public"/>
    <x v="0"/>
    <s v="Gicumbi"/>
    <s v="Giti"/>
    <s v="NNYL_1"/>
    <s v="Nyabugogo Sub-Catchment"/>
    <n v="28382.400000000001"/>
  </r>
  <r>
    <x v="3"/>
    <s v="RUGOGWE/KIVUGANGOMA"/>
    <s v="Public"/>
    <x v="0"/>
    <s v="Gasabo"/>
    <s v="Jabana"/>
    <s v="NNYL_1"/>
    <s v="Nyabugogo Sub-Catchment"/>
    <n v="4730.4000000000005"/>
  </r>
  <r>
    <x v="3"/>
    <s v="GASEKE"/>
    <s v="Public"/>
    <x v="0"/>
    <s v="Gasabo"/>
    <s v="Jabana"/>
    <s v="NNYL_1"/>
    <s v="Nyabugogo Sub-Catchment"/>
    <n v="0"/>
  </r>
  <r>
    <x v="3"/>
    <s v="KADAHOKWA"/>
    <s v="Public"/>
    <x v="0"/>
    <s v="Gasabo"/>
    <s v="Jabana"/>
    <s v="NNYL_1"/>
    <s v="Nyabugogo Sub-Catchment"/>
    <n v="4730.4000000000005"/>
  </r>
  <r>
    <x v="3"/>
    <s v="GAHAMA"/>
    <s v="Public"/>
    <x v="0"/>
    <s v="Gasabo"/>
    <s v="Jabana"/>
    <s v="NNYL_1"/>
    <s v="Nyabugogo Sub-Catchment"/>
    <n v="0"/>
  </r>
  <r>
    <x v="3"/>
    <s v="AGAHAMA KWA KALISA"/>
    <s v="Public"/>
    <x v="0"/>
    <s v="Gasabo"/>
    <s v="Jabana"/>
    <s v="NNYL_1"/>
    <s v="Nyabugogo Sub-Catchment"/>
    <n v="5518.8"/>
  </r>
  <r>
    <x v="3"/>
    <s v="NYAKALIBA"/>
    <s v="Public"/>
    <x v="0"/>
    <s v="Gasabo"/>
    <s v="Jabana"/>
    <s v="NNYL_1"/>
    <s v="Nyabugogo Sub-Catchment"/>
    <n v="473.04"/>
  </r>
  <r>
    <x v="3"/>
    <s v="AGATARE/KWA NSABIMANA"/>
    <s v="Public"/>
    <x v="0"/>
    <s v="Gasabo"/>
    <s v="Jabana"/>
    <s v="NNYL_1"/>
    <s v="Nyabugogo Sub-Catchment"/>
    <n v="7884.0000000000009"/>
  </r>
  <r>
    <x v="3"/>
    <s v="RUGARAMA I"/>
    <s v="Public"/>
    <x v="0"/>
    <s v="Gasabo"/>
    <s v="Jabana"/>
    <s v="NNYL_1"/>
    <s v="Nyabugogo Sub-Catchment"/>
    <n v="8987.76"/>
  </r>
  <r>
    <x v="3"/>
    <s v="GAHARAGU"/>
    <s v="Public"/>
    <x v="0"/>
    <s v="Gasabo"/>
    <s v="Jabana"/>
    <s v="NNYL_1"/>
    <s v="Nyabugogo Sub-Catchment"/>
    <n v="4888.0800000000008"/>
  </r>
  <r>
    <x v="3"/>
    <s v="NYAKABINGO/NTAKIYIMANA"/>
    <s v="Public"/>
    <x v="0"/>
    <s v="Gasabo"/>
    <s v="Jabana"/>
    <s v="NNYL_1"/>
    <s v="Nyabugogo Sub-Catchment"/>
    <n v="5045.76"/>
  </r>
  <r>
    <x v="3"/>
    <s v="NYAKABINGO"/>
    <s v="Public"/>
    <x v="0"/>
    <s v="Gasabo"/>
    <s v="Jabana"/>
    <s v="NNYL_1"/>
    <s v="Nyabugogo Sub-Catchment"/>
    <n v="31536.000000000004"/>
  </r>
  <r>
    <x v="3"/>
    <s v="AKAGAGWA"/>
    <s v="Public"/>
    <x v="0"/>
    <s v="Gasabo"/>
    <s v="Jabana"/>
    <s v="NNYL_1"/>
    <s v="Nyabugogo Sub-Catchment"/>
    <n v="1971.0000000000002"/>
  </r>
  <r>
    <x v="3"/>
    <s v="AGATARE"/>
    <s v="Public"/>
    <x v="0"/>
    <s v="Gasabo"/>
    <s v="Jabana"/>
    <s v="NNYL_1"/>
    <s v="Nyabugogo Sub-Catchment"/>
    <n v="5361.12"/>
  </r>
  <r>
    <x v="3"/>
    <s v="KIGARAMA"/>
    <s v="Public"/>
    <x v="0"/>
    <s v="Gasabo"/>
    <s v="Jali"/>
    <s v="NNYL_1"/>
    <s v="Nyabugogo Sub-Catchment"/>
    <n v="4730.4000000000005"/>
  </r>
  <r>
    <x v="3"/>
    <s v="NYAKIBIZI"/>
    <s v="Public"/>
    <x v="0"/>
    <s v="Gasabo"/>
    <s v="Jali"/>
    <s v="NNYL_1"/>
    <s v="Nyabugogo Sub-Catchment"/>
    <n v="4257.3600000000006"/>
  </r>
  <r>
    <x v="3"/>
    <s v="KWA RUGINA"/>
    <s v="Public"/>
    <x v="0"/>
    <s v="Gasabo"/>
    <s v="Jali"/>
    <s v="NNYL_1"/>
    <s v="Nyabugogo Sub-Catchment"/>
    <n v="31.536000000000001"/>
  </r>
  <r>
    <x v="3"/>
    <s v="AKABANDE"/>
    <s v="Public"/>
    <x v="0"/>
    <s v="Gasabo"/>
    <s v="Jali"/>
    <s v="NNYL_1"/>
    <s v="Nyabugogo Sub-Catchment"/>
    <n v="7884.0000000000009"/>
  </r>
  <r>
    <x v="3"/>
    <s v="AGAHOBOBA"/>
    <s v="Public"/>
    <x v="0"/>
    <s v="Gasabo"/>
    <s v="Jali"/>
    <s v="NNYL_1"/>
    <s v="Nyabugogo Sub-Catchment"/>
    <n v="5518.8"/>
  </r>
  <r>
    <x v="3"/>
    <s v="KADOGO"/>
    <s v="Public"/>
    <x v="0"/>
    <s v="Gasabo"/>
    <s v="Jali"/>
    <s v="NNYL_1"/>
    <s v="Nyabugogo Sub-Catchment"/>
    <n v="6307.2000000000007"/>
  </r>
  <r>
    <x v="3"/>
    <s v="MUGATARE"/>
    <s v="Public"/>
    <x v="0"/>
    <s v="Gasabo"/>
    <s v="Jali"/>
    <s v="NNYL_1"/>
    <s v="Nyabugogo Sub-Catchment"/>
    <n v="4730.4000000000005"/>
  </r>
  <r>
    <x v="3"/>
    <s v="NYAMAKOMA"/>
    <s v="Public"/>
    <x v="0"/>
    <s v="Gasabo"/>
    <s v="Jali"/>
    <s v="NNYL_1"/>
    <s v="Nyabugogo Sub-Catchment"/>
    <n v="3153.6000000000004"/>
  </r>
  <r>
    <x v="3"/>
    <s v="NYAGAHONDO"/>
    <s v="Public"/>
    <x v="0"/>
    <s v="Gasabo"/>
    <s v="Jali"/>
    <s v="NNYL_1"/>
    <s v="Nyabugogo Sub-Catchment"/>
    <n v="4730.4000000000005"/>
  </r>
  <r>
    <x v="3"/>
    <s v="NDAYABANA"/>
    <s v="Public"/>
    <x v="0"/>
    <s v="Gasabo"/>
    <s v="Jali"/>
    <s v="NNYL_1"/>
    <s v="Nyabugogo Sub-Catchment"/>
    <n v="3468.9600000000005"/>
  </r>
  <r>
    <x v="3"/>
    <s v="RUDOGO"/>
    <s v="Public"/>
    <x v="0"/>
    <s v="Gasabo"/>
    <s v="Jali"/>
    <s v="NNYL_1"/>
    <s v="Nyabugogo Sub-Catchment"/>
    <n v="1419.12"/>
  </r>
  <r>
    <x v="3"/>
    <s v="MUBASERU"/>
    <s v="Public"/>
    <x v="0"/>
    <s v="Gasabo"/>
    <s v="Jali"/>
    <s v="NNYL_1"/>
    <s v="Nyabugogo Sub-Catchment"/>
    <n v="2049.84"/>
  </r>
  <r>
    <x v="3"/>
    <s v="NYABITARE"/>
    <s v="Public"/>
    <x v="0"/>
    <s v="Gasabo"/>
    <s v="Jali"/>
    <s v="NNYL_1"/>
    <s v="Nyabugogo Sub-Catchment"/>
    <n v="0"/>
  </r>
  <r>
    <x v="3"/>
    <s v="KUMUCANGA"/>
    <s v="Public"/>
    <x v="0"/>
    <s v="Gasabo"/>
    <s v="Kacyiru"/>
    <s v="NNYL_1"/>
    <s v="Nyabugogo Sub-Catchment"/>
    <n v="3153.6000000000004"/>
  </r>
  <r>
    <x v="3"/>
    <s v="KIGUGU"/>
    <s v="Public"/>
    <x v="0"/>
    <s v="Gasabo"/>
    <s v="Kacyiru"/>
    <s v="NNYL_1"/>
    <s v="Nyabugogo Sub-Catchment"/>
    <n v="315.36"/>
  </r>
  <r>
    <x v="3"/>
    <s v="KUMUNYINYA WA MBERE"/>
    <s v="Public"/>
    <x v="0"/>
    <s v="Gasabo"/>
    <s v="Kacyiru"/>
    <s v="NNYL_1"/>
    <s v="Nyabugogo Sub-Catchment"/>
    <n v="15768.000000000002"/>
  </r>
  <r>
    <x v="3"/>
    <s v="KUMUNYINYA WA KABIRI"/>
    <s v="Public"/>
    <x v="0"/>
    <s v="Gasabo"/>
    <s v="Kacyiru"/>
    <s v="NNYL_1"/>
    <s v="Nyabugogo Sub-Catchment"/>
    <n v="11826.000000000002"/>
  </r>
  <r>
    <x v="3"/>
    <s v="KAREKEZI"/>
    <s v="Public"/>
    <x v="0"/>
    <s v="Gicumbi"/>
    <s v="Kageyo"/>
    <s v="NNYL_1"/>
    <s v="Nyabugogo Sub-Catchment"/>
    <n v="3153.6000000000004"/>
  </r>
  <r>
    <x v="3"/>
    <s v="NYAMAFURA"/>
    <s v="Public"/>
    <x v="0"/>
    <s v="Gicumbi"/>
    <s v="Kageyo"/>
    <s v="NNYL_1"/>
    <s v="Nyabugogo Sub-Catchment"/>
    <n v="23652.000000000004"/>
  </r>
  <r>
    <x v="3"/>
    <s v="KIROMOROMO"/>
    <s v="Public"/>
    <x v="0"/>
    <s v="Nyarugenge"/>
    <s v="Kanyinya"/>
    <s v="NNYL_1"/>
    <s v="Nyabugogo Sub-Catchment"/>
    <n v="1261.44"/>
  </r>
  <r>
    <x v="3"/>
    <s v="Kagina"/>
    <s v="Public"/>
    <x v="0"/>
    <s v="Kicukiro"/>
    <s v="Kicukiro"/>
    <s v="NNYL_1"/>
    <s v="Nyabugogo Sub-Catchment"/>
    <n v="3942.0000000000005"/>
  </r>
  <r>
    <x v="3"/>
    <s v="BYARUGANZU"/>
    <s v="Public"/>
    <x v="0"/>
    <s v="Rwamagana"/>
    <s v="Kigabiro"/>
    <s v="NNYL_1"/>
    <s v="Nyabugogo Sub-Catchment"/>
    <n v="2049.84"/>
  </r>
  <r>
    <x v="3"/>
    <s v="NYAKABANDE"/>
    <s v="Public"/>
    <x v="0"/>
    <s v="Rwamagana"/>
    <s v="Kigabiro"/>
    <s v="NNYL_1"/>
    <s v="Nyabugogo Sub-Catchment"/>
    <n v="7253.28"/>
  </r>
  <r>
    <x v="3"/>
    <s v="CYAHAFI"/>
    <s v="Public"/>
    <x v="0"/>
    <s v="Rwamagana"/>
    <s v="Kigabiro"/>
    <s v="NNYL_1"/>
    <s v="Nyabugogo Sub-Catchment"/>
    <n v="4730.4000000000005"/>
  </r>
  <r>
    <x v="3"/>
    <s v="KALIKO"/>
    <s v="Public"/>
    <x v="0"/>
    <s v="Rwamagana"/>
    <s v="Kigabiro"/>
    <s v="NNYL_1"/>
    <s v="Nyabugogo Sub-Catchment"/>
    <n v="4730.4000000000005"/>
  </r>
  <r>
    <x v="3"/>
    <s v="KAGEZI"/>
    <s v="Public"/>
    <x v="0"/>
    <s v="Rwamagana"/>
    <s v="Kigabiro"/>
    <s v="NNYL_1"/>
    <s v="Nyabugogo Sub-Catchment"/>
    <n v="2049.84"/>
  </r>
  <r>
    <x v="3"/>
    <s v="GATARE"/>
    <s v="Public"/>
    <x v="0"/>
    <s v="Rwamagana"/>
    <s v="Kigabiro"/>
    <s v="NNYL_1"/>
    <s v="Nyabugogo Sub-Catchment"/>
    <n v="5991.84"/>
  </r>
  <r>
    <x v="3"/>
    <s v="KADEHERO"/>
    <s v="Public"/>
    <x v="0"/>
    <s v="Rwamagana"/>
    <s v="Kigabiro"/>
    <s v="NNYL_1"/>
    <s v="Nyabugogo Sub-Catchment"/>
    <n v="7095.6"/>
  </r>
  <r>
    <x v="3"/>
    <s v="BUKAMBA"/>
    <s v="Public"/>
    <x v="0"/>
    <s v="Rwamagana"/>
    <s v="Kigabiro"/>
    <s v="NNYL_1"/>
    <s v="Nyabugogo Sub-Catchment"/>
    <n v="2522.88"/>
  </r>
  <r>
    <x v="3"/>
    <s v="KAVURA 1"/>
    <s v="Public"/>
    <x v="0"/>
    <s v="Rwamagana"/>
    <s v="Kigabiro"/>
    <s v="NNYL_1"/>
    <s v="Nyabugogo Sub-Catchment"/>
    <n v="5361.12"/>
  </r>
  <r>
    <x v="3"/>
    <s v="BUGUGU"/>
    <s v="Public"/>
    <x v="0"/>
    <s v="Rwamagana"/>
    <s v="Kigabiro"/>
    <s v="NNYL_1"/>
    <s v="Nyabugogo Sub-Catchment"/>
    <n v="6307.2000000000007"/>
  </r>
  <r>
    <x v="3"/>
    <s v="KIRUHURA"/>
    <s v="Public"/>
    <x v="0"/>
    <s v="Rwamagana"/>
    <s v="Kigabiro"/>
    <s v="NNYL_1"/>
    <s v="Nyabugogo Sub-Catchment"/>
    <n v="7568.64"/>
  </r>
  <r>
    <x v="3"/>
    <s v="GAHONOGO"/>
    <s v="Public"/>
    <x v="0"/>
    <s v="Rwamagana"/>
    <s v="Kigabiro"/>
    <s v="NNYL_1"/>
    <s v="Nyabugogo Sub-Catchment"/>
    <n v="5361.12"/>
  </r>
  <r>
    <x v="3"/>
    <s v="NYARUKOMBE"/>
    <s v="Public"/>
    <x v="0"/>
    <s v="Gasabo"/>
    <s v="Kimihurura"/>
    <s v="NNYL_1"/>
    <s v="Nyabugogo Sub-Catchment"/>
    <n v="23652.000000000004"/>
  </r>
  <r>
    <x v="3"/>
    <s v="YATUZE"/>
    <s v="Public"/>
    <x v="0"/>
    <s v="Gasabo"/>
    <s v="Kimihurura"/>
    <s v="NNYL_1"/>
    <s v="Nyabugogo Sub-Catchment"/>
    <n v="11826.000000000002"/>
  </r>
  <r>
    <x v="3"/>
    <s v="canon bwiza 2"/>
    <s v="Public"/>
    <x v="0"/>
    <s v="Gasabo"/>
    <s v="Kimironko"/>
    <s v="NNYL_1"/>
    <s v="Nyabugogo Sub-Catchment"/>
    <n v="2838.24"/>
  </r>
  <r>
    <x v="3"/>
    <s v="canon bwiza 1"/>
    <s v="Public"/>
    <x v="0"/>
    <s v="Gasabo"/>
    <s v="Kimironko"/>
    <s v="NNYL_1"/>
    <s v="Nyabugogo Sub-Catchment"/>
    <n v="5518.8"/>
  </r>
  <r>
    <x v="3"/>
    <s v="RUSENYI"/>
    <s v="Public"/>
    <x v="0"/>
    <s v="Gasabo"/>
    <s v="Kimironko"/>
    <s v="NNYL_1"/>
    <s v="Nyabugogo Sub-Catchment"/>
    <n v="6307.2000000000007"/>
  </r>
  <r>
    <x v="3"/>
    <s v="RWAKAMANZI"/>
    <s v="Public"/>
    <x v="0"/>
    <s v="Gasabo"/>
    <s v="Kinyinya"/>
    <s v="NNYL_1"/>
    <s v="Nyabugogo Sub-Catchment"/>
    <n v="7884.0000000000009"/>
  </r>
  <r>
    <x v="3"/>
    <s v="KANOGO"/>
    <s v="Public"/>
    <x v="0"/>
    <s v="Gasabo"/>
    <s v="Kinyinya"/>
    <s v="NNYL_1"/>
    <s v="Nyabugogo Sub-Catchment"/>
    <n v="5361.12"/>
  </r>
  <r>
    <x v="3"/>
    <s v="RWANJONGO"/>
    <s v="Public"/>
    <x v="0"/>
    <s v="Gasabo"/>
    <s v="Kinyinya"/>
    <s v="NNYL_1"/>
    <s v="Nyabugogo Sub-Catchment"/>
    <n v="315.36"/>
  </r>
  <r>
    <x v="3"/>
    <s v="KADEHERO"/>
    <s v="Public"/>
    <x v="0"/>
    <s v="Gasabo"/>
    <s v="Kinyinya"/>
    <s v="NNYL_1"/>
    <s v="Nyabugogo Sub-Catchment"/>
    <n v="6307.2000000000007"/>
  </r>
  <r>
    <x v="3"/>
    <s v="GITOROGAZI"/>
    <s v="Public"/>
    <x v="0"/>
    <s v="Gasabo"/>
    <s v="Kinyinya"/>
    <s v="NNYL_1"/>
    <s v="Nyabugogo Sub-Catchment"/>
    <n v="1182.6000000000001"/>
  </r>
  <r>
    <x v="3"/>
    <s v="KAGEZI"/>
    <s v="Public"/>
    <x v="0"/>
    <s v="Gasabo"/>
    <s v="Kinyinya"/>
    <s v="NNYL_1"/>
    <s v="Nyabugogo Sub-Catchment"/>
    <n v="94.60799999999999"/>
  </r>
  <r>
    <x v="3"/>
    <s v="RWANKUBA"/>
    <s v="Public"/>
    <x v="0"/>
    <s v="Gasabo"/>
    <s v="Kinyinya"/>
    <s v="NNYL_1"/>
    <s v="Nyabugogo Sub-Catchment"/>
    <n v="394.20000000000005"/>
  </r>
  <r>
    <x v="3"/>
    <s v="GATOVU"/>
    <s v="Public"/>
    <x v="0"/>
    <s v="Gasabo"/>
    <s v="Kinyinya"/>
    <s v="NNYL_1"/>
    <s v="Nyabugogo Sub-Catchment"/>
    <n v="94.60799999999999"/>
  </r>
  <r>
    <x v="3"/>
    <s v="RWANYABUYOMBA"/>
    <s v="Public"/>
    <x v="0"/>
    <s v="Gasabo"/>
    <s v="Kinyinya"/>
    <s v="NNYL_1"/>
    <s v="Nyabugogo Sub-Catchment"/>
    <n v="2365.2000000000003"/>
  </r>
  <r>
    <x v="3"/>
    <s v="KIGAGAI"/>
    <s v="Public"/>
    <x v="0"/>
    <s v="Gasabo"/>
    <s v="Kinyinya"/>
    <s v="NNYL_1"/>
    <s v="Nyabugogo Sub-Catchment"/>
    <n v="3153.6000000000004"/>
  </r>
  <r>
    <x v="3"/>
    <s v="KIGAGA II"/>
    <s v="Public"/>
    <x v="0"/>
    <s v="Gasabo"/>
    <s v="Kinyinya"/>
    <s v="NNYL_1"/>
    <s v="Nyabugogo Sub-Catchment"/>
    <n v="473.04"/>
  </r>
  <r>
    <x v="3"/>
    <s v="GATARE"/>
    <s v="Public"/>
    <x v="0"/>
    <s v="Gasabo"/>
    <s v="Kinyinya"/>
    <s v="NNYL_1"/>
    <s v="Nyabugogo Sub-Catchment"/>
    <n v="3153.6000000000004"/>
  </r>
  <r>
    <x v="3"/>
    <s v="NYAKAGEZI/GATARE"/>
    <s v="Public"/>
    <x v="0"/>
    <s v="Gasabo"/>
    <s v="Kinyinya"/>
    <s v="NNYL_1"/>
    <s v="Nyabugogo Sub-Catchment"/>
    <n v="1971.0000000000002"/>
  </r>
  <r>
    <x v="3"/>
    <s v="KADOBOGO"/>
    <s v="Public"/>
    <x v="0"/>
    <s v="Gatsibo"/>
    <s v="Kiramuruzi"/>
    <s v="NNYL_1"/>
    <s v="Nyabugogo Sub-Catchment"/>
    <n v="5518.8"/>
  </r>
  <r>
    <x v="3"/>
    <s v="Ryarukara"/>
    <s v="Public"/>
    <x v="0"/>
    <s v="Rulindo"/>
    <s v="Kisaro"/>
    <s v="NNYL_1"/>
    <s v="Nyabugogo Sub-Catchment"/>
    <n v="2522.88"/>
  </r>
  <r>
    <x v="3"/>
    <s v="Nyakagezi III"/>
    <s v="Public"/>
    <x v="0"/>
    <s v="Rulindo"/>
    <s v="Kisaro"/>
    <s v="NNYL_1"/>
    <s v="Nyabugogo Sub-Catchment"/>
    <n v="2995.92"/>
  </r>
  <r>
    <x v="3"/>
    <s v="Kagwa"/>
    <s v="Public"/>
    <x v="0"/>
    <s v="Rulindo"/>
    <s v="Kisaro"/>
    <s v="NNYL_1"/>
    <s v="Nyabugogo Sub-Catchment"/>
    <n v="2995.92"/>
  </r>
  <r>
    <x v="3"/>
    <s v="Cyabahazi"/>
    <s v="Public"/>
    <x v="0"/>
    <s v="Rulindo"/>
    <s v="Kisaro"/>
    <s v="NNYL_1"/>
    <s v="Nyabugogo Sub-Catchment"/>
    <n v="4099.68"/>
  </r>
  <r>
    <x v="3"/>
    <s v="Mutembe"/>
    <s v="Public"/>
    <x v="0"/>
    <s v="Rulindo"/>
    <s v="Kisaro"/>
    <s v="NNYL_1"/>
    <s v="Nyabugogo Sub-Catchment"/>
    <n v="5676.48"/>
  </r>
  <r>
    <x v="3"/>
    <s v="Munyinya"/>
    <s v="Public"/>
    <x v="0"/>
    <s v="Rulindo"/>
    <s v="Kisaro"/>
    <s v="NNYL_1"/>
    <s v="Nyabugogo Sub-Catchment"/>
    <n v="4415.0400000000009"/>
  </r>
  <r>
    <x v="3"/>
    <s v="Nyakagezi II"/>
    <s v="Public"/>
    <x v="0"/>
    <s v="Rulindo"/>
    <s v="Kisaro"/>
    <s v="NNYL_1"/>
    <s v="Nyabugogo Sub-Catchment"/>
    <n v="4415.0400000000009"/>
  </r>
  <r>
    <x v="3"/>
    <s v="Nyantabo"/>
    <s v="Public"/>
    <x v="0"/>
    <s v="Rulindo"/>
    <s v="Kisaro"/>
    <s v="NNYL_1"/>
    <s v="Nyabugogo Sub-Catchment"/>
    <n v="5045.76"/>
  </r>
  <r>
    <x v="3"/>
    <s v="Gikombe"/>
    <s v="Public"/>
    <x v="0"/>
    <s v="Rulindo"/>
    <s v="Kisaro"/>
    <s v="NNYL_1"/>
    <s v="Nyabugogo Sub-Catchment"/>
    <n v="4099.68"/>
  </r>
  <r>
    <x v="3"/>
    <s v="Karambi"/>
    <s v="Public"/>
    <x v="0"/>
    <s v="Rulindo"/>
    <s v="Kisaro"/>
    <s v="NNYL_1"/>
    <s v="Nyabugogo Sub-Catchment"/>
    <n v="5045.76"/>
  </r>
  <r>
    <x v="3"/>
    <s v="Gafuruguto"/>
    <s v="Public"/>
    <x v="0"/>
    <s v="Rulindo"/>
    <s v="Kisaro"/>
    <s v="NNYL_1"/>
    <s v="Nyabugogo Sub-Catchment"/>
    <n v="2365.2000000000003"/>
  </r>
  <r>
    <x v="3"/>
    <s v="Cyahafi"/>
    <s v="Public"/>
    <x v="0"/>
    <s v="Rulindo"/>
    <s v="Kisaro"/>
    <s v="NNYL_1"/>
    <s v="Nyabugogo Sub-Catchment"/>
    <n v="1261.44"/>
  </r>
  <r>
    <x v="3"/>
    <s v="Gatete"/>
    <s v="Public"/>
    <x v="0"/>
    <s v="Rulindo"/>
    <s v="Kisaro"/>
    <s v="NNYL_1"/>
    <s v="Nyabugogo Sub-Catchment"/>
    <n v="1419.12"/>
  </r>
  <r>
    <x v="3"/>
    <s v="Ryarwenzo"/>
    <s v="Public"/>
    <x v="0"/>
    <s v="Rulindo"/>
    <s v="Kisaro"/>
    <s v="NNYL_1"/>
    <s v="Nyabugogo Sub-Catchment"/>
    <n v="1734.4800000000002"/>
  </r>
  <r>
    <x v="3"/>
    <s v="Gafurwe"/>
    <s v="Public"/>
    <x v="0"/>
    <s v="Rulindo"/>
    <s v="Kisaro"/>
    <s v="NNYL_1"/>
    <s v="Nyabugogo Sub-Catchment"/>
    <n v="3468.9600000000005"/>
  </r>
  <r>
    <x v="3"/>
    <s v="Gatovu"/>
    <s v="Public"/>
    <x v="0"/>
    <s v="Rulindo"/>
    <s v="Kisaro"/>
    <s v="NNYL_1"/>
    <s v="Nyabugogo Sub-Catchment"/>
    <n v="1734.4800000000002"/>
  </r>
  <r>
    <x v="3"/>
    <s v="Nyabihanga"/>
    <s v="Public"/>
    <x v="0"/>
    <s v="Rulindo"/>
    <s v="Kisaro"/>
    <s v="NNYL_1"/>
    <s v="Nyabugogo Sub-Catchment"/>
    <n v="4572.72"/>
  </r>
  <r>
    <x v="3"/>
    <s v="Cyatokwe"/>
    <s v="Public"/>
    <x v="0"/>
    <s v="Rulindo"/>
    <s v="Kisaro"/>
    <s v="NNYL_1"/>
    <s v="Nyabugogo Sub-Catchment"/>
    <n v="4415.0400000000009"/>
  </r>
  <r>
    <x v="3"/>
    <s v="Biseke"/>
    <s v="Public"/>
    <x v="0"/>
    <s v="Rulindo"/>
    <s v="Kisaro"/>
    <s v="NNYL_1"/>
    <s v="Nyabugogo Sub-Catchment"/>
    <n v="3942.0000000000005"/>
  </r>
  <r>
    <x v="3"/>
    <s v="Gahama"/>
    <s v="Public"/>
    <x v="0"/>
    <s v="Rulindo"/>
    <s v="Kisaro"/>
    <s v="NNYL_1"/>
    <s v="Nyabugogo Sub-Catchment"/>
    <n v="2365.2000000000003"/>
  </r>
  <r>
    <x v="3"/>
    <s v="Kadogo"/>
    <s v="Public"/>
    <x v="0"/>
    <s v="Rulindo"/>
    <s v="Kisaro"/>
    <s v="NNYL_1"/>
    <s v="Nyabugogo Sub-Catchment"/>
    <n v="6307.2000000000007"/>
  </r>
  <r>
    <x v="3"/>
    <s v="Gakoma"/>
    <s v="Public"/>
    <x v="0"/>
    <s v="Rulindo"/>
    <s v="Kisaro"/>
    <s v="NNYL_1"/>
    <s v="Nyabugogo Sub-Catchment"/>
    <n v="1261.44"/>
  </r>
  <r>
    <x v="3"/>
    <s v="Bisoma"/>
    <s v="Public"/>
    <x v="0"/>
    <s v="Rulindo"/>
    <s v="Kisaro"/>
    <s v="NNYL_1"/>
    <s v="Nyabugogo Sub-Catchment"/>
    <n v="1419.12"/>
  </r>
  <r>
    <x v="3"/>
    <s v="Rwashyimbo"/>
    <s v="Public"/>
    <x v="0"/>
    <s v="Rulindo"/>
    <s v="Kisaro"/>
    <s v="NNYL_1"/>
    <s v="Nyabugogo Sub-Catchment"/>
    <n v="4730.4000000000005"/>
  </r>
  <r>
    <x v="3"/>
    <s v="Kabeza"/>
    <s v="Public"/>
    <x v="0"/>
    <s v="Rulindo"/>
    <s v="Kisaro"/>
    <s v="NNYL_1"/>
    <s v="Nyabugogo Sub-Catchment"/>
    <n v="1419.12"/>
  </r>
  <r>
    <x v="3"/>
    <s v="Gatete"/>
    <s v="Public"/>
    <x v="0"/>
    <s v="Rulindo"/>
    <s v="Kisaro"/>
    <s v="NNYL_1"/>
    <s v="Nyabugogo Sub-Catchment"/>
    <n v="3942.0000000000005"/>
  </r>
  <r>
    <x v="3"/>
    <s v="Kararama"/>
    <s v="Public"/>
    <x v="0"/>
    <s v="Rulindo"/>
    <s v="Kisaro"/>
    <s v="NNYL_1"/>
    <s v="Nyabugogo Sub-Catchment"/>
    <n v="6622.5599999999995"/>
  </r>
  <r>
    <x v="3"/>
    <s v="Kibumbiro"/>
    <s v="Public"/>
    <x v="0"/>
    <s v="Rulindo"/>
    <s v="Kisaro"/>
    <s v="NNYL_1"/>
    <s v="Nyabugogo Sub-Catchment"/>
    <n v="7884.0000000000009"/>
  </r>
  <r>
    <x v="3"/>
    <s v="Nyakagezi"/>
    <s v="Public"/>
    <x v="0"/>
    <s v="Rulindo"/>
    <s v="Kisaro"/>
    <s v="NNYL_1"/>
    <s v="Nyabugogo Sub-Catchment"/>
    <n v="1261.44"/>
  </r>
  <r>
    <x v="3"/>
    <s v="Gitaba"/>
    <s v="Public"/>
    <x v="0"/>
    <s v="Rulindo"/>
    <s v="Kisaro"/>
    <s v="NNYL_1"/>
    <s v="Nyabugogo Sub-Catchment"/>
    <n v="9460.8000000000011"/>
  </r>
  <r>
    <x v="3"/>
    <s v="Mwivomo"/>
    <s v="Public"/>
    <x v="0"/>
    <s v="Rulindo"/>
    <s v="Kisaro"/>
    <s v="NNYL_1"/>
    <s v="Nyabugogo Sub-Catchment"/>
    <n v="3153.6000000000004"/>
  </r>
  <r>
    <x v="3"/>
    <s v="Kariyeri"/>
    <s v="Public"/>
    <x v="0"/>
    <s v="Rulindo"/>
    <s v="Kisaro"/>
    <s v="NNYL_1"/>
    <s v="Nyabugogo Sub-Catchment"/>
    <n v="6307.2000000000007"/>
  </r>
  <r>
    <x v="3"/>
    <s v="Nyabangwe"/>
    <s v="Public"/>
    <x v="0"/>
    <s v="Rulindo"/>
    <s v="Kisaro"/>
    <s v="NNYL_1"/>
    <s v="Nyabugogo Sub-Catchment"/>
    <n v="5203.4400000000005"/>
  </r>
  <r>
    <x v="3"/>
    <s v="Rwambogo"/>
    <s v="Public"/>
    <x v="0"/>
    <s v="Rulindo"/>
    <s v="Kisaro"/>
    <s v="NNYL_1"/>
    <s v="Nyabugogo Sub-Catchment"/>
    <n v="4257.3600000000006"/>
  </r>
  <r>
    <x v="3"/>
    <s v="Nyacyonga"/>
    <s v="Public"/>
    <x v="0"/>
    <s v="Rulindo"/>
    <s v="Kisaro"/>
    <s v="NNYL_1"/>
    <s v="Nyabugogo Sub-Catchment"/>
    <n v="2207.5200000000004"/>
  </r>
  <r>
    <x v="3"/>
    <s v="Rukopfu"/>
    <s v="Public"/>
    <x v="0"/>
    <s v="Rulindo"/>
    <s v="Kisaro"/>
    <s v="NNYL_1"/>
    <s v="Nyabugogo Sub-Catchment"/>
    <n v="5045.76"/>
  </r>
  <r>
    <x v="3"/>
    <s v="Nyirangurugu"/>
    <s v="Public"/>
    <x v="0"/>
    <s v="Rulindo"/>
    <s v="Kisaro"/>
    <s v="NNYL_1"/>
    <s v="Nyabugogo Sub-Catchment"/>
    <n v="2365.2000000000003"/>
  </r>
  <r>
    <x v="3"/>
    <s v="Nyirakigeri"/>
    <s v="Public"/>
    <x v="0"/>
    <s v="Rulindo"/>
    <s v="Kisaro"/>
    <s v="NNYL_1"/>
    <s v="Nyabugogo Sub-Catchment"/>
    <n v="3626.64"/>
  </r>
  <r>
    <x v="3"/>
    <s v="Kindigiri"/>
    <s v="Public"/>
    <x v="0"/>
    <s v="Rulindo"/>
    <s v="Kisaro"/>
    <s v="NNYL_1"/>
    <s v="Nyabugogo Sub-Catchment"/>
    <n v="2365.2000000000003"/>
  </r>
  <r>
    <x v="3"/>
    <s v="Muyoboke"/>
    <s v="Public"/>
    <x v="0"/>
    <s v="Rulindo"/>
    <s v="Kisaro"/>
    <s v="NNYL_1"/>
    <s v="Nyabugogo Sub-Catchment"/>
    <n v="4730.4000000000005"/>
  </r>
  <r>
    <x v="3"/>
    <s v="Rwabisiha"/>
    <s v="Public"/>
    <x v="0"/>
    <s v="Rulindo"/>
    <s v="Kisaro"/>
    <s v="NNYL_1"/>
    <s v="Nyabugogo Sub-Catchment"/>
    <n v="6307.2000000000007"/>
  </r>
  <r>
    <x v="3"/>
    <s v="Gasoko"/>
    <s v="Public"/>
    <x v="0"/>
    <s v="Rulindo"/>
    <s v="Kisaro"/>
    <s v="NNYL_1"/>
    <s v="Nyabugogo Sub-Catchment"/>
    <n v="2680.56"/>
  </r>
  <r>
    <x v="3"/>
    <s v="Nyantabo"/>
    <s v="Public"/>
    <x v="0"/>
    <s v="Rulindo"/>
    <s v="Kisaro"/>
    <s v="NNYL_1"/>
    <s v="Nyabugogo Sub-Catchment"/>
    <n v="2838.24"/>
  </r>
  <r>
    <x v="3"/>
    <s v="Gatiba"/>
    <s v="Public"/>
    <x v="0"/>
    <s v="Rulindo"/>
    <s v="Kisaro"/>
    <s v="NNYL_1"/>
    <s v="Nyabugogo Sub-Catchment"/>
    <n v="11037.6"/>
  </r>
  <r>
    <x v="3"/>
    <s v="Nyakariba"/>
    <s v="Public"/>
    <x v="0"/>
    <s v="Rulindo"/>
    <s v="Kisaro"/>
    <s v="NNYL_1"/>
    <s v="Nyabugogo Sub-Catchment"/>
    <n v="4730.4000000000005"/>
  </r>
  <r>
    <x v="3"/>
    <s v="Kazabazana"/>
    <s v="Public"/>
    <x v="0"/>
    <s v="Rulindo"/>
    <s v="Kisaro"/>
    <s v="NNYL_1"/>
    <s v="Nyabugogo Sub-Catchment"/>
    <n v="3468.9600000000005"/>
  </r>
  <r>
    <x v="3"/>
    <s v="KAGINA"/>
    <s v="Public"/>
    <x v="0"/>
    <s v="Gatsibo"/>
    <s v="Kiziguro"/>
    <s v="NNYL_1"/>
    <s v="Nyabugogo Sub-Catchment"/>
    <n v="1103.7600000000002"/>
  </r>
  <r>
    <x v="3"/>
    <s v="RUHOMBO"/>
    <s v="Public"/>
    <x v="0"/>
    <s v="Gatsibo"/>
    <s v="Kiziguro"/>
    <s v="NNYL_1"/>
    <s v="Nyabugogo Sub-Catchment"/>
    <n v="3942.0000000000005"/>
  </r>
  <r>
    <x v="3"/>
    <s v="NYAKABINGO"/>
    <s v="Public"/>
    <x v="0"/>
    <s v="Gatsibo"/>
    <s v="Kiziguro"/>
    <s v="NNYL_1"/>
    <s v="Nyabugogo Sub-Catchment"/>
    <n v="788.40000000000009"/>
  </r>
  <r>
    <x v="3"/>
    <s v="KANOGO"/>
    <s v="Public"/>
    <x v="0"/>
    <s v="Gatsibo"/>
    <s v="Kiziguro"/>
    <s v="NNYL_1"/>
    <s v="Nyabugogo Sub-Catchment"/>
    <n v="3942.0000000000005"/>
  </r>
  <r>
    <x v="3"/>
    <s v="GASHYITSI"/>
    <s v="Public"/>
    <x v="0"/>
    <s v="Gatsibo"/>
    <s v="Kiziguro"/>
    <s v="NNYL_1"/>
    <s v="Nyabugogo Sub-Catchment"/>
    <n v="7884.0000000000009"/>
  </r>
  <r>
    <x v="3"/>
    <s v="BISHENYI"/>
    <s v="Public"/>
    <x v="0"/>
    <s v="Gatsibo"/>
    <s v="Kiziguro"/>
    <s v="NNYL_1"/>
    <s v="Nyabugogo Sub-Catchment"/>
    <n v="788.40000000000009"/>
  </r>
  <r>
    <x v="3"/>
    <s v="Gatare"/>
    <s v="Public"/>
    <x v="0"/>
    <s v="Rulindo"/>
    <s v="Masoro"/>
    <s v="NNYL_1"/>
    <s v="Nyabugogo Sub-Catchment"/>
    <n v="1892.16"/>
  </r>
  <r>
    <x v="3"/>
    <s v="Karenge"/>
    <s v="Public"/>
    <x v="0"/>
    <s v="Rulindo"/>
    <s v="Masoro"/>
    <s v="NNYL_1"/>
    <s v="Nyabugogo Sub-Catchment"/>
    <n v="3153.6000000000004"/>
  </r>
  <r>
    <x v="3"/>
    <s v="Umuyanza"/>
    <s v="Public"/>
    <x v="0"/>
    <s v="Rulindo"/>
    <s v="Masoro"/>
    <s v="NNYL_1"/>
    <s v="Nyabugogo Sub-Catchment"/>
    <n v="2049.84"/>
  </r>
  <r>
    <x v="3"/>
    <s v="Nyakariba"/>
    <s v="Public"/>
    <x v="0"/>
    <s v="Rulindo"/>
    <s v="Masoro"/>
    <s v="NNYL_1"/>
    <s v="Nyabugogo Sub-Catchment"/>
    <n v="12614.400000000001"/>
  </r>
  <r>
    <x v="3"/>
    <s v="Nyabinyana"/>
    <s v="Public"/>
    <x v="0"/>
    <s v="Rulindo"/>
    <s v="Masoro"/>
    <s v="NNYL_1"/>
    <s v="Nyabugogo Sub-Catchment"/>
    <n v="2995.92"/>
  </r>
  <r>
    <x v="3"/>
    <s v="Gakware"/>
    <s v="Public"/>
    <x v="0"/>
    <s v="Rulindo"/>
    <s v="Masoro"/>
    <s v="NNYL_1"/>
    <s v="Nyabugogo Sub-Catchment"/>
    <n v="946.08"/>
  </r>
  <r>
    <x v="3"/>
    <s v="Kivomo"/>
    <s v="Public"/>
    <x v="0"/>
    <s v="Rulindo"/>
    <s v="Masoro"/>
    <s v="NNYL_1"/>
    <s v="Nyabugogo Sub-Catchment"/>
    <n v="2049.84"/>
  </r>
  <r>
    <x v="3"/>
    <s v="Kamafuku"/>
    <s v="Public"/>
    <x v="0"/>
    <s v="Rulindo"/>
    <s v="Masoro"/>
    <s v="NNYL_1"/>
    <s v="Nyabugogo Sub-Catchment"/>
    <n v="9460.8000000000011"/>
  </r>
  <r>
    <x v="3"/>
    <s v="Kadogo"/>
    <s v="Public"/>
    <x v="0"/>
    <s v="Rulindo"/>
    <s v="Masoro"/>
    <s v="NNYL_1"/>
    <s v="Nyabugogo Sub-Catchment"/>
    <n v="2049.84"/>
  </r>
  <r>
    <x v="3"/>
    <s v="Gaseke"/>
    <s v="Public"/>
    <x v="0"/>
    <s v="Rulindo"/>
    <s v="Masoro"/>
    <s v="NNYL_1"/>
    <s v="Nyabugogo Sub-Catchment"/>
    <n v="2522.88"/>
  </r>
  <r>
    <x v="3"/>
    <s v="Nyamugari"/>
    <s v="Public"/>
    <x v="0"/>
    <s v="Rulindo"/>
    <s v="Masoro"/>
    <s v="NNYL_1"/>
    <s v="Nyabugogo Sub-Catchment"/>
    <n v="6307.2000000000007"/>
  </r>
  <r>
    <x v="3"/>
    <s v="Nyakagezi"/>
    <s v="Public"/>
    <x v="0"/>
    <s v="Rulindo"/>
    <s v="Masoro"/>
    <s v="NNYL_1"/>
    <s v="Nyabugogo Sub-Catchment"/>
    <n v="2838.24"/>
  </r>
  <r>
    <x v="3"/>
    <s v="Nyamugali"/>
    <s v="Public"/>
    <x v="0"/>
    <s v="Rulindo"/>
    <s v="Masoro"/>
    <s v="NNYL_1"/>
    <s v="Nyabugogo Sub-Catchment"/>
    <n v="2049.84"/>
  </r>
  <r>
    <x v="3"/>
    <s v="Kadobogo II"/>
    <s v="Public"/>
    <x v="0"/>
    <s v="Rulindo"/>
    <s v="Masoro"/>
    <s v="NNYL_1"/>
    <s v="Nyabugogo Sub-Catchment"/>
    <n v="9460.8000000000011"/>
  </r>
  <r>
    <x v="3"/>
    <s v="Gahama"/>
    <s v="Public"/>
    <x v="0"/>
    <s v="Rulindo"/>
    <s v="Masoro"/>
    <s v="NNYL_1"/>
    <s v="Nyabugogo Sub-Catchment"/>
    <n v="9460.8000000000011"/>
  </r>
  <r>
    <x v="3"/>
    <s v="Gasenga"/>
    <s v="Public"/>
    <x v="0"/>
    <s v="Rulindo"/>
    <s v="Masoro"/>
    <s v="NNYL_1"/>
    <s v="Nyabugogo Sub-Catchment"/>
    <n v="2049.84"/>
  </r>
  <r>
    <x v="3"/>
    <s v="Kadobogo I"/>
    <s v="Public"/>
    <x v="0"/>
    <s v="Rulindo"/>
    <s v="Masoro"/>
    <s v="NNYL_1"/>
    <s v="Nyabugogo Sub-Catchment"/>
    <n v="3153.6000000000004"/>
  </r>
  <r>
    <x v="3"/>
    <s v="Rwakigarura"/>
    <s v="Public"/>
    <x v="0"/>
    <s v="Rulindo"/>
    <s v="Masoro"/>
    <s v="NNYL_1"/>
    <s v="Nyabugogo Sub-Catchment"/>
    <n v="946.08"/>
  </r>
  <r>
    <x v="3"/>
    <s v="Rwagakamba"/>
    <s v="Public"/>
    <x v="0"/>
    <s v="Rulindo"/>
    <s v="Masoro"/>
    <s v="NNYL_1"/>
    <s v="Nyabugogo Sub-Catchment"/>
    <n v="946.08"/>
  </r>
  <r>
    <x v="3"/>
    <s v="Ruzibaziba"/>
    <s v="Public"/>
    <x v="0"/>
    <s v="Rulindo"/>
    <s v="Mbogo"/>
    <s v="NNYL_1"/>
    <s v="Nyabugogo Sub-Catchment"/>
    <n v="1261.44"/>
  </r>
  <r>
    <x v="3"/>
    <s v="Gahama II"/>
    <s v="Public"/>
    <x v="0"/>
    <s v="Rulindo"/>
    <s v="Mbogo"/>
    <s v="NNYL_1"/>
    <s v="Nyabugogo Sub-Catchment"/>
    <n v="12614.400000000001"/>
  </r>
  <r>
    <x v="3"/>
    <s v="Gahama I"/>
    <s v="Public"/>
    <x v="0"/>
    <s v="Rulindo"/>
    <s v="Mbogo"/>
    <s v="NNYL_1"/>
    <s v="Nyabugogo Sub-Catchment"/>
    <n v="3153.6000000000004"/>
  </r>
  <r>
    <x v="3"/>
    <s v="Urwega"/>
    <s v="Public"/>
    <x v="0"/>
    <s v="Rulindo"/>
    <s v="Mbogo"/>
    <s v="NNYL_1"/>
    <s v="Nyabugogo Sub-Catchment"/>
    <n v="2049.84"/>
  </r>
  <r>
    <x v="3"/>
    <s v="Gatengu"/>
    <s v="Public"/>
    <x v="0"/>
    <s v="Rulindo"/>
    <s v="Mbogo"/>
    <s v="NNYL_1"/>
    <s v="Nyabugogo Sub-Catchment"/>
    <n v="2680.56"/>
  </r>
  <r>
    <x v="3"/>
    <s v="Bahoza"/>
    <s v="Public"/>
    <x v="0"/>
    <s v="Rulindo"/>
    <s v="Mbogo"/>
    <s v="NNYL_1"/>
    <s v="Nyabugogo Sub-Catchment"/>
    <n v="3153.6000000000004"/>
  </r>
  <r>
    <x v="3"/>
    <s v="Kanaba"/>
    <s v="Public"/>
    <x v="0"/>
    <s v="Rulindo"/>
    <s v="Mbogo"/>
    <s v="NNYL_1"/>
    <s v="Nyabugogo Sub-Catchment"/>
    <n v="2838.24"/>
  </r>
  <r>
    <x v="3"/>
    <s v="Ngiramazi"/>
    <s v="Public"/>
    <x v="0"/>
    <s v="Rulindo"/>
    <s v="Mbogo"/>
    <s v="NNYL_1"/>
    <s v="Nyabugogo Sub-Catchment"/>
    <n v="3153.6000000000004"/>
  </r>
  <r>
    <x v="3"/>
    <s v="Nyakariba"/>
    <s v="Public"/>
    <x v="0"/>
    <s v="Rulindo"/>
    <s v="Mbogo"/>
    <s v="NNYL_1"/>
    <s v="Nyabugogo Sub-Catchment"/>
    <n v="31536.000000000004"/>
  </r>
  <r>
    <x v="3"/>
    <s v="Ngugu"/>
    <s v="Public"/>
    <x v="0"/>
    <s v="Rulindo"/>
    <s v="Mbogo"/>
    <s v="NNYL_1"/>
    <s v="Nyabugogo Sub-Catchment"/>
    <n v="2049.84"/>
  </r>
  <r>
    <x v="3"/>
    <s v="Nyakagezi"/>
    <s v="Public"/>
    <x v="0"/>
    <s v="Rulindo"/>
    <s v="Mbogo"/>
    <s v="NNYL_1"/>
    <s v="Nyabugogo Sub-Catchment"/>
    <n v="12614.400000000001"/>
  </r>
  <r>
    <x v="3"/>
    <s v="Gaseke"/>
    <s v="Public"/>
    <x v="0"/>
    <s v="Rulindo"/>
    <s v="Mbogo"/>
    <s v="NNYL_1"/>
    <s v="Nyabugogo Sub-Catchment"/>
    <n v="1576.8000000000002"/>
  </r>
  <r>
    <x v="3"/>
    <s v="Kadobogo"/>
    <s v="Public"/>
    <x v="0"/>
    <s v="Rulindo"/>
    <s v="Mbogo"/>
    <s v="NNYL_1"/>
    <s v="Nyabugogo Sub-Catchment"/>
    <n v="7884.0000000000009"/>
  </r>
  <r>
    <x v="3"/>
    <s v="Kabingo"/>
    <s v="Public"/>
    <x v="0"/>
    <s v="Rulindo"/>
    <s v="Mbogo"/>
    <s v="NNYL_1"/>
    <s v="Nyabugogo Sub-Catchment"/>
    <n v="15768.000000000002"/>
  </r>
  <r>
    <x v="3"/>
    <s v="Uwimana"/>
    <s v="Public"/>
    <x v="0"/>
    <s v="Rulindo"/>
    <s v="Mbogo"/>
    <s v="NNYL_1"/>
    <s v="Nyabugogo Sub-Catchment"/>
    <n v="3153.6000000000004"/>
  </r>
  <r>
    <x v="3"/>
    <s v="NyamugaboII"/>
    <s v="Public"/>
    <x v="0"/>
    <s v="Rulindo"/>
    <s v="Mbogo"/>
    <s v="NNYL_1"/>
    <s v="Nyabugogo Sub-Catchment"/>
    <n v="2522.88"/>
  </r>
  <r>
    <x v="3"/>
    <s v="Shaperi"/>
    <s v="Public"/>
    <x v="0"/>
    <s v="Rulindo"/>
    <s v="Mbogo"/>
    <s v="NNYL_1"/>
    <s v="Nyabugogo Sub-Catchment"/>
    <n v="14191.2"/>
  </r>
  <r>
    <x v="3"/>
    <s v="Munkondo"/>
    <s v="Public"/>
    <x v="0"/>
    <s v="Rulindo"/>
    <s v="Mbogo"/>
    <s v="NNYL_1"/>
    <s v="Nyabugogo Sub-Catchment"/>
    <n v="14191.2"/>
  </r>
  <r>
    <x v="3"/>
    <s v="Gisoza"/>
    <s v="Public"/>
    <x v="0"/>
    <s v="Rulindo"/>
    <s v="Mbogo"/>
    <s v="NNYL_1"/>
    <s v="Nyabugogo Sub-Catchment"/>
    <n v="9460.8000000000011"/>
  </r>
  <r>
    <x v="3"/>
    <s v="Umuhunguza"/>
    <s v="Public"/>
    <x v="0"/>
    <s v="Rulindo"/>
    <s v="Mbogo"/>
    <s v="NNYL_1"/>
    <s v="Nyabugogo Sub-Catchment"/>
    <n v="15768.000000000002"/>
  </r>
  <r>
    <x v="3"/>
    <s v="Kabingo"/>
    <s v="Public"/>
    <x v="0"/>
    <s v="Rulindo"/>
    <s v="Mbogo"/>
    <s v="NNYL_1"/>
    <s v="Nyabugogo Sub-Catchment"/>
    <n v="12614.400000000001"/>
  </r>
  <r>
    <x v="3"/>
    <s v="Kaneke"/>
    <s v="Public"/>
    <x v="0"/>
    <s v="Rulindo"/>
    <s v="Mbogo"/>
    <s v="NNYL_1"/>
    <s v="Nyabugogo Sub-Catchment"/>
    <n v="12614.400000000001"/>
  </r>
  <r>
    <x v="3"/>
    <s v="Mugomero"/>
    <s v="Public"/>
    <x v="0"/>
    <s v="Rulindo"/>
    <s v="Mbogo"/>
    <s v="NNYL_1"/>
    <s v="Nyabugogo Sub-Catchment"/>
    <n v="946.08"/>
  </r>
  <r>
    <x v="3"/>
    <s v="Ruhanya"/>
    <s v="Public"/>
    <x v="0"/>
    <s v="Rulindo"/>
    <s v="Mbogo"/>
    <s v="NNYL_1"/>
    <s v="Nyabugogo Sub-Catchment"/>
    <n v="2680.56"/>
  </r>
  <r>
    <x v="3"/>
    <s v="Kamitari"/>
    <s v="Public"/>
    <x v="0"/>
    <s v="Rulindo"/>
    <s v="Mbogo"/>
    <s v="NNYL_1"/>
    <s v="Nyabugogo Sub-Catchment"/>
    <n v="6307.2000000000007"/>
  </r>
  <r>
    <x v="3"/>
    <s v="Gasore"/>
    <s v="Public"/>
    <x v="0"/>
    <s v="Rulindo"/>
    <s v="Mbogo"/>
    <s v="NNYL_1"/>
    <s v="Nyabugogo Sub-Catchment"/>
    <n v="1892.16"/>
  </r>
  <r>
    <x v="3"/>
    <s v="Gitengu"/>
    <s v="Public"/>
    <x v="0"/>
    <s v="Rulindo"/>
    <s v="Mbogo"/>
    <s v="NNYL_1"/>
    <s v="Nyabugogo Sub-Catchment"/>
    <n v="4730.4000000000005"/>
  </r>
  <r>
    <x v="3"/>
    <s v="Munyanga 1"/>
    <s v="Public"/>
    <x v="0"/>
    <s v="Rulindo"/>
    <s v="Mbogo"/>
    <s v="NNYL_1"/>
    <s v="Nyabugogo Sub-Catchment"/>
    <n v="1261.44"/>
  </r>
  <r>
    <x v="3"/>
    <s v="Munyaga"/>
    <s v="Public"/>
    <x v="0"/>
    <s v="Rulindo"/>
    <s v="Mbogo"/>
    <s v="NNYL_1"/>
    <s v="Nyabugogo Sub-Catchment"/>
    <n v="12614.400000000001"/>
  </r>
  <r>
    <x v="3"/>
    <s v="Munyanga 2"/>
    <s v="Public"/>
    <x v="0"/>
    <s v="Rulindo"/>
    <s v="Mbogo"/>
    <s v="NNYL_1"/>
    <s v="Nyabugogo Sub-Catchment"/>
    <n v="3153.6000000000004"/>
  </r>
  <r>
    <x v="3"/>
    <s v="Suzana"/>
    <s v="Public"/>
    <x v="0"/>
    <s v="Rulindo"/>
    <s v="Mbogo"/>
    <s v="NNYL_1"/>
    <s v="Nyabugogo Sub-Catchment"/>
    <n v="2207.5200000000004"/>
  </r>
  <r>
    <x v="3"/>
    <s v="Gatenguhe"/>
    <s v="Public"/>
    <x v="0"/>
    <s v="Rulindo"/>
    <s v="Mbogo"/>
    <s v="NNYL_1"/>
    <s v="Nyabugogo Sub-Catchment"/>
    <n v="2049.84"/>
  </r>
  <r>
    <x v="3"/>
    <s v="Gasama II"/>
    <s v="Public"/>
    <x v="0"/>
    <s v="Rulindo"/>
    <s v="Mbogo"/>
    <s v="NNYL_1"/>
    <s v="Nyabugogo Sub-Catchment"/>
    <n v="3153.6000000000004"/>
  </r>
  <r>
    <x v="3"/>
    <s v="Gasama I"/>
    <s v="Public"/>
    <x v="0"/>
    <s v="Rulindo"/>
    <s v="Mbogo"/>
    <s v="NNYL_1"/>
    <s v="Nyabugogo Sub-Catchment"/>
    <n v="6307.2000000000007"/>
  </r>
  <r>
    <x v="3"/>
    <s v="Kanyonga"/>
    <s v="Public"/>
    <x v="0"/>
    <s v="Rulindo"/>
    <s v="Mbogo"/>
    <s v="NNYL_1"/>
    <s v="Nyabugogo Sub-Catchment"/>
    <n v="3153.6000000000004"/>
  </r>
  <r>
    <x v="3"/>
    <s v="Gihonga"/>
    <s v="Public"/>
    <x v="0"/>
    <s v="Rulindo"/>
    <s v="Mbogo"/>
    <s v="NNYL_1"/>
    <s v="Nyabugogo Sub-Catchment"/>
    <n v="9460.8000000000011"/>
  </r>
  <r>
    <x v="3"/>
    <s v="Rukingu"/>
    <s v="Public"/>
    <x v="0"/>
    <s v="Rulindo"/>
    <s v="Mbogo"/>
    <s v="NNYL_1"/>
    <s v="Nyabugogo Sub-Catchment"/>
    <n v="14191.2"/>
  </r>
  <r>
    <x v="3"/>
    <s v="Kiriba"/>
    <s v="Public"/>
    <x v="0"/>
    <s v="Rulindo"/>
    <s v="Mbogo"/>
    <s v="NNYL_1"/>
    <s v="Nyabugogo Sub-Catchment"/>
    <n v="1576.8000000000002"/>
  </r>
  <r>
    <x v="3"/>
    <s v="Bihondo"/>
    <s v="Public"/>
    <x v="0"/>
    <s v="Rulindo"/>
    <s v="Mbogo"/>
    <s v="NNYL_1"/>
    <s v="Nyabugogo Sub-Catchment"/>
    <n v="3153.6000000000004"/>
  </r>
  <r>
    <x v="3"/>
    <s v="Mucyunga"/>
    <s v="Public"/>
    <x v="0"/>
    <s v="Rulindo"/>
    <s v="Mbogo"/>
    <s v="NNYL_1"/>
    <s v="Nyabugogo Sub-Catchment"/>
    <n v="1261.44"/>
  </r>
  <r>
    <x v="3"/>
    <s v="Kibuye"/>
    <s v="Public"/>
    <x v="0"/>
    <s v="Rulindo"/>
    <s v="Mbogo"/>
    <s v="NNYL_1"/>
    <s v="Nyabugogo Sub-Catchment"/>
    <n v="1261.44"/>
  </r>
  <r>
    <x v="3"/>
    <s v="Nyabitare"/>
    <s v="Public"/>
    <x v="0"/>
    <s v="Rulindo"/>
    <s v="Mbogo"/>
    <s v="NNYL_1"/>
    <s v="Nyabugogo Sub-Catchment"/>
    <n v="15768.000000000002"/>
  </r>
  <r>
    <x v="3"/>
    <s v="Kivuba"/>
    <s v="Public"/>
    <x v="0"/>
    <s v="Rulindo"/>
    <s v="Mbogo"/>
    <s v="NNYL_1"/>
    <s v="Nyabugogo Sub-Catchment"/>
    <n v="15768.000000000002"/>
  </r>
  <r>
    <x v="3"/>
    <s v="Nyakirindi II"/>
    <s v="Public"/>
    <x v="0"/>
    <s v="Rulindo"/>
    <s v="Mbogo"/>
    <s v="NNYL_1"/>
    <s v="Nyabugogo Sub-Catchment"/>
    <n v="1103.7600000000002"/>
  </r>
  <r>
    <x v="3"/>
    <s v="Rwanzovu"/>
    <s v="Public"/>
    <x v="0"/>
    <s v="Rulindo"/>
    <s v="Mbogo"/>
    <s v="NNYL_1"/>
    <s v="Nyabugogo Sub-Catchment"/>
    <n v="2522.88"/>
  </r>
  <r>
    <x v="3"/>
    <s v="Nyakirindi I"/>
    <s v="Public"/>
    <x v="0"/>
    <s v="Rulindo"/>
    <s v="Mbogo"/>
    <s v="NNYL_1"/>
    <s v="Nyabugogo Sub-Catchment"/>
    <n v="6307.2000000000007"/>
  </r>
  <r>
    <x v="3"/>
    <s v="Kibumba"/>
    <s v="Public"/>
    <x v="0"/>
    <s v="Rulindo"/>
    <s v="Mbogo"/>
    <s v="NNYL_1"/>
    <s v="Nyabugogo Sub-Catchment"/>
    <n v="2522.88"/>
  </r>
  <r>
    <x v="3"/>
    <s v="Nyamugabo"/>
    <s v="Public"/>
    <x v="0"/>
    <s v="Rulindo"/>
    <s v="Mbogo"/>
    <s v="NNYL_1"/>
    <s v="Nyabugogo Sub-Catchment"/>
    <n v="2207.5200000000004"/>
  </r>
  <r>
    <x v="3"/>
    <s v="KURI PROJET"/>
    <s v="Public"/>
    <x v="0"/>
    <s v="Rwamagana"/>
    <s v="Muhazi"/>
    <s v="NNYL_1"/>
    <s v="Nyabugogo Sub-Catchment"/>
    <n v="1734.4800000000002"/>
  </r>
  <r>
    <x v="3"/>
    <s v="CYOFERWA"/>
    <s v="Public"/>
    <x v="0"/>
    <s v="Rwamagana"/>
    <s v="Muhazi"/>
    <s v="NNYL_1"/>
    <s v="Nyabugogo Sub-Catchment"/>
    <n v="25.2288"/>
  </r>
  <r>
    <x v="3"/>
    <s v="GAKONI"/>
    <s v="Public"/>
    <x v="0"/>
    <s v="Rwamagana"/>
    <s v="Muhazi"/>
    <s v="NNYL_1"/>
    <s v="Nyabugogo Sub-Catchment"/>
    <n v="2680.56"/>
  </r>
  <r>
    <x v="3"/>
    <s v="RWANDENZI"/>
    <s v="Public"/>
    <x v="0"/>
    <s v="Rwamagana"/>
    <s v="Muhazi"/>
    <s v="NNYL_1"/>
    <s v="Nyabugogo Sub-Catchment"/>
    <n v="4572.72"/>
  </r>
  <r>
    <x v="3"/>
    <s v="PROJET"/>
    <s v="Public"/>
    <x v="0"/>
    <s v="Rwamagana"/>
    <s v="Muhazi"/>
    <s v="NNYL_1"/>
    <s v="Nyabugogo Sub-Catchment"/>
    <n v="1308.7440000000001"/>
  </r>
  <r>
    <x v="3"/>
    <s v="NYAKARIBA"/>
    <s v="Public"/>
    <x v="0"/>
    <s v="Rwamagana"/>
    <s v="Muhazi"/>
    <s v="NNYL_1"/>
    <s v="Nyabugogo Sub-Catchment"/>
    <n v="1576.8000000000002"/>
  </r>
  <r>
    <x v="3"/>
    <s v="RUJENDE I"/>
    <s v="Public"/>
    <x v="0"/>
    <s v="Gatsibo"/>
    <s v="Muhura"/>
    <s v="NNYL_1"/>
    <s v="Nyabugogo Sub-Catchment"/>
    <n v="7884.0000000000009"/>
  </r>
  <r>
    <x v="3"/>
    <s v="RUJENDE II"/>
    <s v="Public"/>
    <x v="0"/>
    <s v="Gatsibo"/>
    <s v="Muhura"/>
    <s v="NNYL_1"/>
    <s v="Nyabugogo Sub-Catchment"/>
    <n v="3153.6000000000004"/>
  </r>
  <r>
    <x v="3"/>
    <s v="RWAGAKERI"/>
    <s v="Public"/>
    <x v="0"/>
    <s v="Gatsibo"/>
    <s v="Muhura"/>
    <s v="NNYL_1"/>
    <s v="Nyabugogo Sub-Catchment"/>
    <n v="9460.8000000000011"/>
  </r>
  <r>
    <x v="3"/>
    <s v="KABUNGO"/>
    <s v="Public"/>
    <x v="0"/>
    <s v="Gatsibo"/>
    <s v="Muhura"/>
    <s v="NNYL_1"/>
    <s v="Nyabugogo Sub-Catchment"/>
    <n v="28382.400000000001"/>
  </r>
  <r>
    <x v="3"/>
    <s v="NYAGAHONDO"/>
    <s v="Public"/>
    <x v="0"/>
    <s v="Gicumbi"/>
    <s v="Muko"/>
    <s v="NNYL_1"/>
    <s v="Nyabugogo Sub-Catchment"/>
    <n v="0"/>
  </r>
  <r>
    <x v="3"/>
    <s v="NZIGO"/>
    <s v="Public"/>
    <x v="0"/>
    <s v="Gicumbi"/>
    <s v="Muko"/>
    <s v="NNYL_1"/>
    <s v="Nyabugogo Sub-Catchment"/>
    <n v="0"/>
  </r>
  <r>
    <x v="3"/>
    <s v="Kabeza"/>
    <s v="Public"/>
    <x v="0"/>
    <s v="Rulindo"/>
    <s v="Murambi"/>
    <s v="NNYL_1"/>
    <s v="Nyabugogo Sub-Catchment"/>
    <n v="1892.16"/>
  </r>
  <r>
    <x v="3"/>
    <s v="Kabakene"/>
    <s v="Public"/>
    <x v="0"/>
    <s v="Rulindo"/>
    <s v="Murambi"/>
    <s v="NNYL_1"/>
    <s v="Nyabugogo Sub-Catchment"/>
    <n v="6307.2000000000007"/>
  </r>
  <r>
    <x v="3"/>
    <s v="Gatare"/>
    <s v="Public"/>
    <x v="0"/>
    <s v="Rulindo"/>
    <s v="Murambi"/>
    <s v="NNYL_1"/>
    <s v="Nyabugogo Sub-Catchment"/>
    <n v="2522.88"/>
  </r>
  <r>
    <x v="3"/>
    <s v="Buriza"/>
    <s v="Public"/>
    <x v="0"/>
    <s v="Rulindo"/>
    <s v="Murambi"/>
    <s v="NNYL_1"/>
    <s v="Nyabugogo Sub-Catchment"/>
    <n v="630.72"/>
  </r>
  <r>
    <x v="3"/>
    <s v="Nyabihanga"/>
    <s v="Public"/>
    <x v="0"/>
    <s v="Rulindo"/>
    <s v="Murambi"/>
    <s v="NNYL_1"/>
    <s v="Nyabugogo Sub-Catchment"/>
    <n v="4730.4000000000005"/>
  </r>
  <r>
    <x v="3"/>
    <s v="Rubande II"/>
    <s v="Public"/>
    <x v="0"/>
    <s v="Rulindo"/>
    <s v="Murambi"/>
    <s v="NNYL_1"/>
    <s v="Nyabugogo Sub-Catchment"/>
    <n v="946.08"/>
  </r>
  <r>
    <x v="3"/>
    <s v="Cyamusure"/>
    <s v="Public"/>
    <x v="0"/>
    <s v="Rulindo"/>
    <s v="Murambi"/>
    <s v="NNYL_1"/>
    <s v="Nyabugogo Sub-Catchment"/>
    <n v="2838.24"/>
  </r>
  <r>
    <x v="3"/>
    <s v="Gatembe I"/>
    <s v="Public"/>
    <x v="0"/>
    <s v="Rulindo"/>
    <s v="Murambi"/>
    <s v="NNYL_1"/>
    <s v="Nyabugogo Sub-Catchment"/>
    <n v="315.36"/>
  </r>
  <r>
    <x v="3"/>
    <s v="Kamanga I"/>
    <s v="Public"/>
    <x v="0"/>
    <s v="Rulindo"/>
    <s v="Murambi"/>
    <s v="NNYL_1"/>
    <s v="Nyabugogo Sub-Catchment"/>
    <n v="1576.8000000000002"/>
  </r>
  <r>
    <x v="3"/>
    <s v="Gashyekera"/>
    <s v="Public"/>
    <x v="0"/>
    <s v="Rulindo"/>
    <s v="Murambi"/>
    <s v="NNYL_1"/>
    <s v="Nyabugogo Sub-Catchment"/>
    <n v="1892.16"/>
  </r>
  <r>
    <x v="3"/>
    <s v="Gatembe II"/>
    <s v="Public"/>
    <x v="0"/>
    <s v="Rulindo"/>
    <s v="Murambi"/>
    <s v="NNYL_1"/>
    <s v="Nyabugogo Sub-Catchment"/>
    <n v="630.72"/>
  </r>
  <r>
    <x v="3"/>
    <s v="Rubande III"/>
    <s v="Public"/>
    <x v="0"/>
    <s v="Rulindo"/>
    <s v="Murambi"/>
    <s v="NNYL_1"/>
    <s v="Nyabugogo Sub-Catchment"/>
    <n v="1892.16"/>
  </r>
  <r>
    <x v="3"/>
    <s v="Nyakagezi"/>
    <s v="Public"/>
    <x v="0"/>
    <s v="Rulindo"/>
    <s v="Murambi"/>
    <s v="NNYL_1"/>
    <s v="Nyabugogo Sub-Catchment"/>
    <n v="15768.000000000002"/>
  </r>
  <r>
    <x v="3"/>
    <s v="Gasave"/>
    <s v="Public"/>
    <x v="0"/>
    <s v="Rulindo"/>
    <s v="Murambi"/>
    <s v="NNYL_1"/>
    <s v="Nyabugogo Sub-Catchment"/>
    <n v="9460.8000000000011"/>
  </r>
  <r>
    <x v="3"/>
    <s v="Gahama"/>
    <s v="Public"/>
    <x v="0"/>
    <s v="Rulindo"/>
    <s v="Murambi"/>
    <s v="NNYL_1"/>
    <s v="Nyabugogo Sub-Catchment"/>
    <n v="2049.84"/>
  </r>
  <r>
    <x v="3"/>
    <s v="Gasare"/>
    <s v="Public"/>
    <x v="0"/>
    <s v="Rulindo"/>
    <s v="Murambi"/>
    <s v="NNYL_1"/>
    <s v="Nyabugogo Sub-Catchment"/>
    <n v="2207.5200000000004"/>
  </r>
  <r>
    <x v="3"/>
    <s v="Kagorogoro II"/>
    <s v="Public"/>
    <x v="0"/>
    <s v="Rulindo"/>
    <s v="Murambi"/>
    <s v="NNYL_1"/>
    <s v="Nyabugogo Sub-Catchment"/>
    <n v="630.72"/>
  </r>
  <r>
    <x v="3"/>
    <s v="Rubande I"/>
    <s v="Public"/>
    <x v="0"/>
    <s v="Rulindo"/>
    <s v="Murambi"/>
    <s v="NNYL_1"/>
    <s v="Nyabugogo Sub-Catchment"/>
    <n v="2049.84"/>
  </r>
  <r>
    <x v="3"/>
    <s v="Nyakagezi"/>
    <s v="Public"/>
    <x v="0"/>
    <s v="Rulindo"/>
    <s v="Murambi"/>
    <s v="NNYL_1"/>
    <s v="Nyabugogo Sub-Catchment"/>
    <n v="4730.4000000000005"/>
  </r>
  <r>
    <x v="3"/>
    <s v="Cyumba"/>
    <s v="Public"/>
    <x v="0"/>
    <s v="Rulindo"/>
    <s v="Murambi"/>
    <s v="NNYL_1"/>
    <s v="Nyabugogo Sub-Catchment"/>
    <n v="630.72"/>
  </r>
  <r>
    <x v="3"/>
    <s v="Gashyekero"/>
    <s v="Public"/>
    <x v="0"/>
    <s v="Rulindo"/>
    <s v="Murambi"/>
    <s v="NNYL_1"/>
    <s v="Nyabugogo Sub-Catchment"/>
    <n v="946.08"/>
  </r>
  <r>
    <x v="3"/>
    <s v="Kamanga II"/>
    <s v="Public"/>
    <x v="0"/>
    <s v="Rulindo"/>
    <s v="Murambi"/>
    <s v="NNYL_1"/>
    <s v="Nyabugogo Sub-Catchment"/>
    <n v="1103.7600000000002"/>
  </r>
  <r>
    <x v="3"/>
    <s v="Rubangu"/>
    <s v="Public"/>
    <x v="0"/>
    <s v="Rulindo"/>
    <s v="Murambi"/>
    <s v="NNYL_1"/>
    <s v="Nyabugogo Sub-Catchment"/>
    <n v="1892.16"/>
  </r>
  <r>
    <x v="3"/>
    <s v="Rwiseke"/>
    <s v="Public"/>
    <x v="0"/>
    <s v="Rulindo"/>
    <s v="Murambi"/>
    <s v="NNYL_1"/>
    <s v="Nyabugogo Sub-Catchment"/>
    <n v="2049.84"/>
  </r>
  <r>
    <x v="3"/>
    <s v="Kabanda"/>
    <s v="Public"/>
    <x v="0"/>
    <s v="Rulindo"/>
    <s v="Murambi"/>
    <s v="NNYL_1"/>
    <s v="Nyabugogo Sub-Catchment"/>
    <n v="946.08"/>
  </r>
  <r>
    <x v="3"/>
    <s v="Baraje"/>
    <s v="Public"/>
    <x v="0"/>
    <s v="Rulindo"/>
    <s v="Murambi"/>
    <s v="NNYL_1"/>
    <s v="Nyabugogo Sub-Catchment"/>
    <n v="2838.24"/>
  </r>
  <r>
    <x v="3"/>
    <s v="Nyirambaraga"/>
    <s v="Public"/>
    <x v="0"/>
    <s v="Rulindo"/>
    <s v="Murambi"/>
    <s v="NNYL_1"/>
    <s v="Nyabugogo Sub-Catchment"/>
    <n v="2522.88"/>
  </r>
  <r>
    <x v="3"/>
    <s v="Kanyama"/>
    <s v="Public"/>
    <x v="0"/>
    <s v="Rulindo"/>
    <s v="Murambi"/>
    <s v="NNYL_1"/>
    <s v="Nyabugogo Sub-Catchment"/>
    <n v="2207.5200000000004"/>
  </r>
  <r>
    <x v="3"/>
    <s v="Imuzenga"/>
    <s v="Public"/>
    <x v="0"/>
    <s v="Rulindo"/>
    <s v="Murambi"/>
    <s v="NNYL_1"/>
    <s v="Nyabugogo Sub-Catchment"/>
    <n v="2522.88"/>
  </r>
  <r>
    <x v="3"/>
    <s v="Gatiti I"/>
    <s v="Public"/>
    <x v="0"/>
    <s v="Rulindo"/>
    <s v="Murambi"/>
    <s v="NNYL_1"/>
    <s v="Nyabugogo Sub-Catchment"/>
    <n v="3153.6000000000004"/>
  </r>
  <r>
    <x v="3"/>
    <s v="Kagandiko"/>
    <s v="Public"/>
    <x v="0"/>
    <s v="Rulindo"/>
    <s v="Murambi"/>
    <s v="NNYL_1"/>
    <s v="Nyabugogo Sub-Catchment"/>
    <n v="2049.84"/>
  </r>
  <r>
    <x v="3"/>
    <s v="Mutabo"/>
    <s v="Public"/>
    <x v="0"/>
    <s v="Rulindo"/>
    <s v="Murambi"/>
    <s v="NNYL_1"/>
    <s v="Nyabugogo Sub-Catchment"/>
    <n v="7884.0000000000009"/>
  </r>
  <r>
    <x v="3"/>
    <s v="Rwiseke II"/>
    <s v="Public"/>
    <x v="0"/>
    <s v="Rulindo"/>
    <s v="Murambi"/>
    <s v="NNYL_1"/>
    <s v="Nyabugogo Sub-Catchment"/>
    <n v="4730.4000000000005"/>
  </r>
  <r>
    <x v="3"/>
    <s v="Gatoke II"/>
    <s v="Public"/>
    <x v="0"/>
    <s v="Rulindo"/>
    <s v="Murambi"/>
    <s v="NNYL_1"/>
    <s v="Nyabugogo Sub-Catchment"/>
    <n v="2838.24"/>
  </r>
  <r>
    <x v="3"/>
    <s v="Gatoke"/>
    <s v="Public"/>
    <x v="0"/>
    <s v="Rulindo"/>
    <s v="Murambi"/>
    <s v="NNYL_1"/>
    <s v="Nyabugogo Sub-Catchment"/>
    <n v="9460.8000000000011"/>
  </r>
  <r>
    <x v="3"/>
    <s v="Rwiseke I"/>
    <s v="Public"/>
    <x v="0"/>
    <s v="Rulindo"/>
    <s v="Murambi"/>
    <s v="NNYL_1"/>
    <s v="Nyabugogo Sub-Catchment"/>
    <n v="630.72"/>
  </r>
  <r>
    <x v="3"/>
    <s v="Gatiti II"/>
    <s v="Public"/>
    <x v="0"/>
    <s v="Rulindo"/>
    <s v="Murambi"/>
    <s v="NNYL_1"/>
    <s v="Nyabugogo Sub-Catchment"/>
    <n v="473.04"/>
  </r>
  <r>
    <x v="3"/>
    <s v="Nyakagezi"/>
    <s v="Public"/>
    <x v="0"/>
    <s v="Rulindo"/>
    <s v="Murambi"/>
    <s v="NNYL_1"/>
    <s v="Nyabugogo Sub-Catchment"/>
    <n v="946.08"/>
  </r>
  <r>
    <x v="3"/>
    <s v="Nyampanika"/>
    <s v="Public"/>
    <x v="0"/>
    <s v="Rulindo"/>
    <s v="Murambi"/>
    <s v="NNYL_1"/>
    <s v="Nyabugogo Sub-Catchment"/>
    <n v="3153.6000000000004"/>
  </r>
  <r>
    <x v="3"/>
    <s v="Nyarusave"/>
    <s v="Public"/>
    <x v="0"/>
    <s v="Rulindo"/>
    <s v="Murambi"/>
    <s v="NNYL_1"/>
    <s v="Nyabugogo Sub-Catchment"/>
    <n v="3153.6000000000004"/>
  </r>
  <r>
    <x v="3"/>
    <s v="Kagorogoro I"/>
    <s v="Public"/>
    <x v="0"/>
    <s v="Rulindo"/>
    <s v="Murambi"/>
    <s v="NNYL_1"/>
    <s v="Nyabugogo Sub-Catchment"/>
    <n v="3153.6000000000004"/>
  </r>
  <r>
    <x v="3"/>
    <s v="Cyanzarwe"/>
    <s v="Public"/>
    <x v="0"/>
    <s v="Rulindo"/>
    <s v="Murambi"/>
    <s v="NNYL_1"/>
    <s v="Nyabugogo Sub-Catchment"/>
    <n v="946.08"/>
  </r>
  <r>
    <x v="3"/>
    <s v="Munori I"/>
    <s v="Public"/>
    <x v="0"/>
    <s v="Rulindo"/>
    <s v="Murambi"/>
    <s v="NNYL_1"/>
    <s v="Nyabugogo Sub-Catchment"/>
    <n v="2049.84"/>
  </r>
  <r>
    <x v="3"/>
    <s v="Munori II"/>
    <s v="Public"/>
    <x v="0"/>
    <s v="Rulindo"/>
    <s v="Murambi"/>
    <s v="NNYL_1"/>
    <s v="Nyabugogo Sub-Catchment"/>
    <n v="1261.44"/>
  </r>
  <r>
    <x v="3"/>
    <s v="Rwafandi"/>
    <s v="Public"/>
    <x v="0"/>
    <s v="Gicumbi"/>
    <s v="Mutete"/>
    <s v="NNYL_1"/>
    <s v="Nyabugogo Sub-Catchment"/>
    <n v="6307.2000000000007"/>
  </r>
  <r>
    <x v="3"/>
    <s v="Gatovu"/>
    <s v="Public"/>
    <x v="0"/>
    <s v="Gicumbi"/>
    <s v="Mutete"/>
    <s v="NNYL_1"/>
    <s v="Nyabugogo Sub-Catchment"/>
    <n v="3942.0000000000005"/>
  </r>
  <r>
    <x v="3"/>
    <s v="Mutaranza"/>
    <s v="Public"/>
    <x v="0"/>
    <s v="Gicumbi"/>
    <s v="Mutete"/>
    <s v="NNYL_1"/>
    <s v="Nyabugogo Sub-Catchment"/>
    <n v="6307.2000000000007"/>
  </r>
  <r>
    <x v="3"/>
    <s v="Kigwa"/>
    <s v="Public"/>
    <x v="0"/>
    <s v="Gicumbi"/>
    <s v="Mutete"/>
    <s v="NNYL_1"/>
    <s v="Nyabugogo Sub-Catchment"/>
    <n v="7884.0000000000009"/>
  </r>
  <r>
    <x v="3"/>
    <s v="Rwagihuru"/>
    <s v="Public"/>
    <x v="0"/>
    <s v="Gicumbi"/>
    <s v="Mutete"/>
    <s v="NNYL_1"/>
    <s v="Nyabugogo Sub-Catchment"/>
    <n v="2365.2000000000003"/>
  </r>
  <r>
    <x v="3"/>
    <s v="Rwakajya"/>
    <s v="Public"/>
    <x v="0"/>
    <s v="Gicumbi"/>
    <s v="Mutete"/>
    <s v="NNYL_1"/>
    <s v="Nyabugogo Sub-Catchment"/>
    <n v="7884.0000000000009"/>
  </r>
  <r>
    <x v="3"/>
    <s v="Nyarubande"/>
    <s v="Public"/>
    <x v="0"/>
    <s v="Gicumbi"/>
    <s v="Mutete"/>
    <s v="NNYL_1"/>
    <s v="Nyabugogo Sub-Catchment"/>
    <n v="3942.0000000000005"/>
  </r>
  <r>
    <x v="3"/>
    <s v="Nyabigugu"/>
    <s v="Public"/>
    <x v="0"/>
    <s v="Gicumbi"/>
    <s v="Mutete"/>
    <s v="NNYL_1"/>
    <s v="Nyabugogo Sub-Catchment"/>
    <n v="3153.6000000000004"/>
  </r>
  <r>
    <x v="3"/>
    <s v="Kabakene"/>
    <s v="Public"/>
    <x v="0"/>
    <s v="Gicumbi"/>
    <s v="Mutete"/>
    <s v="NNYL_1"/>
    <s v="Nyabugogo Sub-Catchment"/>
    <n v="788.40000000000009"/>
  </r>
  <r>
    <x v="3"/>
    <s v="Kadogo"/>
    <s v="Public"/>
    <x v="0"/>
    <s v="Gicumbi"/>
    <s v="Mutete"/>
    <s v="NNYL_1"/>
    <s v="Nyabugogo Sub-Catchment"/>
    <n v="1103.7600000000002"/>
  </r>
  <r>
    <x v="3"/>
    <s v="Kagorogoro"/>
    <s v="Public"/>
    <x v="0"/>
    <s v="Gicumbi"/>
    <s v="Mutete"/>
    <s v="NNYL_1"/>
    <s v="Nyabugogo Sub-Catchment"/>
    <n v="946.08"/>
  </r>
  <r>
    <x v="3"/>
    <s v="Gahama"/>
    <s v="Public"/>
    <x v="0"/>
    <s v="Gicumbi"/>
    <s v="Mutete"/>
    <s v="NNYL_1"/>
    <s v="Nyabugogo Sub-Catchment"/>
    <n v="11826.000000000002"/>
  </r>
  <r>
    <x v="3"/>
    <s v="kagegeme"/>
    <s v="Public"/>
    <x v="0"/>
    <s v="Gicumbi"/>
    <s v="Mutete"/>
    <s v="NNYL_1"/>
    <s v="Nyabugogo Sub-Catchment"/>
    <n v="17344.800000000003"/>
  </r>
  <r>
    <x v="3"/>
    <s v="Kagombero"/>
    <s v="Public"/>
    <x v="0"/>
    <s v="Gicumbi"/>
    <s v="Mutete"/>
    <s v="NNYL_1"/>
    <s v="Nyabugogo Sub-Catchment"/>
    <n v="2838.24"/>
  </r>
  <r>
    <x v="3"/>
    <s v="Gatoki"/>
    <s v="Public"/>
    <x v="0"/>
    <s v="Gicumbi"/>
    <s v="Mutete"/>
    <s v="NNYL_1"/>
    <s v="Nyabugogo Sub-Catchment"/>
    <n v="3311.2799999999997"/>
  </r>
  <r>
    <x v="3"/>
    <s v="Gahondo"/>
    <s v="Public"/>
    <x v="0"/>
    <s v="Gicumbi"/>
    <s v="Mutete"/>
    <s v="NNYL_1"/>
    <s v="Nyabugogo Sub-Catchment"/>
    <n v="1892.16"/>
  </r>
  <r>
    <x v="3"/>
    <s v="Mu kajeje"/>
    <s v="Public"/>
    <x v="0"/>
    <s v="Gicumbi"/>
    <s v="Mutete"/>
    <s v="NNYL_1"/>
    <s v="Nyabugogo Sub-Catchment"/>
    <n v="9460.8000000000011"/>
  </r>
  <r>
    <x v="3"/>
    <s v="Rushurenge"/>
    <s v="Public"/>
    <x v="0"/>
    <s v="Gicumbi"/>
    <s v="Mutete"/>
    <s v="NNYL_1"/>
    <s v="Nyabugogo Sub-Catchment"/>
    <n v="2207.5200000000004"/>
  </r>
  <r>
    <x v="3"/>
    <s v="Nyiramwiza"/>
    <s v="Public"/>
    <x v="0"/>
    <s v="Gicumbi"/>
    <s v="Mutete"/>
    <s v="NNYL_1"/>
    <s v="Nyabugogo Sub-Catchment"/>
    <n v="14191.2"/>
  </r>
  <r>
    <x v="3"/>
    <s v="Mu Gakuyu"/>
    <s v="Public"/>
    <x v="0"/>
    <s v="Gicumbi"/>
    <s v="Mutete"/>
    <s v="NNYL_1"/>
    <s v="Nyabugogo Sub-Catchment"/>
    <n v="1576.8000000000002"/>
  </r>
  <r>
    <x v="3"/>
    <s v="Rwanyabatimba"/>
    <s v="Public"/>
    <x v="0"/>
    <s v="Gicumbi"/>
    <s v="Mutete"/>
    <s v="NNYL_1"/>
    <s v="Nyabugogo Sub-Catchment"/>
    <n v="788.40000000000009"/>
  </r>
  <r>
    <x v="3"/>
    <s v="Nyakagezi"/>
    <s v="Public"/>
    <x v="0"/>
    <s v="Gicumbi"/>
    <s v="Mutete"/>
    <s v="NNYL_1"/>
    <s v="Nyabugogo Sub-Catchment"/>
    <n v="2838.24"/>
  </r>
  <r>
    <x v="3"/>
    <s v="Nkomane"/>
    <s v="Public"/>
    <x v="0"/>
    <s v="Gicumbi"/>
    <s v="Mutete"/>
    <s v="NNYL_1"/>
    <s v="Nyabugogo Sub-Catchment"/>
    <n v="5518.8"/>
  </r>
  <r>
    <x v="3"/>
    <s v="Mu Kamiranzovu"/>
    <s v="Public"/>
    <x v="0"/>
    <s v="Gicumbi"/>
    <s v="Mutete"/>
    <s v="NNYL_1"/>
    <s v="Nyabugogo Sub-Catchment"/>
    <n v="1576.8000000000002"/>
  </r>
  <r>
    <x v="3"/>
    <s v="Gahama"/>
    <s v="Public"/>
    <x v="0"/>
    <s v="Gicumbi"/>
    <s v="Mutete"/>
    <s v="NNYL_1"/>
    <s v="Nyabugogo Sub-Catchment"/>
    <n v="2838.24"/>
  </r>
  <r>
    <x v="3"/>
    <s v="Rudoga"/>
    <s v="Public"/>
    <x v="0"/>
    <s v="Gicumbi"/>
    <s v="Mutete"/>
    <s v="NNYL_1"/>
    <s v="Nyabugogo Sub-Catchment"/>
    <n v="1261.44"/>
  </r>
  <r>
    <x v="3"/>
    <s v="Rubobi"/>
    <s v="Public"/>
    <x v="0"/>
    <s v="Gicumbi"/>
    <s v="Mutete"/>
    <s v="NNYL_1"/>
    <s v="Nyabugogo Sub-Catchment"/>
    <n v="1419.12"/>
  </r>
  <r>
    <x v="3"/>
    <s v="Rucaca"/>
    <s v="Public"/>
    <x v="0"/>
    <s v="Gicumbi"/>
    <s v="Mutete"/>
    <s v="NNYL_1"/>
    <s v="Nyabugogo Sub-Catchment"/>
    <n v="1261.44"/>
  </r>
  <r>
    <x v="3"/>
    <s v="Rwasehigi"/>
    <s v="Public"/>
    <x v="0"/>
    <s v="Gicumbi"/>
    <s v="Mutete"/>
    <s v="NNYL_1"/>
    <s v="Nyabugogo Sub-Catchment"/>
    <n v="4099.68"/>
  </r>
  <r>
    <x v="3"/>
    <s v="Kimirabageni"/>
    <s v="Public"/>
    <x v="0"/>
    <s v="Gicumbi"/>
    <s v="Mutete"/>
    <s v="NNYL_1"/>
    <s v="Nyabugogo Sub-Catchment"/>
    <n v="1261.44"/>
  </r>
  <r>
    <x v="3"/>
    <s v="Kadogo"/>
    <s v="Public"/>
    <x v="0"/>
    <s v="Gicumbi"/>
    <s v="Mutete"/>
    <s v="NNYL_1"/>
    <s v="Nyabugogo Sub-Catchment"/>
    <n v="4730.4000000000005"/>
  </r>
  <r>
    <x v="3"/>
    <s v="Mu Ngoma"/>
    <s v="Public"/>
    <x v="0"/>
    <s v="Gicumbi"/>
    <s v="Mutete"/>
    <s v="NNYL_1"/>
    <s v="Nyabugogo Sub-Catchment"/>
    <n v="17029.440000000002"/>
  </r>
  <r>
    <x v="3"/>
    <s v="Karwishyura"/>
    <s v="Public"/>
    <x v="0"/>
    <s v="Gicumbi"/>
    <s v="Mutete"/>
    <s v="NNYL_1"/>
    <s v="Nyabugogo Sub-Catchment"/>
    <n v="16871.759999999998"/>
  </r>
  <r>
    <x v="3"/>
    <s v="Mu kambu"/>
    <s v="Public"/>
    <x v="0"/>
    <s v="Gicumbi"/>
    <s v="Mutete"/>
    <s v="NNYL_1"/>
    <s v="Nyabugogo Sub-Catchment"/>
    <n v="1734.4800000000002"/>
  </r>
  <r>
    <x v="3"/>
    <s v="Nyaburiba"/>
    <s v="Public"/>
    <x v="0"/>
    <s v="Gicumbi"/>
    <s v="Mutete"/>
    <s v="NNYL_1"/>
    <s v="Nyabugogo Sub-Catchment"/>
    <n v="473.04"/>
  </r>
  <r>
    <x v="3"/>
    <s v="Kwa Mwitirehe"/>
    <s v="Public"/>
    <x v="0"/>
    <s v="Gicumbi"/>
    <s v="Mutete"/>
    <s v="NNYL_1"/>
    <s v="Nyabugogo Sub-Catchment"/>
    <n v="7568.64"/>
  </r>
  <r>
    <x v="3"/>
    <s v="Gataba"/>
    <s v="Public"/>
    <x v="0"/>
    <s v="Gicumbi"/>
    <s v="Mutete"/>
    <s v="NNYL_1"/>
    <s v="Nyabugogo Sub-Catchment"/>
    <n v="2365.2000000000003"/>
  </r>
  <r>
    <x v="3"/>
    <s v="Kadobogo"/>
    <s v="Public"/>
    <x v="0"/>
    <s v="Gicumbi"/>
    <s v="Mutete"/>
    <s v="NNYL_1"/>
    <s v="Nyabugogo Sub-Catchment"/>
    <n v="1576.8000000000002"/>
  </r>
  <r>
    <x v="3"/>
    <s v="Nyakabingo"/>
    <s v="Public"/>
    <x v="0"/>
    <s v="Gicumbi"/>
    <s v="Mutete"/>
    <s v="NNYL_1"/>
    <s v="Nyabugogo Sub-Catchment"/>
    <n v="3153.6000000000004"/>
  </r>
  <r>
    <x v="3"/>
    <s v="Kwa Rucakanama"/>
    <s v="Public"/>
    <x v="0"/>
    <s v="Gicumbi"/>
    <s v="Mutete"/>
    <s v="NNYL_1"/>
    <s v="Nyabugogo Sub-Catchment"/>
    <n v="6622.5599999999995"/>
  </r>
  <r>
    <x v="3"/>
    <s v="Rambura"/>
    <s v="Public"/>
    <x v="0"/>
    <s v="Gicumbi"/>
    <s v="Mutete"/>
    <s v="NNYL_1"/>
    <s v="Nyabugogo Sub-Catchment"/>
    <n v="6307.2000000000007"/>
  </r>
  <r>
    <x v="3"/>
    <s v="Rusave"/>
    <s v="Public"/>
    <x v="0"/>
    <s v="Gicumbi"/>
    <s v="Mutete"/>
    <s v="NNYL_1"/>
    <s v="Nyabugogo Sub-Catchment"/>
    <n v="4257.3600000000006"/>
  </r>
  <r>
    <x v="3"/>
    <s v="NYAKAGEZI II"/>
    <s v="Public"/>
    <x v="0"/>
    <s v="Gasabo"/>
    <s v="Nduba"/>
    <s v="NNYL_1"/>
    <s v="Nyabugogo Sub-Catchment"/>
    <n v="15768.000000000002"/>
  </r>
  <r>
    <x v="3"/>
    <s v="NYAKAGEZIII"/>
    <s v="Public"/>
    <x v="0"/>
    <s v="Gasabo"/>
    <s v="Nduba"/>
    <s v="NNYL_1"/>
    <s v="Nyabugogo Sub-Catchment"/>
    <n v="7095.6"/>
  </r>
  <r>
    <x v="3"/>
    <s v="KATAMA"/>
    <s v="Public"/>
    <x v="0"/>
    <s v="Gasabo"/>
    <s v="Nduba"/>
    <s v="NNYL_1"/>
    <s v="Nyabugogo Sub-Catchment"/>
    <n v="2049.84"/>
  </r>
  <r>
    <x v="3"/>
    <s v="MAHOROGOMA"/>
    <s v="Public"/>
    <x v="0"/>
    <s v="Gasabo"/>
    <s v="Nduba"/>
    <s v="NNYL_1"/>
    <s v="Nyabugogo Sub-Catchment"/>
    <n v="315.36"/>
  </r>
  <r>
    <x v="3"/>
    <s v="NYAKABINGO"/>
    <s v="Public"/>
    <x v="0"/>
    <s v="Gasabo"/>
    <s v="Nduba"/>
    <s v="NNYL_1"/>
    <s v="Nyabugogo Sub-Catchment"/>
    <n v="7884.0000000000009"/>
  </r>
  <r>
    <x v="3"/>
    <s v="NYAKAGEZI"/>
    <s v="Public"/>
    <x v="0"/>
    <s v="Gasabo"/>
    <s v="Nduba"/>
    <s v="NNYL_1"/>
    <s v="Nyabugogo Sub-Catchment"/>
    <n v="7884.0000000000009"/>
  </r>
  <r>
    <x v="3"/>
    <s v="KABAKENE"/>
    <s v="Public"/>
    <x v="0"/>
    <s v="Gasabo"/>
    <s v="Nduba"/>
    <s v="NNYL_1"/>
    <s v="Nyabugogo Sub-Catchment"/>
    <n v="4730.4000000000005"/>
  </r>
  <r>
    <x v="3"/>
    <s v="NTAHOBAGIYE"/>
    <s v="Public"/>
    <x v="0"/>
    <s v="Gasabo"/>
    <s v="Nduba"/>
    <s v="NNYL_1"/>
    <s v="Nyabugogo Sub-Catchment"/>
    <n v="5203.4400000000005"/>
  </r>
  <r>
    <x v="3"/>
    <s v="NYIRAGAHAYA"/>
    <s v="Public"/>
    <x v="0"/>
    <s v="Gasabo"/>
    <s v="Nduba"/>
    <s v="NNYL_1"/>
    <s v="Nyabugogo Sub-Catchment"/>
    <n v="15768.000000000002"/>
  </r>
  <r>
    <x v="3"/>
    <s v="NYAMURAMBI"/>
    <s v="Public"/>
    <x v="0"/>
    <s v="Gasabo"/>
    <s v="Nduba"/>
    <s v="NNYL_1"/>
    <s v="Nyabugogo Sub-Catchment"/>
    <n v="0"/>
  </r>
  <r>
    <x v="3"/>
    <s v="RUBABWA"/>
    <s v="Public"/>
    <x v="0"/>
    <s v="Gasabo"/>
    <s v="Nduba"/>
    <s v="NNYL_1"/>
    <s v="Nyabugogo Sub-Catchment"/>
    <n v="0"/>
  </r>
  <r>
    <x v="3"/>
    <s v="GASEKE"/>
    <s v="Public"/>
    <x v="0"/>
    <s v="Rulindo"/>
    <s v="Ntarabana"/>
    <s v="NNYL_1"/>
    <s v="Nyabugogo Sub-Catchment"/>
    <n v="2680.56"/>
  </r>
  <r>
    <x v="3"/>
    <s v="MUHANGA 2"/>
    <s v="Public"/>
    <x v="0"/>
    <s v="Rulindo"/>
    <s v="Ntarabana"/>
    <s v="NNYL_1"/>
    <s v="Nyabugogo Sub-Catchment"/>
    <n v="4730.4000000000005"/>
  </r>
  <r>
    <x v="3"/>
    <s v="BIZENGA"/>
    <s v="Public"/>
    <x v="0"/>
    <s v="Rulindo"/>
    <s v="Ntarabana"/>
    <s v="NNYL_1"/>
    <s v="Nyabugogo Sub-Catchment"/>
    <n v="6307.2000000000007"/>
  </r>
  <r>
    <x v="3"/>
    <s v="MUHANGA 1"/>
    <s v="Public"/>
    <x v="0"/>
    <s v="Rulindo"/>
    <s v="Ntarabana"/>
    <s v="NNYL_1"/>
    <s v="Nyabugogo Sub-Catchment"/>
    <n v="946.08"/>
  </r>
  <r>
    <x v="3"/>
    <s v="GATARE 2"/>
    <s v="Public"/>
    <x v="0"/>
    <s v="Rulindo"/>
    <s v="Ntarabana"/>
    <s v="NNYL_1"/>
    <s v="Nyabugogo Sub-Catchment"/>
    <n v="1103.7600000000002"/>
  </r>
  <r>
    <x v="3"/>
    <s v="CYANKURWE"/>
    <s v="Public"/>
    <x v="0"/>
    <s v="Rulindo"/>
    <s v="Ntarabana"/>
    <s v="NNYL_1"/>
    <s v="Nyabugogo Sub-Catchment"/>
    <n v="4730.4000000000005"/>
  </r>
  <r>
    <x v="3"/>
    <s v="CYOGO"/>
    <s v="Public"/>
    <x v="0"/>
    <s v="Rulindo"/>
    <s v="Ntarabana"/>
    <s v="NNYL_1"/>
    <s v="Nyabugogo Sub-Catchment"/>
    <n v="15768.000000000002"/>
  </r>
  <r>
    <x v="3"/>
    <s v="NSELIKI"/>
    <s v="Public"/>
    <x v="0"/>
    <s v="Rulindo"/>
    <s v="Ntarabana"/>
    <s v="NNYL_1"/>
    <s v="Nyabugogo Sub-Catchment"/>
    <n v="2995.92"/>
  </r>
  <r>
    <x v="3"/>
    <s v="BUSHOKA"/>
    <s v="Public"/>
    <x v="0"/>
    <s v="Rulindo"/>
    <s v="Ntarabana"/>
    <s v="NNYL_1"/>
    <s v="Nyabugogo Sub-Catchment"/>
    <n v="3153.6000000000004"/>
  </r>
  <r>
    <x v="3"/>
    <s v="NYAKAGEZI"/>
    <s v="Public"/>
    <x v="0"/>
    <s v="Rulindo"/>
    <s v="Ntarabana"/>
    <s v="NNYL_1"/>
    <s v="Nyabugogo Sub-Catchment"/>
    <n v="3942.0000000000005"/>
  </r>
  <r>
    <x v="3"/>
    <s v="RUGINA"/>
    <s v="Public"/>
    <x v="0"/>
    <s v="Rulindo"/>
    <s v="Ntarabana"/>
    <s v="NNYL_1"/>
    <s v="Nyabugogo Sub-Catchment"/>
    <n v="5834.1600000000008"/>
  </r>
  <r>
    <x v="3"/>
    <s v="NYIRABAHINDE"/>
    <s v="Public"/>
    <x v="0"/>
    <s v="Rulindo"/>
    <s v="Ntarabana"/>
    <s v="NNYL_1"/>
    <s v="Nyabugogo Sub-Catchment"/>
    <n v="788.40000000000009"/>
  </r>
  <r>
    <x v="3"/>
    <s v="NYARURAMA B"/>
    <s v="Public"/>
    <x v="0"/>
    <s v="Rulindo"/>
    <s v="Ntarabana"/>
    <s v="NNYL_1"/>
    <s v="Nyabugogo Sub-Catchment"/>
    <n v="6149.5200000000013"/>
  </r>
  <r>
    <x v="3"/>
    <s v="NYARURAMA A"/>
    <s v="Public"/>
    <x v="0"/>
    <s v="Rulindo"/>
    <s v="Ntarabana"/>
    <s v="NNYL_1"/>
    <s v="Nyabugogo Sub-Catchment"/>
    <n v="2049.84"/>
  </r>
  <r>
    <x v="3"/>
    <s v="NYAMUREMA"/>
    <s v="Public"/>
    <x v="0"/>
    <s v="Rulindo"/>
    <s v="Ntarabana"/>
    <s v="NNYL_1"/>
    <s v="Nyabugogo Sub-Catchment"/>
    <n v="1103.7600000000002"/>
  </r>
  <r>
    <x v="3"/>
    <s v="Ryakanyamanza"/>
    <s v="Public"/>
    <x v="0"/>
    <s v="Gicumbi"/>
    <s v="Nyamiyaga"/>
    <s v="NNYL_1"/>
    <s v="Nyabugogo Sub-Catchment"/>
    <n v="473.04"/>
  </r>
  <r>
    <x v="3"/>
    <s v="Nyakariba"/>
    <s v="Public"/>
    <x v="0"/>
    <s v="Gicumbi"/>
    <s v="Nyamiyaga"/>
    <s v="NNYL_1"/>
    <s v="Nyabugogo Sub-Catchment"/>
    <n v="315.36"/>
  </r>
  <r>
    <x v="3"/>
    <s v="Ku Nkambi"/>
    <s v="Public"/>
    <x v="0"/>
    <s v="Gicumbi"/>
    <s v="Nyamiyaga"/>
    <s v="NNYL_1"/>
    <s v="Nyabugogo Sub-Catchment"/>
    <n v="1576.8000000000002"/>
  </r>
  <r>
    <x v="3"/>
    <s v="Mukabumba II"/>
    <s v="Public"/>
    <x v="0"/>
    <s v="Gicumbi"/>
    <s v="Nyamiyaga"/>
    <s v="NNYL_1"/>
    <s v="Nyabugogo Sub-Catchment"/>
    <n v="7884.0000000000009"/>
  </r>
  <r>
    <x v="3"/>
    <s v="Gaseke"/>
    <s v="Public"/>
    <x v="0"/>
    <s v="Gicumbi"/>
    <s v="Nyamiyaga"/>
    <s v="NNYL_1"/>
    <s v="Nyabugogo Sub-Catchment"/>
    <n v="10249.199999999999"/>
  </r>
  <r>
    <x v="3"/>
    <s v="Kireranyana"/>
    <s v="Public"/>
    <x v="0"/>
    <s v="Gicumbi"/>
    <s v="Nyamiyaga"/>
    <s v="NNYL_1"/>
    <s v="Nyabugogo Sub-Catchment"/>
    <n v="18133.199999999997"/>
  </r>
  <r>
    <x v="3"/>
    <s v="Rugando I"/>
    <s v="Public"/>
    <x v="0"/>
    <s v="Gicumbi"/>
    <s v="Nyamiyaga"/>
    <s v="NNYL_1"/>
    <s v="Nyabugogo Sub-Catchment"/>
    <n v="1576.8000000000002"/>
  </r>
  <r>
    <x v="3"/>
    <s v="Mukabakiga"/>
    <s v="Public"/>
    <x v="0"/>
    <s v="Gicumbi"/>
    <s v="Nyamiyaga"/>
    <s v="NNYL_1"/>
    <s v="Nyabugogo Sub-Catchment"/>
    <n v="4730.4000000000005"/>
  </r>
  <r>
    <x v="3"/>
    <s v="Rugando II"/>
    <s v="Public"/>
    <x v="0"/>
    <s v="Gicumbi"/>
    <s v="Nyamiyaga"/>
    <s v="NNYL_1"/>
    <s v="Nyabugogo Sub-Catchment"/>
    <n v="662.2560000000002"/>
  </r>
  <r>
    <x v="3"/>
    <s v="Mumana"/>
    <s v="Public"/>
    <x v="0"/>
    <s v="Gicumbi"/>
    <s v="Nyamiyaga"/>
    <s v="NNYL_1"/>
    <s v="Nyabugogo Sub-Catchment"/>
    <n v="2680.56"/>
  </r>
  <r>
    <x v="3"/>
    <s v="Kibumba"/>
    <s v="Public"/>
    <x v="0"/>
    <s v="Gicumbi"/>
    <s v="Nyamiyaga"/>
    <s v="NNYL_1"/>
    <s v="Nyabugogo Sub-Catchment"/>
    <n v="6307.2000000000007"/>
  </r>
  <r>
    <x v="3"/>
    <s v="Runyinya"/>
    <s v="Public"/>
    <x v="0"/>
    <s v="Gicumbi"/>
    <s v="Nyamiyaga"/>
    <s v="NNYL_1"/>
    <s v="Nyabugogo Sub-Catchment"/>
    <n v="15768.000000000002"/>
  </r>
  <r>
    <x v="3"/>
    <s v="Ruyenzi"/>
    <s v="Public"/>
    <x v="0"/>
    <s v="Gicumbi"/>
    <s v="Nyamiyaga"/>
    <s v="NNYL_1"/>
    <s v="Nyabugogo Sub-Catchment"/>
    <n v="1103.7600000000002"/>
  </r>
  <r>
    <x v="3"/>
    <s v="Kadogo"/>
    <s v="Public"/>
    <x v="0"/>
    <s v="Gicumbi"/>
    <s v="Nyamiyaga"/>
    <s v="NNYL_1"/>
    <s v="Nyabugogo Sub-Catchment"/>
    <n v="2207.5200000000004"/>
  </r>
  <r>
    <x v="3"/>
    <s v="Kabanda"/>
    <s v="Public"/>
    <x v="0"/>
    <s v="Gicumbi"/>
    <s v="Nyamiyaga"/>
    <s v="NNYL_1"/>
    <s v="Nyabugogo Sub-Catchment"/>
    <n v="6307.2000000000007"/>
  </r>
  <r>
    <x v="3"/>
    <s v="Rwamvura"/>
    <s v="Public"/>
    <x v="0"/>
    <s v="Gicumbi"/>
    <s v="Nyamiyaga"/>
    <s v="NNYL_1"/>
    <s v="Nyabugogo Sub-Catchment"/>
    <n v="630.72"/>
  </r>
  <r>
    <x v="3"/>
    <s v="Kagorogoro"/>
    <s v="Public"/>
    <x v="0"/>
    <s v="Gicumbi"/>
    <s v="Nyamiyaga"/>
    <s v="NNYL_1"/>
    <s v="Nyabugogo Sub-Catchment"/>
    <n v="5834.1600000000008"/>
  </r>
  <r>
    <x v="3"/>
    <s v="Katagayifu"/>
    <s v="Public"/>
    <x v="0"/>
    <s v="Gicumbi"/>
    <s v="Nyamiyaga"/>
    <s v="NNYL_1"/>
    <s v="Nyabugogo Sub-Catchment"/>
    <n v="2365.2000000000003"/>
  </r>
  <r>
    <x v="3"/>
    <s v="Kagugu"/>
    <s v="Public"/>
    <x v="0"/>
    <s v="Gicumbi"/>
    <s v="Nyamiyaga"/>
    <s v="NNYL_1"/>
    <s v="Nyabugogo Sub-Catchment"/>
    <n v="4257.3600000000006"/>
  </r>
  <r>
    <x v="3"/>
    <s v="Nyabwunyu"/>
    <s v="Public"/>
    <x v="0"/>
    <s v="Gicumbi"/>
    <s v="Nyamiyaga"/>
    <s v="NNYL_1"/>
    <s v="Nyabugogo Sub-Catchment"/>
    <n v="6307.2000000000007"/>
  </r>
  <r>
    <x v="3"/>
    <s v="KU Mwambu"/>
    <s v="Public"/>
    <x v="0"/>
    <s v="Gicumbi"/>
    <s v="Nyamiyaga"/>
    <s v="NNYL_1"/>
    <s v="Nyabugogo Sub-Catchment"/>
    <n v="3153.6000000000004"/>
  </r>
  <r>
    <x v="3"/>
    <s v="Mu Runombe"/>
    <s v="Public"/>
    <x v="0"/>
    <s v="Gicumbi"/>
    <s v="Nyamiyaga"/>
    <s v="NNYL_1"/>
    <s v="Nyabugogo Sub-Catchment"/>
    <n v="1576.8000000000002"/>
  </r>
  <r>
    <x v="3"/>
    <s v="Ku Karwa"/>
    <s v="Public"/>
    <x v="0"/>
    <s v="Gicumbi"/>
    <s v="Nyamiyaga"/>
    <s v="NNYL_1"/>
    <s v="Nyabugogo Sub-Catchment"/>
    <n v="2365.2000000000003"/>
  </r>
  <r>
    <x v="3"/>
    <s v="Ku Mwambu"/>
    <s v="Public"/>
    <x v="0"/>
    <s v="Gicumbi"/>
    <s v="Nyamiyaga"/>
    <s v="NNYL_1"/>
    <s v="Nyabugogo Sub-Catchment"/>
    <n v="1576.8000000000002"/>
  </r>
  <r>
    <x v="3"/>
    <s v="Kanyegamo"/>
    <s v="Public"/>
    <x v="0"/>
    <s v="Gicumbi"/>
    <s v="Nyamiyaga"/>
    <s v="NNYL_1"/>
    <s v="Nyabugogo Sub-Catchment"/>
    <n v="1576.8000000000002"/>
  </r>
  <r>
    <x v="3"/>
    <s v="Rwingwe I"/>
    <s v="Public"/>
    <x v="0"/>
    <s v="Gicumbi"/>
    <s v="Nyamiyaga"/>
    <s v="NNYL_1"/>
    <s v="Nyabugogo Sub-Catchment"/>
    <n v="1576.8000000000002"/>
  </r>
  <r>
    <x v="3"/>
    <s v="Rwamvura II"/>
    <s v="Public"/>
    <x v="0"/>
    <s v="Gicumbi"/>
    <s v="Nyamiyaga"/>
    <s v="NNYL_1"/>
    <s v="Nyabugogo Sub-Catchment"/>
    <n v="12614.400000000001"/>
  </r>
  <r>
    <x v="3"/>
    <s v="Ngerera"/>
    <s v="Public"/>
    <x v="0"/>
    <s v="Gicumbi"/>
    <s v="Nyamiyaga"/>
    <s v="NNYL_1"/>
    <s v="Nyabugogo Sub-Catchment"/>
    <n v="4572.72"/>
  </r>
  <r>
    <x v="3"/>
    <s v="Muganga"/>
    <s v="Public"/>
    <x v="0"/>
    <s v="Gicumbi"/>
    <s v="Nyamiyaga"/>
    <s v="NNYL_1"/>
    <s v="Nyabugogo Sub-Catchment"/>
    <n v="2522.88"/>
  </r>
  <r>
    <x v="3"/>
    <s v="Kagera"/>
    <s v="Public"/>
    <x v="0"/>
    <s v="Gicumbi"/>
    <s v="Nyamiyaga"/>
    <s v="NNYL_1"/>
    <s v="Nyabugogo Sub-Catchment"/>
    <n v="6307.2000000000007"/>
  </r>
  <r>
    <x v="3"/>
    <s v="Ruyaga"/>
    <s v="Public"/>
    <x v="0"/>
    <s v="Gicumbi"/>
    <s v="Nyamiyaga"/>
    <s v="NNYL_1"/>
    <s v="Nyabugogo Sub-Catchment"/>
    <n v="4099.68"/>
  </r>
  <r>
    <x v="3"/>
    <s v="Mu Ruhanga"/>
    <s v="Public"/>
    <x v="0"/>
    <s v="Gicumbi"/>
    <s v="Nyamiyaga"/>
    <s v="NNYL_1"/>
    <s v="Nyabugogo Sub-Catchment"/>
    <n v="1892.16"/>
  </r>
  <r>
    <x v="3"/>
    <s v="Kwanzarora"/>
    <s v="Public"/>
    <x v="0"/>
    <s v="Gicumbi"/>
    <s v="Nyamiyaga"/>
    <s v="NNYL_1"/>
    <s v="Nyabugogo Sub-Catchment"/>
    <n v="2049.84"/>
  </r>
  <r>
    <x v="3"/>
    <s v="Nkoma I"/>
    <s v="Public"/>
    <x v="0"/>
    <s v="Gicumbi"/>
    <s v="Nyamiyaga"/>
    <s v="NNYL_1"/>
    <s v="Nyabugogo Sub-Catchment"/>
    <n v="5518.8"/>
  </r>
  <r>
    <x v="3"/>
    <s v="Rudogo"/>
    <s v="Public"/>
    <x v="0"/>
    <s v="Gicumbi"/>
    <s v="Nyamiyaga"/>
    <s v="NNYL_1"/>
    <s v="Nyabugogo Sub-Catchment"/>
    <n v="3468.9600000000005"/>
  </r>
  <r>
    <x v="3"/>
    <s v="Kanyabagabo"/>
    <s v="Public"/>
    <x v="0"/>
    <s v="Gicumbi"/>
    <s v="Nyamiyaga"/>
    <s v="NNYL_1"/>
    <s v="Nyabugogo Sub-Catchment"/>
    <n v="23652.000000000004"/>
  </r>
  <r>
    <x v="3"/>
    <s v="Gakore"/>
    <s v="Public"/>
    <x v="0"/>
    <s v="Gicumbi"/>
    <s v="Nyamiyaga"/>
    <s v="NNYL_1"/>
    <s v="Nyabugogo Sub-Catchment"/>
    <n v="3153.6000000000004"/>
  </r>
  <r>
    <x v="3"/>
    <s v="Kugisuma"/>
    <s v="Public"/>
    <x v="0"/>
    <s v="Gicumbi"/>
    <s v="Nyamiyaga"/>
    <s v="NNYL_1"/>
    <s v="Nyabugogo Sub-Catchment"/>
    <n v="2838.24"/>
  </r>
  <r>
    <x v="3"/>
    <s v="Nyagatare"/>
    <s v="Public"/>
    <x v="0"/>
    <s v="Gicumbi"/>
    <s v="Nyamiyaga"/>
    <s v="NNYL_1"/>
    <s v="Nyabugogo Sub-Catchment"/>
    <n v="9460.8000000000011"/>
  </r>
  <r>
    <x v="3"/>
    <s v="KU Ivege"/>
    <s v="Public"/>
    <x v="0"/>
    <s v="Gicumbi"/>
    <s v="Nyamiyaga"/>
    <s v="NNYL_1"/>
    <s v="Nyabugogo Sub-Catchment"/>
    <n v="3153.6000000000004"/>
  </r>
  <r>
    <x v="3"/>
    <s v="Uwabarima"/>
    <s v="Public"/>
    <x v="0"/>
    <s v="Gicumbi"/>
    <s v="Nyamiyaga"/>
    <s v="NNYL_1"/>
    <s v="Nyabugogo Sub-Catchment"/>
    <n v="1734.4800000000002"/>
  </r>
  <r>
    <x v="3"/>
    <s v="Runanga"/>
    <s v="Public"/>
    <x v="0"/>
    <s v="Gicumbi"/>
    <s v="Nyamiyaga"/>
    <s v="NNYL_1"/>
    <s v="Nyabugogo Sub-Catchment"/>
    <n v="2207.5200000000004"/>
  </r>
  <r>
    <x v="3"/>
    <s v="Cyarubariro"/>
    <s v="Public"/>
    <x v="0"/>
    <s v="Gicumbi"/>
    <s v="Nyamiyaga"/>
    <s v="NNYL_1"/>
    <s v="Nyabugogo Sub-Catchment"/>
    <n v="946.08"/>
  </r>
  <r>
    <x v="3"/>
    <s v="Kagorogoro II"/>
    <s v="Public"/>
    <x v="0"/>
    <s v="Gicumbi"/>
    <s v="Nyamiyaga"/>
    <s v="NNYL_1"/>
    <s v="Nyabugogo Sub-Catchment"/>
    <n v="315.36"/>
  </r>
  <r>
    <x v="3"/>
    <s v="Mu Kigasa"/>
    <s v="Public"/>
    <x v="0"/>
    <s v="Gicumbi"/>
    <s v="Nyamiyaga"/>
    <s v="NNYL_1"/>
    <s v="Nyabugogo Sub-Catchment"/>
    <n v="473.04"/>
  </r>
  <r>
    <x v="3"/>
    <s v="Mu Kadogo"/>
    <s v="Public"/>
    <x v="0"/>
    <s v="Gicumbi"/>
    <s v="Nyamiyaga"/>
    <s v="NNYL_1"/>
    <s v="Nyabugogo Sub-Catchment"/>
    <n v="2680.56"/>
  </r>
  <r>
    <x v="3"/>
    <s v="Ngunguje"/>
    <s v="Public"/>
    <x v="0"/>
    <s v="Gicumbi"/>
    <s v="Nyamiyaga"/>
    <s v="NNYL_1"/>
    <s v="Nyabugogo Sub-Catchment"/>
    <n v="14191.2"/>
  </r>
  <r>
    <x v="3"/>
    <s v="Gaseke II"/>
    <s v="Public"/>
    <x v="0"/>
    <s v="Gicumbi"/>
    <s v="Nyamiyaga"/>
    <s v="NNYL_1"/>
    <s v="Nyabugogo Sub-Catchment"/>
    <n v="1576.8000000000002"/>
  </r>
  <r>
    <x v="3"/>
    <s v="Birarama"/>
    <s v="Public"/>
    <x v="0"/>
    <s v="Gicumbi"/>
    <s v="Nyamiyaga"/>
    <s v="NNYL_1"/>
    <s v="Nyabugogo Sub-Catchment"/>
    <n v="2365.2000000000003"/>
  </r>
  <r>
    <x v="3"/>
    <s v="Gaseke I"/>
    <s v="Public"/>
    <x v="0"/>
    <s v="Gicumbi"/>
    <s v="Nyamiyaga"/>
    <s v="NNYL_1"/>
    <s v="Nyabugogo Sub-Catchment"/>
    <n v="2838.24"/>
  </r>
  <r>
    <x v="3"/>
    <s v="Karerantwari II"/>
    <s v="Public"/>
    <x v="0"/>
    <s v="Gicumbi"/>
    <s v="Nyamiyaga"/>
    <s v="NNYL_1"/>
    <s v="Nyabugogo Sub-Catchment"/>
    <n v="31536.000000000004"/>
  </r>
  <r>
    <x v="3"/>
    <s v="Karerantwari I"/>
    <s v="Public"/>
    <x v="0"/>
    <s v="Gicumbi"/>
    <s v="Nyamiyaga"/>
    <s v="NNYL_1"/>
    <s v="Nyabugogo Sub-Catchment"/>
    <n v="6307.2000000000007"/>
  </r>
  <r>
    <x v="3"/>
    <s v="Nyakarekare"/>
    <s v="Public"/>
    <x v="0"/>
    <s v="Gicumbi"/>
    <s v="Nyamiyaga"/>
    <s v="NNYL_1"/>
    <s v="Nyabugogo Sub-Catchment"/>
    <n v="1576.8000000000002"/>
  </r>
  <r>
    <x v="3"/>
    <s v="Mu Kadogo"/>
    <s v="Public"/>
    <x v="0"/>
    <s v="Gicumbi"/>
    <s v="Nyamiyaga"/>
    <s v="NNYL_1"/>
    <s v="Nyabugogo Sub-Catchment"/>
    <n v="1892.16"/>
  </r>
  <r>
    <x v="3"/>
    <s v="Rudogo"/>
    <s v="Public"/>
    <x v="0"/>
    <s v="Gicumbi"/>
    <s v="Nyamiyaga"/>
    <s v="NNYL_1"/>
    <s v="Nyabugogo Sub-Catchment"/>
    <n v="3468.9600000000005"/>
  </r>
  <r>
    <x v="3"/>
    <s v="Rwamanzi"/>
    <s v="Public"/>
    <x v="0"/>
    <s v="Gicumbi"/>
    <s v="Nyamiyaga"/>
    <s v="NNYL_1"/>
    <s v="Nyabugogo Sub-Catchment"/>
    <n v="2838.24"/>
  </r>
  <r>
    <x v="3"/>
    <s v="gatare"/>
    <s v="Public"/>
    <x v="0"/>
    <s v="Gicumbi"/>
    <s v="Nyamiyaga"/>
    <s v="NNYL_1"/>
    <s v="Nyabugogo Sub-Catchment"/>
    <n v="1103.7600000000002"/>
  </r>
  <r>
    <x v="3"/>
    <s v="nyirakarambi"/>
    <s v="Public"/>
    <x v="0"/>
    <s v="Gicumbi"/>
    <s v="Nyamiyaga"/>
    <s v="NNYL_1"/>
    <s v="Nyabugogo Sub-Catchment"/>
    <n v="630.72"/>
  </r>
  <r>
    <x v="3"/>
    <s v="nyirumugezi"/>
    <s v="Public"/>
    <x v="0"/>
    <s v="Gicumbi"/>
    <s v="Nyamiyaga"/>
    <s v="NNYL_1"/>
    <s v="Nyabugogo Sub-Catchment"/>
    <n v="9460.8000000000011"/>
  </r>
  <r>
    <x v="3"/>
    <s v="kigaga"/>
    <s v="Public"/>
    <x v="0"/>
    <s v="Gicumbi"/>
    <s v="Nyamiyaga"/>
    <s v="NNYL_1"/>
    <s v="Nyabugogo Sub-Catchment"/>
    <n v="7884.0000000000009"/>
  </r>
  <r>
    <x v="3"/>
    <s v="nyamuko kwa rukimirana"/>
    <s v="Public"/>
    <x v="0"/>
    <s v="Gicumbi"/>
    <s v="Nyamiyaga"/>
    <s v="NNYL_1"/>
    <s v="Nyabugogo Sub-Catchment"/>
    <n v="3942.0000000000005"/>
  </r>
  <r>
    <x v="3"/>
    <s v="bahimbiguye"/>
    <s v="Public"/>
    <x v="0"/>
    <s v="Gicumbi"/>
    <s v="Nyamiyaga"/>
    <s v="NNYL_1"/>
    <s v="Nyabugogo Sub-Catchment"/>
    <n v="4730.4000000000005"/>
  </r>
  <r>
    <x v="3"/>
    <s v="nanzingoma"/>
    <s v="Public"/>
    <x v="0"/>
    <s v="Gicumbi"/>
    <s v="Nyamiyaga"/>
    <s v="NNYL_1"/>
    <s v="Nyabugogo Sub-Catchment"/>
    <n v="1513.7279999999998"/>
  </r>
  <r>
    <x v="3"/>
    <s v="rwakabundi ii"/>
    <s v="Public"/>
    <x v="0"/>
    <s v="Gicumbi"/>
    <s v="Nyamiyaga"/>
    <s v="NNYL_1"/>
    <s v="Nyabugogo Sub-Catchment"/>
    <n v="14.191199999999998"/>
  </r>
  <r>
    <x v="3"/>
    <s v="rwakabundi i"/>
    <s v="Public"/>
    <x v="0"/>
    <s v="Gicumbi"/>
    <s v="Nyamiyaga"/>
    <s v="NNYL_1"/>
    <s v="Nyabugogo Sub-Catchment"/>
    <n v="1103.7600000000002"/>
  </r>
  <r>
    <x v="3"/>
    <s v="gaseke"/>
    <s v="Public"/>
    <x v="0"/>
    <s v="Gicumbi"/>
    <s v="Nyamiyaga"/>
    <s v="NNYL_1"/>
    <s v="Nyabugogo Sub-Catchment"/>
    <n v="31.536000000000001"/>
  </r>
  <r>
    <x v="3"/>
    <s v="NYAGASHANGA"/>
    <s v="Public"/>
    <x v="0"/>
    <s v="Gicumbi"/>
    <s v="Nyamiyaga"/>
    <s v="NNYL_1"/>
    <s v="Nyabugogo Sub-Catchment"/>
    <n v="94.60799999999999"/>
  </r>
  <r>
    <x v="3"/>
    <s v="YA RWOGA"/>
    <s v="Public"/>
    <x v="0"/>
    <s v="Gicumbi"/>
    <s v="Nyamiyaga"/>
    <s v="NNYL_1"/>
    <s v="Nyabugogo Sub-Catchment"/>
    <n v="1261.44"/>
  </r>
  <r>
    <x v="3"/>
    <s v="kidanga"/>
    <s v="Public"/>
    <x v="0"/>
    <s v="Gicumbi"/>
    <s v="Nyamiyaga"/>
    <s v="NNYL_1"/>
    <s v="Nyabugogo Sub-Catchment"/>
    <n v="1261.44"/>
  </r>
  <r>
    <x v="3"/>
    <s v="kajagi"/>
    <s v="Public"/>
    <x v="0"/>
    <s v="Gicumbi"/>
    <s v="Nyamiyaga"/>
    <s v="NNYL_1"/>
    <s v="Nyabugogo Sub-Catchment"/>
    <n v="4730.4000000000005"/>
  </r>
  <r>
    <x v="3"/>
    <s v="tulikunkiko"/>
    <s v="Public"/>
    <x v="0"/>
    <s v="Gicumbi"/>
    <s v="Nyamiyaga"/>
    <s v="NNYL_1"/>
    <s v="Nyabugogo Sub-Catchment"/>
    <n v="6307.2000000000007"/>
  </r>
  <r>
    <x v="3"/>
    <s v="nyamuko"/>
    <s v="Public"/>
    <x v="0"/>
    <s v="Gicumbi"/>
    <s v="Nyamiyaga"/>
    <s v="NNYL_1"/>
    <s v="Nyabugogo Sub-Catchment"/>
    <n v="946.08"/>
  </r>
  <r>
    <x v="3"/>
    <s v="RWABIZOZA"/>
    <s v="Public"/>
    <x v="0"/>
    <s v="Gicumbi"/>
    <s v="Nyamiyaga"/>
    <s v="NNYL_1"/>
    <s v="Nyabugogo Sub-Catchment"/>
    <n v="946.08"/>
  </r>
  <r>
    <x v="3"/>
    <s v="rubera"/>
    <s v="Public"/>
    <x v="0"/>
    <s v="Gicumbi"/>
    <s v="Nyamiyaga"/>
    <s v="NNYL_1"/>
    <s v="Nyabugogo Sub-Catchment"/>
    <n v="1734.4800000000002"/>
  </r>
  <r>
    <x v="3"/>
    <s v="kwa sefara"/>
    <s v="Public"/>
    <x v="0"/>
    <s v="Gicumbi"/>
    <s v="Nyamiyaga"/>
    <s v="NNYL_1"/>
    <s v="Nyabugogo Sub-Catchment"/>
    <n v="2128.6800000000003"/>
  </r>
  <r>
    <x v="3"/>
    <s v="kwa munyangondo"/>
    <s v="Public"/>
    <x v="0"/>
    <s v="Gicumbi"/>
    <s v="Nyamiyaga"/>
    <s v="NNYL_1"/>
    <s v="Nyabugogo Sub-Catchment"/>
    <n v="4415.0400000000009"/>
  </r>
  <r>
    <x v="3"/>
    <s v="gakoni"/>
    <s v="Public"/>
    <x v="0"/>
    <s v="Gicumbi"/>
    <s v="Nyamiyaga"/>
    <s v="NNYL_1"/>
    <s v="Nyabugogo Sub-Catchment"/>
    <n v="11037.6"/>
  </r>
  <r>
    <x v="3"/>
    <s v="kwa ntegeye"/>
    <s v="Public"/>
    <x v="0"/>
    <s v="Gicumbi"/>
    <s v="Nyamiyaga"/>
    <s v="NNYL_1"/>
    <s v="Nyabugogo Sub-Catchment"/>
    <n v="1103.7600000000002"/>
  </r>
  <r>
    <x v="3"/>
    <s v="kwa papiyasi"/>
    <s v="Public"/>
    <x v="0"/>
    <s v="Gicumbi"/>
    <s v="Nyamiyaga"/>
    <s v="NNYL_1"/>
    <s v="Nyabugogo Sub-Catchment"/>
    <n v="1971.0000000000002"/>
  </r>
  <r>
    <x v="3"/>
    <s v="kagina"/>
    <s v="Public"/>
    <x v="0"/>
    <s v="Gicumbi"/>
    <s v="Nyamiyaga"/>
    <s v="NNYL_1"/>
    <s v="Nyabugogo Sub-Catchment"/>
    <n v="0"/>
  </r>
  <r>
    <x v="3"/>
    <s v="kigaga"/>
    <s v="Public"/>
    <x v="0"/>
    <s v="Gicumbi"/>
    <s v="Nyamiyaga"/>
    <s v="NNYL_1"/>
    <s v="Nyabugogo Sub-Catchment"/>
    <n v="315.36"/>
  </r>
  <r>
    <x v="3"/>
    <s v="kwa bucyana"/>
    <s v="Public"/>
    <x v="0"/>
    <s v="Gicumbi"/>
    <s v="Nyamiyaga"/>
    <s v="NNYL_1"/>
    <s v="Nyabugogo Sub-Catchment"/>
    <n v="11037.6"/>
  </r>
  <r>
    <x v="3"/>
    <s v="gateke"/>
    <s v="Public"/>
    <x v="0"/>
    <s v="Gicumbi"/>
    <s v="Nyamiyaga"/>
    <s v="NNYL_1"/>
    <s v="Nyabugogo Sub-Catchment"/>
    <n v="7884.0000000000009"/>
  </r>
  <r>
    <x v="3"/>
    <s v="kamunanura"/>
    <s v="Public"/>
    <x v="0"/>
    <s v="Gicumbi"/>
    <s v="Nyamiyaga"/>
    <s v="NNYL_1"/>
    <s v="Nyabugogo Sub-Catchment"/>
    <n v="946.08"/>
  </r>
  <r>
    <x v="3"/>
    <s v="ruyumba"/>
    <s v="Public"/>
    <x v="0"/>
    <s v="Gicumbi"/>
    <s v="Nyamiyaga"/>
    <s v="NNYL_1"/>
    <s v="Nyabugogo Sub-Catchment"/>
    <n v="141.91200000000001"/>
  </r>
  <r>
    <x v="3"/>
    <s v="rwankuyubwatsi"/>
    <s v="Public"/>
    <x v="0"/>
    <s v="Gicumbi"/>
    <s v="Nyamiyaga"/>
    <s v="NNYL_1"/>
    <s v="Nyabugogo Sub-Catchment"/>
    <n v="7884.0000000000009"/>
  </r>
  <r>
    <x v="3"/>
    <s v="KIGABIRO"/>
    <s v="Public"/>
    <x v="0"/>
    <s v="Gicumbi"/>
    <s v="Nyamiyaga"/>
    <s v="NNYL_1"/>
    <s v="Nyabugogo Sub-Catchment"/>
    <n v="630.72"/>
  </r>
  <r>
    <x v="3"/>
    <s v="nyiragasebeya"/>
    <s v="Public"/>
    <x v="0"/>
    <s v="Gicumbi"/>
    <s v="Nyamiyaga"/>
    <s v="NNYL_1"/>
    <s v="Nyabugogo Sub-Catchment"/>
    <n v="14191.2"/>
  </r>
  <r>
    <x v="3"/>
    <s v="gaseke"/>
    <s v="Public"/>
    <x v="0"/>
    <s v="Gicumbi"/>
    <s v="Nyamiyaga"/>
    <s v="NNYL_1"/>
    <s v="Nyabugogo Sub-Catchment"/>
    <n v="1103.7600000000002"/>
  </r>
  <r>
    <x v="3"/>
    <s v="gasenyi"/>
    <s v="Public"/>
    <x v="0"/>
    <s v="Gicumbi"/>
    <s v="Nyamiyaga"/>
    <s v="NNYL_1"/>
    <s v="Nyabugogo Sub-Catchment"/>
    <n v="946.08"/>
  </r>
  <r>
    <x v="3"/>
    <s v="NYIRAMUKIZA"/>
    <s v="Public"/>
    <x v="0"/>
    <s v="Gicumbi"/>
    <s v="Nyamiyaga"/>
    <s v="NNYL_1"/>
    <s v="Nyabugogo Sub-Catchment"/>
    <n v="9460.8000000000011"/>
  </r>
  <r>
    <x v="3"/>
    <s v="MUSAVE"/>
    <s v="Public"/>
    <x v="0"/>
    <s v="Gicumbi"/>
    <s v="Nyamiyaga"/>
    <s v="NNYL_1"/>
    <s v="Nyabugogo Sub-Catchment"/>
    <n v="473.04"/>
  </r>
  <r>
    <x v="3"/>
    <s v="nyirankazi"/>
    <s v="Public"/>
    <x v="0"/>
    <s v="Gicumbi"/>
    <s v="Nyamiyaga"/>
    <s v="NNYL_1"/>
    <s v="Nyabugogo Sub-Catchment"/>
    <n v="788.40000000000009"/>
  </r>
  <r>
    <x v="3"/>
    <s v="ryaheneriko"/>
    <s v="Public"/>
    <x v="0"/>
    <s v="Gicumbi"/>
    <s v="Nyamiyaga"/>
    <s v="NNYL_1"/>
    <s v="Nyabugogo Sub-Catchment"/>
    <n v="31.536000000000001"/>
  </r>
  <r>
    <x v="3"/>
    <s v="kabingo"/>
    <s v="Public"/>
    <x v="0"/>
    <s v="Gicumbi"/>
    <s v="Nyamiyaga"/>
    <s v="NNYL_1"/>
    <s v="Nyabugogo Sub-Catchment"/>
    <n v="9460.8000000000011"/>
  </r>
  <r>
    <x v="3"/>
    <s v="KAGARA"/>
    <s v="Public"/>
    <x v="0"/>
    <s v="Gatsibo"/>
    <s v="Remera"/>
    <s v="NNYL_1"/>
    <s v="Nyabugogo Sub-Catchment"/>
    <n v="15768.000000000002"/>
  </r>
  <r>
    <x v="3"/>
    <s v="REBERO"/>
    <s v="Public"/>
    <x v="0"/>
    <s v="Gatsibo"/>
    <s v="Rugarama"/>
    <s v="NNYL_1"/>
    <s v="Nyabugogo Sub-Catchment"/>
    <n v="7884.0000000000009"/>
  </r>
  <r>
    <x v="3"/>
    <s v="NYAMATA"/>
    <s v="Public"/>
    <x v="0"/>
    <s v="Gatsibo"/>
    <s v="Rugarama"/>
    <s v="NNYL_1"/>
    <s v="Nyabugogo Sub-Catchment"/>
    <n v="2365.2000000000003"/>
  </r>
  <r>
    <x v="3"/>
    <s v="KANYANGESE"/>
    <s v="Public"/>
    <x v="0"/>
    <s v="Gatsibo"/>
    <s v="Rugarama"/>
    <s v="NNYL_1"/>
    <s v="Nyabugogo Sub-Catchment"/>
    <n v="26805.599999999999"/>
  </r>
  <r>
    <x v="3"/>
    <s v="CYAMPIRITA"/>
    <s v="Public"/>
    <x v="0"/>
    <s v="Gatsibo"/>
    <s v="Rugarama"/>
    <s v="NNYL_1"/>
    <s v="Nyabugogo Sub-Catchment"/>
    <n v="23652.000000000004"/>
  </r>
  <r>
    <x v="3"/>
    <s v="AMAHORO I"/>
    <s v="Public"/>
    <x v="0"/>
    <s v="Gatsibo"/>
    <s v="Rugarama"/>
    <s v="NNYL_1"/>
    <s v="Nyabugogo Sub-Catchment"/>
    <n v="23652.000000000004"/>
  </r>
  <r>
    <x v="3"/>
    <s v="AKABASAZA"/>
    <s v="Public"/>
    <x v="0"/>
    <s v="Gatsibo"/>
    <s v="Rugarama"/>
    <s v="NNYL_1"/>
    <s v="Nyabugogo Sub-Catchment"/>
    <n v="7884.0000000000009"/>
  </r>
  <r>
    <x v="3"/>
    <s v="NYAKARIRO"/>
    <s v="Public"/>
    <x v="0"/>
    <s v="Kayonza"/>
    <s v="Rukara"/>
    <s v="NNYL_1"/>
    <s v="Nyabugogo Sub-Catchment"/>
    <n v="14191.2"/>
  </r>
  <r>
    <x v="3"/>
    <s v="KAJARA"/>
    <s v="Public"/>
    <x v="0"/>
    <s v="Kayonza"/>
    <s v="Rukara"/>
    <s v="NNYL_1"/>
    <s v="Nyabugogo Sub-Catchment"/>
    <n v="39420"/>
  </r>
  <r>
    <x v="3"/>
    <s v="GAKENYERI"/>
    <s v="Public"/>
    <x v="0"/>
    <s v="Kayonza"/>
    <s v="Rukara"/>
    <s v="NNYL_1"/>
    <s v="Nyabugogo Sub-Catchment"/>
    <n v="11037.6"/>
  </r>
  <r>
    <x v="3"/>
    <s v="Nyakagezi"/>
    <s v="Public"/>
    <x v="0"/>
    <s v="Rulindo"/>
    <s v="Rusiga"/>
    <s v="NNYL_1"/>
    <s v="Nyabugogo Sub-Catchment"/>
    <n v="3153.6000000000004"/>
  </r>
  <r>
    <x v="3"/>
    <s v="Akabakene"/>
    <s v="Public"/>
    <x v="0"/>
    <s v="Rulindo"/>
    <s v="Rusiga"/>
    <s v="NNYL_1"/>
    <s v="Nyabugogo Sub-Catchment"/>
    <n v="2838.24"/>
  </r>
  <r>
    <x v="3"/>
    <s v="Nyakayonga"/>
    <s v="Public"/>
    <x v="0"/>
    <s v="Rulindo"/>
    <s v="Rusiga"/>
    <s v="NNYL_1"/>
    <s v="Nyabugogo Sub-Catchment"/>
    <n v="2680.56"/>
  </r>
  <r>
    <x v="3"/>
    <s v="Rukingu"/>
    <s v="Public"/>
    <x v="0"/>
    <s v="Rulindo"/>
    <s v="Rusiga"/>
    <s v="NNYL_1"/>
    <s v="Nyabugogo Sub-Catchment"/>
    <n v="2680.56"/>
  </r>
  <r>
    <x v="3"/>
    <s v="Nyakariba"/>
    <s v="Public"/>
    <x v="0"/>
    <s v="Rulindo"/>
    <s v="Rusiga"/>
    <s v="NNYL_1"/>
    <s v="Nyabugogo Sub-Catchment"/>
    <n v="15768.000000000002"/>
  </r>
  <r>
    <x v="3"/>
    <s v="Kariba"/>
    <s v="Public"/>
    <x v="0"/>
    <s v="Rulindo"/>
    <s v="Rusiga"/>
    <s v="NNYL_1"/>
    <s v="Nyabugogo Sub-Catchment"/>
    <n v="3942.0000000000005"/>
  </r>
  <r>
    <x v="3"/>
    <s v="Kirwa"/>
    <s v="Public"/>
    <x v="0"/>
    <s v="Rulindo"/>
    <s v="Rusiga"/>
    <s v="NNYL_1"/>
    <s v="Nyabugogo Sub-Catchment"/>
    <n v="2995.92"/>
  </r>
  <r>
    <x v="3"/>
    <s v="Rukingu"/>
    <s v="Public"/>
    <x v="0"/>
    <s v="Rulindo"/>
    <s v="Rusiga"/>
    <s v="NNYL_1"/>
    <s v="Nyabugogo Sub-Catchment"/>
    <n v="2207.5200000000004"/>
  </r>
  <r>
    <x v="3"/>
    <s v="Nyakagezi"/>
    <s v="Public"/>
    <x v="0"/>
    <s v="Rulindo"/>
    <s v="Rusiga"/>
    <s v="NNYL_1"/>
    <s v="Nyabugogo Sub-Catchment"/>
    <n v="7884.0000000000009"/>
  </r>
  <r>
    <x v="3"/>
    <s v="Rurehe"/>
    <s v="Public"/>
    <x v="0"/>
    <s v="Rulindo"/>
    <s v="Rusiga"/>
    <s v="NNYL_1"/>
    <s v="Nyabugogo Sub-Catchment"/>
    <n v="6307.2000000000007"/>
  </r>
  <r>
    <x v="3"/>
    <s v="Gahondo"/>
    <s v="Public"/>
    <x v="0"/>
    <s v="Rulindo"/>
    <s v="Rusiga"/>
    <s v="NNYL_1"/>
    <s v="Nyabugogo Sub-Catchment"/>
    <n v="12456.72"/>
  </r>
  <r>
    <x v="3"/>
    <s v="Karenge"/>
    <s v="Public"/>
    <x v="0"/>
    <s v="Rulindo"/>
    <s v="Rusiga"/>
    <s v="NNYL_1"/>
    <s v="Nyabugogo Sub-Catchment"/>
    <n v="10091.52"/>
  </r>
  <r>
    <x v="3"/>
    <s v="Nyakagezi"/>
    <s v="Public"/>
    <x v="0"/>
    <s v="Rulindo"/>
    <s v="Rusiga"/>
    <s v="NNYL_1"/>
    <s v="Nyabugogo Sub-Catchment"/>
    <n v="6307.2000000000007"/>
  </r>
  <r>
    <x v="3"/>
    <s v="Kazabagarura"/>
    <s v="Public"/>
    <x v="0"/>
    <s v="Rulindo"/>
    <s v="Rusiga"/>
    <s v="NNYL_1"/>
    <s v="Nyabugogo Sub-Catchment"/>
    <n v="7095.6"/>
  </r>
  <r>
    <x v="3"/>
    <s v="Nyakariba"/>
    <s v="Public"/>
    <x v="0"/>
    <s v="Rulindo"/>
    <s v="Rusiga"/>
    <s v="NNYL_1"/>
    <s v="Nyabugogo Sub-Catchment"/>
    <n v="14191.2"/>
  </r>
  <r>
    <x v="3"/>
    <s v="Kwibereka"/>
    <s v="Public"/>
    <x v="0"/>
    <s v="Rulindo"/>
    <s v="Rusiga"/>
    <s v="NNYL_1"/>
    <s v="Nyabugogo Sub-Catchment"/>
    <n v="3153.6000000000004"/>
  </r>
  <r>
    <x v="3"/>
    <s v="Gikombe"/>
    <s v="Public"/>
    <x v="0"/>
    <s v="Rulindo"/>
    <s v="Rusiga"/>
    <s v="NNYL_1"/>
    <s v="Nyabugogo Sub-Catchment"/>
    <n v="14191.2"/>
  </r>
  <r>
    <x v="3"/>
    <s v="Kadomo"/>
    <s v="Public"/>
    <x v="0"/>
    <s v="Rulindo"/>
    <s v="Rusiga"/>
    <s v="NNYL_1"/>
    <s v="Nyabugogo Sub-Catchment"/>
    <n v="2081.3760000000002"/>
  </r>
  <r>
    <x v="3"/>
    <s v="Kanyanzoga"/>
    <s v="Public"/>
    <x v="0"/>
    <s v="Rulindo"/>
    <s v="Rusiga"/>
    <s v="NNYL_1"/>
    <s v="Nyabugogo Sub-Catchment"/>
    <n v="13560.48"/>
  </r>
  <r>
    <x v="3"/>
    <s v="Rushubi"/>
    <s v="Public"/>
    <x v="0"/>
    <s v="Rulindo"/>
    <s v="Rusiga"/>
    <s v="NNYL_1"/>
    <s v="Nyabugogo Sub-Catchment"/>
    <n v="3027.4559999999997"/>
  </r>
  <r>
    <x v="3"/>
    <s v="Karambi"/>
    <s v="Public"/>
    <x v="0"/>
    <s v="Rulindo"/>
    <s v="Rusiga"/>
    <s v="NNYL_1"/>
    <s v="Nyabugogo Sub-Catchment"/>
    <n v="2838.24"/>
  </r>
  <r>
    <x v="3"/>
    <s v="Kigina"/>
    <s v="Public"/>
    <x v="0"/>
    <s v="Rulindo"/>
    <s v="Rusiga"/>
    <s v="NNYL_1"/>
    <s v="Nyabugogo Sub-Catchment"/>
    <n v="1734.4800000000002"/>
  </r>
  <r>
    <x v="3"/>
    <s v="Gacyamo"/>
    <s v="Public"/>
    <x v="0"/>
    <s v="Rulindo"/>
    <s v="Rusiga"/>
    <s v="NNYL_1"/>
    <s v="Nyabugogo Sub-Catchment"/>
    <n v="14191.2"/>
  </r>
  <r>
    <x v="3"/>
    <s v="Rungara"/>
    <s v="Public"/>
    <x v="0"/>
    <s v="Rulindo"/>
    <s v="Rusiga"/>
    <s v="NNYL_1"/>
    <s v="Nyabugogo Sub-Catchment"/>
    <n v="8830.0800000000017"/>
  </r>
  <r>
    <x v="3"/>
    <s v="Rupfura"/>
    <s v="Public"/>
    <x v="0"/>
    <s v="Rulindo"/>
    <s v="Rusiga"/>
    <s v="NNYL_1"/>
    <s v="Nyabugogo Sub-Catchment"/>
    <n v="12614.400000000001"/>
  </r>
  <r>
    <x v="3"/>
    <s v="Ryakajura"/>
    <s v="Public"/>
    <x v="0"/>
    <s v="Gicumbi"/>
    <s v="Rutare"/>
    <s v="NNYL_1"/>
    <s v="Nyabugogo Sub-Catchment"/>
    <n v="4730.4000000000005"/>
  </r>
  <r>
    <x v="3"/>
    <s v="Nyakagezi"/>
    <s v="Public"/>
    <x v="0"/>
    <s v="Gicumbi"/>
    <s v="Rutare"/>
    <s v="NNYL_1"/>
    <s v="Nyabugogo Sub-Catchment"/>
    <n v="6464.88"/>
  </r>
  <r>
    <x v="3"/>
    <s v="Bureranyana"/>
    <s v="Public"/>
    <x v="0"/>
    <s v="Gicumbi"/>
    <s v="Rutare"/>
    <s v="NNYL_1"/>
    <s v="Nyabugogo Sub-Catchment"/>
    <n v="6464.88"/>
  </r>
  <r>
    <x v="3"/>
    <s v="Nyakagezi"/>
    <s v="Public"/>
    <x v="0"/>
    <s v="Gicumbi"/>
    <s v="Rutare"/>
    <s v="NNYL_1"/>
    <s v="Nyabugogo Sub-Catchment"/>
    <n v="20498.399999999998"/>
  </r>
  <r>
    <x v="3"/>
    <s v="Gakeri"/>
    <s v="Public"/>
    <x v="0"/>
    <s v="Gicumbi"/>
    <s v="Rutare"/>
    <s v="NNYL_1"/>
    <s v="Nyabugogo Sub-Catchment"/>
    <n v="6307.2000000000007"/>
  </r>
  <r>
    <x v="3"/>
    <s v="Gasave"/>
    <s v="Public"/>
    <x v="0"/>
    <s v="Gicumbi"/>
    <s v="Rutare"/>
    <s v="NNYL_1"/>
    <s v="Nyabugogo Sub-Catchment"/>
    <n v="630.72"/>
  </r>
  <r>
    <x v="3"/>
    <s v="Kinamba"/>
    <s v="Public"/>
    <x v="0"/>
    <s v="Gicumbi"/>
    <s v="Rutare"/>
    <s v="NNYL_1"/>
    <s v="Nyabugogo Sub-Catchment"/>
    <n v="5518.8"/>
  </r>
  <r>
    <x v="3"/>
    <s v="Nyakagezi II"/>
    <s v="Public"/>
    <x v="0"/>
    <s v="Gicumbi"/>
    <s v="Rutare"/>
    <s v="NNYL_1"/>
    <s v="Nyabugogo Sub-Catchment"/>
    <n v="5676.48"/>
  </r>
  <r>
    <x v="3"/>
    <s v="Gahanga"/>
    <s v="Public"/>
    <x v="0"/>
    <s v="Gicumbi"/>
    <s v="Rutare"/>
    <s v="NNYL_1"/>
    <s v="Nyabugogo Sub-Catchment"/>
    <n v="3626.64"/>
  </r>
  <r>
    <x v="3"/>
    <s v="Rwinyega"/>
    <s v="Public"/>
    <x v="0"/>
    <s v="Gicumbi"/>
    <s v="Rutare"/>
    <s v="NNYL_1"/>
    <s v="Nyabugogo Sub-Catchment"/>
    <n v="3942.0000000000005"/>
  </r>
  <r>
    <x v="3"/>
    <s v="Karangara"/>
    <s v="Public"/>
    <x v="0"/>
    <s v="Gicumbi"/>
    <s v="Rutare"/>
    <s v="NNYL_1"/>
    <s v="Nyabugogo Sub-Catchment"/>
    <n v="7095.6"/>
  </r>
  <r>
    <x v="3"/>
    <s v="Nyakabingo"/>
    <s v="Public"/>
    <x v="0"/>
    <s v="Gicumbi"/>
    <s v="Rutare"/>
    <s v="NNYL_1"/>
    <s v="Nyabugogo Sub-Catchment"/>
    <n v="2049.84"/>
  </r>
  <r>
    <x v="3"/>
    <s v="Kagorogoro"/>
    <s v="Public"/>
    <x v="0"/>
    <s v="Gicumbi"/>
    <s v="Rutare"/>
    <s v="NNYL_1"/>
    <s v="Nyabugogo Sub-Catchment"/>
    <n v="2365.2000000000003"/>
  </r>
  <r>
    <x v="3"/>
    <s v="Rwagitwe"/>
    <s v="Public"/>
    <x v="0"/>
    <s v="Gicumbi"/>
    <s v="Rutare"/>
    <s v="NNYL_1"/>
    <s v="Nyabugogo Sub-Catchment"/>
    <n v="1576.8000000000002"/>
  </r>
  <r>
    <x v="3"/>
    <s v="Nyakagezi III"/>
    <s v="Public"/>
    <x v="0"/>
    <s v="Gicumbi"/>
    <s v="Rutare"/>
    <s v="NNYL_1"/>
    <s v="Nyabugogo Sub-Catchment"/>
    <n v="3942.0000000000005"/>
  </r>
  <r>
    <x v="3"/>
    <s v="Kagugu"/>
    <s v="Public"/>
    <x v="0"/>
    <s v="Gicumbi"/>
    <s v="Rutare"/>
    <s v="NNYL_1"/>
    <s v="Nyabugogo Sub-Catchment"/>
    <n v="2838.24"/>
  </r>
  <r>
    <x v="3"/>
    <s v="Kibumbiro"/>
    <s v="Public"/>
    <x v="0"/>
    <s v="Gicumbi"/>
    <s v="Rutare"/>
    <s v="NNYL_1"/>
    <s v="Nyabugogo Sub-Catchment"/>
    <n v="17344.800000000003"/>
  </r>
  <r>
    <x v="3"/>
    <s v="Mashyoza"/>
    <s v="Public"/>
    <x v="0"/>
    <s v="Gicumbi"/>
    <s v="Rutare"/>
    <s v="NNYL_1"/>
    <s v="Nyabugogo Sub-Catchment"/>
    <n v="5361.12"/>
  </r>
  <r>
    <x v="3"/>
    <s v="Rubaya"/>
    <s v="Public"/>
    <x v="0"/>
    <s v="Gicumbi"/>
    <s v="Rutare"/>
    <s v="NNYL_1"/>
    <s v="Nyabugogo Sub-Catchment"/>
    <n v="7884.0000000000009"/>
  </r>
  <r>
    <x v="3"/>
    <s v="Byimana II"/>
    <s v="Public"/>
    <x v="0"/>
    <s v="Gicumbi"/>
    <s v="Rutare"/>
    <s v="NNYL_1"/>
    <s v="Nyabugogo Sub-Catchment"/>
    <n v="4415.0400000000009"/>
  </r>
  <r>
    <x v="3"/>
    <s v="Busogo"/>
    <s v="Public"/>
    <x v="0"/>
    <s v="Gicumbi"/>
    <s v="Rutare"/>
    <s v="NNYL_1"/>
    <s v="Nyabugogo Sub-Catchment"/>
    <n v="1103.7600000000002"/>
  </r>
  <r>
    <x v="3"/>
    <s v="Byimana I"/>
    <s v="Public"/>
    <x v="0"/>
    <s v="Gicumbi"/>
    <s v="Rutare"/>
    <s v="NNYL_1"/>
    <s v="Nyabugogo Sub-Catchment"/>
    <n v="3626.64"/>
  </r>
  <r>
    <x v="3"/>
    <s v="Manyegamo"/>
    <s v="Public"/>
    <x v="0"/>
    <s v="Gicumbi"/>
    <s v="Rutare"/>
    <s v="NNYL_1"/>
    <s v="Nyabugogo Sub-Catchment"/>
    <n v="946.08"/>
  </r>
  <r>
    <x v="3"/>
    <s v="Gatizo"/>
    <s v="Public"/>
    <x v="0"/>
    <s v="Gicumbi"/>
    <s v="Rutare"/>
    <s v="NNYL_1"/>
    <s v="Nyabugogo Sub-Catchment"/>
    <n v="8199.36"/>
  </r>
  <r>
    <x v="3"/>
    <s v="Gasave1"/>
    <s v="Public"/>
    <x v="0"/>
    <s v="Gicumbi"/>
    <s v="Rutare"/>
    <s v="NNYL_1"/>
    <s v="Nyabugogo Sub-Catchment"/>
    <n v="6307.2000000000007"/>
  </r>
  <r>
    <x v="3"/>
    <s v="Kagorogoro"/>
    <s v="Public"/>
    <x v="0"/>
    <s v="Gicumbi"/>
    <s v="Rutare"/>
    <s v="NNYL_1"/>
    <s v="Nyabugogo Sub-Catchment"/>
    <n v="788.40000000000009"/>
  </r>
  <r>
    <x v="3"/>
    <s v="Kagwa"/>
    <s v="Public"/>
    <x v="0"/>
    <s v="Gicumbi"/>
    <s v="Rutare"/>
    <s v="NNYL_1"/>
    <s v="Nyabugogo Sub-Catchment"/>
    <n v="3311.2799999999997"/>
  </r>
  <r>
    <x v="3"/>
    <s v="Cyahafi"/>
    <s v="Public"/>
    <x v="0"/>
    <s v="Gicumbi"/>
    <s v="Rutare"/>
    <s v="NNYL_1"/>
    <s v="Nyabugogo Sub-Catchment"/>
    <n v="1892.16"/>
  </r>
  <r>
    <x v="3"/>
    <s v="Gatare"/>
    <s v="Public"/>
    <x v="0"/>
    <s v="Gicumbi"/>
    <s v="Rutare"/>
    <s v="NNYL_1"/>
    <s v="Nyabugogo Sub-Catchment"/>
    <n v="1261.44"/>
  </r>
  <r>
    <x v="3"/>
    <s v="Uwababinga"/>
    <s v="Public"/>
    <x v="0"/>
    <s v="Gicumbi"/>
    <s v="Rutare"/>
    <s v="NNYL_1"/>
    <s v="Nyabugogo Sub-Catchment"/>
    <n v="9618.4800000000014"/>
  </r>
  <r>
    <x v="3"/>
    <s v="Gatare"/>
    <s v="Public"/>
    <x v="0"/>
    <s v="Gicumbi"/>
    <s v="Rutare"/>
    <s v="NNYL_1"/>
    <s v="Nyabugogo Sub-Catchment"/>
    <n v="4730.4000000000005"/>
  </r>
  <r>
    <x v="3"/>
    <s v="Matyazo"/>
    <s v="Public"/>
    <x v="0"/>
    <s v="Gicumbi"/>
    <s v="Rutare"/>
    <s v="NNYL_1"/>
    <s v="Nyabugogo Sub-Catchment"/>
    <n v="2049.84"/>
  </r>
  <r>
    <x v="3"/>
    <s v="Rwadogo"/>
    <s v="Public"/>
    <x v="0"/>
    <s v="Gicumbi"/>
    <s v="Rutare"/>
    <s v="NNYL_1"/>
    <s v="Nyabugogo Sub-Catchment"/>
    <n v="14664.240000000002"/>
  </r>
  <r>
    <x v="3"/>
    <s v="Kinnyogo"/>
    <s v="Public"/>
    <x v="0"/>
    <s v="Gicumbi"/>
    <s v="Rutare"/>
    <s v="NNYL_1"/>
    <s v="Nyabugogo Sub-Catchment"/>
    <n v="946.08"/>
  </r>
  <r>
    <x v="3"/>
    <s v="Ryanyirankata"/>
    <s v="Public"/>
    <x v="0"/>
    <s v="Gicumbi"/>
    <s v="Rutare"/>
    <s v="NNYL_1"/>
    <s v="Nyabugogo Sub-Catchment"/>
    <n v="473.04"/>
  </r>
  <r>
    <x v="3"/>
    <s v="Mugomero"/>
    <s v="Public"/>
    <x v="0"/>
    <s v="Gicumbi"/>
    <s v="Rutare"/>
    <s v="NNYL_1"/>
    <s v="Nyabugogo Sub-Catchment"/>
    <n v="7095.6"/>
  </r>
  <r>
    <x v="3"/>
    <s v="Nyakagezi III"/>
    <s v="Public"/>
    <x v="0"/>
    <s v="Gicumbi"/>
    <s v="Rutare"/>
    <s v="NNYL_1"/>
    <s v="Nyabugogo Sub-Catchment"/>
    <n v="2207.5200000000004"/>
  </r>
  <r>
    <x v="3"/>
    <s v="Kazahabu"/>
    <s v="Public"/>
    <x v="0"/>
    <s v="Gicumbi"/>
    <s v="Rutare"/>
    <s v="NNYL_1"/>
    <s v="Nyabugogo Sub-Catchment"/>
    <n v="315.36"/>
  </r>
  <r>
    <x v="3"/>
    <s v="Gasiza"/>
    <s v="Public"/>
    <x v="0"/>
    <s v="Gicumbi"/>
    <s v="Rutare"/>
    <s v="NNYL_1"/>
    <s v="Nyabugogo Sub-Catchment"/>
    <n v="4415.0400000000009"/>
  </r>
  <r>
    <x v="3"/>
    <s v="Bwangamwanda"/>
    <s v="Public"/>
    <x v="0"/>
    <s v="Gicumbi"/>
    <s v="Rutare"/>
    <s v="NNYL_1"/>
    <s v="Nyabugogo Sub-Catchment"/>
    <n v="1734.4800000000002"/>
  </r>
  <r>
    <x v="3"/>
    <s v="Ryaruganza"/>
    <s v="Public"/>
    <x v="0"/>
    <s v="Gicumbi"/>
    <s v="Rutare"/>
    <s v="NNYL_1"/>
    <s v="Nyabugogo Sub-Catchment"/>
    <n v="1261.44"/>
  </r>
  <r>
    <x v="3"/>
    <s v="Gatare"/>
    <s v="Public"/>
    <x v="0"/>
    <s v="Gicumbi"/>
    <s v="Rutare"/>
    <s v="NNYL_1"/>
    <s v="Nyabugogo Sub-Catchment"/>
    <n v="11037.6"/>
  </r>
  <r>
    <x v="3"/>
    <s v="Nyakagezi B"/>
    <s v="Public"/>
    <x v="0"/>
    <s v="Gicumbi"/>
    <s v="Rutare"/>
    <s v="NNYL_1"/>
    <s v="Nyabugogo Sub-Catchment"/>
    <n v="2995.92"/>
  </r>
  <r>
    <x v="3"/>
    <s v="Naheke II"/>
    <s v="Public"/>
    <x v="0"/>
    <s v="Gicumbi"/>
    <s v="Rutare"/>
    <s v="NNYL_1"/>
    <s v="Nyabugogo Sub-Catchment"/>
    <n v="1103.7600000000002"/>
  </r>
  <r>
    <x v="3"/>
    <s v="Kagoma"/>
    <s v="Public"/>
    <x v="0"/>
    <s v="Gicumbi"/>
    <s v="Rutare"/>
    <s v="NNYL_1"/>
    <s v="Nyabugogo Sub-Catchment"/>
    <n v="1419.12"/>
  </r>
  <r>
    <x v="3"/>
    <s v="Ryaruganzu"/>
    <s v="Public"/>
    <x v="0"/>
    <s v="Gicumbi"/>
    <s v="Rutare"/>
    <s v="NNYL_1"/>
    <s v="Nyabugogo Sub-Catchment"/>
    <n v="630.72"/>
  </r>
  <r>
    <x v="3"/>
    <s v="Byimana"/>
    <s v="Public"/>
    <x v="0"/>
    <s v="Gicumbi"/>
    <s v="Rutare"/>
    <s v="NNYL_1"/>
    <s v="Nyabugogo Sub-Catchment"/>
    <n v="8672.4000000000015"/>
  </r>
  <r>
    <x v="3"/>
    <s v="Nyakagezi II"/>
    <s v="Public"/>
    <x v="0"/>
    <s v="Gicumbi"/>
    <s v="Rutare"/>
    <s v="NNYL_1"/>
    <s v="Nyabugogo Sub-Catchment"/>
    <n v="473.04"/>
  </r>
  <r>
    <x v="3"/>
    <s v="Nyabuhoro"/>
    <s v="Public"/>
    <x v="0"/>
    <s v="Gicumbi"/>
    <s v="Rutare"/>
    <s v="NNYL_1"/>
    <s v="Nyabugogo Sub-Catchment"/>
    <n v="2680.56"/>
  </r>
  <r>
    <x v="3"/>
    <s v="Gasave II"/>
    <s v="Public"/>
    <x v="0"/>
    <s v="Gicumbi"/>
    <s v="Rutare"/>
    <s v="NNYL_1"/>
    <s v="Nyabugogo Sub-Catchment"/>
    <n v="12614.400000000001"/>
  </r>
  <r>
    <x v="3"/>
    <s v="Rwafandi"/>
    <s v="Public"/>
    <x v="0"/>
    <s v="Gicumbi"/>
    <s v="Rutare"/>
    <s v="NNYL_1"/>
    <s v="Nyabugogo Sub-Catchment"/>
    <n v="3942.0000000000005"/>
  </r>
  <r>
    <x v="3"/>
    <s v="Nyakagezi"/>
    <s v="Public"/>
    <x v="0"/>
    <s v="Gicumbi"/>
    <s v="Rutare"/>
    <s v="NNYL_1"/>
    <s v="Nyabugogo Sub-Catchment"/>
    <n v="1261.44"/>
  </r>
  <r>
    <x v="3"/>
    <s v="Rwimbogo"/>
    <s v="Public"/>
    <x v="0"/>
    <s v="Gicumbi"/>
    <s v="Rutare"/>
    <s v="NNYL_1"/>
    <s v="Nyabugogo Sub-Catchment"/>
    <n v="1261.44"/>
  </r>
  <r>
    <x v="3"/>
    <s v="Gatare"/>
    <s v="Public"/>
    <x v="0"/>
    <s v="Gicumbi"/>
    <s v="Rutare"/>
    <s v="NNYL_1"/>
    <s v="Nyabugogo Sub-Catchment"/>
    <n v="12929.76"/>
  </r>
  <r>
    <x v="3"/>
    <s v="Gasave"/>
    <s v="Public"/>
    <x v="0"/>
    <s v="Gicumbi"/>
    <s v="Rutare"/>
    <s v="NNYL_1"/>
    <s v="Nyabugogo Sub-Catchment"/>
    <n v="31.536000000000001"/>
  </r>
  <r>
    <x v="3"/>
    <s v="gatondagira"/>
    <s v="Public"/>
    <x v="0"/>
    <s v="Gasabo"/>
    <s v="Rutunga"/>
    <s v="NNYL_1"/>
    <s v="Nyabugogo Sub-Catchment"/>
    <n v="2995.92"/>
  </r>
  <r>
    <x v="3"/>
    <s v="NYAKAGEZI"/>
    <s v="Public"/>
    <x v="0"/>
    <s v="Gasabo"/>
    <s v="Rutunga"/>
    <s v="NNYL_1"/>
    <s v="Nyabugogo Sub-Catchment"/>
    <n v="7884.0000000000009"/>
  </r>
  <r>
    <x v="3"/>
    <s v="KIBERINKA"/>
    <s v="Public"/>
    <x v="0"/>
    <s v="Gasabo"/>
    <s v="Rutunga"/>
    <s v="NNYL_1"/>
    <s v="Nyabugogo Sub-Catchment"/>
    <n v="3942.0000000000005"/>
  </r>
  <r>
    <x v="3"/>
    <s v="MPAZA"/>
    <s v="Public"/>
    <x v="0"/>
    <s v="Gasabo"/>
    <s v="Rutunga"/>
    <s v="NNYL_1"/>
    <s v="Nyabugogo Sub-Catchment"/>
    <n v="31536.000000000004"/>
  </r>
  <r>
    <x v="3"/>
    <s v="KABONDO"/>
    <s v="Public"/>
    <x v="0"/>
    <s v="Gasabo"/>
    <s v="Rutunga"/>
    <s v="NNYL_1"/>
    <s v="Nyabugogo Sub-Catchment"/>
    <n v="4730.4000000000005"/>
  </r>
  <r>
    <x v="3"/>
    <s v="GATARE"/>
    <s v="Public"/>
    <x v="0"/>
    <s v="Gasabo"/>
    <s v="Rutunga"/>
    <s v="NNYL_1"/>
    <s v="Nyabugogo Sub-Catchment"/>
    <n v="788.40000000000009"/>
  </r>
  <r>
    <x v="3"/>
    <s v="NYAMUKO"/>
    <s v="Public"/>
    <x v="0"/>
    <s v="Gasabo"/>
    <s v="Rutunga"/>
    <s v="NNYL_1"/>
    <s v="Nyabugogo Sub-Catchment"/>
    <n v="1419.12"/>
  </r>
  <r>
    <x v="3"/>
    <s v="Kabarigira"/>
    <s v="Public"/>
    <x v="0"/>
    <s v="Gicumbi"/>
    <s v="Rwamiko"/>
    <s v="NNYL_1"/>
    <s v="Nyabugogo Sub-Catchment"/>
    <n v="2365.2000000000003"/>
  </r>
  <r>
    <x v="3"/>
    <s v="Nyakagezi IV"/>
    <s v="Public"/>
    <x v="0"/>
    <s v="Gicumbi"/>
    <s v="Rwamiko"/>
    <s v="NNYL_1"/>
    <s v="Nyabugogo Sub-Catchment"/>
    <n v="14191.2"/>
  </r>
  <r>
    <x v="3"/>
    <s v="Nyakagezi III"/>
    <s v="Public"/>
    <x v="0"/>
    <s v="Gicumbi"/>
    <s v="Rwamiko"/>
    <s v="NNYL_1"/>
    <s v="Nyabugogo Sub-Catchment"/>
    <n v="1892.16"/>
  </r>
  <r>
    <x v="3"/>
    <s v="Rwamihoro"/>
    <s v="Public"/>
    <x v="0"/>
    <s v="Gicumbi"/>
    <s v="Rwamiko"/>
    <s v="NNYL_1"/>
    <s v="Nyabugogo Sub-Catchment"/>
    <n v="3153.6000000000004"/>
  </r>
  <r>
    <x v="3"/>
    <s v="Rwasebirende"/>
    <s v="Public"/>
    <x v="0"/>
    <s v="Gicumbi"/>
    <s v="Rwamiko"/>
    <s v="NNYL_1"/>
    <s v="Nyabugogo Sub-Catchment"/>
    <n v="1892.16"/>
  </r>
  <r>
    <x v="3"/>
    <s v="Mpimba"/>
    <s v="Public"/>
    <x v="0"/>
    <s v="Gicumbi"/>
    <s v="Rwamiko"/>
    <s v="NNYL_1"/>
    <s v="Nyabugogo Sub-Catchment"/>
    <n v="8357.0400000000009"/>
  </r>
  <r>
    <x v="3"/>
    <s v="Rwandengeye"/>
    <s v="Public"/>
    <x v="0"/>
    <s v="Gicumbi"/>
    <s v="Rwamiko"/>
    <s v="NNYL_1"/>
    <s v="Nyabugogo Sub-Catchment"/>
    <n v="16241.04"/>
  </r>
  <r>
    <x v="3"/>
    <s v="Gatoma"/>
    <s v="Public"/>
    <x v="0"/>
    <s v="Gicumbi"/>
    <s v="Rwamiko"/>
    <s v="NNYL_1"/>
    <s v="Nyabugogo Sub-Catchment"/>
    <n v="5518.8"/>
  </r>
  <r>
    <x v="3"/>
    <s v="Kantabuye"/>
    <s v="Public"/>
    <x v="0"/>
    <s v="Gicumbi"/>
    <s v="Rwamiko"/>
    <s v="NNYL_1"/>
    <s v="Nyabugogo Sub-Catchment"/>
    <n v="8830.0800000000017"/>
  </r>
  <r>
    <x v="3"/>
    <s v="Kankuba"/>
    <s v="Public"/>
    <x v="0"/>
    <s v="Gicumbi"/>
    <s v="Rwamiko"/>
    <s v="NNYL_1"/>
    <s v="Nyabugogo Sub-Catchment"/>
    <n v="4730.4000000000005"/>
  </r>
  <r>
    <x v="3"/>
    <s v="Nyakagezi I"/>
    <s v="Public"/>
    <x v="0"/>
    <s v="Gicumbi"/>
    <s v="Rwamiko"/>
    <s v="NNYL_1"/>
    <s v="Nyabugogo Sub-Catchment"/>
    <n v="3153.6000000000004"/>
  </r>
  <r>
    <x v="3"/>
    <s v="Murehe"/>
    <s v="Public"/>
    <x v="0"/>
    <s v="Gicumbi"/>
    <s v="Rwamiko"/>
    <s v="NNYL_1"/>
    <s v="Nyabugogo Sub-Catchment"/>
    <n v="9460.8000000000011"/>
  </r>
  <r>
    <x v="3"/>
    <s v="Mabwa"/>
    <s v="Public"/>
    <x v="0"/>
    <s v="Gicumbi"/>
    <s v="Rwamiko"/>
    <s v="NNYL_1"/>
    <s v="Nyabugogo Sub-Catchment"/>
    <n v="10249.199999999999"/>
  </r>
  <r>
    <x v="3"/>
    <s v="Nyakagezi II"/>
    <s v="Public"/>
    <x v="0"/>
    <s v="Gicumbi"/>
    <s v="Rwamiko"/>
    <s v="NNYL_1"/>
    <s v="Nyabugogo Sub-Catchment"/>
    <n v="4730.4000000000005"/>
  </r>
  <r>
    <x v="3"/>
    <s v="Ryamugasha"/>
    <s v="Public"/>
    <x v="0"/>
    <s v="Gicumbi"/>
    <s v="Rwamiko"/>
    <s v="NNYL_1"/>
    <s v="Nyabugogo Sub-Catchment"/>
    <n v="473.04"/>
  </r>
  <r>
    <x v="3"/>
    <s v="Karuhura"/>
    <s v="Public"/>
    <x v="0"/>
    <s v="Gicumbi"/>
    <s v="Rwamiko"/>
    <s v="NNYL_1"/>
    <s v="Nyabugogo Sub-Catchment"/>
    <n v="1419.12"/>
  </r>
  <r>
    <x v="3"/>
    <s v="Nyaruhwika"/>
    <s v="Public"/>
    <x v="0"/>
    <s v="Gicumbi"/>
    <s v="Rwamiko"/>
    <s v="NNYL_1"/>
    <s v="Nyabugogo Sub-Catchment"/>
    <n v="26490.239999999998"/>
  </r>
  <r>
    <x v="3"/>
    <s v="Nyakagezi"/>
    <s v="Public"/>
    <x v="0"/>
    <s v="Gicumbi"/>
    <s v="Rwamiko"/>
    <s v="NNYL_1"/>
    <s v="Nyabugogo Sub-Catchment"/>
    <n v="2680.56"/>
  </r>
  <r>
    <x v="3"/>
    <s v="Nyirabutembo"/>
    <s v="Public"/>
    <x v="0"/>
    <s v="Gicumbi"/>
    <s v="Rwamiko"/>
    <s v="NNYL_1"/>
    <s v="Nyabugogo Sub-Catchment"/>
    <n v="2680.56"/>
  </r>
  <r>
    <x v="3"/>
    <s v="Gahama"/>
    <s v="Public"/>
    <x v="0"/>
    <s v="Gicumbi"/>
    <s v="Rwamiko"/>
    <s v="NNYL_1"/>
    <s v="Nyabugogo Sub-Catchment"/>
    <n v="1419.12"/>
  </r>
  <r>
    <x v="3"/>
    <s v="Rwagakara"/>
    <s v="Public"/>
    <x v="0"/>
    <s v="Gicumbi"/>
    <s v="Rwamiko"/>
    <s v="NNYL_1"/>
    <s v="Nyabugogo Sub-Catchment"/>
    <n v="394.20000000000005"/>
  </r>
  <r>
    <x v="3"/>
    <s v="Nyamutamira"/>
    <s v="Public"/>
    <x v="0"/>
    <s v="Gicumbi"/>
    <s v="Rwamiko"/>
    <s v="NNYL_1"/>
    <s v="Nyabugogo Sub-Catchment"/>
    <n v="2365.2000000000003"/>
  </r>
  <r>
    <x v="3"/>
    <s v="Gasave"/>
    <s v="Public"/>
    <x v="0"/>
    <s v="Gicumbi"/>
    <s v="Rwamiko"/>
    <s v="NNYL_1"/>
    <s v="Nyabugogo Sub-Catchment"/>
    <n v="3153.6000000000004"/>
  </r>
  <r>
    <x v="3"/>
    <s v="Gahama"/>
    <s v="Public"/>
    <x v="0"/>
    <s v="Gicumbi"/>
    <s v="Rwamiko"/>
    <s v="NNYL_1"/>
    <s v="Nyabugogo Sub-Catchment"/>
    <n v="3468.9600000000005"/>
  </r>
  <r>
    <x v="3"/>
    <s v="Kadondoro"/>
    <s v="Public"/>
    <x v="0"/>
    <s v="Gicumbi"/>
    <s v="Rwamiko"/>
    <s v="NNYL_1"/>
    <s v="Nyabugogo Sub-Catchment"/>
    <n v="1576.8000000000002"/>
  </r>
  <r>
    <x v="3"/>
    <s v="Murama"/>
    <s v="Public"/>
    <x v="0"/>
    <s v="Gicumbi"/>
    <s v="Rwamiko"/>
    <s v="NNYL_1"/>
    <s v="Nyabugogo Sub-Catchment"/>
    <n v="1576.8000000000002"/>
  </r>
  <r>
    <x v="3"/>
    <s v="Rugugu"/>
    <s v="Public"/>
    <x v="0"/>
    <s v="Gicumbi"/>
    <s v="Rwamiko"/>
    <s v="NNYL_1"/>
    <s v="Nyabugogo Sub-Catchment"/>
    <n v="3942.0000000000005"/>
  </r>
  <r>
    <x v="3"/>
    <s v="KAJE"/>
    <s v="Public"/>
    <x v="0"/>
    <s v="Rusizi"/>
    <s v="Gashonga"/>
    <s v="CRUS_1"/>
    <s v="Rubyiro Sub-Catchment"/>
    <n v="315.36"/>
  </r>
  <r>
    <x v="3"/>
    <s v="GATOKI"/>
    <s v="Public"/>
    <x v="0"/>
    <s v="Rusizi"/>
    <s v="Gashonga"/>
    <s v="CRUS_1"/>
    <s v="Rubyiro Sub-Catchment"/>
    <n v="946.08"/>
  </r>
  <r>
    <x v="3"/>
    <s v="HATO"/>
    <s v="Public"/>
    <x v="0"/>
    <s v="Rusizi"/>
    <s v="Gashonga"/>
    <s v="CRUS_1"/>
    <s v="Rubyiro Sub-Catchment"/>
    <n v="15768.000000000002"/>
  </r>
  <r>
    <x v="3"/>
    <s v="NYAMITAMBI"/>
    <s v="Public"/>
    <x v="0"/>
    <s v="Rusizi"/>
    <s v="Gashonga"/>
    <s v="CRUS_1"/>
    <s v="Rubyiro Sub-Catchment"/>
    <n v="5834.1600000000008"/>
  </r>
  <r>
    <x v="3"/>
    <s v="MARIBA"/>
    <s v="Public"/>
    <x v="0"/>
    <s v="Rusizi"/>
    <s v="Gashonga"/>
    <s v="CRUS_1"/>
    <s v="Rubyiro Sub-Catchment"/>
    <n v="11195.28"/>
  </r>
  <r>
    <x v="3"/>
    <s v="KAGOMERO"/>
    <s v="Public"/>
    <x v="0"/>
    <s v="Rusizi"/>
    <s v="Gashonga"/>
    <s v="CRUS_1"/>
    <s v="Rubyiro Sub-Catchment"/>
    <n v="8672.4000000000015"/>
  </r>
  <r>
    <x v="3"/>
    <s v="KANINDA"/>
    <s v="Public"/>
    <x v="0"/>
    <s v="Rusizi"/>
    <s v="Gashonga"/>
    <s v="CRUS_1"/>
    <s v="Rubyiro Sub-Catchment"/>
    <n v="946.08"/>
  </r>
  <r>
    <x v="3"/>
    <s v="NYAKAGEZI"/>
    <s v="Public"/>
    <x v="0"/>
    <s v="Rusizi"/>
    <s v="Gashonga"/>
    <s v="CRUS_1"/>
    <s v="Rubyiro Sub-Catchment"/>
    <n v="22390.560000000001"/>
  </r>
  <r>
    <x v="3"/>
    <s v="GIHARAGWE"/>
    <s v="Public"/>
    <x v="0"/>
    <s v="Rusizi"/>
    <s v="Gashonga"/>
    <s v="CRUS_1"/>
    <s v="Rubyiro Sub-Catchment"/>
    <n v="1103.7600000000002"/>
  </r>
  <r>
    <x v="3"/>
    <s v="KADUHA"/>
    <s v="Public"/>
    <x v="0"/>
    <s v="Rusizi"/>
    <s v="Gashonga"/>
    <s v="CRUS_1"/>
    <s v="Rubyiro Sub-Catchment"/>
    <n v="26174.880000000001"/>
  </r>
  <r>
    <x v="3"/>
    <s v="KAREKO"/>
    <s v="Public"/>
    <x v="0"/>
    <s v="Rusizi"/>
    <s v="Gashonga"/>
    <s v="CRUS_1"/>
    <s v="Rubyiro Sub-Catchment"/>
    <n v="6464.88"/>
  </r>
  <r>
    <x v="3"/>
    <s v="KADOBOGO"/>
    <s v="Public"/>
    <x v="0"/>
    <s v="Rusizi"/>
    <s v="Gashonga"/>
    <s v="CRUS_1"/>
    <s v="Rubyiro Sub-Catchment"/>
    <n v="5834.1600000000008"/>
  </r>
  <r>
    <x v="3"/>
    <s v="MUVUGANGOMA"/>
    <s v="Public"/>
    <x v="0"/>
    <s v="Rusizi"/>
    <s v="Gashonga"/>
    <s v="CRUS_1"/>
    <s v="Rubyiro Sub-Catchment"/>
    <n v="1261.44"/>
  </r>
  <r>
    <x v="3"/>
    <s v="GATARE"/>
    <s v="Public"/>
    <x v="0"/>
    <s v="Rusizi"/>
    <s v="Gashonga"/>
    <s v="CRUS_1"/>
    <s v="Rubyiro Sub-Catchment"/>
    <n v="8672.4000000000015"/>
  </r>
  <r>
    <x v="3"/>
    <s v="RUSAYO II"/>
    <s v="Public"/>
    <x v="0"/>
    <s v="Rusizi"/>
    <s v="Gashonga"/>
    <s v="CRUS_1"/>
    <s v="Rubyiro Sub-Catchment"/>
    <n v="4888.0800000000008"/>
  </r>
  <r>
    <x v="3"/>
    <s v="KARIBA"/>
    <s v="Public"/>
    <x v="0"/>
    <s v="Rusizi"/>
    <s v="Gashonga"/>
    <s v="CRUS_1"/>
    <s v="Rubyiro Sub-Catchment"/>
    <n v="4257.3600000000006"/>
  </r>
  <r>
    <x v="3"/>
    <s v="RUSAYO I"/>
    <s v="Public"/>
    <x v="0"/>
    <s v="Rusizi"/>
    <s v="Gashonga"/>
    <s v="CRUS_1"/>
    <s v="Rubyiro Sub-Catchment"/>
    <n v="6464.88"/>
  </r>
  <r>
    <x v="3"/>
    <s v="RUDOBWE"/>
    <s v="Public"/>
    <x v="0"/>
    <s v="Rusizi"/>
    <s v="Gashonga"/>
    <s v="CRUS_1"/>
    <s v="Rubyiro Sub-Catchment"/>
    <n v="2838.24"/>
  </r>
  <r>
    <x v="3"/>
    <s v="MUKUMBA"/>
    <s v="Public"/>
    <x v="0"/>
    <s v="Rusizi"/>
    <s v="Gashonga"/>
    <s v="CRUS_1"/>
    <s v="Rubyiro Sub-Catchment"/>
    <n v="2365.2000000000003"/>
  </r>
  <r>
    <x v="3"/>
    <s v="NYARUSAMBU"/>
    <s v="Public"/>
    <x v="0"/>
    <s v="Rusizi"/>
    <s v="Gashonga"/>
    <s v="CRUS_1"/>
    <s v="Rubyiro Sub-Catchment"/>
    <n v="1103.7600000000002"/>
  </r>
  <r>
    <x v="3"/>
    <s v="GATARE"/>
    <s v="Public"/>
    <x v="0"/>
    <s v="Rusizi"/>
    <s v="Gashonga"/>
    <s v="CRUS_1"/>
    <s v="Rubyiro Sub-Catchment"/>
    <n v="2365.2000000000003"/>
  </r>
  <r>
    <x v="3"/>
    <s v="KABAKENE"/>
    <s v="Public"/>
    <x v="0"/>
    <s v="Rusizi"/>
    <s v="Gashonga"/>
    <s v="CRUS_1"/>
    <s v="Rubyiro Sub-Catchment"/>
    <n v="2365.2000000000003"/>
  </r>
  <r>
    <x v="3"/>
    <s v="VUBIRO"/>
    <s v="Public"/>
    <x v="0"/>
    <s v="Rusizi"/>
    <s v="Gashonga"/>
    <s v="CRUS_1"/>
    <s v="Rubyiro Sub-Catchment"/>
    <n v="8672.4000000000015"/>
  </r>
  <r>
    <x v="3"/>
    <s v="NYAGITABIRE"/>
    <s v="Public"/>
    <x v="0"/>
    <s v="Rusizi"/>
    <s v="Gashonga"/>
    <s v="CRUS_1"/>
    <s v="Rubyiro Sub-Catchment"/>
    <n v="2049.84"/>
  </r>
  <r>
    <x v="3"/>
    <s v="KAREKO"/>
    <s v="Public"/>
    <x v="0"/>
    <s v="Rusizi"/>
    <s v="Gashonga"/>
    <s v="CRUS_1"/>
    <s v="Rubyiro Sub-Catchment"/>
    <n v="1419.12"/>
  </r>
  <r>
    <x v="3"/>
    <s v="GAKOMBE III"/>
    <s v="Public"/>
    <x v="0"/>
    <s v="Rusizi"/>
    <s v="Gashonga"/>
    <s v="CRUS_1"/>
    <s v="Rubyiro Sub-Catchment"/>
    <n v="630.72"/>
  </r>
  <r>
    <x v="3"/>
    <s v="NYAGATERO"/>
    <s v="Public"/>
    <x v="0"/>
    <s v="Rusizi"/>
    <s v="Gashonga"/>
    <s v="CRUS_1"/>
    <s v="Rubyiro Sub-Catchment"/>
    <n v="3311.2799999999997"/>
  </r>
  <r>
    <x v="3"/>
    <s v="GAKOMBE II"/>
    <s v="Public"/>
    <x v="0"/>
    <s v="Rusizi"/>
    <s v="Gashonga"/>
    <s v="CRUS_1"/>
    <s v="Rubyiro Sub-Catchment"/>
    <n v="4257.3600000000006"/>
  </r>
  <r>
    <x v="3"/>
    <s v="GATARE I"/>
    <s v="Public"/>
    <x v="0"/>
    <s v="Rusizi"/>
    <s v="Gashonga"/>
    <s v="CRUS_1"/>
    <s v="Rubyiro Sub-Catchment"/>
    <n v="3311.2799999999997"/>
  </r>
  <r>
    <x v="3"/>
    <s v="GATARE II"/>
    <s v="Public"/>
    <x v="0"/>
    <s v="Rusizi"/>
    <s v="Gashonga"/>
    <s v="CRUS_1"/>
    <s v="Rubyiro Sub-Catchment"/>
    <n v="15768.000000000002"/>
  </r>
  <r>
    <x v="3"/>
    <s v="GAKOMBE"/>
    <s v="Public"/>
    <x v="0"/>
    <s v="Rusizi"/>
    <s v="Gashonga"/>
    <s v="CRUS_1"/>
    <s v="Rubyiro Sub-Catchment"/>
    <n v="2365.2000000000003"/>
  </r>
  <r>
    <x v="3"/>
    <s v="GASOVU"/>
    <s v="Public"/>
    <x v="0"/>
    <s v="Rusizi"/>
    <s v="Gashonga"/>
    <s v="CRUS_1"/>
    <s v="Rubyiro Sub-Catchment"/>
    <n v="4888.0800000000008"/>
  </r>
  <r>
    <x v="3"/>
    <s v="GASOKO"/>
    <s v="Public"/>
    <x v="0"/>
    <s v="Rusizi"/>
    <s v="Gashonga"/>
    <s v="CRUS_1"/>
    <s v="Rubyiro Sub-Catchment"/>
    <n v="1892.16"/>
  </r>
  <r>
    <x v="3"/>
    <s v="GASUMA"/>
    <s v="Public"/>
    <x v="0"/>
    <s v="Rusizi"/>
    <s v="Gashonga"/>
    <s v="CRUS_1"/>
    <s v="Rubyiro Sub-Catchment"/>
    <n v="630.72"/>
  </r>
  <r>
    <x v="3"/>
    <s v="NYAKAGEZI"/>
    <s v="Public"/>
    <x v="0"/>
    <s v="Rusizi"/>
    <s v="Gashonga"/>
    <s v="CRUS_1"/>
    <s v="Rubyiro Sub-Catchment"/>
    <n v="6464.88"/>
  </r>
  <r>
    <x v="3"/>
    <s v="KABOGO"/>
    <s v="Public"/>
    <x v="0"/>
    <s v="Rusizi"/>
    <s v="Gashonga"/>
    <s v="CRUS_1"/>
    <s v="Rubyiro Sub-Catchment"/>
    <n v="1892.16"/>
  </r>
  <r>
    <x v="3"/>
    <s v="GASAYO"/>
    <s v="Public"/>
    <x v="0"/>
    <s v="Rusizi"/>
    <s v="Gashonga"/>
    <s v="CRUS_1"/>
    <s v="Rubyiro Sub-Catchment"/>
    <n v="1103.7600000000002"/>
  </r>
  <r>
    <x v="3"/>
    <s v="BUGUNGU"/>
    <s v="Public"/>
    <x v="0"/>
    <s v="Rusizi"/>
    <s v="Gikundamvura"/>
    <s v="CRUS_1"/>
    <s v="Rubyiro Sub-Catchment"/>
    <n v="4888.0800000000008"/>
  </r>
  <r>
    <x v="3"/>
    <s v="GATARE"/>
    <s v="Public"/>
    <x v="0"/>
    <s v="Rusizi"/>
    <s v="Gikundamvura"/>
    <s v="CRUS_1"/>
    <s v="Rubyiro Sub-Catchment"/>
    <n v="1103.7600000000002"/>
  </r>
  <r>
    <x v="3"/>
    <s v="KAGOMERO"/>
    <s v="Public"/>
    <x v="0"/>
    <s v="Rusizi"/>
    <s v="Gikundamvura"/>
    <s v="CRUS_1"/>
    <s v="Rubyiro Sub-Catchment"/>
    <n v="4257.3600000000006"/>
  </r>
  <r>
    <x v="3"/>
    <s v="KIDAKAMA"/>
    <s v="Public"/>
    <x v="0"/>
    <s v="Rusizi"/>
    <s v="Gikundamvura"/>
    <s v="CRUS_1"/>
    <s v="Rubyiro Sub-Catchment"/>
    <n v="2838.24"/>
  </r>
  <r>
    <x v="3"/>
    <s v="GIKAMBA"/>
    <s v="Public"/>
    <x v="0"/>
    <s v="Rusizi"/>
    <s v="Gikundamvura"/>
    <s v="CRUS_1"/>
    <s v="Rubyiro Sub-Catchment"/>
    <n v="1892.16"/>
  </r>
  <r>
    <x v="3"/>
    <s v="KABAJOJO"/>
    <s v="Public"/>
    <x v="0"/>
    <s v="Rusizi"/>
    <s v="Gitambi"/>
    <s v="CRUS_1"/>
    <s v="Rubyiro Sub-Catchment"/>
    <n v="1419.12"/>
  </r>
  <r>
    <x v="3"/>
    <s v="KABONABOSE"/>
    <s v="Public"/>
    <x v="0"/>
    <s v="Rusizi"/>
    <s v="Gitambi"/>
    <s v="CRUS_1"/>
    <s v="Rubyiro Sub-Catchment"/>
    <n v="2365.2000000000003"/>
  </r>
  <r>
    <x v="3"/>
    <s v="KARUNGUZU"/>
    <s v="Public"/>
    <x v="0"/>
    <s v="Rusizi"/>
    <s v="Gitambi"/>
    <s v="CRUS_1"/>
    <s v="Rubyiro Sub-Catchment"/>
    <n v="11195.28"/>
  </r>
  <r>
    <x v="3"/>
    <s v="KANOGA"/>
    <s v="Public"/>
    <x v="0"/>
    <s v="Rusizi"/>
    <s v="Gitambi"/>
    <s v="CRUS_1"/>
    <s v="Rubyiro Sub-Catchment"/>
    <n v="6464.88"/>
  </r>
  <r>
    <x v="3"/>
    <s v="KIJABU"/>
    <s v="Public"/>
    <x v="0"/>
    <s v="Rusizi"/>
    <s v="Gitambi"/>
    <s v="CRUS_1"/>
    <s v="Rubyiro Sub-Catchment"/>
    <n v="4257.3600000000006"/>
  </r>
  <r>
    <x v="3"/>
    <s v="KANYENYA"/>
    <s v="Public"/>
    <x v="0"/>
    <s v="Rusizi"/>
    <s v="Gitambi"/>
    <s v="CRUS_1"/>
    <s v="Rubyiro Sub-Catchment"/>
    <n v="3311.2799999999997"/>
  </r>
  <r>
    <x v="3"/>
    <s v="NYAKIBINGO"/>
    <s v="Public"/>
    <x v="0"/>
    <s v="Rusizi"/>
    <s v="Gitambi"/>
    <s v="CRUS_1"/>
    <s v="Rubyiro Sub-Catchment"/>
    <n v="1892.16"/>
  </r>
  <r>
    <x v="3"/>
    <s v="MAKAMBAZA"/>
    <s v="Public"/>
    <x v="0"/>
    <s v="Rusizi"/>
    <s v="Gitambi"/>
    <s v="CRUS_1"/>
    <s v="Rubyiro Sub-Catchment"/>
    <n v="4257.3600000000006"/>
  </r>
  <r>
    <x v="3"/>
    <s v="BABOZO"/>
    <s v="Public"/>
    <x v="0"/>
    <s v="Rusizi"/>
    <s v="Gitambi"/>
    <s v="CRUS_1"/>
    <s v="Rubyiro Sub-Catchment"/>
    <n v="6464.88"/>
  </r>
  <r>
    <x v="3"/>
    <s v="NYAKABINGO"/>
    <s v="Public"/>
    <x v="0"/>
    <s v="Rusizi"/>
    <s v="Gitambi"/>
    <s v="CRUS_1"/>
    <s v="Rubyiro Sub-Catchment"/>
    <n v="0"/>
  </r>
  <r>
    <x v="3"/>
    <s v="KINENGU"/>
    <s v="Public"/>
    <x v="0"/>
    <s v="Rusizi"/>
    <s v="Gitambi"/>
    <s v="CRUS_1"/>
    <s v="Rubyiro Sub-Catchment"/>
    <n v="1892.16"/>
  </r>
  <r>
    <x v="3"/>
    <s v="NYAKAGEZI II"/>
    <s v="Public"/>
    <x v="0"/>
    <s v="Rusizi"/>
    <s v="Gitambi"/>
    <s v="CRUS_1"/>
    <s v="Rubyiro Sub-Catchment"/>
    <n v="946.08"/>
  </r>
  <r>
    <x v="3"/>
    <s v="NYABURINGO"/>
    <s v="Public"/>
    <x v="0"/>
    <s v="Rusizi"/>
    <s v="Gitambi"/>
    <s v="CRUS_1"/>
    <s v="Rubyiro Sub-Catchment"/>
    <n v="315.36"/>
  </r>
  <r>
    <x v="3"/>
    <s v="KABOZA"/>
    <s v="Public"/>
    <x v="0"/>
    <s v="Rusizi"/>
    <s v="Gitambi"/>
    <s v="CRUS_1"/>
    <s v="Rubyiro Sub-Catchment"/>
    <n v="1419.12"/>
  </r>
  <r>
    <x v="3"/>
    <s v="RYAKAGEZI"/>
    <s v="Public"/>
    <x v="0"/>
    <s v="Rusizi"/>
    <s v="Gitambi"/>
    <s v="CRUS_1"/>
    <s v="Rubyiro Sub-Catchment"/>
    <n v="1103.7600000000002"/>
  </r>
  <r>
    <x v="3"/>
    <s v="KARUGARAMA"/>
    <s v="Public"/>
    <x v="0"/>
    <s v="Rusizi"/>
    <s v="Gitambi"/>
    <s v="CRUS_1"/>
    <s v="Rubyiro Sub-Catchment"/>
    <n v="1419.12"/>
  </r>
  <r>
    <x v="3"/>
    <s v="KATUZURITAMA"/>
    <s v="Public"/>
    <x v="0"/>
    <s v="Rusizi"/>
    <s v="Gitambi"/>
    <s v="CRUS_1"/>
    <s v="Rubyiro Sub-Catchment"/>
    <n v="630.72"/>
  </r>
  <r>
    <x v="3"/>
    <s v="KIDOBWE"/>
    <s v="Public"/>
    <x v="0"/>
    <s v="Rusizi"/>
    <s v="Muganza"/>
    <s v="CRUS_1"/>
    <s v="Rubyiro Sub-Catchment"/>
    <n v="31536.000000000004"/>
  </r>
  <r>
    <x v="3"/>
    <s v="NYAKAGEZI"/>
    <s v="Public"/>
    <x v="0"/>
    <s v="Rusizi"/>
    <s v="Nzahaha"/>
    <s v="CRUS_1"/>
    <s v="Rubyiro Sub-Catchment"/>
    <n v="2365.2000000000003"/>
  </r>
  <r>
    <x v="3"/>
    <s v="KABARINDA"/>
    <s v="Public"/>
    <x v="0"/>
    <s v="Rusizi"/>
    <s v="Nzahaha"/>
    <s v="CRUS_1"/>
    <s v="Rubyiro Sub-Catchment"/>
    <n v="3311.2799999999997"/>
  </r>
  <r>
    <x v="3"/>
    <s v="CYARUBONDO"/>
    <s v="Public"/>
    <x v="0"/>
    <s v="Rusizi"/>
    <s v="Nzahaha"/>
    <s v="CRUS_1"/>
    <s v="Rubyiro Sub-Catchment"/>
    <n v="2365.2000000000003"/>
  </r>
  <r>
    <x v="3"/>
    <s v="KAMAHABE"/>
    <s v="Public"/>
    <x v="0"/>
    <s v="Rusizi"/>
    <s v="Nzahaha"/>
    <s v="CRUS_1"/>
    <s v="Rubyiro Sub-Catchment"/>
    <n v="4888.0800000000008"/>
  </r>
  <r>
    <x v="3"/>
    <s v="KAREKO"/>
    <s v="Public"/>
    <x v="0"/>
    <s v="Rusizi"/>
    <s v="Nzahaha"/>
    <s v="CRUS_1"/>
    <s v="Rubyiro Sub-Catchment"/>
    <n v="11195.28"/>
  </r>
  <r>
    <x v="3"/>
    <s v="KABINGO"/>
    <s v="Public"/>
    <x v="0"/>
    <s v="Rusizi"/>
    <s v="Nzahaha"/>
    <s v="CRUS_1"/>
    <s v="Rubyiro Sub-Catchment"/>
    <n v="6464.88"/>
  </r>
  <r>
    <x v="3"/>
    <s v="MURUSEKE"/>
    <s v="Public"/>
    <x v="0"/>
    <s v="Rusizi"/>
    <s v="Nzahaha"/>
    <s v="CRUS_1"/>
    <s v="Rubyiro Sub-Catchment"/>
    <n v="5834.1600000000008"/>
  </r>
  <r>
    <x v="3"/>
    <s v="KADOBORI"/>
    <s v="Public"/>
    <x v="0"/>
    <s v="Rusizi"/>
    <s v="Nzahaha"/>
    <s v="CRUS_1"/>
    <s v="Rubyiro Sub-Catchment"/>
    <n v="1892.16"/>
  </r>
  <r>
    <x v="3"/>
    <s v="GATARE"/>
    <s v="Public"/>
    <x v="0"/>
    <s v="Rusizi"/>
    <s v="Nzahaha"/>
    <s v="CRUS_1"/>
    <s v="Rubyiro Sub-Catchment"/>
    <n v="2365.2000000000003"/>
  </r>
  <r>
    <x v="3"/>
    <s v="KABINGO"/>
    <s v="Public"/>
    <x v="0"/>
    <s v="Rusizi"/>
    <s v="Nzahaha"/>
    <s v="CRUS_1"/>
    <s v="Rubyiro Sub-Catchment"/>
    <n v="6464.88"/>
  </r>
  <r>
    <x v="3"/>
    <s v="KABWANA"/>
    <s v="Public"/>
    <x v="0"/>
    <s v="Rusizi"/>
    <s v="Nzahaha"/>
    <s v="CRUS_1"/>
    <s v="Rubyiro Sub-Catchment"/>
    <n v="3311.2799999999997"/>
  </r>
  <r>
    <x v="3"/>
    <s v="NYAKARIBA"/>
    <s v="Public"/>
    <x v="0"/>
    <s v="Rusizi"/>
    <s v="Nzahaha"/>
    <s v="CRUS_1"/>
    <s v="Rubyiro Sub-Catchment"/>
    <n v="3942.0000000000005"/>
  </r>
  <r>
    <x v="3"/>
    <s v="GASEKE"/>
    <s v="Public"/>
    <x v="0"/>
    <s v="Rusizi"/>
    <s v="Nzahaha"/>
    <s v="CRUS_1"/>
    <s v="Rubyiro Sub-Catchment"/>
    <n v="11195.28"/>
  </r>
  <r>
    <x v="3"/>
    <s v="MURINDI"/>
    <s v="Public"/>
    <x v="0"/>
    <s v="Rusizi"/>
    <s v="Nzahaha"/>
    <s v="CRUS_1"/>
    <s v="Rubyiro Sub-Catchment"/>
    <n v="3626.64"/>
  </r>
  <r>
    <x v="3"/>
    <s v="KANNYORI"/>
    <s v="Public"/>
    <x v="0"/>
    <s v="Rusizi"/>
    <s v="Nzahaha"/>
    <s v="CRUS_1"/>
    <s v="Rubyiro Sub-Catchment"/>
    <n v="2365.2000000000003"/>
  </r>
  <r>
    <x v="3"/>
    <s v="GASOKO"/>
    <s v="Public"/>
    <x v="0"/>
    <s v="Rusizi"/>
    <s v="Nzahaha"/>
    <s v="CRUS_1"/>
    <s v="Rubyiro Sub-Catchment"/>
    <n v="3626.64"/>
  </r>
  <r>
    <x v="3"/>
    <s v="NYAKARIBA"/>
    <s v="Public"/>
    <x v="0"/>
    <s v="Rusizi"/>
    <s v="Nzahaha"/>
    <s v="CRUS_1"/>
    <s v="Rubyiro Sub-Catchment"/>
    <n v="8672.4000000000015"/>
  </r>
  <r>
    <x v="3"/>
    <s v="GASHOROZI"/>
    <s v="Public"/>
    <x v="0"/>
    <s v="Rusizi"/>
    <s v="Nzahaha"/>
    <s v="CRUS_1"/>
    <s v="Rubyiro Sub-Catchment"/>
    <n v="3311.2799999999997"/>
  </r>
  <r>
    <x v="3"/>
    <s v="KIVOGA"/>
    <s v="Public"/>
    <x v="0"/>
    <s v="Rusizi"/>
    <s v="Nzahaha"/>
    <s v="CRUS_1"/>
    <s v="Rubyiro Sub-Catchment"/>
    <n v="15768.000000000002"/>
  </r>
  <r>
    <x v="3"/>
    <s v="NYAMBO"/>
    <s v="Public"/>
    <x v="0"/>
    <s v="Rusizi"/>
    <s v="Nzahaha"/>
    <s v="CRUS_1"/>
    <s v="Rubyiro Sub-Catchment"/>
    <n v="2365.2000000000003"/>
  </r>
  <r>
    <x v="3"/>
    <s v="NYIRAGOMBE"/>
    <s v="Public"/>
    <x v="0"/>
    <s v="Rusizi"/>
    <s v="Rwimbogo"/>
    <s v="CRUS_1"/>
    <s v="Rubyiro Sub-Catchment"/>
    <n v="630.72"/>
  </r>
  <r>
    <x v="3"/>
    <s v="NYAKARIBA"/>
    <s v="Public"/>
    <x v="0"/>
    <s v="Rusizi"/>
    <s v="Rwimbogo"/>
    <s v="CRUS_1"/>
    <s v="Rubyiro Sub-Catchment"/>
    <n v="1103.7600000000002"/>
  </r>
  <r>
    <x v="3"/>
    <s v="RYABUNYOMA"/>
    <s v="Public"/>
    <x v="0"/>
    <s v="Rusizi"/>
    <s v="Rwimbogo"/>
    <s v="CRUS_1"/>
    <s v="Rubyiro Sub-Catchment"/>
    <n v="2838.24"/>
  </r>
  <r>
    <x v="3"/>
    <s v="NYAKAGEZI"/>
    <s v="Public"/>
    <x v="0"/>
    <s v="Rusizi"/>
    <s v="Rwimbogo"/>
    <s v="CRUS_1"/>
    <s v="Rubyiro Sub-Catchment"/>
    <n v="1103.7600000000002"/>
  </r>
  <r>
    <x v="3"/>
    <s v="CYAHAFI"/>
    <s v="Public"/>
    <x v="0"/>
    <s v="Rusizi"/>
    <s v="Rwimbogo"/>
    <s v="CRUS_1"/>
    <s v="Rubyiro Sub-Catchment"/>
    <n v="1419.12"/>
  </r>
  <r>
    <x v="3"/>
    <s v="KAZONGORERO"/>
    <s v="Public"/>
    <x v="0"/>
    <s v="Rusizi"/>
    <s v="Rwimbogo"/>
    <s v="CRUS_1"/>
    <s v="Rubyiro Sub-Catchment"/>
    <n v="2365.2000000000003"/>
  </r>
  <r>
    <x v="3"/>
    <s v="KIJABU"/>
    <s v="Public"/>
    <x v="0"/>
    <s v="Rusizi"/>
    <s v="Rwimbogo"/>
    <s v="CRUS_1"/>
    <s v="Rubyiro Sub-Catchment"/>
    <n v="2049.84"/>
  </r>
  <r>
    <x v="3"/>
    <s v="RYAKAGINA"/>
    <s v="Public"/>
    <x v="0"/>
    <s v="Rusizi"/>
    <s v="Rwimbogo"/>
    <s v="CRUS_1"/>
    <s v="Rubyiro Sub-Catchment"/>
    <n v="1892.16"/>
  </r>
  <r>
    <x v="3"/>
    <s v="RYANGUKU"/>
    <s v="Public"/>
    <x v="0"/>
    <s v="Rusizi"/>
    <s v="Rwimbogo"/>
    <s v="CRUS_1"/>
    <s v="Rubyiro Sub-Catchment"/>
    <n v="8672.4000000000015"/>
  </r>
  <r>
    <x v="3"/>
    <s v="RUKOMBE"/>
    <s v="Public"/>
    <x v="0"/>
    <s v="Rusizi"/>
    <s v="Rwimbogo"/>
    <s v="CRUS_1"/>
    <s v="Rubyiro Sub-Catchment"/>
    <n v="630.72"/>
  </r>
  <r>
    <x v="3"/>
    <s v="NYAKARIBA"/>
    <s v="Public"/>
    <x v="0"/>
    <s v="Rusizi"/>
    <s v="Rwimbogo"/>
    <s v="CRUS_1"/>
    <s v="Rubyiro Sub-Catchment"/>
    <n v="8672.4000000000015"/>
  </r>
  <r>
    <x v="3"/>
    <s v="NYANGE"/>
    <s v="Public"/>
    <x v="0"/>
    <s v="Rusizi"/>
    <s v="Rwimbogo"/>
    <s v="CRUS_1"/>
    <s v="Rubyiro Sub-Catchment"/>
    <n v="315.36"/>
  </r>
  <r>
    <x v="3"/>
    <s v="GASEKE"/>
    <s v="Public"/>
    <x v="0"/>
    <s v="Rusizi"/>
    <s v="Rwimbogo"/>
    <s v="CRUS_1"/>
    <s v="Rubyiro Sub-Catchment"/>
    <n v="3942.0000000000005"/>
  </r>
  <r>
    <x v="3"/>
    <s v="COFORWA"/>
    <s v="Public"/>
    <x v="0"/>
    <s v="Rusizi"/>
    <s v="Rwimbogo"/>
    <s v="CRUS_1"/>
    <s v="Rubyiro Sub-Catchment"/>
    <n v="1892.16"/>
  </r>
  <r>
    <x v="3"/>
    <s v="GASHARARA"/>
    <s v="Public"/>
    <x v="0"/>
    <s v="Rusizi"/>
    <s v="Rwimbogo"/>
    <s v="CRUS_1"/>
    <s v="Rubyiro Sub-Catchment"/>
    <n v="1892.16"/>
  </r>
  <r>
    <x v="3"/>
    <s v="GASUMO"/>
    <s v="Public"/>
    <x v="0"/>
    <s v="Rusizi"/>
    <s v="Rwimbogo"/>
    <s v="CRUS_1"/>
    <s v="Rubyiro Sub-Catchment"/>
    <n v="2365.2000000000003"/>
  </r>
  <r>
    <x v="3"/>
    <s v="GATARE"/>
    <s v="Public"/>
    <x v="0"/>
    <s v="Rusizi"/>
    <s v="Rwimbogo"/>
    <s v="CRUS_1"/>
    <s v="Rubyiro Sub-Catchment"/>
    <n v="6464.88"/>
  </r>
  <r>
    <x v="3"/>
    <s v="NTENYI"/>
    <s v="Public"/>
    <x v="0"/>
    <s v="Rusizi"/>
    <s v="Rwimbogo"/>
    <s v="CRUS_1"/>
    <s v="Rubyiro Sub-Catchment"/>
    <n v="15768.000000000002"/>
  </r>
  <r>
    <x v="3"/>
    <s v="RUSAYO"/>
    <s v="Public"/>
    <x v="0"/>
    <s v="Rusizi"/>
    <s v="Rwimbogo"/>
    <s v="CRUS_1"/>
    <s v="Rubyiro Sub-Catchment"/>
    <n v="0"/>
  </r>
  <r>
    <x v="3"/>
    <s v="RYABIRAMBA"/>
    <s v="Public"/>
    <x v="0"/>
    <s v="Rusizi"/>
    <s v="Rwimbogo"/>
    <s v="CRUS_1"/>
    <s v="Rubyiro Sub-Catchment"/>
    <n v="11195.28"/>
  </r>
  <r>
    <x v="3"/>
    <s v="BIDUDU II"/>
    <s v="Public"/>
    <x v="0"/>
    <s v="Rusizi"/>
    <s v="Butare"/>
    <s v="CRUS_2"/>
    <s v="Ruhwa Sub-Catchment"/>
    <n v="2838.24"/>
  </r>
  <r>
    <x v="3"/>
    <s v="RURENGA"/>
    <s v="Public"/>
    <x v="0"/>
    <s v="Rusizi"/>
    <s v="Butare"/>
    <s v="CRUS_2"/>
    <s v="Ruhwa Sub-Catchment"/>
    <n v="1892.16"/>
  </r>
  <r>
    <x v="3"/>
    <s v="KIVUVURO"/>
    <s v="Public"/>
    <x v="0"/>
    <s v="Rusizi"/>
    <s v="Butare"/>
    <s v="CRUS_2"/>
    <s v="Ruhwa Sub-Catchment"/>
    <n v="4257.3600000000006"/>
  </r>
  <r>
    <x v="3"/>
    <s v="NYINAWAMBOGO"/>
    <s v="Public"/>
    <x v="0"/>
    <s v="Rusizi"/>
    <s v="Butare"/>
    <s v="CRUS_2"/>
    <s v="Ruhwa Sub-Catchment"/>
    <n v="2838.24"/>
  </r>
  <r>
    <x v="3"/>
    <s v="GAKUNGU"/>
    <s v="Public"/>
    <x v="0"/>
    <s v="Rusizi"/>
    <s v="Butare"/>
    <s v="CRUS_2"/>
    <s v="Ruhwa Sub-Catchment"/>
    <n v="3311.2799999999997"/>
  </r>
  <r>
    <x v="3"/>
    <s v="RUHUNDE"/>
    <s v="Public"/>
    <x v="0"/>
    <s v="Rusizi"/>
    <s v="Butare"/>
    <s v="CRUS_2"/>
    <s v="Ruhwa Sub-Catchment"/>
    <n v="6464.88"/>
  </r>
  <r>
    <x v="3"/>
    <s v="KIMIZINGA"/>
    <s v="Public"/>
    <x v="0"/>
    <s v="Rusizi"/>
    <s v="Butare"/>
    <s v="CRUS_2"/>
    <s v="Ruhwa Sub-Catchment"/>
    <n v="1892.16"/>
  </r>
  <r>
    <x v="3"/>
    <s v="RUKOMBE"/>
    <s v="Public"/>
    <x v="0"/>
    <s v="Rusizi"/>
    <s v="Butare"/>
    <s v="CRUS_2"/>
    <s v="Ruhwa Sub-Catchment"/>
    <n v="13087.44"/>
  </r>
  <r>
    <x v="3"/>
    <s v="KAGONA"/>
    <s v="Public"/>
    <x v="0"/>
    <s v="Rusizi"/>
    <s v="Butare"/>
    <s v="CRUS_2"/>
    <s v="Ruhwa Sub-Catchment"/>
    <n v="2838.24"/>
  </r>
  <r>
    <x v="3"/>
    <s v="KIBYIBUSHYA"/>
    <s v="Public"/>
    <x v="0"/>
    <s v="Rusizi"/>
    <s v="Butare"/>
    <s v="CRUS_2"/>
    <s v="Ruhwa Sub-Catchment"/>
    <n v="1419.12"/>
  </r>
  <r>
    <x v="3"/>
    <s v="RUBINDI"/>
    <s v="Public"/>
    <x v="0"/>
    <s v="Rusizi"/>
    <s v="Butare"/>
    <s v="CRUS_2"/>
    <s v="Ruhwa Sub-Catchment"/>
    <n v="1419.12"/>
  </r>
  <r>
    <x v="3"/>
    <s v="CYABAGEZA"/>
    <s v="Public"/>
    <x v="0"/>
    <s v="Rusizi"/>
    <s v="Butare"/>
    <s v="CRUS_2"/>
    <s v="Ruhwa Sub-Catchment"/>
    <n v="1892.16"/>
  </r>
  <r>
    <x v="3"/>
    <s v="RUHINGA"/>
    <s v="Public"/>
    <x v="0"/>
    <s v="Rusizi"/>
    <s v="Butare"/>
    <s v="CRUS_2"/>
    <s v="Ruhwa Sub-Catchment"/>
    <n v="4888.0800000000008"/>
  </r>
  <r>
    <x v="3"/>
    <s v="RUKOMBE"/>
    <s v="Public"/>
    <x v="0"/>
    <s v="Rusizi"/>
    <s v="Butare"/>
    <s v="CRUS_2"/>
    <s v="Ruhwa Sub-Catchment"/>
    <n v="8672.4000000000015"/>
  </r>
  <r>
    <x v="3"/>
    <s v="RWAMIVO"/>
    <s v="Public"/>
    <x v="0"/>
    <s v="Rusizi"/>
    <s v="Butare"/>
    <s v="CRUS_2"/>
    <s v="Ruhwa Sub-Catchment"/>
    <n v="4888.0800000000008"/>
  </r>
  <r>
    <x v="3"/>
    <s v="NYAKANYORA"/>
    <s v="Public"/>
    <x v="0"/>
    <s v="Rusizi"/>
    <s v="Butare"/>
    <s v="CRUS_2"/>
    <s v="Ruhwa Sub-Catchment"/>
    <n v="8672.4000000000015"/>
  </r>
  <r>
    <x v="3"/>
    <s v="BIDUDU"/>
    <s v="Public"/>
    <x v="0"/>
    <s v="Rusizi"/>
    <s v="Butare"/>
    <s v="CRUS_2"/>
    <s v="Ruhwa Sub-Catchment"/>
    <n v="3626.64"/>
  </r>
  <r>
    <x v="3"/>
    <s v="GASHIRASONI"/>
    <s v="Public"/>
    <x v="0"/>
    <s v="Rusizi"/>
    <s v="Butare"/>
    <s v="CRUS_2"/>
    <s v="Ruhwa Sub-Catchment"/>
    <n v="6464.88"/>
  </r>
  <r>
    <x v="3"/>
    <s v="RYABIRARO"/>
    <s v="Public"/>
    <x v="0"/>
    <s v="Rusizi"/>
    <s v="Butare"/>
    <s v="CRUS_2"/>
    <s v="Ruhwa Sub-Catchment"/>
    <n v="8672.4000000000015"/>
  </r>
  <r>
    <x v="3"/>
    <s v="KABIRA"/>
    <s v="Public"/>
    <x v="0"/>
    <s v="Rusizi"/>
    <s v="Butare"/>
    <s v="CRUS_2"/>
    <s v="Ruhwa Sub-Catchment"/>
    <n v="630.72"/>
  </r>
  <r>
    <x v="3"/>
    <s v="KWABURHEMU"/>
    <s v="Public"/>
    <x v="0"/>
    <s v="Nyaruguru"/>
    <s v="Muganza"/>
    <s v="CRUS_2"/>
    <s v="Ruhwa Sub-Catchment"/>
    <n v="2049.84"/>
  </r>
  <r>
    <x v="3"/>
    <s v="RWASENKERI"/>
    <s v="Public"/>
    <x v="0"/>
    <s v="Nyaruguru"/>
    <s v="Muganza"/>
    <s v="CRUS_2"/>
    <s v="Ruhwa Sub-Catchment"/>
    <n v="788.40000000000009"/>
  </r>
  <r>
    <x v="3"/>
    <s v="KAJORORO"/>
    <s v="Public"/>
    <x v="0"/>
    <s v="Nyaruguru"/>
    <s v="Muganza"/>
    <s v="CRUS_2"/>
    <s v="Ruhwa Sub-Catchment"/>
    <n v="2838.24"/>
  </r>
  <r>
    <x v="3"/>
    <s v="KUMUSASA"/>
    <s v="Public"/>
    <x v="0"/>
    <s v="Nyaruguru"/>
    <s v="Muganza"/>
    <s v="CRUS_2"/>
    <s v="Ruhwa Sub-Catchment"/>
    <n v="4415.0400000000009"/>
  </r>
  <r>
    <x v="3"/>
    <s v="RWAMAGOMBE"/>
    <s v="Public"/>
    <x v="0"/>
    <s v="Nyaruguru"/>
    <s v="Muganza"/>
    <s v="CRUS_2"/>
    <s v="Ruhwa Sub-Catchment"/>
    <n v="2838.24"/>
  </r>
  <r>
    <x v="3"/>
    <s v="MUKIRIBA"/>
    <s v="Public"/>
    <x v="0"/>
    <s v="Nyaruguru"/>
    <s v="Muganza"/>
    <s v="CRUS_2"/>
    <s v="Ruhwa Sub-Catchment"/>
    <n v="315.36"/>
  </r>
  <r>
    <x v="3"/>
    <s v="GATWARO"/>
    <s v="Public"/>
    <x v="0"/>
    <s v="Nyaruguru"/>
    <s v="Muganza"/>
    <s v="CRUS_2"/>
    <s v="Ruhwa Sub-Catchment"/>
    <n v="630.72"/>
  </r>
  <r>
    <x v="3"/>
    <s v="NYARUBUYE"/>
    <s v="Public"/>
    <x v="0"/>
    <s v="Nyaruguru"/>
    <s v="Muganza"/>
    <s v="CRUS_2"/>
    <s v="Ruhwa Sub-Catchment"/>
    <n v="946.08"/>
  </r>
  <r>
    <x v="3"/>
    <s v="MURWANYIRABATWARE"/>
    <s v="Public"/>
    <x v="0"/>
    <s v="Nyaruguru"/>
    <s v="Muganza"/>
    <s v="CRUS_2"/>
    <s v="Ruhwa Sub-Catchment"/>
    <n v="1576.8000000000002"/>
  </r>
  <r>
    <x v="3"/>
    <s v="RWANYAMIYAGA"/>
    <s v="Public"/>
    <x v="0"/>
    <s v="Nyaruguru"/>
    <s v="Muganza"/>
    <s v="CRUS_2"/>
    <s v="Ruhwa Sub-Catchment"/>
    <n v="2522.88"/>
  </r>
  <r>
    <x v="3"/>
    <s v="MUKANINDA"/>
    <s v="Public"/>
    <x v="0"/>
    <s v="Nyaruguru"/>
    <s v="Muganza"/>
    <s v="CRUS_2"/>
    <s v="Ruhwa Sub-Catchment"/>
    <n v="1576.8000000000002"/>
  </r>
  <r>
    <x v="3"/>
    <s v="NYIRABIKOBA"/>
    <s v="Public"/>
    <x v="0"/>
    <s v="Nyaruguru"/>
    <s v="Muganza"/>
    <s v="CRUS_2"/>
    <s v="Ruhwa Sub-Catchment"/>
    <n v="630.72"/>
  </r>
  <r>
    <x v="3"/>
    <s v="KADOBOGO"/>
    <s v="Public"/>
    <x v="0"/>
    <s v="Nyaruguru"/>
    <s v="Muganza"/>
    <s v="CRUS_2"/>
    <s v="Ruhwa Sub-Catchment"/>
    <n v="5676.48"/>
  </r>
  <r>
    <x v="3"/>
    <s v="RWAMBIZI"/>
    <s v="Public"/>
    <x v="0"/>
    <s v="Nyaruguru"/>
    <s v="Muganza"/>
    <s v="CRUS_2"/>
    <s v="Ruhwa Sub-Catchment"/>
    <n v="1261.44"/>
  </r>
  <r>
    <x v="3"/>
    <s v="RUSHURI"/>
    <s v="Public"/>
    <x v="0"/>
    <s v="Nyaruguru"/>
    <s v="Muganza"/>
    <s v="CRUS_2"/>
    <s v="Ruhwa Sub-Catchment"/>
    <n v="630.72"/>
  </r>
  <r>
    <x v="3"/>
    <s v="NYAKAGEZI"/>
    <s v="Public"/>
    <x v="0"/>
    <s v="Nyaruguru"/>
    <s v="Muganza"/>
    <s v="CRUS_2"/>
    <s v="Ruhwa Sub-Catchment"/>
    <n v="2838.24"/>
  </r>
  <r>
    <x v="3"/>
    <s v="MUGASIZA"/>
    <s v="Public"/>
    <x v="0"/>
    <s v="Nyaruguru"/>
    <s v="Muganza"/>
    <s v="CRUS_2"/>
    <s v="Ruhwa Sub-Catchment"/>
    <n v="1261.44"/>
  </r>
  <r>
    <x v="3"/>
    <s v="RWARUGIRA"/>
    <s v="Public"/>
    <x v="0"/>
    <s v="Nyaruguru"/>
    <s v="Muganza"/>
    <s v="CRUS_2"/>
    <s v="Ruhwa Sub-Catchment"/>
    <n v="12772.08"/>
  </r>
  <r>
    <x v="3"/>
    <s v="MUMURINDWA"/>
    <s v="Public"/>
    <x v="0"/>
    <s v="Nyaruguru"/>
    <s v="Muganza"/>
    <s v="CRUS_2"/>
    <s v="Ruhwa Sub-Catchment"/>
    <n v="630.72"/>
  </r>
  <r>
    <x v="3"/>
    <s v="BURINDI"/>
    <s v="Public"/>
    <x v="0"/>
    <s v="Nyaruguru"/>
    <s v="Muganza"/>
    <s v="CRUS_2"/>
    <s v="Ruhwa Sub-Catchment"/>
    <n v="946.08"/>
  </r>
  <r>
    <x v="3"/>
    <s v="GATOVU"/>
    <s v="Public"/>
    <x v="0"/>
    <s v="Nyaruguru"/>
    <s v="Muganza"/>
    <s v="CRUS_2"/>
    <s v="Ruhwa Sub-Catchment"/>
    <n v="788.40000000000009"/>
  </r>
  <r>
    <x v="3"/>
    <s v="KIDOBOGORO"/>
    <s v="Public"/>
    <x v="0"/>
    <s v="Nyaruguru"/>
    <s v="Muganza"/>
    <s v="CRUS_2"/>
    <s v="Ruhwa Sub-Catchment"/>
    <n v="6780.24"/>
  </r>
  <r>
    <x v="3"/>
    <s v="ZIMBA"/>
    <s v="Public"/>
    <x v="0"/>
    <s v="Nyaruguru"/>
    <s v="Muganza"/>
    <s v="CRUS_2"/>
    <s v="Ruhwa Sub-Catchment"/>
    <n v="2995.92"/>
  </r>
  <r>
    <x v="3"/>
    <s v="KUMUSIZI"/>
    <s v="Public"/>
    <x v="0"/>
    <s v="Nyaruguru"/>
    <s v="Muganza"/>
    <s v="CRUS_2"/>
    <s v="Ruhwa Sub-Catchment"/>
    <n v="2365.2000000000003"/>
  </r>
  <r>
    <x v="3"/>
    <s v="RWASEGASAGARA"/>
    <s v="Public"/>
    <x v="0"/>
    <s v="Nyaruguru"/>
    <s v="Muganza"/>
    <s v="CRUS_2"/>
    <s v="Ruhwa Sub-Catchment"/>
    <n v="1576.8000000000002"/>
  </r>
  <r>
    <x v="3"/>
    <s v="GATARE"/>
    <s v="Public"/>
    <x v="0"/>
    <s v="Nyaruguru"/>
    <s v="Muganza"/>
    <s v="CRUS_2"/>
    <s v="Ruhwa Sub-Catchment"/>
    <n v="2680.56"/>
  </r>
  <r>
    <x v="3"/>
    <s v="KABINGO"/>
    <s v="Public"/>
    <x v="0"/>
    <s v="Nyaruguru"/>
    <s v="Muganza"/>
    <s v="CRUS_2"/>
    <s v="Ruhwa Sub-Catchment"/>
    <n v="1892.16"/>
  </r>
  <r>
    <x v="3"/>
    <s v="MUSAVE"/>
    <s v="Public"/>
    <x v="0"/>
    <s v="Nyaruguru"/>
    <s v="Muganza"/>
    <s v="CRUS_2"/>
    <s v="Ruhwa Sub-Catchment"/>
    <n v="1103.7600000000002"/>
  </r>
  <r>
    <x v="3"/>
    <s v="RWINKUBA"/>
    <s v="Public"/>
    <x v="0"/>
    <s v="Nyaruguru"/>
    <s v="Muganza"/>
    <s v="CRUS_2"/>
    <s v="Ruhwa Sub-Catchment"/>
    <n v="5203.4400000000005"/>
  </r>
  <r>
    <x v="3"/>
    <s v="NYAKARIBA"/>
    <s v="Public"/>
    <x v="0"/>
    <s v="Nyaruguru"/>
    <s v="Muganza"/>
    <s v="CRUS_2"/>
    <s v="Ruhwa Sub-Catchment"/>
    <n v="1576.8000000000002"/>
  </r>
  <r>
    <x v="3"/>
    <s v="UMUTORERWA"/>
    <s v="Public"/>
    <x v="0"/>
    <s v="Nyaruguru"/>
    <s v="Muganza"/>
    <s v="CRUS_2"/>
    <s v="Ruhwa Sub-Catchment"/>
    <n v="2049.84"/>
  </r>
  <r>
    <x v="3"/>
    <s v="RWARUSTIRA"/>
    <s v="Public"/>
    <x v="0"/>
    <s v="Nyaruguru"/>
    <s v="Muganza"/>
    <s v="CRUS_2"/>
    <s v="Ruhwa Sub-Catchment"/>
    <n v="5361.12"/>
  </r>
  <r>
    <x v="3"/>
    <s v="GASASA"/>
    <s v="Public"/>
    <x v="0"/>
    <s v="Nyaruguru"/>
    <s v="Muganza"/>
    <s v="CRUS_2"/>
    <s v="Ruhwa Sub-Catchment"/>
    <n v="3153.6000000000004"/>
  </r>
  <r>
    <x v="3"/>
    <s v="GASENYI"/>
    <s v="Public"/>
    <x v="0"/>
    <s v="Nyaruguru"/>
    <s v="Muganza"/>
    <s v="CRUS_2"/>
    <s v="Ruhwa Sub-Catchment"/>
    <n v="315.36"/>
  </r>
  <r>
    <x v="3"/>
    <s v="NYABITARE"/>
    <s v="Public"/>
    <x v="0"/>
    <s v="Nyaruguru"/>
    <s v="Muganza"/>
    <s v="CRUS_2"/>
    <s v="Ruhwa Sub-Catchment"/>
    <n v="315.36"/>
  </r>
  <r>
    <x v="3"/>
    <s v="MUGAKURWE"/>
    <s v="Public"/>
    <x v="0"/>
    <s v="Nyaruguru"/>
    <s v="Muganza"/>
    <s v="CRUS_2"/>
    <s v="Ruhwa Sub-Catchment"/>
    <n v="7410.9599999999991"/>
  </r>
  <r>
    <x v="3"/>
    <s v="MWIBANGA"/>
    <s v="Public"/>
    <x v="0"/>
    <s v="Nyaruguru"/>
    <s v="Muganza"/>
    <s v="CRUS_2"/>
    <s v="Ruhwa Sub-Catchment"/>
    <n v="7884.0000000000009"/>
  </r>
  <r>
    <x v="3"/>
    <s v="KAJYANAMA"/>
    <s v="Public"/>
    <x v="0"/>
    <s v="Nyaruguru"/>
    <s v="Muganza"/>
    <s v="CRUS_2"/>
    <s v="Ruhwa Sub-Catchment"/>
    <n v="8199.36"/>
  </r>
  <r>
    <x v="3"/>
    <s v="KWASENAGABARI"/>
    <s v="Public"/>
    <x v="0"/>
    <s v="Nyaruguru"/>
    <s v="Muganza"/>
    <s v="CRUS_2"/>
    <s v="Ruhwa Sub-Catchment"/>
    <n v="1892.16"/>
  </r>
  <r>
    <x v="3"/>
    <s v="MURUBUBIRIZI 2"/>
    <s v="Public"/>
    <x v="0"/>
    <s v="Nyaruguru"/>
    <s v="Muganza"/>
    <s v="CRUS_2"/>
    <s v="Ruhwa Sub-Catchment"/>
    <n v="12614.400000000001"/>
  </r>
  <r>
    <x v="3"/>
    <s v="RWAMUJUJU"/>
    <s v="Public"/>
    <x v="0"/>
    <s v="Nyaruguru"/>
    <s v="Muganza"/>
    <s v="CRUS_2"/>
    <s v="Ruhwa Sub-Catchment"/>
    <n v="1261.44"/>
  </r>
  <r>
    <x v="3"/>
    <s v="MURUBIRIZI 1"/>
    <s v="Public"/>
    <x v="0"/>
    <s v="Nyaruguru"/>
    <s v="Muganza"/>
    <s v="CRUS_2"/>
    <s v="Ruhwa Sub-Catchment"/>
    <n v="3784.32"/>
  </r>
  <r>
    <x v="3"/>
    <s v="KWAWIMANA"/>
    <s v="Public"/>
    <x v="0"/>
    <s v="Nyaruguru"/>
    <s v="Muganza"/>
    <s v="CRUS_2"/>
    <s v="Ruhwa Sub-Catchment"/>
    <n v="1419.12"/>
  </r>
  <r>
    <x v="3"/>
    <s v="KWA SAMWELI"/>
    <s v="Public"/>
    <x v="0"/>
    <s v="Nyaruguru"/>
    <s v="Muganza"/>
    <s v="CRUS_2"/>
    <s v="Ruhwa Sub-Catchment"/>
    <n v="788.40000000000009"/>
  </r>
  <r>
    <x v="3"/>
    <s v="NYABITARE"/>
    <s v="Public"/>
    <x v="0"/>
    <s v="Nyaruguru"/>
    <s v="Muganza"/>
    <s v="CRUS_2"/>
    <s v="Ruhwa Sub-Catchment"/>
    <n v="5834.1600000000008"/>
  </r>
  <r>
    <x v="3"/>
    <s v="UWAMUFURERO"/>
    <s v="Public"/>
    <x v="0"/>
    <s v="Nyaruguru"/>
    <s v="Ruheru"/>
    <s v="CRUS_2"/>
    <s v="Ruhwa Sub-Catchment"/>
    <n v="1576.8000000000002"/>
  </r>
  <r>
    <x v="3"/>
    <s v="UWASEGIHUTU"/>
    <s v="Public"/>
    <x v="0"/>
    <s v="Nyaruguru"/>
    <s v="Ruheru"/>
    <s v="CRUS_2"/>
    <s v="Ruhwa Sub-Catchment"/>
    <n v="9460.8000000000011"/>
  </r>
  <r>
    <x v="3"/>
    <s v="NKUNZINGOMA"/>
    <s v="Public"/>
    <x v="0"/>
    <s v="Nyaruguru"/>
    <s v="Ruheru"/>
    <s v="CRUS_2"/>
    <s v="Ruhwa Sub-Catchment"/>
    <n v="946.08"/>
  </r>
  <r>
    <x v="3"/>
    <s v="RWARUDUDA"/>
    <s v="Public"/>
    <x v="0"/>
    <s v="Nyaruguru"/>
    <s v="Ruheru"/>
    <s v="CRUS_2"/>
    <s v="Ruhwa Sub-Catchment"/>
    <n v="3311.2799999999997"/>
  </r>
  <r>
    <x v="3"/>
    <s v="UMUSIZI"/>
    <s v="Public"/>
    <x v="0"/>
    <s v="Nyaruguru"/>
    <s v="Ruheru"/>
    <s v="CRUS_2"/>
    <s v="Ruhwa Sub-Catchment"/>
    <n v="1103.7600000000002"/>
  </r>
  <r>
    <x v="3"/>
    <s v="UMUREMURE"/>
    <s v="Public"/>
    <x v="0"/>
    <s v="Nyaruguru"/>
    <s v="Ruheru"/>
    <s v="CRUS_2"/>
    <s v="Ruhwa Sub-Catchment"/>
    <n v="14506.56"/>
  </r>
  <r>
    <x v="3"/>
    <s v="UWIKIRAMBI"/>
    <s v="Public"/>
    <x v="0"/>
    <s v="Nyaruguru"/>
    <s v="Ruheru"/>
    <s v="CRUS_2"/>
    <s v="Ruhwa Sub-Catchment"/>
    <n v="12614.400000000001"/>
  </r>
  <r>
    <x v="3"/>
    <s v="MURUGOMERO"/>
    <s v="Public"/>
    <x v="0"/>
    <s v="Nyaruguru"/>
    <s v="Ruheru"/>
    <s v="CRUS_2"/>
    <s v="Ruhwa Sub-Catchment"/>
    <n v="3626.64"/>
  </r>
  <r>
    <x v="3"/>
    <s v="GASEBEYA"/>
    <s v="Public"/>
    <x v="0"/>
    <s v="Nyaruguru"/>
    <s v="Ruheru"/>
    <s v="CRUS_2"/>
    <s v="Ruhwa Sub-Catchment"/>
    <n v="946.08"/>
  </r>
  <r>
    <x v="3"/>
    <s v="MURUHANGA"/>
    <s v="Public"/>
    <x v="0"/>
    <s v="Nyaruguru"/>
    <s v="Ruheru"/>
    <s v="CRUS_2"/>
    <s v="Ruhwa Sub-Catchment"/>
    <n v="2680.56"/>
  </r>
  <r>
    <x v="3"/>
    <s v="KUMUNAZI"/>
    <s v="Public"/>
    <x v="0"/>
    <s v="Nyaruguru"/>
    <s v="Ruheru"/>
    <s v="CRUS_2"/>
    <s v="Ruhwa Sub-Catchment"/>
    <n v="5991.84"/>
  </r>
  <r>
    <x v="3"/>
    <s v="MUHANGA"/>
    <s v="Public"/>
    <x v="0"/>
    <s v="Nyaruguru"/>
    <s v="Ruheru"/>
    <s v="CRUS_2"/>
    <s v="Ruhwa Sub-Catchment"/>
    <n v="1261.44"/>
  </r>
  <r>
    <x v="3"/>
    <s v="MURIVOVU"/>
    <s v="Public"/>
    <x v="0"/>
    <s v="Nyaruguru"/>
    <s v="Ruheru"/>
    <s v="CRUS_2"/>
    <s v="Ruhwa Sub-Catchment"/>
    <n v="2365.2000000000003"/>
  </r>
  <r>
    <x v="3"/>
    <s v="MURWUMBA"/>
    <s v="Public"/>
    <x v="0"/>
    <s v="Nyaruguru"/>
    <s v="Ruheru"/>
    <s v="CRUS_2"/>
    <s v="Ruhwa Sub-Catchment"/>
    <n v="1261.44"/>
  </r>
  <r>
    <x v="3"/>
    <s v="GIKEREKO"/>
    <s v="Public"/>
    <x v="0"/>
    <s v="Nyaruguru"/>
    <s v="Ruheru"/>
    <s v="CRUS_2"/>
    <s v="Ruhwa Sub-Catchment"/>
    <n v="4730.4000000000005"/>
  </r>
  <r>
    <x v="3"/>
    <s v="UWARUSHARAZA"/>
    <s v="Public"/>
    <x v="0"/>
    <s v="Nyaruguru"/>
    <s v="Ruheru"/>
    <s v="CRUS_2"/>
    <s v="Ruhwa Sub-Catchment"/>
    <n v="15768.000000000002"/>
  </r>
  <r>
    <x v="3"/>
    <s v="IGIPFUNSI"/>
    <s v="Public"/>
    <x v="0"/>
    <s v="Nyaruguru"/>
    <s v="Ruheru"/>
    <s v="CRUS_2"/>
    <s v="Ruhwa Sub-Catchment"/>
    <n v="12772.08"/>
  </r>
  <r>
    <x v="3"/>
    <s v="UWASEBUHUNGU"/>
    <s v="Public"/>
    <x v="0"/>
    <s v="Nyaruguru"/>
    <s v="Ruheru"/>
    <s v="CRUS_2"/>
    <s v="Ruhwa Sub-Catchment"/>
    <n v="2049.84"/>
  </r>
  <r>
    <x v="3"/>
    <s v="MUBAJEJE"/>
    <s v="Public"/>
    <x v="0"/>
    <s v="Nyaruguru"/>
    <s v="Ruheru"/>
    <s v="CRUS_2"/>
    <s v="Ruhwa Sub-Catchment"/>
    <n v="9776.1600000000017"/>
  </r>
  <r>
    <x v="3"/>
    <s v="BIGONA"/>
    <s v="Public"/>
    <x v="0"/>
    <s v="Nyaruguru"/>
    <s v="Ruheru"/>
    <s v="CRUS_2"/>
    <s v="Ruhwa Sub-Catchment"/>
    <n v="3784.32"/>
  </r>
  <r>
    <x v="3"/>
    <s v="UWAKIMONYO"/>
    <s v="Public"/>
    <x v="0"/>
    <s v="Nyaruguru"/>
    <s v="Ruheru"/>
    <s v="CRUS_2"/>
    <s v="Ruhwa Sub-Catchment"/>
    <n v="2365.2000000000003"/>
  </r>
  <r>
    <x v="3"/>
    <s v="MUBAHONNYI"/>
    <s v="Public"/>
    <x v="0"/>
    <s v="Nyaruguru"/>
    <s v="Ruheru"/>
    <s v="CRUS_2"/>
    <s v="Ruhwa Sub-Catchment"/>
    <n v="9303.119999999999"/>
  </r>
  <r>
    <x v="3"/>
    <s v="UWAMWARO"/>
    <s v="Public"/>
    <x v="0"/>
    <s v="Nyaruguru"/>
    <s v="Ruheru"/>
    <s v="CRUS_2"/>
    <s v="Ruhwa Sub-Catchment"/>
    <n v="9460.8000000000011"/>
  </r>
  <r>
    <x v="3"/>
    <s v="URWISHINZO"/>
    <s v="Public"/>
    <x v="0"/>
    <s v="Nyaruguru"/>
    <s v="Ruheru"/>
    <s v="CRUS_2"/>
    <s v="Ruhwa Sub-Catchment"/>
    <n v="14191.2"/>
  </r>
  <r>
    <x v="3"/>
    <s v="UWIBITI"/>
    <s v="Public"/>
    <x v="0"/>
    <s v="Nyaruguru"/>
    <s v="Ruheru"/>
    <s v="CRUS_2"/>
    <s v="Ruhwa Sub-Catchment"/>
    <n v="15768.000000000002"/>
  </r>
  <r>
    <x v="3"/>
    <s v="UMUTURIRO"/>
    <s v="Public"/>
    <x v="0"/>
    <s v="Nyaruguru"/>
    <s v="Ruheru"/>
    <s v="CRUS_2"/>
    <s v="Ruhwa Sub-Catchment"/>
    <n v="26174.880000000001"/>
  </r>
  <r>
    <x v="3"/>
    <s v="MURAMBI"/>
    <s v="Public"/>
    <x v="0"/>
    <s v="Nyaruguru"/>
    <s v="Ruheru"/>
    <s v="CRUS_2"/>
    <s v="Ruhwa Sub-Catchment"/>
    <n v="189216.00000000003"/>
  </r>
  <r>
    <x v="3"/>
    <s v="URUJENI"/>
    <s v="Public"/>
    <x v="0"/>
    <s v="Nyaruguru"/>
    <s v="Ruheru"/>
    <s v="CRUS_2"/>
    <s v="Ruhwa Sub-Catchment"/>
    <n v="473.04"/>
  </r>
  <r>
    <x v="3"/>
    <s v="GISEGO"/>
    <s v="Public"/>
    <x v="0"/>
    <s v="Nyaruguru"/>
    <s v="Ruheru"/>
    <s v="CRUS_2"/>
    <s v="Ruhwa Sub-Catchment"/>
    <n v="18921.600000000002"/>
  </r>
  <r>
    <x v="3"/>
    <s v="UWIMANA"/>
    <s v="Public"/>
    <x v="0"/>
    <s v="Nyaruguru"/>
    <s v="Ruheru"/>
    <s v="CRUS_2"/>
    <s v="Ruhwa Sub-Catchment"/>
    <n v="4572.72"/>
  </r>
  <r>
    <x v="3"/>
    <s v="NYARUBIMBO"/>
    <s v="Public"/>
    <x v="0"/>
    <s v="Nyaruguru"/>
    <s v="Ruheru"/>
    <s v="CRUS_2"/>
    <s v="Ruhwa Sub-Catchment"/>
    <n v="5045.76"/>
  </r>
  <r>
    <x v="3"/>
    <s v="NYIRAMATEGEKO (KWA VIYANI KIJUMBURA VILLAGE)"/>
    <s v="Public"/>
    <x v="0"/>
    <s v="Kirehe"/>
    <s v="Gahara"/>
    <s v="NAKU_2"/>
    <s v="Rweru Sub-Catchment"/>
    <n v="18921.600000000002"/>
  </r>
  <r>
    <x v="3"/>
    <s v="NYAMISAGARA"/>
    <s v="Public"/>
    <x v="0"/>
    <s v="Kirehe"/>
    <s v="Gahara"/>
    <s v="NAKU_2"/>
    <s v="Rweru Sub-Catchment"/>
    <n v="9776.1600000000017"/>
  </r>
  <r>
    <x v="3"/>
    <s v="NYAKAGEZI (KWA MAYEYE)"/>
    <s v="Public"/>
    <x v="0"/>
    <s v="Kirehe"/>
    <s v="Gahara"/>
    <s v="NAKU_2"/>
    <s v="Rweru Sub-Catchment"/>
    <n v="10249.199999999999"/>
  </r>
  <r>
    <x v="3"/>
    <s v="CYOBAHARAYE"/>
    <s v="Public"/>
    <x v="0"/>
    <s v="Kirehe"/>
    <s v="Gahara"/>
    <s v="NAKU_2"/>
    <s v="Rweru Sub-Catchment"/>
    <n v="11826.000000000002"/>
  </r>
  <r>
    <x v="3"/>
    <s v="NYAKAGEZI"/>
    <s v="Public"/>
    <x v="0"/>
    <s v="Kirehe"/>
    <s v="Gatore"/>
    <s v="NAKU_2"/>
    <s v="Rweru Sub-Catchment"/>
    <n v="3153.6000000000004"/>
  </r>
  <r>
    <x v="3"/>
    <s v="RUGINA"/>
    <s v="Public"/>
    <x v="0"/>
    <s v="Kirehe"/>
    <s v="Gatore"/>
    <s v="NAKU_2"/>
    <s v="Rweru Sub-Catchment"/>
    <n v="2365.2000000000003"/>
  </r>
  <r>
    <x v="3"/>
    <s v="NYAKAGEZI 1"/>
    <s v="Public"/>
    <x v="0"/>
    <s v="Ngoma"/>
    <s v="Kazo"/>
    <s v="NAKU_2"/>
    <s v="Rweru Sub-Catchment"/>
    <n v="5913.0000000000009"/>
  </r>
  <r>
    <x v="3"/>
    <s v="GAHAMA"/>
    <s v="Public"/>
    <x v="0"/>
    <s v="Ngoma"/>
    <s v="Kazo"/>
    <s v="NAKU_2"/>
    <s v="Rweru Sub-Catchment"/>
    <n v="3153.6000000000004"/>
  </r>
  <r>
    <x v="3"/>
    <s v="NYAKAGEZI 2"/>
    <s v="Public"/>
    <x v="0"/>
    <s v="Ngoma"/>
    <s v="Kazo"/>
    <s v="NAKU_2"/>
    <s v="Rweru Sub-Catchment"/>
    <n v="5203.4400000000005"/>
  </r>
  <r>
    <x v="3"/>
    <s v="KAMFONYOGO"/>
    <s v="Public"/>
    <x v="0"/>
    <s v="Ngoma"/>
    <s v="Kazo"/>
    <s v="NAKU_2"/>
    <s v="Rweru Sub-Catchment"/>
    <n v="3942.0000000000005"/>
  </r>
  <r>
    <x v="3"/>
    <s v="KAMULIMA"/>
    <s v="Public"/>
    <x v="0"/>
    <s v="Ngoma"/>
    <s v="Kazo"/>
    <s v="NAKU_2"/>
    <s v="Rweru Sub-Catchment"/>
    <n v="7884.0000000000009"/>
  </r>
  <r>
    <x v="3"/>
    <s v="KARUSERA"/>
    <s v="Public"/>
    <x v="0"/>
    <s v="Ngoma"/>
    <s v="Kazo"/>
    <s v="NAKU_2"/>
    <s v="Rweru Sub-Catchment"/>
    <n v="0"/>
  </r>
  <r>
    <x v="3"/>
    <s v="GASHUNUNU"/>
    <s v="Public"/>
    <x v="0"/>
    <s v="Ngoma"/>
    <s v="Kazo"/>
    <s v="NAKU_2"/>
    <s v="Rweru Sub-Catchment"/>
    <n v="0"/>
  </r>
  <r>
    <x v="3"/>
    <s v="KAGARAMA"/>
    <s v="Public"/>
    <x v="0"/>
    <s v="Ngoma"/>
    <s v="Kazo"/>
    <s v="NAKU_2"/>
    <s v="Rweru Sub-Catchment"/>
    <n v="18921.600000000002"/>
  </r>
  <r>
    <x v="3"/>
    <s v="FUKWE"/>
    <s v="Public"/>
    <x v="0"/>
    <s v="Ngoma"/>
    <s v="Kazo"/>
    <s v="NAKU_2"/>
    <s v="Rweru Sub-Catchment"/>
    <n v="3153.6000000000004"/>
  </r>
  <r>
    <x v="3"/>
    <s v="RWAMPARA I"/>
    <s v="Public"/>
    <x v="0"/>
    <s v="Kirehe"/>
    <s v="Kigarama"/>
    <s v="NAKU_2"/>
    <s v="Rweru Sub-Catchment"/>
    <n v="630.72"/>
  </r>
  <r>
    <x v="3"/>
    <s v="RWAMPARA II"/>
    <s v="Public"/>
    <x v="0"/>
    <s v="Kirehe"/>
    <s v="Kigarama"/>
    <s v="NAKU_2"/>
    <s v="Rweru Sub-Catchment"/>
    <n v="4730.4000000000005"/>
  </r>
  <r>
    <x v="3"/>
    <s v="KWA SEBERA"/>
    <s v="Public"/>
    <x v="0"/>
    <s v="Kirehe"/>
    <s v="Kigarama"/>
    <s v="NAKU_2"/>
    <s v="Rweru Sub-Catchment"/>
    <n v="9460.8000000000011"/>
  </r>
  <r>
    <x v="3"/>
    <s v="GASEBURA"/>
    <s v="Public"/>
    <x v="0"/>
    <s v="Kirehe"/>
    <s v="Kigina"/>
    <s v="NAKU_2"/>
    <s v="Rweru Sub-Catchment"/>
    <n v="13087.44"/>
  </r>
  <r>
    <x v="3"/>
    <s v="KWA BUTERA"/>
    <s v="Public"/>
    <x v="0"/>
    <s v="Kirehe"/>
    <s v="Kigina"/>
    <s v="NAKU_2"/>
    <s v="Rweru Sub-Catchment"/>
    <n v="2838.24"/>
  </r>
  <r>
    <x v="3"/>
    <s v="NYAKAGERA"/>
    <s v="Public"/>
    <x v="0"/>
    <s v="Kirehe"/>
    <s v="Kirehe"/>
    <s v="NAKU_2"/>
    <s v="Rweru Sub-Catchment"/>
    <n v="23652.000000000004"/>
  </r>
  <r>
    <x v="3"/>
    <s v="GAHAMA"/>
    <s v="Public"/>
    <x v="0"/>
    <s v="Kirehe"/>
    <s v="Kirehe"/>
    <s v="NAKU_2"/>
    <s v="Rweru Sub-Catchment"/>
    <n v="28382.400000000001"/>
  </r>
  <r>
    <x v="3"/>
    <s v="KABUTUNTU"/>
    <s v="Public"/>
    <x v="0"/>
    <s v="Kirehe"/>
    <s v="Kirehe"/>
    <s v="NAKU_2"/>
    <s v="Rweru Sub-Catchment"/>
    <n v="5991.84"/>
  </r>
  <r>
    <x v="3"/>
    <s v="RUVUZI 2"/>
    <s v="Public"/>
    <x v="0"/>
    <s v="Ngoma"/>
    <s v="Murama"/>
    <s v="NAKU_2"/>
    <s v="Rweru Sub-Catchment"/>
    <n v="7095.6"/>
  </r>
  <r>
    <x v="3"/>
    <s v="KINNYOGO"/>
    <s v="Public"/>
    <x v="0"/>
    <s v="Ngoma"/>
    <s v="Murama"/>
    <s v="NAKU_2"/>
    <s v="Rweru Sub-Catchment"/>
    <n v="0"/>
  </r>
  <r>
    <x v="3"/>
    <s v="MBONYI 1"/>
    <s v="Public"/>
    <x v="0"/>
    <s v="Ngoma"/>
    <s v="Murama"/>
    <s v="NAKU_2"/>
    <s v="Rweru Sub-Catchment"/>
    <n v="7095.6"/>
  </r>
  <r>
    <x v="3"/>
    <s v="GAHAMA"/>
    <s v="Public"/>
    <x v="0"/>
    <s v="Ngoma"/>
    <s v="Murama"/>
    <s v="NAKU_2"/>
    <s v="Rweru Sub-Catchment"/>
    <n v="6307.2000000000007"/>
  </r>
  <r>
    <x v="3"/>
    <s v="MBONYI 2"/>
    <s v="Public"/>
    <x v="0"/>
    <s v="Ngoma"/>
    <s v="Murama"/>
    <s v="NAKU_2"/>
    <s v="Rweru Sub-Catchment"/>
    <n v="3153.6000000000004"/>
  </r>
  <r>
    <x v="3"/>
    <s v="KADOBOGO"/>
    <s v="Public"/>
    <x v="0"/>
    <s v="Ngoma"/>
    <s v="Murama"/>
    <s v="NAKU_2"/>
    <s v="Rweru Sub-Catchment"/>
    <n v="6307.2000000000007"/>
  </r>
  <r>
    <x v="3"/>
    <s v="KABASHIMA"/>
    <s v="Public"/>
    <x v="0"/>
    <s v="Ngoma"/>
    <s v="Murama"/>
    <s v="NAKU_2"/>
    <s v="Rweru Sub-Catchment"/>
    <n v="23652.000000000004"/>
  </r>
  <r>
    <x v="3"/>
    <s v="KIROGO"/>
    <s v="Public"/>
    <x v="0"/>
    <s v="Ngoma"/>
    <s v="Murama"/>
    <s v="NAKU_2"/>
    <s v="Rweru Sub-Catchment"/>
    <n v="4730.4000000000005"/>
  </r>
  <r>
    <x v="3"/>
    <s v="GITOBE"/>
    <s v="Public"/>
    <x v="0"/>
    <s v="Kirehe"/>
    <s v="Musaza"/>
    <s v="NAKU_2"/>
    <s v="Rweru Sub-Catchment"/>
    <n v="4730.4000000000005"/>
  </r>
  <r>
    <x v="3"/>
    <s v="NYAGIHANGA"/>
    <s v="Public"/>
    <x v="0"/>
    <s v="Kirehe"/>
    <s v="Mushikiri"/>
    <s v="NAKU_2"/>
    <s v="Rweru Sub-Catchment"/>
    <n v="15768.000000000002"/>
  </r>
  <r>
    <x v="3"/>
    <s v="KAMACUMU 1"/>
    <s v="Public"/>
    <x v="0"/>
    <s v="Ngoma"/>
    <s v="Mutenderi"/>
    <s v="NAKU_2"/>
    <s v="Rweru Sub-Catchment"/>
    <n v="0"/>
  </r>
  <r>
    <x v="3"/>
    <s v="KAMACUMU 2"/>
    <s v="Public"/>
    <x v="0"/>
    <s v="Ngoma"/>
    <s v="Mutenderi"/>
    <s v="NAKU_2"/>
    <s v="Rweru Sub-Catchment"/>
    <n v="15768.000000000002"/>
  </r>
  <r>
    <x v="3"/>
    <s v="KAMIRANZOVU 2"/>
    <s v="Public"/>
    <x v="0"/>
    <s v="Ngoma"/>
    <s v="Mutenderi"/>
    <s v="NAKU_2"/>
    <s v="Rweru Sub-Catchment"/>
    <n v="25228.800000000003"/>
  </r>
  <r>
    <x v="3"/>
    <s v="KAMIRANZOVU 1"/>
    <s v="Public"/>
    <x v="0"/>
    <s v="Ngoma"/>
    <s v="Mutenderi"/>
    <s v="NAKU_2"/>
    <s v="Rweru Sub-Catchment"/>
    <n v="9460.8000000000011"/>
  </r>
  <r>
    <x v="3"/>
    <s v="MUSENYI"/>
    <s v="Public"/>
    <x v="0"/>
    <s v="Ngoma"/>
    <s v="Mutenderi"/>
    <s v="NAKU_2"/>
    <s v="Rweru Sub-Catchment"/>
    <n v="70955.999999999985"/>
  </r>
  <r>
    <x v="3"/>
    <s v="CYAHAFI"/>
    <s v="Public"/>
    <x v="0"/>
    <s v="Ngoma"/>
    <s v="Mutenderi"/>
    <s v="NAKU_2"/>
    <s v="Rweru Sub-Catchment"/>
    <n v="0"/>
  </r>
  <r>
    <x v="3"/>
    <s v="KARUNGURUKA"/>
    <s v="Public"/>
    <x v="0"/>
    <s v="Kirehe"/>
    <s v="Nyarubuye"/>
    <s v="NAKU_2"/>
    <s v="Rweru Sub-Catchment"/>
    <n v="7221.7440000000006"/>
  </r>
  <r>
    <x v="3"/>
    <s v="GAHACU"/>
    <s v="Public"/>
    <x v="0"/>
    <s v="Ngoma"/>
    <s v="Rukira"/>
    <s v="NAKU_2"/>
    <s v="Rweru Sub-Catchment"/>
    <n v="23652.000000000004"/>
  </r>
  <r>
    <x v="3"/>
    <s v="MUGOMERO"/>
    <s v="Public"/>
    <x v="0"/>
    <s v="Ngoma"/>
    <s v="Rukira"/>
    <s v="NAKU_2"/>
    <s v="Rweru Sub-Catchment"/>
    <n v="1576.8000000000002"/>
  </r>
  <r>
    <x v="3"/>
    <s v="KINUKA"/>
    <s v="Public"/>
    <x v="0"/>
    <s v="Ngoma"/>
    <s v="Rukira"/>
    <s v="NAKU_2"/>
    <s v="Rweru Sub-Catchment"/>
    <n v="3942.0000000000005"/>
  </r>
  <r>
    <x v="3"/>
    <s v="KANSHOBORE"/>
    <s v="Public"/>
    <x v="0"/>
    <s v="Ngoma"/>
    <s v="Rukira"/>
    <s v="NAKU_2"/>
    <s v="Rweru Sub-Catchment"/>
    <n v="12614.400000000001"/>
  </r>
  <r>
    <x v="3"/>
    <s v="KUMUGANO"/>
    <s v="Public"/>
    <x v="0"/>
    <s v="Ngoma"/>
    <s v="Rukira"/>
    <s v="NAKU_2"/>
    <s v="Rweru Sub-Catchment"/>
    <n v="3153.6000000000004"/>
  </r>
  <r>
    <x v="3"/>
    <s v="RWANYAKAGEZI"/>
    <s v="Public"/>
    <x v="0"/>
    <s v="Ngoma"/>
    <s v="Rukira"/>
    <s v="NAKU_2"/>
    <s v="Rweru Sub-Catchment"/>
    <n v="4730.4000000000005"/>
  </r>
  <r>
    <x v="3"/>
    <s v="RUBILIZI"/>
    <s v="Public"/>
    <x v="0"/>
    <s v="Ngoma"/>
    <s v="Rukira"/>
    <s v="NAKU_2"/>
    <s v="Rweru Sub-Catchment"/>
    <n v="39420"/>
  </r>
  <r>
    <x v="3"/>
    <s v="RUGARAMA"/>
    <s v="Public"/>
    <x v="0"/>
    <s v="Rubavu"/>
    <s v="Busasamana"/>
    <s v="CKIV_1"/>
    <s v="Sebeya Sub-Catchment"/>
    <n v="867.24000000000012"/>
  </r>
  <r>
    <x v="3"/>
    <s v="KABINGO"/>
    <s v="Public"/>
    <x v="0"/>
    <s v="Rubavu"/>
    <s v="Busasamana"/>
    <s v="CKIV_1"/>
    <s v="Sebeya Sub-Catchment"/>
    <n v="1434.8879999999999"/>
  </r>
  <r>
    <x v="3"/>
    <s v="KANTWARI"/>
    <s v="Public"/>
    <x v="0"/>
    <s v="Rubavu"/>
    <s v="Busasamana"/>
    <s v="CKIV_1"/>
    <s v="Sebeya Sub-Catchment"/>
    <n v="804.16799999999989"/>
  </r>
  <r>
    <x v="3"/>
    <s v="NYAGATEKE"/>
    <s v="Public"/>
    <x v="0"/>
    <s v="Rubavu"/>
    <s v="Busasamana"/>
    <s v="CKIV_1"/>
    <s v="Sebeya Sub-Catchment"/>
    <n v="599.18399999999986"/>
  </r>
  <r>
    <x v="3"/>
    <s v="MUHAMA"/>
    <s v="Public"/>
    <x v="0"/>
    <s v="Rubavu"/>
    <s v="Busasamana"/>
    <s v="CKIV_1"/>
    <s v="Sebeya Sub-Catchment"/>
    <n v="5250.7439999999997"/>
  </r>
  <r>
    <x v="3"/>
    <s v="KAVUMU"/>
    <s v="Public"/>
    <x v="0"/>
    <s v="Rubavu"/>
    <s v="Busasamana"/>
    <s v="CKIV_1"/>
    <s v="Sebeya Sub-Catchment"/>
    <n v="2626.9488000000001"/>
  </r>
  <r>
    <x v="3"/>
    <s v="KADAHIGIMA 2"/>
    <s v="Public"/>
    <x v="0"/>
    <s v="Rubavu"/>
    <s v="Busasamana"/>
    <s v="CKIV_1"/>
    <s v="Sebeya Sub-Catchment"/>
    <n v="646.48800000000006"/>
  </r>
  <r>
    <x v="3"/>
    <s v="KADAHIGIMA"/>
    <s v="Public"/>
    <x v="0"/>
    <s v="Rubavu"/>
    <s v="Busasamana"/>
    <s v="CKIV_1"/>
    <s v="Sebeya Sub-Catchment"/>
    <n v="1576.8000000000002"/>
  </r>
  <r>
    <x v="3"/>
    <s v="NGORO"/>
    <s v="Public"/>
    <x v="0"/>
    <s v="Rubavu"/>
    <s v="Busasamana"/>
    <s v="CKIV_1"/>
    <s v="Sebeya Sub-Catchment"/>
    <n v="473.04"/>
  </r>
  <r>
    <x v="3"/>
    <s v="RWAMUBARE"/>
    <s v="Public"/>
    <x v="0"/>
    <s v="Rubavu"/>
    <s v="Busasamana"/>
    <s v="CKIV_1"/>
    <s v="Sebeya Sub-Catchment"/>
    <n v="315.36"/>
  </r>
  <r>
    <x v="3"/>
    <s v="MUNYANDINDA"/>
    <s v="Public"/>
    <x v="0"/>
    <s v="Rubavu"/>
    <s v="Busasamana"/>
    <s v="CKIV_1"/>
    <s v="Sebeya Sub-Catchment"/>
    <n v="1751.9824799999997"/>
  </r>
  <r>
    <x v="3"/>
    <s v="REBERO"/>
    <s v="Public"/>
    <x v="0"/>
    <s v="Rubavu"/>
    <s v="Busasamana"/>
    <s v="CKIV_1"/>
    <s v="Sebeya Sub-Catchment"/>
    <n v="1277.2080000000001"/>
  </r>
  <r>
    <x v="3"/>
    <s v="NGORO 2"/>
    <s v="Public"/>
    <x v="0"/>
    <s v="Rubavu"/>
    <s v="Busasamana"/>
    <s v="CKIV_1"/>
    <s v="Sebeya Sub-Catchment"/>
    <n v="15.768000000000001"/>
  </r>
  <r>
    <x v="3"/>
    <s v="MUBASINGA"/>
    <s v="Public"/>
    <x v="0"/>
    <s v="Rubavu"/>
    <s v="Busasamana"/>
    <s v="CKIV_1"/>
    <s v="Sebeya Sub-Catchment"/>
    <n v="331.1280000000001"/>
  </r>
  <r>
    <x v="3"/>
    <s v="RUGO"/>
    <s v="Public"/>
    <x v="0"/>
    <s v="Rubavu"/>
    <s v="Busasamana"/>
    <s v="CKIV_1"/>
    <s v="Sebeya Sub-Catchment"/>
    <n v="914.5440000000001"/>
  </r>
  <r>
    <x v="3"/>
    <s v="KAYENZI"/>
    <s v="Public"/>
    <x v="0"/>
    <s v="Rubavu"/>
    <s v="Busasamana"/>
    <s v="CKIV_1"/>
    <s v="Sebeya Sub-Catchment"/>
    <n v="1971.0000000000002"/>
  </r>
  <r>
    <x v="3"/>
    <s v="GATARE"/>
    <s v="Public"/>
    <x v="0"/>
    <s v="Rubavu"/>
    <s v="Busasamana"/>
    <s v="CKIV_1"/>
    <s v="Sebeya Sub-Catchment"/>
    <n v="15.768000000000001"/>
  </r>
  <r>
    <x v="3"/>
    <s v="NYAMUKO"/>
    <s v="Public"/>
    <x v="0"/>
    <s v="Rubavu"/>
    <s v="Busasamana"/>
    <s v="CKIV_1"/>
    <s v="Sebeya Sub-Catchment"/>
    <n v="2065.6080000000002"/>
  </r>
  <r>
    <x v="3"/>
    <s v="NYAKABINGO"/>
    <s v="Public"/>
    <x v="0"/>
    <s v="Rubavu"/>
    <s v="Busasamana"/>
    <s v="CKIV_1"/>
    <s v="Sebeya Sub-Catchment"/>
    <n v="788.40000000000009"/>
  </r>
  <r>
    <x v="3"/>
    <s v="RUGUHU"/>
    <s v="Public"/>
    <x v="0"/>
    <s v="Rubavu"/>
    <s v="Busasamana"/>
    <s v="CKIV_1"/>
    <s v="Sebeya Sub-Catchment"/>
    <n v="1277.2080000000001"/>
  </r>
  <r>
    <x v="3"/>
    <s v="GASEKE"/>
    <s v="Public"/>
    <x v="0"/>
    <s v="Rubavu"/>
    <s v="Busasamana"/>
    <s v="CKIV_1"/>
    <s v="Sebeya Sub-Catchment"/>
    <n v="1308.7440000000001"/>
  </r>
  <r>
    <x v="3"/>
    <s v="RWABIGEGA"/>
    <s v="Public"/>
    <x v="0"/>
    <s v="Rubavu"/>
    <s v="Busasamana"/>
    <s v="CKIV_1"/>
    <s v="Sebeya Sub-Catchment"/>
    <n v="1971.0000000000002"/>
  </r>
  <r>
    <x v="3"/>
    <s v="RWABUTITA"/>
    <s v="Public"/>
    <x v="0"/>
    <s v="Rubavu"/>
    <s v="Busasamana"/>
    <s v="CKIV_1"/>
    <s v="Sebeya Sub-Catchment"/>
    <n v="1166.8319999999999"/>
  </r>
  <r>
    <x v="3"/>
    <s v="NYAKABINGO 2"/>
    <s v="Public"/>
    <x v="0"/>
    <s v="Rubavu"/>
    <s v="Busasamana"/>
    <s v="CKIV_1"/>
    <s v="Sebeya Sub-Catchment"/>
    <n v="867.24000000000012"/>
  </r>
  <r>
    <x v="3"/>
    <s v="GAKONI"/>
    <s v="Public"/>
    <x v="0"/>
    <s v="Rubavu"/>
    <s v="Busasamana"/>
    <s v="CKIV_1"/>
    <s v="Sebeya Sub-Catchment"/>
    <n v="867.24000000000012"/>
  </r>
  <r>
    <x v="3"/>
    <s v="KWA GISIMBA"/>
    <s v="Public"/>
    <x v="0"/>
    <s v="Rubavu"/>
    <s v="Busasamana"/>
    <s v="CKIV_1"/>
    <s v="Sebeya Sub-Catchment"/>
    <n v="2626.9488000000001"/>
  </r>
  <r>
    <x v="3"/>
    <s v="RWINYANA"/>
    <s v="Public"/>
    <x v="0"/>
    <s v="Rubavu"/>
    <s v="Busasamana"/>
    <s v="CKIV_1"/>
    <s v="Sebeya Sub-Catchment"/>
    <n v="15.768000000000001"/>
  </r>
  <r>
    <x v="3"/>
    <s v="KIVOMO"/>
    <s v="Public"/>
    <x v="0"/>
    <s v="Rubavu"/>
    <s v="Busasamana"/>
    <s v="CKIV_1"/>
    <s v="Sebeya Sub-Catchment"/>
    <n v="2365.2000000000003"/>
  </r>
  <r>
    <x v="3"/>
    <s v="GATARE"/>
    <s v="Public"/>
    <x v="0"/>
    <s v="Rubavu"/>
    <s v="Busasamana"/>
    <s v="CKIV_1"/>
    <s v="Sebeya Sub-Catchment"/>
    <n v="394.20000000000005"/>
  </r>
  <r>
    <x v="3"/>
    <s v="GASEKE"/>
    <s v="Public"/>
    <x v="0"/>
    <s v="Rubavu"/>
    <s v="Busasamana"/>
    <s v="CKIV_1"/>
    <s v="Sebeya Sub-Catchment"/>
    <n v="2065.6080000000002"/>
  </r>
  <r>
    <x v="3"/>
    <s v="GATOVU"/>
    <s v="Public"/>
    <x v="0"/>
    <s v="Rubavu"/>
    <s v="Busasamana"/>
    <s v="CKIV_1"/>
    <s v="Sebeya Sub-Catchment"/>
    <n v="1229.904"/>
  </r>
  <r>
    <x v="3"/>
    <s v="RWABURASE"/>
    <s v="Public"/>
    <x v="0"/>
    <s v="Rubavu"/>
    <s v="Busasamana"/>
    <s v="CKIV_1"/>
    <s v="Sebeya Sub-Catchment"/>
    <n v="15.768000000000001"/>
  </r>
  <r>
    <x v="3"/>
    <s v="RWINTAMA"/>
    <s v="Public"/>
    <x v="0"/>
    <s v="Rubavu"/>
    <s v="Busasamana"/>
    <s v="CKIV_1"/>
    <s v="Sebeya Sub-Catchment"/>
    <n v="78.84"/>
  </r>
  <r>
    <x v="3"/>
    <s v="GASHYEKE"/>
    <s v="Public"/>
    <x v="0"/>
    <s v="Rubavu"/>
    <s v="Busasamana"/>
    <s v="CKIV_1"/>
    <s v="Sebeya Sub-Catchment"/>
    <n v="474.61679999999996"/>
  </r>
  <r>
    <x v="3"/>
    <s v="KWA FRANCOIS"/>
    <s v="Public"/>
    <x v="0"/>
    <s v="Rubavu"/>
    <s v="Busasamana"/>
    <s v="CKIV_1"/>
    <s v="Sebeya Sub-Catchment"/>
    <n v="78.84"/>
  </r>
  <r>
    <x v="3"/>
    <s v="NYIRANTARENGWA"/>
    <s v="Public"/>
    <x v="0"/>
    <s v="Rubavu"/>
    <s v="Busasamana"/>
    <s v="CKIV_1"/>
    <s v="Sebeya Sub-Catchment"/>
    <n v="2207.5200000000004"/>
  </r>
  <r>
    <x v="3"/>
    <s v="NYAKWIBEREKA"/>
    <s v="Public"/>
    <x v="0"/>
    <s v="Rubavu"/>
    <s v="Busasamana"/>
    <s v="CKIV_1"/>
    <s v="Sebeya Sub-Catchment"/>
    <n v="2254.8239999999996"/>
  </r>
  <r>
    <x v="3"/>
    <s v="MISUNIKO 2"/>
    <s v="Public"/>
    <x v="0"/>
    <s v="Rubavu"/>
    <s v="Busasamana"/>
    <s v="CKIV_1"/>
    <s v="Sebeya Sub-Catchment"/>
    <n v="961.84799999999996"/>
  </r>
  <r>
    <x v="3"/>
    <s v="MISUNIKO"/>
    <s v="Public"/>
    <x v="0"/>
    <s v="Rubavu"/>
    <s v="Busasamana"/>
    <s v="CKIV_1"/>
    <s v="Sebeya Sub-Catchment"/>
    <n v="1734.4800000000002"/>
  </r>
  <r>
    <x v="3"/>
    <s v="KWA RUTETE"/>
    <s v="Public"/>
    <x v="0"/>
    <s v="Rubavu"/>
    <s v="Busasamana"/>
    <s v="CKIV_1"/>
    <s v="Sebeya Sub-Catchment"/>
    <n v="1277.2080000000001"/>
  </r>
  <r>
    <x v="3"/>
    <s v="GASENYI"/>
    <s v="Public"/>
    <x v="0"/>
    <s v="Rubavu"/>
    <s v="Busasamana"/>
    <s v="CKIV_1"/>
    <s v="Sebeya Sub-Catchment"/>
    <n v="805.74480000000005"/>
  </r>
  <r>
    <x v="3"/>
    <s v="MUNKERI"/>
    <s v="Public"/>
    <x v="0"/>
    <s v="Rubavu"/>
    <s v="Busasamana"/>
    <s v="CKIV_1"/>
    <s v="Sebeya Sub-Catchment"/>
    <n v="1608.3359999999998"/>
  </r>
  <r>
    <x v="3"/>
    <s v="KABINGO"/>
    <s v="Public"/>
    <x v="0"/>
    <s v="Rubavu"/>
    <s v="Busasamana"/>
    <s v="CKIV_1"/>
    <s v="Sebeya Sub-Catchment"/>
    <n v="551.88000000000011"/>
  </r>
  <r>
    <x v="3"/>
    <s v="GAKO"/>
    <s v="Public"/>
    <x v="0"/>
    <s v="Rubavu"/>
    <s v="Busasamana"/>
    <s v="CKIV_1"/>
    <s v="Sebeya Sub-Catchment"/>
    <n v="1277.2080000000001"/>
  </r>
  <r>
    <x v="3"/>
    <s v="NYAKABINGO"/>
    <s v="Public"/>
    <x v="0"/>
    <s v="Rubavu"/>
    <s v="Busasamana"/>
    <s v="CKIV_1"/>
    <s v="Sebeya Sub-Catchment"/>
    <n v="6622.5599999999995"/>
  </r>
  <r>
    <x v="3"/>
    <s v="RUGANO"/>
    <s v="Public"/>
    <x v="0"/>
    <s v="Rubavu"/>
    <s v="Busasamana"/>
    <s v="CKIV_1"/>
    <s v="Sebeya Sub-Catchment"/>
    <n v="804.16799999999989"/>
  </r>
  <r>
    <x v="3"/>
    <s v="KAZABAGARURA"/>
    <s v="Public"/>
    <x v="0"/>
    <s v="Rubavu"/>
    <s v="Busasamana"/>
    <s v="CKIV_1"/>
    <s v="Sebeya Sub-Catchment"/>
    <n v="835.70400000000006"/>
  </r>
  <r>
    <x v="3"/>
    <s v="GATARE"/>
    <s v="Public"/>
    <x v="0"/>
    <s v="Rubavu"/>
    <s v="Busasamana"/>
    <s v="CKIV_1"/>
    <s v="Sebeya Sub-Catchment"/>
    <n v="15.768000000000001"/>
  </r>
  <r>
    <x v="3"/>
    <s v="KWA MUHUTU"/>
    <s v="Public"/>
    <x v="0"/>
    <s v="Rubavu"/>
    <s v="Busasamana"/>
    <s v="CKIV_1"/>
    <s v="Sebeya Sub-Catchment"/>
    <n v="2854.0080000000003"/>
  </r>
  <r>
    <x v="3"/>
    <s v="CYAHAFI"/>
    <s v="Public"/>
    <x v="0"/>
    <s v="Rubavu"/>
    <s v="Busasamana"/>
    <s v="CKIV_1"/>
    <s v="Sebeya Sub-Catchment"/>
    <n v="331.1280000000001"/>
  </r>
  <r>
    <x v="3"/>
    <s v="GATOVU"/>
    <s v="Public"/>
    <x v="0"/>
    <s v="Rubavu"/>
    <s v="Busasamana"/>
    <s v="CKIV_1"/>
    <s v="Sebeya Sub-Catchment"/>
    <n v="1198.3679999999997"/>
  </r>
  <r>
    <x v="3"/>
    <s v="KAMUSAMBI"/>
    <s v="Public"/>
    <x v="0"/>
    <s v="Rubavu"/>
    <s v="Busasamana"/>
    <s v="CKIV_1"/>
    <s v="Sebeya Sub-Catchment"/>
    <n v="835.70400000000006"/>
  </r>
  <r>
    <x v="3"/>
    <s v="NYAGASAZA"/>
    <s v="Public"/>
    <x v="0"/>
    <s v="Rubavu"/>
    <s v="Busasamana"/>
    <s v="CKIV_1"/>
    <s v="Sebeya Sub-Catchment"/>
    <n v="395.77679999999998"/>
  </r>
  <r>
    <x v="3"/>
    <s v="KIVOMO"/>
    <s v="Public"/>
    <x v="0"/>
    <s v="Rubavu"/>
    <s v="Busasamana"/>
    <s v="CKIV_1"/>
    <s v="Sebeya Sub-Catchment"/>
    <n v="961.84799999999996"/>
  </r>
  <r>
    <x v="3"/>
    <s v="KABASHYI"/>
    <s v="Public"/>
    <x v="0"/>
    <s v="Rubavu"/>
    <s v="Busasamana"/>
    <s v="CKIV_1"/>
    <s v="Sebeya Sub-Catchment"/>
    <n v="1277.2080000000001"/>
  </r>
  <r>
    <x v="3"/>
    <s v="GATOVU"/>
    <s v="Public"/>
    <x v="0"/>
    <s v="Rubavu"/>
    <s v="Busasamana"/>
    <s v="CKIV_1"/>
    <s v="Sebeya Sub-Catchment"/>
    <n v="1751.8248000000001"/>
  </r>
  <r>
    <x v="3"/>
    <s v="AGATEGE"/>
    <s v="Public"/>
    <x v="0"/>
    <s v="Rubavu"/>
    <s v="Busasamana"/>
    <s v="CKIV_1"/>
    <s v="Sebeya Sub-Catchment"/>
    <n v="1277.2080000000001"/>
  </r>
  <r>
    <x v="3"/>
    <s v="MATER DEI"/>
    <s v="Public"/>
    <x v="0"/>
    <s v="Rubavu"/>
    <s v="Busasamana"/>
    <s v="CKIV_1"/>
    <s v="Sebeya Sub-Catchment"/>
    <n v="175.02480000000003"/>
  </r>
  <r>
    <x v="3"/>
    <s v="MUBATYABA"/>
    <s v="Public"/>
    <x v="0"/>
    <s v="Rubavu"/>
    <s v="Busasamana"/>
    <s v="CKIV_1"/>
    <s v="Sebeya Sub-Catchment"/>
    <n v="1308.7440000000001"/>
  </r>
  <r>
    <x v="3"/>
    <s v="MUBITUKU"/>
    <s v="Public"/>
    <x v="0"/>
    <s v="Rubavu"/>
    <s v="Busasamana"/>
    <s v="CKIV_1"/>
    <s v="Sebeya Sub-Catchment"/>
    <n v="1876.3920000000003"/>
  </r>
  <r>
    <x v="3"/>
    <s v="KWA SENEZA"/>
    <s v="Public"/>
    <x v="0"/>
    <s v="Rubavu"/>
    <s v="Busasamana"/>
    <s v="CKIV_1"/>
    <s v="Sebeya Sub-Catchment"/>
    <n v="15.768000000000001"/>
  </r>
  <r>
    <x v="3"/>
    <s v="BUKI"/>
    <s v="Public"/>
    <x v="0"/>
    <s v="Rubavu"/>
    <s v="Busasamana"/>
    <s v="CKIV_1"/>
    <s v="Sebeya Sub-Catchment"/>
    <n v="2459.808"/>
  </r>
  <r>
    <x v="3"/>
    <s v="KAGINA"/>
    <s v="Public"/>
    <x v="0"/>
    <s v="Rubavu"/>
    <s v="Busasamana"/>
    <s v="CKIV_1"/>
    <s v="Sebeya Sub-Catchment"/>
    <n v="2469.2688000000003"/>
  </r>
  <r>
    <x v="3"/>
    <s v="RWAMUKONDO"/>
    <s v="Public"/>
    <x v="0"/>
    <s v="Rubavu"/>
    <s v="Busasamana"/>
    <s v="CKIV_1"/>
    <s v="Sebeya Sub-Catchment"/>
    <n v="804.16799999999989"/>
  </r>
  <r>
    <x v="3"/>
    <s v="IBAGIRO"/>
    <s v="Public"/>
    <x v="0"/>
    <s v="Rubavu"/>
    <s v="Busasamana"/>
    <s v="CKIV_1"/>
    <s v="Sebeya Sub-Catchment"/>
    <n v="395.77679999999998"/>
  </r>
  <r>
    <x v="3"/>
    <s v="NYAMAGANA"/>
    <s v="Public"/>
    <x v="0"/>
    <s v="Rubavu"/>
    <s v="Busasamana"/>
    <s v="CKIV_1"/>
    <s v="Sebeya Sub-Catchment"/>
    <n v="648.06479999999988"/>
  </r>
  <r>
    <x v="3"/>
    <s v="GATARE 2"/>
    <s v="Public"/>
    <x v="0"/>
    <s v="Rubavu"/>
    <s v="Busasamana"/>
    <s v="CKIV_1"/>
    <s v="Sebeya Sub-Catchment"/>
    <n v="867.24000000000012"/>
  </r>
  <r>
    <x v="3"/>
    <s v="GASHONONO"/>
    <s v="Public"/>
    <x v="0"/>
    <s v="Rubavu"/>
    <s v="Busasamana"/>
    <s v="CKIV_1"/>
    <s v="Sebeya Sub-Catchment"/>
    <n v="1371.816"/>
  </r>
  <r>
    <x v="3"/>
    <s v="GITOVU"/>
    <s v="Public"/>
    <x v="0"/>
    <s v="Rubavu"/>
    <s v="Busasamana"/>
    <s v="CKIV_1"/>
    <s v="Sebeya Sub-Catchment"/>
    <n v="1751.8248000000001"/>
  </r>
  <r>
    <x v="3"/>
    <s v="GIHANGA"/>
    <s v="Public"/>
    <x v="0"/>
    <s v="Rubavu"/>
    <s v="Busasamana"/>
    <s v="CKIV_1"/>
    <s v="Sebeya Sub-Catchment"/>
    <n v="646.48800000000006"/>
  </r>
  <r>
    <x v="3"/>
    <s v="CYAHAFI"/>
    <s v="Public"/>
    <x v="0"/>
    <s v="Rubavu"/>
    <s v="Busasamana"/>
    <s v="CKIV_1"/>
    <s v="Sebeya Sub-Catchment"/>
    <n v="474.61679999999996"/>
  </r>
  <r>
    <x v="3"/>
    <s v="RWABARENGO"/>
    <s v="Public"/>
    <x v="0"/>
    <s v="Rubavu"/>
    <s v="Busasamana"/>
    <s v="CKIV_1"/>
    <s v="Sebeya Sub-Catchment"/>
    <n v="2239.0559999999996"/>
  </r>
  <r>
    <x v="3"/>
    <s v="KADOBOGO"/>
    <s v="Public"/>
    <x v="0"/>
    <s v="Rubavu"/>
    <s v="Busasamana"/>
    <s v="CKIV_1"/>
    <s v="Sebeya Sub-Catchment"/>
    <n v="2412.5039999999999"/>
  </r>
  <r>
    <x v="3"/>
    <s v="IGIPOMPO"/>
    <s v="Public"/>
    <x v="0"/>
    <s v="Rubavu"/>
    <s v="Busasamana"/>
    <s v="CKIV_1"/>
    <s v="Sebeya Sub-Catchment"/>
    <n v="2627.8948800000003"/>
  </r>
  <r>
    <x v="3"/>
    <s v="KAGUHU"/>
    <s v="Public"/>
    <x v="0"/>
    <s v="Rubavu"/>
    <s v="Busasamana"/>
    <s v="CKIV_1"/>
    <s v="Sebeya Sub-Catchment"/>
    <n v="804.16799999999989"/>
  </r>
  <r>
    <x v="3"/>
    <s v="GATSINA"/>
    <s v="Public"/>
    <x v="0"/>
    <s v="Rubavu"/>
    <s v="Busasamana"/>
    <s v="CKIV_1"/>
    <s v="Sebeya Sub-Catchment"/>
    <n v="520.34400000000005"/>
  </r>
  <r>
    <x v="3"/>
    <s v="KWA ARONI"/>
    <s v="Public"/>
    <x v="0"/>
    <s v="Rubavu"/>
    <s v="Busasamana"/>
    <s v="CKIV_1"/>
    <s v="Sebeya Sub-Catchment"/>
    <n v="3957.7680000000005"/>
  </r>
  <r>
    <x v="3"/>
    <s v="KWA MICHEL"/>
    <s v="Public"/>
    <x v="0"/>
    <s v="Rubavu"/>
    <s v="Busasamana"/>
    <s v="CKIV_1"/>
    <s v="Sebeya Sub-Catchment"/>
    <n v="1121.1047999999998"/>
  </r>
  <r>
    <x v="3"/>
    <s v="CYABATWA"/>
    <s v="Public"/>
    <x v="0"/>
    <s v="Rubavu"/>
    <s v="Busasamana"/>
    <s v="CKIV_1"/>
    <s v="Sebeya Sub-Catchment"/>
    <n v="525.07440000000008"/>
  </r>
  <r>
    <x v="3"/>
    <s v="CYANYUNGURA"/>
    <s v="Public"/>
    <x v="0"/>
    <s v="Rutsiro"/>
    <s v="Kivumu"/>
    <s v="CKIV_1"/>
    <s v="Sebeya Sub-Catchment"/>
    <n v="1892.16"/>
  </r>
  <r>
    <x v="3"/>
    <s v="BUHOGO"/>
    <s v="Public"/>
    <x v="0"/>
    <s v="Rutsiro"/>
    <s v="Kivumu"/>
    <s v="CKIV_1"/>
    <s v="Sebeya Sub-Catchment"/>
    <n v="1892.16"/>
  </r>
  <r>
    <x v="3"/>
    <s v="KANYAMATEMBE"/>
    <s v="Public"/>
    <x v="0"/>
    <s v="Rutsiro"/>
    <s v="Kivumu"/>
    <s v="CKIV_1"/>
    <s v="Sebeya Sub-Catchment"/>
    <n v="9460.8000000000011"/>
  </r>
  <r>
    <x v="3"/>
    <s v="KABUYE"/>
    <s v="Public"/>
    <x v="0"/>
    <s v="Rutsiro"/>
    <s v="Kivumu"/>
    <s v="CKIV_1"/>
    <s v="Sebeya Sub-Catchment"/>
    <n v="1892.16"/>
  </r>
  <r>
    <x v="3"/>
    <s v="GATAKO"/>
    <s v="Public"/>
    <x v="0"/>
    <s v="Rutsiro"/>
    <s v="Kivumu"/>
    <s v="CKIV_1"/>
    <s v="Sebeya Sub-Catchment"/>
    <n v="630.72"/>
  </r>
  <r>
    <x v="3"/>
    <s v="BUTANGA"/>
    <s v="Public"/>
    <x v="0"/>
    <s v="Rutsiro"/>
    <s v="Kivumu"/>
    <s v="CKIV_1"/>
    <s v="Sebeya Sub-Catchment"/>
    <n v="157680"/>
  </r>
  <r>
    <x v="3"/>
    <s v="BUNYOGORI"/>
    <s v="Public"/>
    <x v="0"/>
    <s v="Rutsiro"/>
    <s v="Kivumu"/>
    <s v="CKIV_1"/>
    <s v="Sebeya Sub-Catchment"/>
    <n v="2049.84"/>
  </r>
  <r>
    <x v="3"/>
    <s v="MASHYOZA"/>
    <s v="Public"/>
    <x v="0"/>
    <s v="Rutsiro"/>
    <s v="Kivumu"/>
    <s v="CKIV_1"/>
    <s v="Sebeya Sub-Catchment"/>
    <n v="5203.4400000000005"/>
  </r>
  <r>
    <x v="3"/>
    <s v="KABIRIZI"/>
    <s v="Public"/>
    <x v="0"/>
    <s v="Rutsiro"/>
    <s v="Kivumu"/>
    <s v="CKIV_1"/>
    <s v="Sebeya Sub-Catchment"/>
    <n v="4730.4000000000005"/>
  </r>
  <r>
    <x v="3"/>
    <s v="KAMWIMBA"/>
    <s v="Public"/>
    <x v="0"/>
    <s v="Rutsiro"/>
    <s v="Kivumu"/>
    <s v="CKIV_1"/>
    <s v="Sebeya Sub-Catchment"/>
    <n v="3153.6000000000004"/>
  </r>
  <r>
    <x v="3"/>
    <s v="KINYAMPUNDU"/>
    <s v="Public"/>
    <x v="0"/>
    <s v="Rutsiro"/>
    <s v="Kivumu"/>
    <s v="CKIV_1"/>
    <s v="Sebeya Sub-Catchment"/>
    <n v="3468.9600000000005"/>
  </r>
  <r>
    <x v="3"/>
    <s v="GAHONDOHONDO"/>
    <s v="Public"/>
    <x v="0"/>
    <s v="Rutsiro"/>
    <s v="Kivumu"/>
    <s v="CKIV_1"/>
    <s v="Sebeya Sub-Catchment"/>
    <n v="788.40000000000009"/>
  </r>
  <r>
    <x v="3"/>
    <s v="NGANZO"/>
    <s v="Public"/>
    <x v="0"/>
    <s v="Rutsiro"/>
    <s v="Kivumu"/>
    <s v="CKIV_1"/>
    <s v="Sebeya Sub-Catchment"/>
    <n v="1892.16"/>
  </r>
  <r>
    <x v="3"/>
    <s v="BUSHAMBA"/>
    <s v="Public"/>
    <x v="0"/>
    <s v="Rutsiro"/>
    <s v="Kivumu"/>
    <s v="CKIV_1"/>
    <s v="Sebeya Sub-Catchment"/>
    <n v="4888.0800000000008"/>
  </r>
  <r>
    <x v="3"/>
    <s v="GATARE"/>
    <s v="Public"/>
    <x v="0"/>
    <s v="Rutsiro"/>
    <s v="Kivumu"/>
    <s v="CKIV_1"/>
    <s v="Sebeya Sub-Catchment"/>
    <n v="204.98400000000001"/>
  </r>
  <r>
    <x v="3"/>
    <s v="SHABUSHERI"/>
    <s v="Public"/>
    <x v="0"/>
    <s v="Rutsiro"/>
    <s v="Kivumu"/>
    <s v="CKIV_1"/>
    <s v="Sebeya Sub-Catchment"/>
    <n v="1419.12"/>
  </r>
  <r>
    <x v="3"/>
    <s v="MATA"/>
    <s v="Public"/>
    <x v="0"/>
    <s v="Rutsiro"/>
    <s v="Nyabirasi"/>
    <s v="CKIV_1"/>
    <s v="Sebeya Sub-Catchment"/>
    <n v="1892.16"/>
  </r>
  <r>
    <x v="3"/>
    <s v="NGUNA"/>
    <s v="Public"/>
    <x v="0"/>
    <s v="Rutsiro"/>
    <s v="Nyabirasi"/>
    <s v="CKIV_1"/>
    <s v="Sebeya Sub-Catchment"/>
    <n v="2522.88"/>
  </r>
  <r>
    <x v="3"/>
    <s v="NYANZA"/>
    <s v="Public"/>
    <x v="0"/>
    <s v="Rutsiro"/>
    <s v="Nyabirasi"/>
    <s v="CKIV_1"/>
    <s v="Sebeya Sub-Catchment"/>
    <n v="1419.12"/>
  </r>
  <r>
    <x v="3"/>
    <s v="GACYAMO"/>
    <s v="Public"/>
    <x v="0"/>
    <s v="Rutsiro"/>
    <s v="Nyabirasi"/>
    <s v="CKIV_1"/>
    <s v="Sebeya Sub-Catchment"/>
    <n v="1576.8000000000002"/>
  </r>
  <r>
    <x v="3"/>
    <s v="KANYENGONA"/>
    <s v="Public"/>
    <x v="0"/>
    <s v="Rutsiro"/>
    <s v="Nyabirasi"/>
    <s v="CKIV_1"/>
    <s v="Sebeya Sub-Catchment"/>
    <n v="1734.4800000000002"/>
  </r>
  <r>
    <x v="3"/>
    <s v="BISHAMI"/>
    <s v="Public"/>
    <x v="0"/>
    <s v="Rutsiro"/>
    <s v="Nyabirasi"/>
    <s v="CKIV_1"/>
    <s v="Sebeya Sub-Catchment"/>
    <n v="9145.44"/>
  </r>
  <r>
    <x v="3"/>
    <s v="RUHAMIRA"/>
    <s v="Public"/>
    <x v="0"/>
    <s v="Rutsiro"/>
    <s v="Nyabirasi"/>
    <s v="CKIV_1"/>
    <s v="Sebeya Sub-Catchment"/>
    <n v="2365.2000000000003"/>
  </r>
  <r>
    <x v="3"/>
    <s v="NYARUBANDE"/>
    <s v="Public"/>
    <x v="0"/>
    <s v="Rutsiro"/>
    <s v="Nyabirasi"/>
    <s v="CKIV_1"/>
    <s v="Sebeya Sub-Catchment"/>
    <n v="1576.8000000000002"/>
  </r>
  <r>
    <x v="3"/>
    <s v="MUBITARE"/>
    <s v="Public"/>
    <x v="0"/>
    <s v="Rutsiro"/>
    <s v="Nyabirasi"/>
    <s v="CKIV_1"/>
    <s v="Sebeya Sub-Catchment"/>
    <n v="2522.88"/>
  </r>
  <r>
    <x v="3"/>
    <s v="GATARE"/>
    <s v="Public"/>
    <x v="0"/>
    <s v="Rutsiro"/>
    <s v="Nyabirasi"/>
    <s v="CKIV_1"/>
    <s v="Sebeya Sub-Catchment"/>
    <n v="1576.8000000000002"/>
  </r>
  <r>
    <x v="3"/>
    <s v="NYANGARUGANE"/>
    <s v="Public"/>
    <x v="0"/>
    <s v="Rutsiro"/>
    <s v="Nyabirasi"/>
    <s v="CKIV_1"/>
    <s v="Sebeya Sub-Catchment"/>
    <n v="2680.56"/>
  </r>
  <r>
    <x v="3"/>
    <s v="RUVUZUMWAMI"/>
    <s v="Public"/>
    <x v="0"/>
    <s v="Rutsiro"/>
    <s v="Nyabirasi"/>
    <s v="CKIV_1"/>
    <s v="Sebeya Sub-Catchment"/>
    <n v="1734.4800000000002"/>
  </r>
  <r>
    <x v="3"/>
    <s v="NDANGO"/>
    <s v="Public"/>
    <x v="0"/>
    <s v="Rutsiro"/>
    <s v="Nyabirasi"/>
    <s v="CKIV_1"/>
    <s v="Sebeya Sub-Catchment"/>
    <n v="2838.24"/>
  </r>
  <r>
    <x v="3"/>
    <s v="NYAFORONGO"/>
    <s v="Public"/>
    <x v="0"/>
    <s v="Rutsiro"/>
    <s v="Nyabirasi"/>
    <s v="CKIV_1"/>
    <s v="Sebeya Sub-Catchment"/>
    <n v="1734.4800000000002"/>
  </r>
  <r>
    <x v="3"/>
    <s v="KIGOMERO II"/>
    <s v="Public"/>
    <x v="0"/>
    <s v="Rutsiro"/>
    <s v="Nyabirasi"/>
    <s v="CKIV_1"/>
    <s v="Sebeya Sub-Catchment"/>
    <n v="5203.4400000000005"/>
  </r>
  <r>
    <x v="3"/>
    <s v="RWANKUBA"/>
    <s v="Public"/>
    <x v="0"/>
    <s v="Rutsiro"/>
    <s v="Nyabirasi"/>
    <s v="CKIV_1"/>
    <s v="Sebeya Sub-Catchment"/>
    <n v="2522.88"/>
  </r>
  <r>
    <x v="3"/>
    <s v="GAKOMEYE"/>
    <s v="Public"/>
    <x v="0"/>
    <s v="Rutsiro"/>
    <s v="Nyabirasi"/>
    <s v="CKIV_1"/>
    <s v="Sebeya Sub-Catchment"/>
    <n v="3626.64"/>
  </r>
  <r>
    <x v="3"/>
    <s v="KAVUMU"/>
    <s v="Public"/>
    <x v="0"/>
    <s v="Rutsiro"/>
    <s v="Nyabirasi"/>
    <s v="CKIV_1"/>
    <s v="Sebeya Sub-Catchment"/>
    <n v="2207.5200000000004"/>
  </r>
  <r>
    <x v="3"/>
    <s v="RUKOMERO"/>
    <s v="Public"/>
    <x v="0"/>
    <s v="Rutsiro"/>
    <s v="Nyabirasi"/>
    <s v="CKIV_1"/>
    <s v="Sebeya Sub-Catchment"/>
    <n v="1734.4800000000002"/>
  </r>
  <r>
    <x v="3"/>
    <s v="KIGOMERO I"/>
    <s v="Public"/>
    <x v="0"/>
    <s v="Rutsiro"/>
    <s v="Nyabirasi"/>
    <s v="CKIV_1"/>
    <s v="Sebeya Sub-Catchment"/>
    <n v="1734.4800000000002"/>
  </r>
  <r>
    <x v="3"/>
    <s v="BUSAKARA"/>
    <s v="Public"/>
    <x v="0"/>
    <s v="Rutsiro"/>
    <s v="Nyabirasi"/>
    <s v="CKIV_1"/>
    <s v="Sebeya Sub-Catchment"/>
    <n v="2680.56"/>
  </r>
  <r>
    <x v="3"/>
    <s v="KAMUNYOSHO"/>
    <s v="Public"/>
    <x v="0"/>
    <s v="Rutsiro"/>
    <s v="Nyabirasi"/>
    <s v="CKIV_1"/>
    <s v="Sebeya Sub-Catchment"/>
    <n v="2522.88"/>
  </r>
  <r>
    <x v="3"/>
    <s v="BUHONONGO"/>
    <s v="Public"/>
    <x v="0"/>
    <s v="Rutsiro"/>
    <s v="Nyabirasi"/>
    <s v="CKIV_1"/>
    <s v="Sebeya Sub-Catchment"/>
    <n v="5203.4400000000005"/>
  </r>
  <r>
    <x v="3"/>
    <s v="RURINDI"/>
    <s v="Public"/>
    <x v="0"/>
    <s v="Rutsiro"/>
    <s v="Nyabirasi"/>
    <s v="CKIV_1"/>
    <s v="Sebeya Sub-Catchment"/>
    <n v="2365.2000000000003"/>
  </r>
  <r>
    <x v="3"/>
    <s v="KANEGE"/>
    <s v="Public"/>
    <x v="0"/>
    <s v="Rutsiro"/>
    <s v="Nyabirasi"/>
    <s v="CKIV_1"/>
    <s v="Sebeya Sub-Catchment"/>
    <n v="2838.24"/>
  </r>
  <r>
    <x v="3"/>
    <s v="TAMBABISIGA"/>
    <s v="Public"/>
    <x v="0"/>
    <s v="Rutsiro"/>
    <s v="Nyabirasi"/>
    <s v="CKIV_1"/>
    <s v="Sebeya Sub-Catchment"/>
    <n v="2049.84"/>
  </r>
  <r>
    <x v="3"/>
    <s v="BITEMBE"/>
    <s v="Public"/>
    <x v="0"/>
    <s v="Rutsiro"/>
    <s v="Nyabirasi"/>
    <s v="CKIV_1"/>
    <s v="Sebeya Sub-Catchment"/>
    <n v="2049.84"/>
  </r>
  <r>
    <x v="3"/>
    <s v="MUKABAGWIZA"/>
    <s v="Public"/>
    <x v="0"/>
    <s v="Gatsibo"/>
    <s v="Gatsibo"/>
    <s v="NMUV_2"/>
    <s v="Warufu/Muvumba Sub-Catchment"/>
    <n v="15768.000000000002"/>
  </r>
  <r>
    <x v="3"/>
    <s v="NYAKAGEZI"/>
    <s v="Public"/>
    <x v="0"/>
    <s v="Gatsibo"/>
    <s v="Gatsibo"/>
    <s v="NMUV_2"/>
    <s v="Warufu/Muvumba Sub-Catchment"/>
    <n v="12614.400000000001"/>
  </r>
  <r>
    <x v="3"/>
    <s v="MWIHIMBI"/>
    <s v="Public"/>
    <x v="0"/>
    <s v="Gatsibo"/>
    <s v="Gatsibo"/>
    <s v="NMUV_2"/>
    <s v="Warufu/Muvumba Sub-Catchment"/>
    <n v="3153.6000000000004"/>
  </r>
  <r>
    <x v="3"/>
    <s v="RYANYABUKWENDE II"/>
    <s v="Public"/>
    <x v="0"/>
    <s v="Nyagatare"/>
    <s v="Gatunda"/>
    <s v="NMUV_2"/>
    <s v="Warufu/Muvumba Sub-Catchment"/>
    <n v="15768.000000000002"/>
  </r>
  <r>
    <x v="3"/>
    <s v="RYANYABUKWENDE"/>
    <s v="Public"/>
    <x v="0"/>
    <s v="Nyagatare"/>
    <s v="Gatunda"/>
    <s v="NMUV_2"/>
    <s v="Warufu/Muvumba Sub-Catchment"/>
    <n v="3942.0000000000005"/>
  </r>
  <r>
    <x v="3"/>
    <s v="RAMIRO"/>
    <s v="Public"/>
    <x v="0"/>
    <s v="Nyagatare"/>
    <s v="Gatunda"/>
    <s v="NMUV_2"/>
    <s v="Warufu/Muvumba Sub-Catchment"/>
    <n v="4730.4000000000005"/>
  </r>
  <r>
    <x v="3"/>
    <s v="gahondohondo"/>
    <s v="Public"/>
    <x v="0"/>
    <s v="Nyagatare"/>
    <s v="Karama"/>
    <s v="NMUV_2"/>
    <s v="Warufu/Muvumba Sub-Catchment"/>
    <n v="47.303999999999995"/>
  </r>
  <r>
    <x v="3"/>
    <s v="KWA silas"/>
    <s v="Public"/>
    <x v="0"/>
    <s v="Nyagatare"/>
    <s v="Karama"/>
    <s v="NMUV_2"/>
    <s v="Warufu/Muvumba Sub-Catchment"/>
    <n v="1103.7600000000002"/>
  </r>
  <r>
    <x v="3"/>
    <s v="kwaburakari"/>
    <s v="Public"/>
    <x v="0"/>
    <s v="Nyagatare"/>
    <s v="Karama"/>
    <s v="NMUV_2"/>
    <s v="Warufu/Muvumba Sub-Catchment"/>
    <n v="12614.400000000001"/>
  </r>
  <r>
    <x v="3"/>
    <s v="barayagwiza"/>
    <s v="Public"/>
    <x v="0"/>
    <s v="Nyagatare"/>
    <s v="Karama"/>
    <s v="NMUV_2"/>
    <s v="Warufu/Muvumba Sub-Catchment"/>
    <n v="6307.2000000000007"/>
  </r>
  <r>
    <x v="3"/>
    <s v="GAKERI"/>
    <s v="Public"/>
    <x v="0"/>
    <s v="Nyagatare"/>
    <s v="Karama"/>
    <s v="NMUV_2"/>
    <s v="Warufu/Muvumba Sub-Catchment"/>
    <n v="11037.6"/>
  </r>
  <r>
    <x v="3"/>
    <s v="rubeba"/>
    <s v="Public"/>
    <x v="0"/>
    <s v="Nyagatare"/>
    <s v="Karama"/>
    <s v="NMUV_2"/>
    <s v="Warufu/Muvumba Sub-Catchment"/>
    <n v="141.91200000000001"/>
  </r>
  <r>
    <x v="3"/>
    <s v="gatare"/>
    <s v="Public"/>
    <x v="0"/>
    <s v="Nyagatare"/>
    <s v="Karama"/>
    <s v="NMUV_2"/>
    <s v="Warufu/Muvumba Sub-Catchment"/>
    <n v="63.072000000000003"/>
  </r>
  <r>
    <x v="3"/>
    <s v="kumugano"/>
    <s v="Public"/>
    <x v="0"/>
    <s v="Nyagatare"/>
    <s v="Karama"/>
    <s v="NMUV_2"/>
    <s v="Warufu/Muvumba Sub-Catchment"/>
    <n v="14191.2"/>
  </r>
  <r>
    <x v="3"/>
    <s v="kugatebe"/>
    <s v="Public"/>
    <x v="0"/>
    <s v="Nyagatare"/>
    <s v="Karama"/>
    <s v="NMUV_2"/>
    <s v="Warufu/Muvumba Sub-Catchment"/>
    <n v="7884.0000000000009"/>
  </r>
  <r>
    <x v="3"/>
    <s v="gaseke"/>
    <s v="Public"/>
    <x v="0"/>
    <s v="Nyagatare"/>
    <s v="Karama"/>
    <s v="NMUV_2"/>
    <s v="Warufu/Muvumba Sub-Catchment"/>
    <n v="9460.8000000000011"/>
  </r>
  <r>
    <x v="3"/>
    <s v="banonko"/>
    <s v="Public"/>
    <x v="0"/>
    <s v="Nyagatare"/>
    <s v="Karama"/>
    <s v="NMUV_2"/>
    <s v="Warufu/Muvumba Sub-Catchment"/>
    <n v="4730.4000000000005"/>
  </r>
  <r>
    <x v="3"/>
    <s v="gatoki"/>
    <s v="Public"/>
    <x v="0"/>
    <s v="Nyagatare"/>
    <s v="Karama"/>
    <s v="NMUV_2"/>
    <s v="Warufu/Muvumba Sub-Catchment"/>
    <n v="1261.44"/>
  </r>
  <r>
    <x v="3"/>
    <s v="butimba"/>
    <s v="Public"/>
    <x v="0"/>
    <s v="Nyagatare"/>
    <s v="Karama"/>
    <s v="NMUV_2"/>
    <s v="Warufu/Muvumba Sub-Catchment"/>
    <n v="3942.0000000000005"/>
  </r>
  <r>
    <x v="3"/>
    <s v="kaberanya"/>
    <s v="Public"/>
    <x v="0"/>
    <s v="Nyagatare"/>
    <s v="Karama"/>
    <s v="NMUV_2"/>
    <s v="Warufu/Muvumba Sub-Catchment"/>
    <n v="6307.2000000000007"/>
  </r>
  <r>
    <x v="3"/>
    <s v="GACUNCU"/>
    <s v="Public"/>
    <x v="0"/>
    <s v="Nyagatare"/>
    <s v="Karama"/>
    <s v="NMUV_2"/>
    <s v="Warufu/Muvumba Sub-Catchment"/>
    <n v="315.36"/>
  </r>
  <r>
    <x v="3"/>
    <s v="kavumu"/>
    <s v="Public"/>
    <x v="0"/>
    <s v="Nyagatare"/>
    <s v="Karama"/>
    <s v="NMUV_2"/>
    <s v="Warufu/Muvumba Sub-Catchment"/>
    <n v="1734.4800000000002"/>
  </r>
  <r>
    <x v="3"/>
    <s v="kwa musangaho"/>
    <s v="Public"/>
    <x v="0"/>
    <s v="Nyagatare"/>
    <s v="Karama"/>
    <s v="NMUV_2"/>
    <s v="Warufu/Muvumba Sub-Catchment"/>
    <n v="7884.0000000000009"/>
  </r>
  <r>
    <x v="3"/>
    <s v="nyamitanga"/>
    <s v="Public"/>
    <x v="0"/>
    <s v="Nyagatare"/>
    <s v="Karama"/>
    <s v="NMUV_2"/>
    <s v="Warufu/Muvumba Sub-Catchment"/>
    <n v="14191.2"/>
  </r>
  <r>
    <x v="3"/>
    <s v="nyakagezi 1"/>
    <s v="Public"/>
    <x v="0"/>
    <s v="Nyagatare"/>
    <s v="Karama"/>
    <s v="NMUV_2"/>
    <s v="Warufu/Muvumba Sub-Catchment"/>
    <n v="946.08"/>
  </r>
  <r>
    <x v="3"/>
    <s v="marirakabiri"/>
    <s v="Public"/>
    <x v="0"/>
    <s v="Nyagatare"/>
    <s v="Karama"/>
    <s v="NMUV_2"/>
    <s v="Warufu/Muvumba Sub-Catchment"/>
    <n v="15.768000000000001"/>
  </r>
  <r>
    <x v="3"/>
    <s v="cyangumije"/>
    <s v="Public"/>
    <x v="0"/>
    <s v="Nyagatare"/>
    <s v="Karama"/>
    <s v="NMUV_2"/>
    <s v="Warufu/Muvumba Sub-Catchment"/>
    <n v="4730.4000000000005"/>
  </r>
  <r>
    <x v="3"/>
    <s v="gisanze"/>
    <s v="Public"/>
    <x v="0"/>
    <s v="Nyagatare"/>
    <s v="Karama"/>
    <s v="NMUV_2"/>
    <s v="Warufu/Muvumba Sub-Catchment"/>
    <n v="110.376"/>
  </r>
  <r>
    <x v="3"/>
    <s v="mazimero"/>
    <s v="Public"/>
    <x v="0"/>
    <s v="Nyagatare"/>
    <s v="Karama"/>
    <s v="NMUV_2"/>
    <s v="Warufu/Muvumba Sub-Catchment"/>
    <n v="9460.8000000000011"/>
  </r>
  <r>
    <x v="3"/>
    <s v="kagimbu"/>
    <s v="Public"/>
    <x v="0"/>
    <s v="Nyagatare"/>
    <s v="Karama"/>
    <s v="NMUV_2"/>
    <s v="Warufu/Muvumba Sub-Catchment"/>
    <n v="7884.0000000000009"/>
  </r>
  <r>
    <x v="3"/>
    <s v="gatare"/>
    <s v="Public"/>
    <x v="0"/>
    <s v="Nyagatare"/>
    <s v="Karama"/>
    <s v="NMUV_2"/>
    <s v="Warufu/Muvumba Sub-Catchment"/>
    <n v="1103.7600000000002"/>
  </r>
  <r>
    <x v="3"/>
    <s v="RWAMUTARA"/>
    <s v="Public"/>
    <x v="0"/>
    <s v="Nyagatare"/>
    <s v="Karama"/>
    <s v="NMUV_2"/>
    <s v="Warufu/Muvumba Sub-Catchment"/>
    <n v="12614.400000000001"/>
  </r>
  <r>
    <x v="3"/>
    <s v="nyakizu"/>
    <s v="Public"/>
    <x v="0"/>
    <s v="Nyagatare"/>
    <s v="Karama"/>
    <s v="NMUV_2"/>
    <s v="Warufu/Muvumba Sub-Catchment"/>
    <n v="110.376"/>
  </r>
  <r>
    <x v="3"/>
    <s v="rya nowa"/>
    <s v="Public"/>
    <x v="0"/>
    <s v="Nyagatare"/>
    <s v="Karama"/>
    <s v="NMUV_2"/>
    <s v="Warufu/Muvumba Sub-Catchment"/>
    <n v="141.91200000000001"/>
  </r>
  <r>
    <x v="3"/>
    <s v="ruzibaziba"/>
    <s v="Public"/>
    <x v="0"/>
    <s v="Nyagatare"/>
    <s v="Karama"/>
    <s v="NMUV_2"/>
    <s v="Warufu/Muvumba Sub-Catchment"/>
    <n v="4572.72"/>
  </r>
  <r>
    <x v="3"/>
    <s v="kamuramira"/>
    <s v="Public"/>
    <x v="0"/>
    <s v="Nyagatare"/>
    <s v="Karama"/>
    <s v="NMUV_2"/>
    <s v="Warufu/Muvumba Sub-Catchment"/>
    <n v="4730.4000000000005"/>
  </r>
  <r>
    <x v="3"/>
    <s v="kinkeri"/>
    <s v="Public"/>
    <x v="0"/>
    <s v="Nyagatare"/>
    <s v="Karama"/>
    <s v="NMUV_2"/>
    <s v="Warufu/Muvumba Sub-Catchment"/>
    <n v="11037.6"/>
  </r>
  <r>
    <x v="3"/>
    <s v="mugandura"/>
    <s v="Public"/>
    <x v="0"/>
    <s v="Nyagatare"/>
    <s v="Karama"/>
    <s v="NMUV_2"/>
    <s v="Warufu/Muvumba Sub-Catchment"/>
    <n v="7884.0000000000009"/>
  </r>
  <r>
    <x v="3"/>
    <s v="kanyinya"/>
    <s v="Public"/>
    <x v="0"/>
    <s v="Nyagatare"/>
    <s v="Karama"/>
    <s v="NMUV_2"/>
    <s v="Warufu/Muvumba Sub-Catchment"/>
    <n v="1576.8000000000002"/>
  </r>
  <r>
    <x v="3"/>
    <s v="kwanyirambagare"/>
    <s v="Public"/>
    <x v="0"/>
    <s v="Nyagatare"/>
    <s v="Karama"/>
    <s v="NMUV_2"/>
    <s v="Warufu/Muvumba Sub-Catchment"/>
    <n v="141.91200000000001"/>
  </r>
  <r>
    <x v="3"/>
    <s v="berekimasi"/>
    <s v="Public"/>
    <x v="0"/>
    <s v="Nyagatare"/>
    <s v="Karama"/>
    <s v="NMUV_2"/>
    <s v="Warufu/Muvumba Sub-Catchment"/>
    <n v="141.91200000000001"/>
  </r>
  <r>
    <x v="3"/>
    <s v="NYAKAGEZI2"/>
    <s v="Public"/>
    <x v="0"/>
    <s v="Nyagatare"/>
    <s v="Karama"/>
    <s v="NMUV_2"/>
    <s v="Warufu/Muvumba Sub-Catchment"/>
    <n v="9460.8000000000011"/>
  </r>
  <r>
    <x v="3"/>
    <s v="nyagatovu"/>
    <s v="Public"/>
    <x v="0"/>
    <s v="Nyagatare"/>
    <s v="Karama"/>
    <s v="NMUV_2"/>
    <s v="Warufu/Muvumba Sub-Catchment"/>
    <n v="3311.2799999999997"/>
  </r>
  <r>
    <x v="3"/>
    <s v="kukimandwa"/>
    <s v="Public"/>
    <x v="0"/>
    <s v="Nyagatare"/>
    <s v="Karama"/>
    <s v="NMUV_2"/>
    <s v="Warufu/Muvumba Sub-Catchment"/>
    <n v="4730.4000000000005"/>
  </r>
  <r>
    <x v="3"/>
    <s v="rubaya"/>
    <s v="Public"/>
    <x v="0"/>
    <s v="Nyagatare"/>
    <s v="Karama"/>
    <s v="NMUV_2"/>
    <s v="Warufu/Muvumba Sub-Catchment"/>
    <n v="6307.2000000000007"/>
  </r>
  <r>
    <x v="3"/>
    <s v="nyamata"/>
    <s v="Public"/>
    <x v="0"/>
    <s v="Nyagatare"/>
    <s v="Karama"/>
    <s v="NMUV_2"/>
    <s v="Warufu/Muvumba Sub-Catchment"/>
    <n v="1103.7600000000002"/>
  </r>
  <r>
    <x v="3"/>
    <s v="kagatanzi"/>
    <s v="Public"/>
    <x v="0"/>
    <s v="Nyagatare"/>
    <s v="Karama"/>
    <s v="NMUV_2"/>
    <s v="Warufu/Muvumba Sub-Catchment"/>
    <n v="1261.44"/>
  </r>
  <r>
    <x v="3"/>
    <s v="mugahama"/>
    <s v="Public"/>
    <x v="0"/>
    <s v="Nyagatare"/>
    <s v="Karama"/>
    <s v="NMUV_2"/>
    <s v="Warufu/Muvumba Sub-Catchment"/>
    <n v="141.91200000000001"/>
  </r>
  <r>
    <x v="3"/>
    <s v="kamaganda"/>
    <s v="Public"/>
    <x v="0"/>
    <s v="Nyagatare"/>
    <s v="Karama"/>
    <s v="NMUV_2"/>
    <s v="Warufu/Muvumba Sub-Catchment"/>
    <n v="1261.44"/>
  </r>
  <r>
    <x v="3"/>
    <s v="kabahire"/>
    <s v="Public"/>
    <x v="0"/>
    <s v="Nyagatare"/>
    <s v="Karama"/>
    <s v="NMUV_2"/>
    <s v="Warufu/Muvumba Sub-Catchment"/>
    <n v="94.60799999999999"/>
  </r>
  <r>
    <x v="3"/>
    <s v="kwa shangazi"/>
    <s v="Public"/>
    <x v="0"/>
    <s v="Nyagatare"/>
    <s v="Karama"/>
    <s v="NMUV_2"/>
    <s v="Warufu/Muvumba Sub-Catchment"/>
    <n v="788.40000000000009"/>
  </r>
  <r>
    <x v="3"/>
    <s v="mukiruhura"/>
    <s v="Public"/>
    <x v="0"/>
    <s v="Nyagatare"/>
    <s v="Karama"/>
    <s v="NMUV_2"/>
    <s v="Warufu/Muvumba Sub-Catchment"/>
    <n v="94.60799999999999"/>
  </r>
  <r>
    <x v="3"/>
    <s v="kamuhire"/>
    <s v="Public"/>
    <x v="0"/>
    <s v="Nyagatare"/>
    <s v="Karama"/>
    <s v="NMUV_2"/>
    <s v="Warufu/Muvumba Sub-Catchment"/>
    <n v="630.72"/>
  </r>
  <r>
    <x v="3"/>
    <s v="KAZABAGARURA"/>
    <s v="Public"/>
    <x v="0"/>
    <s v="Nyagatare"/>
    <s v="Karama"/>
    <s v="NMUV_2"/>
    <s v="Warufu/Muvumba Sub-Catchment"/>
    <n v="94.60799999999999"/>
  </r>
  <r>
    <x v="3"/>
    <s v="cyumuhanga"/>
    <s v="Public"/>
    <x v="0"/>
    <s v="Nyagatare"/>
    <s v="Karama"/>
    <s v="NMUV_2"/>
    <s v="Warufu/Muvumba Sub-Catchment"/>
    <n v="126.14400000000001"/>
  </r>
  <r>
    <x v="3"/>
    <s v="nyarunyinya"/>
    <s v="Public"/>
    <x v="0"/>
    <s v="Nyagatare"/>
    <s v="Karama"/>
    <s v="NMUV_2"/>
    <s v="Warufu/Muvumba Sub-Catchment"/>
    <n v="110.376"/>
  </r>
  <r>
    <x v="3"/>
    <s v="MUKASHA"/>
    <s v="Public"/>
    <x v="0"/>
    <s v="Nyagatare"/>
    <s v="Karama"/>
    <s v="NMUV_2"/>
    <s v="Warufu/Muvumba Sub-Catchment"/>
    <n v="3626.64"/>
  </r>
  <r>
    <x v="3"/>
    <s v="MUGATUKU"/>
    <s v="Public"/>
    <x v="0"/>
    <s v="Nyagatare"/>
    <s v="Karama"/>
    <s v="NMUV_2"/>
    <s v="Warufu/Muvumba Sub-Catchment"/>
    <n v="1103.7600000000002"/>
  </r>
  <r>
    <x v="3"/>
    <s v="NYAGAKOMBE"/>
    <s v="Public"/>
    <x v="0"/>
    <s v="Nyagatare"/>
    <s v="Karama"/>
    <s v="NMUV_2"/>
    <s v="Warufu/Muvumba Sub-Catchment"/>
    <n v="1576.8000000000002"/>
  </r>
  <r>
    <x v="3"/>
    <s v="GIHUMA"/>
    <s v="Public"/>
    <x v="0"/>
    <s v="Nyagatare"/>
    <s v="Karama"/>
    <s v="NMUV_2"/>
    <s v="Warufu/Muvumba Sub-Catchment"/>
    <n v="3942.0000000000005"/>
  </r>
  <r>
    <x v="3"/>
    <s v="NYAMUGALI"/>
    <s v="Public"/>
    <x v="0"/>
    <s v="Nyagatare"/>
    <s v="Karama"/>
    <s v="NMUV_2"/>
    <s v="Warufu/Muvumba Sub-Catchment"/>
    <n v="1103.7600000000002"/>
  </r>
  <r>
    <x v="3"/>
    <s v="NYAKALIBA"/>
    <s v="Public"/>
    <x v="0"/>
    <s v="Nyagatare"/>
    <s v="Karama"/>
    <s v="NMUV_2"/>
    <s v="Warufu/Muvumba Sub-Catchment"/>
    <n v="5203.4400000000005"/>
  </r>
  <r>
    <x v="3"/>
    <s v="CYARUKANYA"/>
    <s v="Public"/>
    <x v="0"/>
    <s v="Nyagatare"/>
    <s v="Karama"/>
    <s v="NMUV_2"/>
    <s v="Warufu/Muvumba Sub-Catchment"/>
    <n v="4415.0400000000009"/>
  </r>
  <r>
    <x v="3"/>
    <s v="NYARURANZI"/>
    <s v="Public"/>
    <x v="0"/>
    <s v="Nyagatare"/>
    <s v="Karama"/>
    <s v="NMUV_2"/>
    <s v="Warufu/Muvumba Sub-Catchment"/>
    <n v="1734.4800000000002"/>
  </r>
  <r>
    <x v="3"/>
    <s v="GATARE"/>
    <s v="Public"/>
    <x v="0"/>
    <s v="Nyagatare"/>
    <s v="Karama"/>
    <s v="NMUV_2"/>
    <s v="Warufu/Muvumba Sub-Catchment"/>
    <n v="1576.8000000000002"/>
  </r>
  <r>
    <x v="3"/>
    <s v="RWAMAJANJA"/>
    <s v="Public"/>
    <x v="0"/>
    <s v="Nyagatare"/>
    <s v="Karama"/>
    <s v="NMUV_2"/>
    <s v="Warufu/Muvumba Sub-Catchment"/>
    <n v="2522.88"/>
  </r>
  <r>
    <x v="3"/>
    <s v="MUGAHAMA"/>
    <s v="Public"/>
    <x v="0"/>
    <s v="Nyagatare"/>
    <s v="Karama"/>
    <s v="NMUV_2"/>
    <s v="Warufu/Muvumba Sub-Catchment"/>
    <n v="3942.0000000000005"/>
  </r>
  <r>
    <x v="3"/>
    <s v="MUKAZIBAZIBA"/>
    <s v="Public"/>
    <x v="0"/>
    <s v="Nyagatare"/>
    <s v="Karama"/>
    <s v="NMUV_2"/>
    <s v="Warufu/Muvumba Sub-Catchment"/>
    <n v="1419.12"/>
  </r>
  <r>
    <x v="3"/>
    <s v="NYIRASHENENGE"/>
    <s v="Public"/>
    <x v="0"/>
    <s v="Nyagatare"/>
    <s v="Karama"/>
    <s v="NMUV_2"/>
    <s v="Warufu/Muvumba Sub-Catchment"/>
    <n v="630.72"/>
  </r>
  <r>
    <x v="3"/>
    <s v="KUNKOMBE"/>
    <s v="Public"/>
    <x v="0"/>
    <s v="Nyagatare"/>
    <s v="Karama"/>
    <s v="NMUV_2"/>
    <s v="Warufu/Muvumba Sub-Catchment"/>
    <n v="2680.56"/>
  </r>
  <r>
    <x v="3"/>
    <s v="GATARE"/>
    <s v="Public"/>
    <x v="0"/>
    <s v="Nyagatare"/>
    <s v="Karama"/>
    <s v="NMUV_2"/>
    <s v="Warufu/Muvumba Sub-Catchment"/>
    <n v="4730.4000000000005"/>
  </r>
  <r>
    <x v="3"/>
    <s v="RWABIJONGI"/>
    <s v="Public"/>
    <x v="0"/>
    <s v="Nyagatare"/>
    <s v="Karama"/>
    <s v="NMUV_2"/>
    <s v="Warufu/Muvumba Sub-Catchment"/>
    <n v="3942.0000000000005"/>
  </r>
  <r>
    <x v="3"/>
    <s v="RWONGA"/>
    <s v="Public"/>
    <x v="0"/>
    <s v="Nyagatare"/>
    <s v="Karama"/>
    <s v="NMUV_2"/>
    <s v="Warufu/Muvumba Sub-Catchment"/>
    <n v="2049.84"/>
  </r>
  <r>
    <x v="3"/>
    <s v="RUVUMERA"/>
    <s v="Public"/>
    <x v="0"/>
    <s v="Nyagatare"/>
    <s v="Karama"/>
    <s v="NMUV_2"/>
    <s v="Warufu/Muvumba Sub-Catchment"/>
    <n v="3468.9600000000005"/>
  </r>
  <r>
    <x v="3"/>
    <s v="MUKABINGO"/>
    <s v="Public"/>
    <x v="0"/>
    <s v="Nyagatare"/>
    <s v="Karama"/>
    <s v="NMUV_2"/>
    <s v="Warufu/Muvumba Sub-Catchment"/>
    <n v="3153.6000000000004"/>
  </r>
  <r>
    <x v="3"/>
    <s v="MUGASEKE"/>
    <s v="Public"/>
    <x v="0"/>
    <s v="Nyagatare"/>
    <s v="Karama"/>
    <s v="NMUV_2"/>
    <s v="Warufu/Muvumba Sub-Catchment"/>
    <n v="3468.9600000000005"/>
  </r>
  <r>
    <x v="3"/>
    <s v="MURAWAMURONGO"/>
    <s v="Public"/>
    <x v="0"/>
    <s v="Nyagatare"/>
    <s v="Karama"/>
    <s v="NMUV_2"/>
    <s v="Warufu/Muvumba Sub-Catchment"/>
    <n v="8041.68"/>
  </r>
  <r>
    <x v="3"/>
    <s v="RUBURANKONO"/>
    <s v="Public"/>
    <x v="0"/>
    <s v="Nyagatare"/>
    <s v="Karama"/>
    <s v="NMUV_2"/>
    <s v="Warufu/Muvumba Sub-Catchment"/>
    <n v="3942.0000000000005"/>
  </r>
  <r>
    <x v="3"/>
    <s v="MUWIMPUNDU 2"/>
    <s v="Public"/>
    <x v="0"/>
    <s v="Nyagatare"/>
    <s v="Karama"/>
    <s v="NMUV_2"/>
    <s v="Warufu/Muvumba Sub-Catchment"/>
    <n v="1576.8000000000002"/>
  </r>
  <r>
    <x v="3"/>
    <s v="MURWANYANDWI"/>
    <s v="Public"/>
    <x v="0"/>
    <s v="Nyagatare"/>
    <s v="Karama"/>
    <s v="NMUV_2"/>
    <s v="Warufu/Muvumba Sub-Catchment"/>
    <n v="1419.12"/>
  </r>
  <r>
    <x v="3"/>
    <s v="MUKANYIRAMUGORE"/>
    <s v="Public"/>
    <x v="0"/>
    <s v="Nyagatare"/>
    <s v="Karama"/>
    <s v="NMUV_2"/>
    <s v="Warufu/Muvumba Sub-Catchment"/>
    <n v="788.40000000000009"/>
  </r>
  <r>
    <x v="3"/>
    <s v="GATOBWE"/>
    <s v="Public"/>
    <x v="0"/>
    <s v="Nyagatare"/>
    <s v="Karama"/>
    <s v="NMUV_2"/>
    <s v="Warufu/Muvumba Sub-Catchment"/>
    <n v="630.72"/>
  </r>
  <r>
    <x v="3"/>
    <s v="MUWIMPUNDU 1"/>
    <s v="Public"/>
    <x v="0"/>
    <s v="Nyagatare"/>
    <s v="Karama"/>
    <s v="NMUV_2"/>
    <s v="Warufu/Muvumba Sub-Catchment"/>
    <n v="1419.12"/>
  </r>
  <r>
    <x v="3"/>
    <s v="MUMUGUMBA"/>
    <s v="Public"/>
    <x v="0"/>
    <s v="Nyagatare"/>
    <s v="Karama"/>
    <s v="NMUV_2"/>
    <s v="Warufu/Muvumba Sub-Catchment"/>
    <n v="630.72"/>
  </r>
  <r>
    <x v="3"/>
    <s v="KABINGO"/>
    <s v="Public"/>
    <x v="0"/>
    <s v="Nyagatare"/>
    <s v="Karama"/>
    <s v="NMUV_2"/>
    <s v="Warufu/Muvumba Sub-Catchment"/>
    <n v="1103.7600000000002"/>
  </r>
  <r>
    <x v="3"/>
    <s v="NYAGATARE"/>
    <s v="Public"/>
    <x v="0"/>
    <s v="Nyagatare"/>
    <s v="Karama"/>
    <s v="NMUV_2"/>
    <s v="Warufu/Muvumba Sub-Catchment"/>
    <n v="2207.5200000000004"/>
  </r>
  <r>
    <x v="3"/>
    <s v="MURWABUREGE"/>
    <s v="Public"/>
    <x v="0"/>
    <s v="Nyagatare"/>
    <s v="Karama"/>
    <s v="NMUV_2"/>
    <s v="Warufu/Muvumba Sub-Catchment"/>
    <n v="2049.84"/>
  </r>
  <r>
    <x v="3"/>
    <s v="MUNYAGAHONDO"/>
    <s v="Public"/>
    <x v="0"/>
    <s v="Nyagatare"/>
    <s v="Karama"/>
    <s v="NMUV_2"/>
    <s v="Warufu/Muvumba Sub-Catchment"/>
    <n v="3311.2799999999997"/>
  </r>
  <r>
    <x v="3"/>
    <s v="RWANYAGAHESHYENDE"/>
    <s v="Public"/>
    <x v="0"/>
    <s v="Nyagatare"/>
    <s v="Karama"/>
    <s v="NMUV_2"/>
    <s v="Warufu/Muvumba Sub-Catchment"/>
    <n v="315.36"/>
  </r>
  <r>
    <x v="3"/>
    <s v="MURUVUGANGOMA"/>
    <s v="Public"/>
    <x v="0"/>
    <s v="Nyagatare"/>
    <s v="Karama"/>
    <s v="NMUV_2"/>
    <s v="Warufu/Muvumba Sub-Catchment"/>
    <n v="473.04"/>
  </r>
  <r>
    <x v="3"/>
    <s v="MURWANIJAJABO"/>
    <s v="Public"/>
    <x v="0"/>
    <s v="Nyagatare"/>
    <s v="Karama"/>
    <s v="NMUV_2"/>
    <s v="Warufu/Muvumba Sub-Catchment"/>
    <n v="1103.7600000000002"/>
  </r>
  <r>
    <x v="3"/>
    <s v="KWA HITIMANA"/>
    <s v="Public"/>
    <x v="0"/>
    <s v="Nyagatare"/>
    <s v="Karama"/>
    <s v="NMUV_2"/>
    <s v="Warufu/Muvumba Sub-Catchment"/>
    <n v="3626.64"/>
  </r>
  <r>
    <x v="3"/>
    <s v="MUGAHAMA"/>
    <s v="Public"/>
    <x v="0"/>
    <s v="Nyagatare"/>
    <s v="Karama"/>
    <s v="NMUV_2"/>
    <s v="Warufu/Muvumba Sub-Catchment"/>
    <n v="1734.4800000000002"/>
  </r>
  <r>
    <x v="3"/>
    <s v="MITSINDA 2"/>
    <s v="Public"/>
    <x v="0"/>
    <s v="Nyagatare"/>
    <s v="Karama"/>
    <s v="NMUV_2"/>
    <s v="Warufu/Muvumba Sub-Catchment"/>
    <n v="1103.7600000000002"/>
  </r>
  <r>
    <x v="3"/>
    <s v="MITSINDA I"/>
    <s v="Public"/>
    <x v="0"/>
    <s v="Nyagatare"/>
    <s v="Karama"/>
    <s v="NMUV_2"/>
    <s v="Warufu/Muvumba Sub-Catchment"/>
    <n v="1576.8000000000002"/>
  </r>
  <r>
    <x v="3"/>
    <s v="NKAMWE"/>
    <s v="Public"/>
    <x v="0"/>
    <s v="Nyagatare"/>
    <s v="Karama"/>
    <s v="NMUV_2"/>
    <s v="Warufu/Muvumba Sub-Catchment"/>
    <n v="1103.7600000000002"/>
  </r>
  <r>
    <x v="3"/>
    <s v="MUKAVOMO"/>
    <s v="Public"/>
    <x v="0"/>
    <s v="Nyagatare"/>
    <s v="Karama"/>
    <s v="NMUV_2"/>
    <s v="Warufu/Muvumba Sub-Catchment"/>
    <n v="3626.64"/>
  </r>
  <r>
    <x v="3"/>
    <s v="MUBACURA"/>
    <s v="Public"/>
    <x v="0"/>
    <s v="Nyagatare"/>
    <s v="Karama"/>
    <s v="NMUV_2"/>
    <s v="Warufu/Muvumba Sub-Catchment"/>
    <n v="1892.16"/>
  </r>
  <r>
    <x v="3"/>
    <s v="MURWAGISAGE"/>
    <s v="Public"/>
    <x v="0"/>
    <s v="Nyagatare"/>
    <s v="Karama"/>
    <s v="NMUV_2"/>
    <s v="Warufu/Muvumba Sub-Catchment"/>
    <n v="630.72"/>
  </r>
  <r>
    <x v="3"/>
    <s v="MATABA"/>
    <s v="Public"/>
    <x v="0"/>
    <s v="Nyagatare"/>
    <s v="Karama"/>
    <s v="NMUV_2"/>
    <s v="Warufu/Muvumba Sub-Catchment"/>
    <n v="1103.7600000000002"/>
  </r>
  <r>
    <x v="3"/>
    <s v="MURWABAKANU"/>
    <s v="Public"/>
    <x v="0"/>
    <s v="Nyagatare"/>
    <s v="Karama"/>
    <s v="NMUV_2"/>
    <s v="Warufu/Muvumba Sub-Catchment"/>
    <n v="630.72"/>
  </r>
  <r>
    <x v="3"/>
    <s v="MUCYANYA"/>
    <s v="Public"/>
    <x v="0"/>
    <s v="Nyagatare"/>
    <s v="Karama"/>
    <s v="NMUV_2"/>
    <s v="Warufu/Muvumba Sub-Catchment"/>
    <n v="1734.4800000000002"/>
  </r>
  <r>
    <x v="3"/>
    <s v="MPAZA"/>
    <s v="Public"/>
    <x v="0"/>
    <s v="Nyagatare"/>
    <s v="Karama"/>
    <s v="NMUV_2"/>
    <s v="Warufu/Muvumba Sub-Catchment"/>
    <n v="2680.56"/>
  </r>
  <r>
    <x v="3"/>
    <s v="NYARURAMBI"/>
    <s v="Public"/>
    <x v="0"/>
    <s v="Nyagatare"/>
    <s v="Karama"/>
    <s v="NMUV_2"/>
    <s v="Warufu/Muvumba Sub-Catchment"/>
    <n v="315.36"/>
  </r>
  <r>
    <x v="3"/>
    <s v="RUBANDA"/>
    <s v="Public"/>
    <x v="0"/>
    <s v="Nyagatare"/>
    <s v="Karama"/>
    <s v="NMUV_2"/>
    <s v="Warufu/Muvumba Sub-Catchment"/>
    <n v="15768.000000000002"/>
  </r>
  <r>
    <x v="3"/>
    <s v="KABABANDA"/>
    <s v="Public"/>
    <x v="0"/>
    <s v="Nyagatare"/>
    <s v="Karama"/>
    <s v="NMUV_2"/>
    <s v="Warufu/Muvumba Sub-Catchment"/>
    <n v="7884.0000000000009"/>
  </r>
  <r>
    <x v="3"/>
    <s v="MATABA II"/>
    <s v="Public"/>
    <x v="0"/>
    <s v="Nyagatare"/>
    <s v="Kiyombe"/>
    <s v="NMUV_2"/>
    <s v="Warufu/Muvumba Sub-Catchment"/>
    <n v="0"/>
  </r>
  <r>
    <x v="3"/>
    <s v="MATABA"/>
    <s v="Public"/>
    <x v="0"/>
    <s v="Nyagatare"/>
    <s v="Kiyombe"/>
    <s v="NMUV_2"/>
    <s v="Warufu/Muvumba Sub-Catchment"/>
    <n v="7884.0000000000009"/>
  </r>
  <r>
    <x v="3"/>
    <s v="GISHORO"/>
    <s v="Public"/>
    <x v="0"/>
    <s v="Nyagatare"/>
    <s v="Kiyombe"/>
    <s v="NMUV_2"/>
    <s v="Warufu/Muvumba Sub-Catchment"/>
    <n v="788.40000000000009"/>
  </r>
  <r>
    <x v="3"/>
    <s v="NYANGE"/>
    <s v="Public"/>
    <x v="0"/>
    <s v="Nyagatare"/>
    <s v="Kiyombe"/>
    <s v="NMUV_2"/>
    <s v="Warufu/Muvumba Sub-Catchment"/>
    <n v="11037.6"/>
  </r>
  <r>
    <x v="3"/>
    <s v="BITARE"/>
    <s v="Public"/>
    <x v="0"/>
    <s v="Nyagatare"/>
    <s v="Kiyombe"/>
    <s v="NMUV_2"/>
    <s v="Warufu/Muvumba Sub-Catchment"/>
    <n v="7884.0000000000009"/>
  </r>
  <r>
    <x v="3"/>
    <s v="RUGARAMA"/>
    <s v="Public"/>
    <x v="0"/>
    <s v="Nyagatare"/>
    <s v="Kiyombe"/>
    <s v="NMUV_2"/>
    <s v="Warufu/Muvumba Sub-Catchment"/>
    <n v="12614.400000000001"/>
  </r>
  <r>
    <x v="3"/>
    <s v="GASHURO"/>
    <s v="Public"/>
    <x v="0"/>
    <s v="Nyagatare"/>
    <s v="Kiyombe"/>
    <s v="NMUV_2"/>
    <s v="Warufu/Muvumba Sub-Catchment"/>
    <n v="18921.600000000002"/>
  </r>
  <r>
    <x v="3"/>
    <s v="RWAGASHANDE"/>
    <s v="Public"/>
    <x v="0"/>
    <s v="Nyagatare"/>
    <s v="Kiyombe"/>
    <s v="NMUV_2"/>
    <s v="Warufu/Muvumba Sub-Catchment"/>
    <n v="0"/>
  </r>
  <r>
    <x v="3"/>
    <s v="CYABAHURARA"/>
    <s v="Public"/>
    <x v="0"/>
    <s v="Nyagatare"/>
    <s v="Mukama"/>
    <s v="NMUV_2"/>
    <s v="Warufu/Muvumba Sub-Catchment"/>
    <n v="5518.8"/>
  </r>
  <r>
    <x v="3"/>
    <s v="KABEZA"/>
    <s v="Public"/>
    <x v="0"/>
    <s v="Nyagatare"/>
    <s v="Mukama"/>
    <s v="NMUV_2"/>
    <s v="Warufu/Muvumba Sub-Catchment"/>
    <n v="2365.2000000000003"/>
  </r>
  <r>
    <x v="3"/>
    <s v="Kanyama"/>
    <s v="Public"/>
    <x v="0"/>
    <s v="Gicumbi"/>
    <s v="Mukarange"/>
    <s v="NMUV_2"/>
    <s v="Warufu/Muvumba Sub-Catchment"/>
    <n v="1261.44"/>
  </r>
  <r>
    <x v="3"/>
    <s v="Nyaruhanga"/>
    <s v="Public"/>
    <x v="0"/>
    <s v="Gicumbi"/>
    <s v="Mukarange"/>
    <s v="NMUV_2"/>
    <s v="Warufu/Muvumba Sub-Catchment"/>
    <n v="1261.44"/>
  </r>
  <r>
    <x v="3"/>
    <s v="Rugarama"/>
    <s v="Public"/>
    <x v="0"/>
    <s v="Gicumbi"/>
    <s v="Mukarange"/>
    <s v="NMUV_2"/>
    <s v="Warufu/Muvumba Sub-Catchment"/>
    <n v="2365.2000000000003"/>
  </r>
  <r>
    <x v="3"/>
    <s v="Ruhonywa"/>
    <s v="Public"/>
    <x v="0"/>
    <s v="Gicumbi"/>
    <s v="Mukarange"/>
    <s v="NMUV_2"/>
    <s v="Warufu/Muvumba Sub-Catchment"/>
    <n v="3468.9600000000005"/>
  </r>
  <r>
    <x v="3"/>
    <s v="Nyangoyi"/>
    <s v="Public"/>
    <x v="0"/>
    <s v="Gicumbi"/>
    <s v="Mukarange"/>
    <s v="NMUV_2"/>
    <s v="Warufu/Muvumba Sub-Catchment"/>
    <n v="946.08"/>
  </r>
  <r>
    <x v="3"/>
    <s v="Gatare"/>
    <s v="Public"/>
    <x v="0"/>
    <s v="Gicumbi"/>
    <s v="Mukarange"/>
    <s v="NMUV_2"/>
    <s v="Warufu/Muvumba Sub-Catchment"/>
    <n v="1576.8000000000002"/>
  </r>
  <r>
    <x v="3"/>
    <s v="Kwa Ruzinga"/>
    <s v="Public"/>
    <x v="0"/>
    <s v="Gicumbi"/>
    <s v="Mukarange"/>
    <s v="NMUV_2"/>
    <s v="Warufu/Muvumba Sub-Catchment"/>
    <n v="4730.4000000000005"/>
  </r>
  <r>
    <x v="3"/>
    <s v="Rwengwe"/>
    <s v="Public"/>
    <x v="0"/>
    <s v="Gicumbi"/>
    <s v="Mukarange"/>
    <s v="NMUV_2"/>
    <s v="Warufu/Muvumba Sub-Catchment"/>
    <n v="1576.8000000000002"/>
  </r>
  <r>
    <x v="3"/>
    <s v="Rwarandi"/>
    <s v="Public"/>
    <x v="0"/>
    <s v="Gicumbi"/>
    <s v="Mukarange"/>
    <s v="NMUV_2"/>
    <s v="Warufu/Muvumba Sub-Catchment"/>
    <n v="1576.8000000000002"/>
  </r>
  <r>
    <x v="3"/>
    <s v="Mu Rutare"/>
    <s v="Public"/>
    <x v="0"/>
    <s v="Gicumbi"/>
    <s v="Mukarange"/>
    <s v="NMUV_2"/>
    <s v="Warufu/Muvumba Sub-Catchment"/>
    <n v="16871.759999999998"/>
  </r>
  <r>
    <x v="3"/>
    <s v="Ryarutugana"/>
    <s v="Public"/>
    <x v="0"/>
    <s v="Gicumbi"/>
    <s v="Mukarange"/>
    <s v="NMUV_2"/>
    <s v="Warufu/Muvumba Sub-Catchment"/>
    <n v="788.40000000000009"/>
  </r>
  <r>
    <x v="3"/>
    <s v="Ku Mabare"/>
    <s v="Public"/>
    <x v="0"/>
    <s v="Gicumbi"/>
    <s v="Mukarange"/>
    <s v="NMUV_2"/>
    <s v="Warufu/Muvumba Sub-Catchment"/>
    <n v="5045.76"/>
  </r>
  <r>
    <x v="3"/>
    <s v="Muhonogo"/>
    <s v="Public"/>
    <x v="0"/>
    <s v="Gicumbi"/>
    <s v="Mukarange"/>
    <s v="NMUV_2"/>
    <s v="Warufu/Muvumba Sub-Catchment"/>
    <n v="9460.8000000000011"/>
  </r>
  <r>
    <x v="3"/>
    <s v="Kabagaba"/>
    <s v="Public"/>
    <x v="0"/>
    <s v="Gicumbi"/>
    <s v="Mukarange"/>
    <s v="NMUV_2"/>
    <s v="Warufu/Muvumba Sub-Catchment"/>
    <n v="1576.8000000000002"/>
  </r>
  <r>
    <x v="3"/>
    <s v="Nangara"/>
    <s v="Public"/>
    <x v="0"/>
    <s v="Gicumbi"/>
    <s v="Mukarange"/>
    <s v="NMUV_2"/>
    <s v="Warufu/Muvumba Sub-Catchment"/>
    <n v="1103.7600000000002"/>
  </r>
  <r>
    <x v="3"/>
    <s v="Mukajangwe"/>
    <s v="Public"/>
    <x v="0"/>
    <s v="Gicumbi"/>
    <s v="Mukarange"/>
    <s v="NMUV_2"/>
    <s v="Warufu/Muvumba Sub-Catchment"/>
    <n v="3942.0000000000005"/>
  </r>
  <r>
    <x v="3"/>
    <s v="Mwivomo"/>
    <s v="Public"/>
    <x v="0"/>
    <s v="Gicumbi"/>
    <s v="Mukarange"/>
    <s v="NMUV_2"/>
    <s v="Warufu/Muvumba Sub-Catchment"/>
    <n v="1261.44"/>
  </r>
  <r>
    <x v="3"/>
    <s v="Gatare"/>
    <s v="Public"/>
    <x v="0"/>
    <s v="Gicumbi"/>
    <s v="Mukarange"/>
    <s v="NMUV_2"/>
    <s v="Warufu/Muvumba Sub-Catchment"/>
    <n v="2207.5200000000004"/>
  </r>
  <r>
    <x v="3"/>
    <s v="Ruhene"/>
    <s v="Public"/>
    <x v="0"/>
    <s v="Gicumbi"/>
    <s v="Mukarange"/>
    <s v="NMUV_2"/>
    <s v="Warufu/Muvumba Sub-Catchment"/>
    <n v="3626.64"/>
  </r>
  <r>
    <x v="3"/>
    <s v="Nyakibande"/>
    <s v="Public"/>
    <x v="0"/>
    <s v="Gicumbi"/>
    <s v="Mukarange"/>
    <s v="NMUV_2"/>
    <s v="Warufu/Muvumba Sub-Catchment"/>
    <n v="3153.6000000000004"/>
  </r>
  <r>
    <x v="3"/>
    <s v="Nyamishi I"/>
    <s v="Public"/>
    <x v="0"/>
    <s v="Gicumbi"/>
    <s v="Mukarange"/>
    <s v="NMUV_2"/>
    <s v="Warufu/Muvumba Sub-Catchment"/>
    <n v="3942.0000000000005"/>
  </r>
  <r>
    <x v="3"/>
    <s v="Gihanga I"/>
    <s v="Public"/>
    <x v="0"/>
    <s v="Gicumbi"/>
    <s v="Mukarange"/>
    <s v="NMUV_2"/>
    <s v="Warufu/Muvumba Sub-Catchment"/>
    <n v="3468.9600000000005"/>
  </r>
  <r>
    <x v="3"/>
    <s v="Nyamishi II"/>
    <s v="Public"/>
    <x v="0"/>
    <s v="Gicumbi"/>
    <s v="Mukarange"/>
    <s v="NMUV_2"/>
    <s v="Warufu/Muvumba Sub-Catchment"/>
    <n v="3153.6000000000004"/>
  </r>
  <r>
    <x v="3"/>
    <s v="Gatare"/>
    <s v="Public"/>
    <x v="0"/>
    <s v="Gicumbi"/>
    <s v="Mukarange"/>
    <s v="NMUV_2"/>
    <s v="Warufu/Muvumba Sub-Catchment"/>
    <n v="1576.8000000000002"/>
  </r>
  <r>
    <x v="3"/>
    <s v="Gihanga III"/>
    <s v="Public"/>
    <x v="0"/>
    <s v="Gicumbi"/>
    <s v="Mukarange"/>
    <s v="NMUV_2"/>
    <s v="Warufu/Muvumba Sub-Catchment"/>
    <n v="3784.32"/>
  </r>
  <r>
    <x v="3"/>
    <s v="Gihanga 4"/>
    <s v="Public"/>
    <x v="0"/>
    <s v="Gicumbi"/>
    <s v="Mukarange"/>
    <s v="NMUV_2"/>
    <s v="Warufu/Muvumba Sub-Catchment"/>
    <n v="946.08"/>
  </r>
  <r>
    <x v="3"/>
    <s v="Ruziku I"/>
    <s v="Public"/>
    <x v="0"/>
    <s v="Gicumbi"/>
    <s v="Mukarange"/>
    <s v="NMUV_2"/>
    <s v="Warufu/Muvumba Sub-Catchment"/>
    <n v="1576.8000000000002"/>
  </r>
  <r>
    <x v="3"/>
    <s v="Ruziku II"/>
    <s v="Public"/>
    <x v="0"/>
    <s v="Gicumbi"/>
    <s v="Mukarange"/>
    <s v="NMUV_2"/>
    <s v="Warufu/Muvumba Sub-Catchment"/>
    <n v="1892.16"/>
  </r>
  <r>
    <x v="3"/>
    <s v="Mwibakwe"/>
    <s v="Public"/>
    <x v="0"/>
    <s v="Gicumbi"/>
    <s v="Mukarange"/>
    <s v="NMUV_2"/>
    <s v="Warufu/Muvumba Sub-Catchment"/>
    <n v="3942.0000000000005"/>
  </r>
  <r>
    <x v="3"/>
    <s v="Kabungu"/>
    <s v="Public"/>
    <x v="0"/>
    <s v="Gicumbi"/>
    <s v="Mukarange"/>
    <s v="NMUV_2"/>
    <s v="Warufu/Muvumba Sub-Catchment"/>
    <n v="2365.2000000000003"/>
  </r>
  <r>
    <x v="3"/>
    <s v="Kibanga"/>
    <s v="Public"/>
    <x v="0"/>
    <s v="Gicumbi"/>
    <s v="Mukarange"/>
    <s v="NMUV_2"/>
    <s v="Warufu/Muvumba Sub-Catchment"/>
    <n v="3153.6000000000004"/>
  </r>
  <r>
    <x v="3"/>
    <s v="Gatete II"/>
    <s v="Public"/>
    <x v="0"/>
    <s v="Gicumbi"/>
    <s v="Mukarange"/>
    <s v="NMUV_2"/>
    <s v="Warufu/Muvumba Sub-Catchment"/>
    <n v="1734.4800000000002"/>
  </r>
  <r>
    <x v="3"/>
    <s v="Rambiki"/>
    <s v="Public"/>
    <x v="0"/>
    <s v="Gicumbi"/>
    <s v="Mukarange"/>
    <s v="NMUV_2"/>
    <s v="Warufu/Muvumba Sub-Catchment"/>
    <n v="1734.4800000000002"/>
  </r>
  <r>
    <x v="3"/>
    <s v="Nyamucoko"/>
    <s v="Public"/>
    <x v="0"/>
    <s v="Gicumbi"/>
    <s v="Mukarange"/>
    <s v="NMUV_2"/>
    <s v="Warufu/Muvumba Sub-Catchment"/>
    <n v="4730.4000000000005"/>
  </r>
  <r>
    <x v="3"/>
    <s v="GISENYI"/>
    <s v="Public"/>
    <x v="0"/>
    <s v="Gatsibo"/>
    <s v="Nyagihanga"/>
    <s v="NMUV_2"/>
    <s v="Warufu/Muvumba Sub-Catchment"/>
    <n v="4730.4000000000005"/>
  </r>
  <r>
    <x v="3"/>
    <s v="KAMATEBWE"/>
    <s v="Public"/>
    <x v="0"/>
    <s v="Gatsibo"/>
    <s v="Nyagihanga"/>
    <s v="NMUV_2"/>
    <s v="Warufu/Muvumba Sub-Catchment"/>
    <n v="6307.2000000000007"/>
  </r>
  <r>
    <x v="3"/>
    <s v="KAYIRAHUKA"/>
    <s v="Public"/>
    <x v="0"/>
    <s v="Gatsibo"/>
    <s v="Nyagihanga"/>
    <s v="NMUV_2"/>
    <s v="Warufu/Muvumba Sub-Catchment"/>
    <n v="14191.2"/>
  </r>
  <r>
    <x v="3"/>
    <s v="KIVUBA"/>
    <s v="Public"/>
    <x v="0"/>
    <s v="Gatsibo"/>
    <s v="Nyagihanga"/>
    <s v="NMUV_2"/>
    <s v="Warufu/Muvumba Sub-Catchment"/>
    <n v="4730.4000000000005"/>
  </r>
  <r>
    <x v="3"/>
    <s v="KABARE"/>
    <s v="Public"/>
    <x v="0"/>
    <s v="Gatsibo"/>
    <s v="Nyagihanga"/>
    <s v="NMUV_2"/>
    <s v="Warufu/Muvumba Sub-Catchment"/>
    <n v="7884.0000000000009"/>
  </r>
  <r>
    <x v="3"/>
    <s v="RYANYAKAGABO"/>
    <s v="Public"/>
    <x v="0"/>
    <s v="Gatsibo"/>
    <s v="Nyagihanga"/>
    <s v="NMUV_2"/>
    <s v="Warufu/Muvumba Sub-Catchment"/>
    <n v="12614.400000000001"/>
  </r>
  <r>
    <x v="3"/>
    <s v="KAGOROGORO"/>
    <s v="Public"/>
    <x v="0"/>
    <s v="Gatsibo"/>
    <s v="Nyagihanga"/>
    <s v="NMUV_2"/>
    <s v="Warufu/Muvumba Sub-Catchment"/>
    <n v="7884.0000000000009"/>
  </r>
  <r>
    <x v="3"/>
    <s v="SENYAKENGE"/>
    <s v="Public"/>
    <x v="0"/>
    <s v="Gatsibo"/>
    <s v="Nyagihanga"/>
    <s v="NMUV_2"/>
    <s v="Warufu/Muvumba Sub-Catchment"/>
    <n v="9460.8000000000011"/>
  </r>
  <r>
    <x v="3"/>
    <s v="KABEZA"/>
    <s v="Public"/>
    <x v="0"/>
    <s v="Gatsibo"/>
    <s v="Nyagihanga"/>
    <s v="NMUV_2"/>
    <s v="Warufu/Muvumba Sub-Catchment"/>
    <n v="15768.000000000002"/>
  </r>
  <r>
    <x v="3"/>
    <s v="GAHAMA"/>
    <s v="Public"/>
    <x v="0"/>
    <s v="Gatsibo"/>
    <s v="Nyagihanga"/>
    <s v="NMUV_2"/>
    <s v="Warufu/Muvumba Sub-Catchment"/>
    <n v="15768.000000000002"/>
  </r>
  <r>
    <x v="3"/>
    <s v="KINA"/>
    <s v="Public"/>
    <x v="0"/>
    <s v="Gatsibo"/>
    <s v="Nyagihanga"/>
    <s v="NMUV_2"/>
    <s v="Warufu/Muvumba Sub-Catchment"/>
    <n v="7884.0000000000009"/>
  </r>
  <r>
    <x v="3"/>
    <s v="NYAMIGENDE"/>
    <s v="Public"/>
    <x v="0"/>
    <s v="Gatsibo"/>
    <s v="Nyagihanga"/>
    <s v="NMUV_2"/>
    <s v="Warufu/Muvumba Sub-Catchment"/>
    <n v="11037.6"/>
  </r>
  <r>
    <x v="3"/>
    <s v="KABARE"/>
    <s v="Public"/>
    <x v="0"/>
    <s v="Gatsibo"/>
    <s v="Nyagihanga"/>
    <s v="NMUV_2"/>
    <s v="Warufu/Muvumba Sub-Catchment"/>
    <n v="9460.8000000000011"/>
  </r>
  <r>
    <x v="3"/>
    <s v="Rwarema"/>
    <s v="Public"/>
    <x v="0"/>
    <s v="Nyagatare"/>
    <s v="Rukomo"/>
    <s v="NMUV_2"/>
    <s v="Warufu/Muvumba Sub-Catchment"/>
    <n v="2365.2000000000003"/>
  </r>
  <r>
    <x v="3"/>
    <s v="Nyakarekare"/>
    <s v="Public"/>
    <x v="0"/>
    <s v="Nyagatare"/>
    <s v="Rukomo"/>
    <s v="NMUV_2"/>
    <s v="Warufu/Muvumba Sub-Catchment"/>
    <n v="1576.8000000000002"/>
  </r>
  <r>
    <x v="3"/>
    <s v="Mu Rucyamo"/>
    <s v="Public"/>
    <x v="0"/>
    <s v="Nyagatare"/>
    <s v="Rukomo"/>
    <s v="NMUV_2"/>
    <s v="Warufu/Muvumba Sub-Catchment"/>
    <n v="1261.44"/>
  </r>
  <r>
    <x v="3"/>
    <s v="karambo"/>
    <s v="Public"/>
    <x v="0"/>
    <s v="Nyagatare"/>
    <s v="Rukomo"/>
    <s v="NMUV_2"/>
    <s v="Warufu/Muvumba Sub-Catchment"/>
    <n v="1576.8000000000002"/>
  </r>
  <r>
    <x v="3"/>
    <s v="Nyankokoma"/>
    <s v="Public"/>
    <x v="0"/>
    <s v="Nyagatare"/>
    <s v="Rukomo"/>
    <s v="NMUV_2"/>
    <s v="Warufu/Muvumba Sub-Catchment"/>
    <n v="3942.0000000000005"/>
  </r>
  <r>
    <x v="3"/>
    <s v="Nyakagezi"/>
    <s v="Public"/>
    <x v="0"/>
    <s v="Nyagatare"/>
    <s v="Rukomo"/>
    <s v="NMUV_2"/>
    <s v="Warufu/Muvumba Sub-Catchment"/>
    <n v="2207.5200000000004"/>
  </r>
  <r>
    <x v="3"/>
    <s v="Rwinkamba"/>
    <s v="Public"/>
    <x v="0"/>
    <s v="Nyagatare"/>
    <s v="Rukomo"/>
    <s v="NMUV_2"/>
    <s v="Warufu/Muvumba Sub-Catchment"/>
    <n v="788.40000000000009"/>
  </r>
  <r>
    <x v="3"/>
    <s v="Rwinkende"/>
    <s v="Public"/>
    <x v="0"/>
    <s v="Nyagatare"/>
    <s v="Rukomo"/>
    <s v="NMUV_2"/>
    <s v="Warufu/Muvumba Sub-Catchment"/>
    <n v="4730.4000000000005"/>
  </r>
  <r>
    <x v="3"/>
    <s v="Rwabizana"/>
    <s v="Public"/>
    <x v="0"/>
    <s v="Nyagatare"/>
    <s v="Rukomo"/>
    <s v="NMUV_2"/>
    <s v="Warufu/Muvumba Sub-Catchment"/>
    <n v="788.40000000000009"/>
  </r>
  <r>
    <x v="3"/>
    <s v="Gatoki"/>
    <s v="Public"/>
    <x v="0"/>
    <s v="Nyagatare"/>
    <s v="Rukomo"/>
    <s v="NMUV_2"/>
    <s v="Warufu/Muvumba Sub-Catchment"/>
    <n v="3468.9600000000005"/>
  </r>
  <r>
    <x v="3"/>
    <s v="Nyakagezi"/>
    <s v="Public"/>
    <x v="0"/>
    <s v="Nyagatare"/>
    <s v="Rukomo"/>
    <s v="NMUV_2"/>
    <s v="Warufu/Muvumba Sub-Catchment"/>
    <n v="1892.16"/>
  </r>
  <r>
    <x v="3"/>
    <s v="Nyabusozi"/>
    <s v="Public"/>
    <x v="0"/>
    <s v="Nyagatare"/>
    <s v="Rukomo"/>
    <s v="NMUV_2"/>
    <s v="Warufu/Muvumba Sub-Catchment"/>
    <n v="788.40000000000009"/>
  </r>
  <r>
    <x v="3"/>
    <s v="Kibari II"/>
    <s v="Public"/>
    <x v="0"/>
    <s v="Nyagatare"/>
    <s v="Rukomo"/>
    <s v="NMUV_2"/>
    <s v="Warufu/Muvumba Sub-Catchment"/>
    <n v="1576.8000000000002"/>
  </r>
  <r>
    <x v="3"/>
    <s v="Ruhorera"/>
    <s v="Public"/>
    <x v="0"/>
    <s v="Nyagatare"/>
    <s v="Rukomo"/>
    <s v="NMUV_2"/>
    <s v="Warufu/Muvumba Sub-Catchment"/>
    <n v="630.72"/>
  </r>
  <r>
    <x v="3"/>
    <s v="Mu Kadogo"/>
    <s v="Public"/>
    <x v="0"/>
    <s v="Nyagatare"/>
    <s v="Rukomo"/>
    <s v="NMUV_2"/>
    <s v="Warufu/Muvumba Sub-Catchment"/>
    <n v="2365.2000000000003"/>
  </r>
  <r>
    <x v="3"/>
    <s v="Mu mizibaziba"/>
    <s v="Public"/>
    <x v="0"/>
    <s v="Nyagatare"/>
    <s v="Rukomo"/>
    <s v="NMUV_2"/>
    <s v="Warufu/Muvumba Sub-Catchment"/>
    <n v="6307.2000000000007"/>
  </r>
  <r>
    <x v="3"/>
    <s v="Mu Kadogo"/>
    <s v="Public"/>
    <x v="0"/>
    <s v="Nyagatare"/>
    <s v="Rukomo"/>
    <s v="NMUV_2"/>
    <s v="Warufu/Muvumba Sub-Catchment"/>
    <n v="3153.6000000000004"/>
  </r>
  <r>
    <x v="3"/>
    <s v="Saruhembe"/>
    <s v="Public"/>
    <x v="0"/>
    <s v="Nyagatare"/>
    <s v="Rukomo"/>
    <s v="NMUV_2"/>
    <s v="Warufu/Muvumba Sub-Catchment"/>
    <n v="315.36"/>
  </r>
  <r>
    <x v="3"/>
    <s v="Nyakariba"/>
    <s v="Public"/>
    <x v="0"/>
    <s v="Nyagatare"/>
    <s v="Rukomo"/>
    <s v="NMUV_2"/>
    <s v="Warufu/Muvumba Sub-Catchment"/>
    <n v="3153.6000000000004"/>
  </r>
  <r>
    <x v="3"/>
    <s v="Nyakagezi"/>
    <s v="Public"/>
    <x v="0"/>
    <s v="Nyagatare"/>
    <s v="Rukomo"/>
    <s v="NMUV_2"/>
    <s v="Warufu/Muvumba Sub-Catchment"/>
    <n v="315.36"/>
  </r>
  <r>
    <x v="3"/>
    <s v="Gakombe"/>
    <s v="Public"/>
    <x v="0"/>
    <s v="Nyagatare"/>
    <s v="Rukomo"/>
    <s v="NMUV_2"/>
    <s v="Warufu/Muvumba Sub-Catchment"/>
    <n v="14664.240000000002"/>
  </r>
  <r>
    <x v="3"/>
    <s v="Rwuhira"/>
    <s v="Public"/>
    <x v="0"/>
    <s v="Nyagatare"/>
    <s v="Rukomo"/>
    <s v="NMUV_2"/>
    <s v="Warufu/Muvumba Sub-Catchment"/>
    <n v="788.40000000000009"/>
  </r>
  <r>
    <x v="3"/>
    <s v="Gahondo"/>
    <s v="Public"/>
    <x v="0"/>
    <s v="Nyagatare"/>
    <s v="Rukomo"/>
    <s v="NMUV_2"/>
    <s v="Warufu/Muvumba Sub-Catchment"/>
    <n v="12614.400000000001"/>
  </r>
  <r>
    <x v="3"/>
    <s v="Ku Karwa"/>
    <s v="Public"/>
    <x v="0"/>
    <s v="Nyagatare"/>
    <s v="Rukomo"/>
    <s v="NMUV_2"/>
    <s v="Warufu/Muvumba Sub-Catchment"/>
    <n v="4730.4000000000005"/>
  </r>
  <r>
    <x v="3"/>
    <s v="Rwagakombe"/>
    <s v="Public"/>
    <x v="0"/>
    <s v="Nyagatare"/>
    <s v="Rukomo"/>
    <s v="NMUV_2"/>
    <s v="Warufu/Muvumba Sub-Catchment"/>
    <n v="473.04"/>
  </r>
  <r>
    <x v="3"/>
    <s v="Nyakagezi"/>
    <s v="Public"/>
    <x v="0"/>
    <s v="Nyagatare"/>
    <s v="Rukomo"/>
    <s v="NMUV_2"/>
    <s v="Warufu/Muvumba Sub-Catchment"/>
    <n v="3153.6000000000004"/>
  </r>
  <r>
    <x v="3"/>
    <s v="Mu Gasiza"/>
    <s v="Public"/>
    <x v="0"/>
    <s v="Nyagatare"/>
    <s v="Rukomo"/>
    <s v="NMUV_2"/>
    <s v="Warufu/Muvumba Sub-Catchment"/>
    <n v="630.72"/>
  </r>
  <r>
    <x v="3"/>
    <s v="Kadobogo"/>
    <s v="Public"/>
    <x v="0"/>
    <s v="Nyagatare"/>
    <s v="Rukomo"/>
    <s v="NMUV_2"/>
    <s v="Warufu/Muvumba Sub-Catchment"/>
    <n v="946.08"/>
  </r>
  <r>
    <x v="3"/>
    <s v="Rwamabuye"/>
    <s v="Public"/>
    <x v="0"/>
    <s v="Nyagatare"/>
    <s v="Rukomo"/>
    <s v="NMUV_2"/>
    <s v="Warufu/Muvumba Sub-Catchment"/>
    <n v="14821.919999999998"/>
  </r>
  <r>
    <x v="3"/>
    <s v="Rwakanimba"/>
    <s v="Public"/>
    <x v="0"/>
    <s v="Nyagatare"/>
    <s v="Rukomo"/>
    <s v="NMUV_2"/>
    <s v="Warufu/Muvumba Sub-Catchment"/>
    <n v="3784.32"/>
  </r>
  <r>
    <x v="3"/>
    <s v="Rwasando"/>
    <s v="Public"/>
    <x v="0"/>
    <s v="Nyagatare"/>
    <s v="Rukomo"/>
    <s v="NMUV_2"/>
    <s v="Warufu/Muvumba Sub-Catchment"/>
    <n v="5203.4400000000005"/>
  </r>
  <r>
    <x v="3"/>
    <s v="Ku Ruseke"/>
    <s v="Public"/>
    <x v="0"/>
    <s v="Nyagatare"/>
    <s v="Rukomo"/>
    <s v="NMUV_2"/>
    <s v="Warufu/Muvumba Sub-Catchment"/>
    <n v="1261.44"/>
  </r>
  <r>
    <x v="3"/>
    <s v="Rwambungo"/>
    <s v="Public"/>
    <x v="0"/>
    <s v="Nyagatare"/>
    <s v="Rukomo"/>
    <s v="NMUV_2"/>
    <s v="Warufu/Muvumba Sub-Catchment"/>
    <n v="1103.7600000000002"/>
  </r>
  <r>
    <x v="3"/>
    <s v="Nyakagezi II"/>
    <s v="Public"/>
    <x v="0"/>
    <s v="Nyagatare"/>
    <s v="Rukomo"/>
    <s v="NMUV_2"/>
    <s v="Warufu/Muvumba Sub-Catchment"/>
    <n v="1261.44"/>
  </r>
  <r>
    <x v="3"/>
    <s v="Mugomero"/>
    <s v="Public"/>
    <x v="0"/>
    <s v="Nyagatare"/>
    <s v="Rukomo"/>
    <s v="NMUV_2"/>
    <s v="Warufu/Muvumba Sub-Catchment"/>
    <n v="2365.2000000000003"/>
  </r>
  <r>
    <x v="3"/>
    <s v="Nyakagezi"/>
    <s v="Public"/>
    <x v="0"/>
    <s v="Nyagatare"/>
    <s v="Rukomo"/>
    <s v="NMUV_2"/>
    <s v="Warufu/Muvumba Sub-Catchment"/>
    <n v="630.72"/>
  </r>
  <r>
    <x v="3"/>
    <s v="Muhama"/>
    <s v="Public"/>
    <x v="0"/>
    <s v="Nyagatare"/>
    <s v="Rukomo"/>
    <s v="NMUV_2"/>
    <s v="Warufu/Muvumba Sub-Catchment"/>
    <n v="2680.56"/>
  </r>
  <r>
    <x v="3"/>
    <s v="Gatare"/>
    <s v="Public"/>
    <x v="0"/>
    <s v="Nyagatare"/>
    <s v="Rukomo"/>
    <s v="NMUV_2"/>
    <s v="Warufu/Muvumba Sub-Catchment"/>
    <n v="1419.12"/>
  </r>
  <r>
    <x v="3"/>
    <s v="Bukamba"/>
    <s v="Public"/>
    <x v="0"/>
    <s v="Nyagatare"/>
    <s v="Rukomo"/>
    <s v="NMUV_2"/>
    <s v="Warufu/Muvumba Sub-Catchment"/>
    <n v="1734.4800000000002"/>
  </r>
  <r>
    <x v="3"/>
    <s v="Rwashwiga"/>
    <s v="Public"/>
    <x v="0"/>
    <s v="Nyagatare"/>
    <s v="Rukomo"/>
    <s v="NMUV_2"/>
    <s v="Warufu/Muvumba Sub-Catchment"/>
    <n v="3942.0000000000005"/>
  </r>
  <r>
    <x v="3"/>
    <s v="Ruseke"/>
    <s v="Public"/>
    <x v="0"/>
    <s v="Nyagatare"/>
    <s v="Rukomo"/>
    <s v="NMUV_2"/>
    <s v="Warufu/Muvumba Sub-Catchment"/>
    <n v="28382.400000000001"/>
  </r>
  <r>
    <x v="3"/>
    <s v="Gatare"/>
    <s v="Public"/>
    <x v="0"/>
    <s v="Nyagatare"/>
    <s v="Rukomo"/>
    <s v="NMUV_2"/>
    <s v="Warufu/Muvumba Sub-Catchment"/>
    <n v="5518.8"/>
  </r>
  <r>
    <x v="3"/>
    <s v="Rutomvu"/>
    <s v="Public"/>
    <x v="0"/>
    <s v="Nyagatare"/>
    <s v="Rukomo"/>
    <s v="NMUV_2"/>
    <s v="Warufu/Muvumba Sub-Catchment"/>
    <n v="2049.84"/>
  </r>
  <r>
    <x v="3"/>
    <s v="Kabumbiro"/>
    <s v="Public"/>
    <x v="0"/>
    <s v="Nyagatare"/>
    <s v="Rukomo"/>
    <s v="NMUV_2"/>
    <s v="Warufu/Muvumba Sub-Catchment"/>
    <n v="630.72"/>
  </r>
  <r>
    <x v="3"/>
    <s v="Gatare"/>
    <s v="Public"/>
    <x v="0"/>
    <s v="Nyagatare"/>
    <s v="Rukomo"/>
    <s v="NMUV_2"/>
    <s v="Warufu/Muvumba Sub-Catchment"/>
    <n v="1892.16"/>
  </r>
  <r>
    <x v="3"/>
    <s v="Cyamusambi"/>
    <s v="Public"/>
    <x v="0"/>
    <s v="Nyagatare"/>
    <s v="Rukomo"/>
    <s v="NMUV_2"/>
    <s v="Warufu/Muvumba Sub-Catchment"/>
    <n v="157.68"/>
  </r>
  <r>
    <x v="3"/>
    <s v="Ku Gatare"/>
    <s v="Public"/>
    <x v="0"/>
    <s v="Nyagatare"/>
    <s v="Rukomo"/>
    <s v="NMUV_2"/>
    <s v="Warufu/Muvumba Sub-Catchment"/>
    <n v="630.72"/>
  </r>
  <r>
    <x v="3"/>
    <s v="Gatombore"/>
    <s v="Public"/>
    <x v="0"/>
    <s v="Nyagatare"/>
    <s v="Rukomo"/>
    <s v="NMUV_2"/>
    <s v="Warufu/Muvumba Sub-Catchment"/>
    <n v="1261.44"/>
  </r>
  <r>
    <x v="3"/>
    <s v="Kwa Karegeya"/>
    <s v="Public"/>
    <x v="0"/>
    <s v="Nyagatare"/>
    <s v="Rukomo"/>
    <s v="NMUV_2"/>
    <s v="Warufu/Muvumba Sub-Catchment"/>
    <n v="473.04"/>
  </r>
  <r>
    <x v="3"/>
    <s v="karugorora"/>
    <s v="Public"/>
    <x v="0"/>
    <s v="Nyagatare"/>
    <s v="Rukomo"/>
    <s v="NMUV_2"/>
    <s v="Warufu/Muvumba Sub-Catchment"/>
    <n v="630.72"/>
  </r>
  <r>
    <x v="3"/>
    <s v="Ku kimpanga"/>
    <s v="Public"/>
    <x v="0"/>
    <s v="Nyagatare"/>
    <s v="Rukomo"/>
    <s v="NMUV_2"/>
    <s v="Warufu/Muvumba Sub-Catchment"/>
    <n v="157.68"/>
  </r>
  <r>
    <x v="3"/>
    <s v="kabuhome"/>
    <s v="Public"/>
    <x v="0"/>
    <s v="Nyagatare"/>
    <s v="Rukomo"/>
    <s v="NMUV_2"/>
    <s v="Warufu/Muvumba Sub-Catchment"/>
    <n v="630.72"/>
  </r>
  <r>
    <x v="3"/>
    <s v="Gasave"/>
    <s v="Public"/>
    <x v="0"/>
    <s v="Nyagatare"/>
    <s v="Rukomo"/>
    <s v="NMUV_2"/>
    <s v="Warufu/Muvumba Sub-Catchment"/>
    <n v="157.68"/>
  </r>
  <r>
    <x v="3"/>
    <s v="Karitusi"/>
    <s v="Public"/>
    <x v="0"/>
    <s v="Nyagatare"/>
    <s v="Rukomo"/>
    <s v="NMUV_2"/>
    <s v="Warufu/Muvumba Sub-Catchment"/>
    <n v="5518.8"/>
  </r>
  <r>
    <x v="3"/>
    <s v="Rwamiko"/>
    <s v="Public"/>
    <x v="0"/>
    <s v="Nyagatare"/>
    <s v="Rukomo"/>
    <s v="NMUV_2"/>
    <s v="Warufu/Muvumba Sub-Catchment"/>
    <n v="1576.8000000000002"/>
  </r>
  <r>
    <x v="3"/>
    <s v="Mburamazi I"/>
    <s v="Public"/>
    <x v="0"/>
    <s v="Nyagatare"/>
    <s v="Rukomo"/>
    <s v="NMUV_2"/>
    <s v="Warufu/Muvumba Sub-Catchment"/>
    <n v="3153.6000000000004"/>
  </r>
  <r>
    <x v="3"/>
    <s v="Nzabarara I"/>
    <s v="Public"/>
    <x v="0"/>
    <s v="Nyagatare"/>
    <s v="Rukomo"/>
    <s v="NMUV_2"/>
    <s v="Warufu/Muvumba Sub-Catchment"/>
    <n v="3468.9600000000005"/>
  </r>
  <r>
    <x v="3"/>
    <s v="Ruhondo II"/>
    <s v="Public"/>
    <x v="0"/>
    <s v="Nyagatare"/>
    <s v="Rukomo"/>
    <s v="NMUV_2"/>
    <s v="Warufu/Muvumba Sub-Catchment"/>
    <n v="157.68"/>
  </r>
  <r>
    <x v="3"/>
    <s v="kingoma"/>
    <s v="Public"/>
    <x v="0"/>
    <s v="Nyagatare"/>
    <s v="Rukomo"/>
    <s v="NMUV_2"/>
    <s v="Warufu/Muvumba Sub-Catchment"/>
    <n v="3153.6000000000004"/>
  </r>
  <r>
    <x v="3"/>
    <s v="Nyabitare I"/>
    <s v="Public"/>
    <x v="0"/>
    <s v="Nyagatare"/>
    <s v="Rukomo"/>
    <s v="NMUV_2"/>
    <s v="Warufu/Muvumba Sub-Catchment"/>
    <n v="315.36"/>
  </r>
  <r>
    <x v="3"/>
    <s v="Ku Gatare"/>
    <s v="Public"/>
    <x v="0"/>
    <s v="Nyagatare"/>
    <s v="Rukomo"/>
    <s v="NMUV_2"/>
    <s v="Warufu/Muvumba Sub-Catchment"/>
    <n v="3942.0000000000005"/>
  </r>
  <r>
    <x v="3"/>
    <s v="Buhanga"/>
    <s v="Public"/>
    <x v="0"/>
    <s v="Nyagatare"/>
    <s v="Rukomo"/>
    <s v="NMUV_2"/>
    <s v="Warufu/Muvumba Sub-Catchment"/>
    <n v="1576.8000000000002"/>
  </r>
  <r>
    <x v="3"/>
    <s v="Nyabitare II"/>
    <s v="Public"/>
    <x v="0"/>
    <s v="Nyagatare"/>
    <s v="Rukomo"/>
    <s v="NMUV_2"/>
    <s v="Warufu/Muvumba Sub-Catchment"/>
    <n v="788.40000000000009"/>
  </r>
  <r>
    <x v="3"/>
    <s v="Nzabarara II"/>
    <s v="Public"/>
    <x v="0"/>
    <s v="Nyagatare"/>
    <s v="Rukomo"/>
    <s v="NMUV_2"/>
    <s v="Warufu/Muvumba Sub-Catchment"/>
    <n v="157.68"/>
  </r>
  <r>
    <x v="3"/>
    <s v="Mu Kadogo"/>
    <s v="Public"/>
    <x v="0"/>
    <s v="Nyagatare"/>
    <s v="Rukomo"/>
    <s v="NMUV_2"/>
    <s v="Warufu/Muvumba Sub-Catchment"/>
    <n v="2365.2000000000003"/>
  </r>
  <r>
    <x v="3"/>
    <s v="Rizava"/>
    <s v="Public"/>
    <x v="0"/>
    <s v="Nyagatare"/>
    <s v="Rukomo"/>
    <s v="NMUV_2"/>
    <s v="Warufu/Muvumba Sub-Catchment"/>
    <n v="1261.44"/>
  </r>
  <r>
    <x v="3"/>
    <s v="Byabitabwa"/>
    <s v="Public"/>
    <x v="0"/>
    <s v="Nyagatare"/>
    <s v="Rukomo"/>
    <s v="NMUV_2"/>
    <s v="Warufu/Muvumba Sub-Catchment"/>
    <n v="2365.2000000000003"/>
  </r>
  <r>
    <x v="3"/>
    <s v="Gahena"/>
    <s v="Public"/>
    <x v="0"/>
    <s v="Gicumbi"/>
    <s v="Rushaki"/>
    <s v="NMUV_2"/>
    <s v="Warufu/Muvumba Sub-Catchment"/>
    <n v="2838.24"/>
  </r>
  <r>
    <x v="3"/>
    <s v="Mukoki"/>
    <s v="Public"/>
    <x v="0"/>
    <s v="Gicumbi"/>
    <s v="Rushaki"/>
    <s v="NMUV_2"/>
    <s v="Warufu/Muvumba Sub-Catchment"/>
    <n v="1576.8000000000002"/>
  </r>
  <r>
    <x v="3"/>
    <s v="Byahi"/>
    <s v="Public"/>
    <x v="0"/>
    <s v="Gicumbi"/>
    <s v="Rushaki"/>
    <s v="NMUV_2"/>
    <s v="Warufu/Muvumba Sub-Catchment"/>
    <n v="630.72"/>
  </r>
  <r>
    <x v="3"/>
    <s v="Gatare"/>
    <s v="Public"/>
    <x v="0"/>
    <s v="Gicumbi"/>
    <s v="Rushaki"/>
    <s v="NMUV_2"/>
    <s v="Warufu/Muvumba Sub-Catchment"/>
    <n v="6780.24"/>
  </r>
  <r>
    <x v="3"/>
    <s v="Nyakagezi"/>
    <s v="Public"/>
    <x v="0"/>
    <s v="Gicumbi"/>
    <s v="Rushaki"/>
    <s v="NMUV_2"/>
    <s v="Warufu/Muvumba Sub-Catchment"/>
    <n v="1892.16"/>
  </r>
  <r>
    <x v="3"/>
    <s v="Ryabuguri"/>
    <s v="Public"/>
    <x v="0"/>
    <s v="Gicumbi"/>
    <s v="Rushaki"/>
    <s v="NMUV_2"/>
    <s v="Warufu/Muvumba Sub-Catchment"/>
    <n v="14191.2"/>
  </r>
  <r>
    <x v="3"/>
    <s v="Nyamyumba"/>
    <s v="Public"/>
    <x v="0"/>
    <s v="Gicumbi"/>
    <s v="Rushaki"/>
    <s v="NMUV_2"/>
    <s v="Warufu/Muvumba Sub-Catchment"/>
    <n v="2680.56"/>
  </r>
  <r>
    <x v="3"/>
    <s v="Rubingo"/>
    <s v="Public"/>
    <x v="0"/>
    <s v="Gicumbi"/>
    <s v="Rushaki"/>
    <s v="NMUV_2"/>
    <s v="Warufu/Muvumba Sub-Catchment"/>
    <n v="1103.7600000000002"/>
  </r>
  <r>
    <x v="3"/>
    <s v="Gashinge"/>
    <s v="Public"/>
    <x v="0"/>
    <s v="Gicumbi"/>
    <s v="Rushaki"/>
    <s v="NMUV_2"/>
    <s v="Warufu/Muvumba Sub-Catchment"/>
    <n v="788.40000000000009"/>
  </r>
  <r>
    <x v="3"/>
    <s v="Kamaguru"/>
    <s v="Public"/>
    <x v="0"/>
    <s v="Gicumbi"/>
    <s v="Rushaki"/>
    <s v="NMUV_2"/>
    <s v="Warufu/Muvumba Sub-Catchment"/>
    <n v="1576.8000000000002"/>
  </r>
  <r>
    <x v="3"/>
    <s v="Nyabitare"/>
    <s v="Public"/>
    <x v="0"/>
    <s v="Gicumbi"/>
    <s v="Rushaki"/>
    <s v="NMUV_2"/>
    <s v="Warufu/Muvumba Sub-Catchment"/>
    <n v="11352.96"/>
  </r>
  <r>
    <x v="3"/>
    <s v="Karugu"/>
    <s v="Public"/>
    <x v="0"/>
    <s v="Gicumbi"/>
    <s v="Rushaki"/>
    <s v="NMUV_2"/>
    <s v="Warufu/Muvumba Sub-Catchment"/>
    <n v="315.36"/>
  </r>
  <r>
    <x v="3"/>
    <s v="Kintare"/>
    <s v="Public"/>
    <x v="0"/>
    <s v="Gicumbi"/>
    <s v="Rushaki"/>
    <s v="NMUV_2"/>
    <s v="Warufu/Muvumba Sub-Catchment"/>
    <n v="1892.16"/>
  </r>
  <r>
    <x v="3"/>
    <s v="Ryabusekura"/>
    <s v="Public"/>
    <x v="0"/>
    <s v="Gicumbi"/>
    <s v="Rushaki"/>
    <s v="NMUV_2"/>
    <s v="Warufu/Muvumba Sub-Catchment"/>
    <n v="1576.8000000000002"/>
  </r>
  <r>
    <x v="3"/>
    <s v="Mu Basindi"/>
    <s v="Public"/>
    <x v="0"/>
    <s v="Gicumbi"/>
    <s v="Rushaki"/>
    <s v="NMUV_2"/>
    <s v="Warufu/Muvumba Sub-Catchment"/>
    <n v="1576.8000000000002"/>
  </r>
  <r>
    <x v="3"/>
    <s v="Gisiza"/>
    <s v="Public"/>
    <x v="0"/>
    <s v="Gicumbi"/>
    <s v="Rushaki"/>
    <s v="NMUV_2"/>
    <s v="Warufu/Muvumba Sub-Catchment"/>
    <n v="6307.2000000000007"/>
  </r>
  <r>
    <x v="3"/>
    <s v="Burema"/>
    <s v="Public"/>
    <x v="0"/>
    <s v="Gicumbi"/>
    <s v="Rushaki"/>
    <s v="NMUV_2"/>
    <s v="Warufu/Muvumba Sub-Catchment"/>
    <n v="1576.8000000000002"/>
  </r>
  <r>
    <x v="3"/>
    <s v="Kwa Felisiyani"/>
    <s v="Public"/>
    <x v="0"/>
    <s v="Gicumbi"/>
    <s v="Rushaki"/>
    <s v="NMUV_2"/>
    <s v="Warufu/Muvumba Sub-Catchment"/>
    <n v="788.40000000000009"/>
  </r>
  <r>
    <x v="3"/>
    <s v="Mpingabakoriki"/>
    <s v="Public"/>
    <x v="0"/>
    <s v="Gicumbi"/>
    <s v="Rushaki"/>
    <s v="NMUV_2"/>
    <s v="Warufu/Muvumba Sub-Catchment"/>
    <n v="473.04"/>
  </r>
  <r>
    <x v="3"/>
    <s v="Mugomero"/>
    <s v="Public"/>
    <x v="0"/>
    <s v="Gicumbi"/>
    <s v="Rushaki"/>
    <s v="NMUV_2"/>
    <s v="Warufu/Muvumba Sub-Catchment"/>
    <n v="3942.0000000000005"/>
  </r>
  <r>
    <x v="3"/>
    <s v="Rugarama"/>
    <s v="Public"/>
    <x v="0"/>
    <s v="Gicumbi"/>
    <s v="Rushaki"/>
    <s v="NMUV_2"/>
    <s v="Warufu/Muvumba Sub-Catchment"/>
    <n v="5045.76"/>
  </r>
  <r>
    <x v="3"/>
    <s v="Kamuniga"/>
    <s v="Public"/>
    <x v="0"/>
    <s v="Gicumbi"/>
    <s v="Rushaki"/>
    <s v="NMUV_2"/>
    <s v="Warufu/Muvumba Sub-Catchment"/>
    <n v="1576.8000000000002"/>
  </r>
  <r>
    <x v="3"/>
    <s v="Ku Gashinga"/>
    <s v="Public"/>
    <x v="0"/>
    <s v="Gicumbi"/>
    <s v="Rushaki"/>
    <s v="NMUV_2"/>
    <s v="Warufu/Muvumba Sub-Catchment"/>
    <n v="1576.8000000000002"/>
  </r>
  <r>
    <x v="3"/>
    <s v="College Don Bosco"/>
    <s v="Public"/>
    <x v="0"/>
    <s v="Gicumbi"/>
    <s v="Rushaki"/>
    <s v="NMUV_2"/>
    <s v="Warufu/Muvumba Sub-Catchment"/>
    <n v="3153.6000000000004"/>
  </r>
  <r>
    <x v="3"/>
    <s v="Kinnyogo"/>
    <s v="Public"/>
    <x v="0"/>
    <s v="Gicumbi"/>
    <s v="Rushaki"/>
    <s v="NMUV_2"/>
    <s v="Warufu/Muvumba Sub-Catchment"/>
    <n v="315.36"/>
  </r>
  <r>
    <x v="3"/>
    <s v="Ryagihwera"/>
    <s v="Public"/>
    <x v="0"/>
    <s v="Gicumbi"/>
    <s v="Rushaki"/>
    <s v="NMUV_2"/>
    <s v="Warufu/Muvumba Sub-Catchment"/>
    <n v="1576.8000000000002"/>
  </r>
  <r>
    <x v="3"/>
    <s v="Kwa Buhigiro"/>
    <s v="Public"/>
    <x v="0"/>
    <s v="Gicumbi"/>
    <s v="Rushaki"/>
    <s v="NMUV_2"/>
    <s v="Warufu/Muvumba Sub-Catchment"/>
    <n v="1576.8000000000002"/>
  </r>
  <r>
    <x v="3"/>
    <s v="Kamuriro"/>
    <s v="Public"/>
    <x v="0"/>
    <s v="Gicumbi"/>
    <s v="Rushaki"/>
    <s v="NMUV_2"/>
    <s v="Warufu/Muvumba Sub-Catchment"/>
    <n v="1576.8000000000002"/>
  </r>
  <r>
    <x v="3"/>
    <s v="Gatugunda"/>
    <s v="Public"/>
    <x v="0"/>
    <s v="Gicumbi"/>
    <s v="Rushaki"/>
    <s v="NMUV_2"/>
    <s v="Warufu/Muvumba Sub-Catchment"/>
    <n v="157.68"/>
  </r>
  <r>
    <x v="3"/>
    <s v="Nyaruhanga"/>
    <s v="Public"/>
    <x v="0"/>
    <s v="Gicumbi"/>
    <s v="Rushaki"/>
    <s v="NMUV_2"/>
    <s v="Warufu/Muvumba Sub-Catchment"/>
    <n v="7884.0000000000009"/>
  </r>
  <r>
    <x v="3"/>
    <s v="Kwinywero"/>
    <s v="Public"/>
    <x v="0"/>
    <s v="Gicumbi"/>
    <s v="Rushaki"/>
    <s v="NMUV_2"/>
    <s v="Warufu/Muvumba Sub-Catchment"/>
    <n v="33901.199999999997"/>
  </r>
  <r>
    <x v="3"/>
    <s v="Nyaruhanga"/>
    <s v="Public"/>
    <x v="0"/>
    <s v="Gicumbi"/>
    <s v="Rushaki"/>
    <s v="NMUV_2"/>
    <s v="Warufu/Muvumba Sub-Catchment"/>
    <n v="1576.8000000000002"/>
  </r>
  <r>
    <x v="3"/>
    <s v="Gasheshe"/>
    <s v="Public"/>
    <x v="0"/>
    <s v="Gicumbi"/>
    <s v="Rushaki"/>
    <s v="NMUV_2"/>
    <s v="Warufu/Muvumba Sub-Catchment"/>
    <n v="788.40000000000009"/>
  </r>
  <r>
    <x v="3"/>
    <s v="Karucweri"/>
    <s v="Public"/>
    <x v="0"/>
    <s v="Gicumbi"/>
    <s v="Ruvune"/>
    <s v="NMUV_2"/>
    <s v="Warufu/Muvumba Sub-Catchment"/>
    <n v="4257.3600000000006"/>
  </r>
  <r>
    <x v="3"/>
    <s v="Rukomo II"/>
    <s v="Public"/>
    <x v="0"/>
    <s v="Gicumbi"/>
    <s v="Ruvune"/>
    <s v="NMUV_2"/>
    <s v="Warufu/Muvumba Sub-Catchment"/>
    <n v="15768.000000000002"/>
  </r>
  <r>
    <x v="3"/>
    <s v="Nyirakaziku I"/>
    <s v="Public"/>
    <x v="0"/>
    <s v="Gicumbi"/>
    <s v="Ruvune"/>
    <s v="NMUV_2"/>
    <s v="Warufu/Muvumba Sub-Catchment"/>
    <n v="1734.4800000000002"/>
  </r>
  <r>
    <x v="3"/>
    <s v="Gatovu"/>
    <s v="Public"/>
    <x v="0"/>
    <s v="Gicumbi"/>
    <s v="Ruvune"/>
    <s v="NMUV_2"/>
    <s v="Warufu/Muvumba Sub-Catchment"/>
    <n v="3468.9600000000005"/>
  </r>
  <r>
    <x v="3"/>
    <s v="Gatengu"/>
    <s v="Public"/>
    <x v="0"/>
    <s v="Gicumbi"/>
    <s v="Ruvune"/>
    <s v="NMUV_2"/>
    <s v="Warufu/Muvumba Sub-Catchment"/>
    <n v="2049.84"/>
  </r>
  <r>
    <x v="3"/>
    <s v="Ngoboka"/>
    <s v="Public"/>
    <x v="0"/>
    <s v="Gicumbi"/>
    <s v="Ruvune"/>
    <s v="NMUV_2"/>
    <s v="Warufu/Muvumba Sub-Catchment"/>
    <n v="4415.0400000000009"/>
  </r>
  <r>
    <x v="3"/>
    <s v="Bihiza"/>
    <s v="Public"/>
    <x v="0"/>
    <s v="Gicumbi"/>
    <s v="Ruvune"/>
    <s v="NMUV_2"/>
    <s v="Warufu/Muvumba Sub-Catchment"/>
    <n v="3153.6000000000004"/>
  </r>
  <r>
    <x v="3"/>
    <s v="Rukomo I"/>
    <s v="Public"/>
    <x v="0"/>
    <s v="Gicumbi"/>
    <s v="Ruvune"/>
    <s v="NMUV_2"/>
    <s v="Warufu/Muvumba Sub-Catchment"/>
    <n v="3153.6000000000004"/>
  </r>
  <r>
    <x v="3"/>
    <s v="Nyakagezi II"/>
    <s v="Public"/>
    <x v="0"/>
    <s v="Gicumbi"/>
    <s v="Ruvune"/>
    <s v="NMUV_2"/>
    <s v="Warufu/Muvumba Sub-Catchment"/>
    <n v="1892.16"/>
  </r>
  <r>
    <x v="3"/>
    <s v="Karugamba"/>
    <s v="Public"/>
    <x v="0"/>
    <s v="Gicumbi"/>
    <s v="Ruvune"/>
    <s v="NMUV_2"/>
    <s v="Warufu/Muvumba Sub-Catchment"/>
    <n v="946.08"/>
  </r>
  <r>
    <x v="3"/>
    <s v="Nyamabare I"/>
    <s v="Public"/>
    <x v="0"/>
    <s v="Gicumbi"/>
    <s v="Ruvune"/>
    <s v="NMUV_2"/>
    <s v="Warufu/Muvumba Sub-Catchment"/>
    <n v="1892.16"/>
  </r>
  <r>
    <x v="3"/>
    <s v="Mushesho"/>
    <s v="Public"/>
    <x v="0"/>
    <s v="Gicumbi"/>
    <s v="Ruvune"/>
    <s v="NMUV_2"/>
    <s v="Warufu/Muvumba Sub-Catchment"/>
    <n v="946.08"/>
  </r>
  <r>
    <x v="3"/>
    <s v="Mu gisimu"/>
    <s v="Public"/>
    <x v="0"/>
    <s v="Gicumbi"/>
    <s v="Ruvune"/>
    <s v="NMUV_2"/>
    <s v="Warufu/Muvumba Sub-Catchment"/>
    <n v="3153.6000000000004"/>
  </r>
  <r>
    <x v="3"/>
    <s v="Kaziba"/>
    <s v="Public"/>
    <x v="0"/>
    <s v="Gicumbi"/>
    <s v="Ruvune"/>
    <s v="NMUV_2"/>
    <s v="Warufu/Muvumba Sub-Catchment"/>
    <n v="1261.44"/>
  </r>
  <r>
    <x v="3"/>
    <s v="Kagomero I"/>
    <s v="Public"/>
    <x v="0"/>
    <s v="Gicumbi"/>
    <s v="Ruvune"/>
    <s v="NMUV_2"/>
    <s v="Warufu/Muvumba Sub-Catchment"/>
    <n v="1576.8000000000002"/>
  </r>
  <r>
    <x v="3"/>
    <s v="Busoro"/>
    <s v="Public"/>
    <x v="0"/>
    <s v="Gicumbi"/>
    <s v="Ruvune"/>
    <s v="NMUV_2"/>
    <s v="Warufu/Muvumba Sub-Catchment"/>
    <n v="1576.8000000000002"/>
  </r>
  <r>
    <x v="3"/>
    <s v="Ryaberwa"/>
    <s v="Public"/>
    <x v="0"/>
    <s v="Gicumbi"/>
    <s v="Ruvune"/>
    <s v="NMUV_2"/>
    <s v="Warufu/Muvumba Sub-Catchment"/>
    <n v="788.40000000000009"/>
  </r>
  <r>
    <x v="3"/>
    <s v="Ryamukuri"/>
    <s v="Public"/>
    <x v="0"/>
    <s v="Gicumbi"/>
    <s v="Ruvune"/>
    <s v="NMUV_2"/>
    <s v="Warufu/Muvumba Sub-Catchment"/>
    <n v="2680.56"/>
  </r>
  <r>
    <x v="3"/>
    <s v="Ndayumugabo"/>
    <s v="Public"/>
    <x v="0"/>
    <s v="Gicumbi"/>
    <s v="Ruvune"/>
    <s v="NMUV_2"/>
    <s v="Warufu/Muvumba Sub-Catchment"/>
    <n v="1103.7600000000002"/>
  </r>
  <r>
    <x v="3"/>
    <s v="Ruzibaziba"/>
    <s v="Public"/>
    <x v="0"/>
    <s v="Gicumbi"/>
    <s v="Ruvune"/>
    <s v="NMUV_2"/>
    <s v="Warufu/Muvumba Sub-Catchment"/>
    <n v="7095.6"/>
  </r>
  <r>
    <x v="3"/>
    <s v="Gahondo"/>
    <s v="Public"/>
    <x v="0"/>
    <s v="Gicumbi"/>
    <s v="Ruvune"/>
    <s v="NMUV_2"/>
    <s v="Warufu/Muvumba Sub-Catchment"/>
    <n v="1261.44"/>
  </r>
  <r>
    <x v="3"/>
    <s v="Kagorogoro"/>
    <s v="Public"/>
    <x v="0"/>
    <s v="Gicumbi"/>
    <s v="Ruvune"/>
    <s v="NMUV_2"/>
    <s v="Warufu/Muvumba Sub-Catchment"/>
    <n v="6307.2000000000007"/>
  </r>
  <r>
    <x v="3"/>
    <s v="Ruhenda"/>
    <s v="Public"/>
    <x v="0"/>
    <s v="Gicumbi"/>
    <s v="Ruvune"/>
    <s v="NMUV_2"/>
    <s v="Warufu/Muvumba Sub-Catchment"/>
    <n v="9460.8000000000011"/>
  </r>
  <r>
    <x v="3"/>
    <s v="Cyamutara"/>
    <s v="Public"/>
    <x v="0"/>
    <s v="Gicumbi"/>
    <s v="Ruvune"/>
    <s v="NMUV_2"/>
    <s v="Warufu/Muvumba Sub-Catchment"/>
    <n v="473.04"/>
  </r>
  <r>
    <x v="3"/>
    <s v="Nkotsi"/>
    <s v="Public"/>
    <x v="0"/>
    <s v="Gicumbi"/>
    <s v="Ruvune"/>
    <s v="NMUV_2"/>
    <s v="Warufu/Muvumba Sub-Catchment"/>
    <n v="315.36"/>
  </r>
  <r>
    <x v="3"/>
    <s v="Rugorogoro"/>
    <s v="Public"/>
    <x v="0"/>
    <s v="Gicumbi"/>
    <s v="Ruvune"/>
    <s v="NMUV_2"/>
    <s v="Warufu/Muvumba Sub-Catchment"/>
    <n v="2207.5200000000004"/>
  </r>
  <r>
    <x v="3"/>
    <s v="Kareko"/>
    <s v="Public"/>
    <x v="0"/>
    <s v="Gicumbi"/>
    <s v="Ruvune"/>
    <s v="NMUV_2"/>
    <s v="Warufu/Muvumba Sub-Catchment"/>
    <n v="1261.44"/>
  </r>
  <r>
    <x v="3"/>
    <s v="Birarama"/>
    <s v="Public"/>
    <x v="0"/>
    <s v="Gicumbi"/>
    <s v="Ruvune"/>
    <s v="NMUV_2"/>
    <s v="Warufu/Muvumba Sub-Catchment"/>
    <n v="1261.44"/>
  </r>
  <r>
    <x v="3"/>
    <s v="Nyanga"/>
    <s v="Public"/>
    <x v="0"/>
    <s v="Gicumbi"/>
    <s v="Ruvune"/>
    <s v="NMUV_2"/>
    <s v="Warufu/Muvumba Sub-Catchment"/>
    <n v="3468.9600000000005"/>
  </r>
  <r>
    <x v="3"/>
    <s v="Nyakagezi II"/>
    <s v="Public"/>
    <x v="0"/>
    <s v="Gicumbi"/>
    <s v="Ruvune"/>
    <s v="NMUV_2"/>
    <s v="Warufu/Muvumba Sub-Catchment"/>
    <n v="315360"/>
  </r>
  <r>
    <x v="3"/>
    <s v="Ryabagagaya"/>
    <s v="Public"/>
    <x v="0"/>
    <s v="Gicumbi"/>
    <s v="Ruvune"/>
    <s v="NMUV_2"/>
    <s v="Warufu/Muvumba Sub-Catchment"/>
    <n v="3942.0000000000005"/>
  </r>
  <r>
    <x v="3"/>
    <s v="Mu Kanyogo"/>
    <s v="Public"/>
    <x v="0"/>
    <s v="Gicumbi"/>
    <s v="Ruvune"/>
    <s v="NMUV_2"/>
    <s v="Warufu/Muvumba Sub-Catchment"/>
    <n v="1261.44"/>
  </r>
  <r>
    <x v="3"/>
    <s v="Birambi"/>
    <s v="Public"/>
    <x v="0"/>
    <s v="Gicumbi"/>
    <s v="Ruvune"/>
    <s v="NMUV_2"/>
    <s v="Warufu/Muvumba Sub-Catchment"/>
    <n v="2838.24"/>
  </r>
  <r>
    <x v="3"/>
    <s v="Nyakagezi"/>
    <s v="Public"/>
    <x v="0"/>
    <s v="Gicumbi"/>
    <s v="Ruvune"/>
    <s v="NMUV_2"/>
    <s v="Warufu/Muvumba Sub-Catchment"/>
    <n v="1576.8000000000002"/>
  </r>
  <r>
    <x v="3"/>
    <s v="Nyarubande"/>
    <s v="Public"/>
    <x v="0"/>
    <s v="Gicumbi"/>
    <s v="Ruvune"/>
    <s v="NMUV_2"/>
    <s v="Warufu/Muvumba Sub-Catchment"/>
    <n v="1103.7600000000002"/>
  </r>
  <r>
    <x v="3"/>
    <s v="Mu Rutengu"/>
    <s v="Public"/>
    <x v="0"/>
    <s v="Gicumbi"/>
    <s v="Ruvune"/>
    <s v="NMUV_2"/>
    <s v="Warufu/Muvumba Sub-Catchment"/>
    <n v="157.68"/>
  </r>
  <r>
    <x v="3"/>
    <s v="Ryambonyi"/>
    <s v="Public"/>
    <x v="0"/>
    <s v="Gicumbi"/>
    <s v="Ruvune"/>
    <s v="NMUV_2"/>
    <s v="Warufu/Muvumba Sub-Catchment"/>
    <n v="630.72"/>
  </r>
  <r>
    <x v="3"/>
    <s v="Mu Rudogo"/>
    <s v="Public"/>
    <x v="0"/>
    <s v="Gicumbi"/>
    <s v="Ruvune"/>
    <s v="NMUV_2"/>
    <s v="Warufu/Muvumba Sub-Catchment"/>
    <n v="9460.8000000000011"/>
  </r>
  <r>
    <x v="3"/>
    <s v="Kagonyi"/>
    <s v="Public"/>
    <x v="0"/>
    <s v="Gicumbi"/>
    <s v="Ruvune"/>
    <s v="NMUV_2"/>
    <s v="Warufu/Muvumba Sub-Catchment"/>
    <n v="788.40000000000009"/>
  </r>
  <r>
    <x v="3"/>
    <s v="Gahama"/>
    <s v="Public"/>
    <x v="0"/>
    <s v="Gicumbi"/>
    <s v="Ruvune"/>
    <s v="NMUV_2"/>
    <s v="Warufu/Muvumba Sub-Catchment"/>
    <n v="315.36"/>
  </r>
  <r>
    <x v="3"/>
    <s v="Mugomero II"/>
    <s v="Public"/>
    <x v="0"/>
    <s v="Gicumbi"/>
    <s v="Ruvune"/>
    <s v="NMUV_2"/>
    <s v="Warufu/Muvumba Sub-Catchment"/>
    <n v="157.68"/>
  </r>
  <r>
    <x v="3"/>
    <s v="Kadobogo"/>
    <s v="Public"/>
    <x v="0"/>
    <s v="Gicumbi"/>
    <s v="Ruvune"/>
    <s v="NMUV_2"/>
    <s v="Warufu/Muvumba Sub-Catchment"/>
    <n v="5518.8"/>
  </r>
  <r>
    <x v="3"/>
    <s v="Mu Rucyamo"/>
    <s v="Public"/>
    <x v="0"/>
    <s v="Gicumbi"/>
    <s v="Ruvune"/>
    <s v="NMUV_2"/>
    <s v="Warufu/Muvumba Sub-Catchment"/>
    <n v="1103.7600000000002"/>
  </r>
  <r>
    <x v="3"/>
    <s v="Rubira"/>
    <s v="Public"/>
    <x v="0"/>
    <s v="Gicumbi"/>
    <s v="Ruvune"/>
    <s v="NMUV_2"/>
    <s v="Warufu/Muvumba Sub-Catchment"/>
    <n v="157.68"/>
  </r>
  <r>
    <x v="3"/>
    <s v="Nyakibingo"/>
    <s v="Public"/>
    <x v="0"/>
    <s v="Gicumbi"/>
    <s v="Ruvune"/>
    <s v="NMUV_2"/>
    <s v="Warufu/Muvumba Sub-Catchment"/>
    <n v="473.04"/>
  </r>
  <r>
    <x v="3"/>
    <s v="Nyakabanga"/>
    <s v="Public"/>
    <x v="0"/>
    <s v="Gicumbi"/>
    <s v="Ruvune"/>
    <s v="NMUV_2"/>
    <s v="Warufu/Muvumba Sub-Catchment"/>
    <n v="1576.8000000000002"/>
  </r>
  <r>
    <x v="3"/>
    <s v="Rwakabeba"/>
    <s v="Public"/>
    <x v="0"/>
    <s v="Gicumbi"/>
    <s v="Ruvune"/>
    <s v="NMUV_2"/>
    <s v="Warufu/Muvumba Sub-Catchment"/>
    <n v="157.68"/>
  </r>
  <r>
    <x v="3"/>
    <s v="Kamariba"/>
    <s v="Public"/>
    <x v="0"/>
    <s v="Gicumbi"/>
    <s v="Ruvune"/>
    <s v="NMUV_2"/>
    <s v="Warufu/Muvumba Sub-Catchment"/>
    <n v="3153.6000000000004"/>
  </r>
  <r>
    <x v="3"/>
    <s v="Rwacyangwa"/>
    <s v="Public"/>
    <x v="0"/>
    <s v="Gicumbi"/>
    <s v="Ruvune"/>
    <s v="NMUV_2"/>
    <s v="Warufu/Muvumba Sub-Catchment"/>
    <n v="1103.7600000000002"/>
  </r>
  <r>
    <x v="3"/>
    <s v="Ruhanga II"/>
    <s v="Public"/>
    <x v="0"/>
    <s v="Gicumbi"/>
    <s v="Ruvune"/>
    <s v="NMUV_2"/>
    <s v="Warufu/Muvumba Sub-Catchment"/>
    <n v="1103.7600000000002"/>
  </r>
  <r>
    <x v="3"/>
    <s v="Cyanya"/>
    <s v="Public"/>
    <x v="0"/>
    <s v="Gicumbi"/>
    <s v="Ruvune"/>
    <s v="NMUV_2"/>
    <s v="Warufu/Muvumba Sub-Catchment"/>
    <n v="1103.7600000000002"/>
  </r>
  <r>
    <x v="3"/>
    <s v="Kagomero I"/>
    <s v="Public"/>
    <x v="0"/>
    <s v="Gicumbi"/>
    <s v="Ruvune"/>
    <s v="NMUV_2"/>
    <s v="Warufu/Muvumba Sub-Catchment"/>
    <n v="2365.2000000000003"/>
  </r>
  <r>
    <x v="3"/>
    <s v="Kagomero I"/>
    <s v="Public"/>
    <x v="0"/>
    <s v="Gicumbi"/>
    <s v="Ruvune"/>
    <s v="NMUV_2"/>
    <s v="Warufu/Muvumba Sub-Catchment"/>
    <n v="2365.2000000000003"/>
  </r>
  <r>
    <x v="3"/>
    <s v="Kagomero II"/>
    <s v="Public"/>
    <x v="0"/>
    <s v="Gicumbi"/>
    <s v="Ruvune"/>
    <s v="NMUV_2"/>
    <s v="Warufu/Muvumba Sub-Catchment"/>
    <n v="3153.6000000000004"/>
  </r>
  <r>
    <x v="3"/>
    <s v="Mu Rugando"/>
    <s v="Public"/>
    <x v="0"/>
    <s v="Gicumbi"/>
    <s v="Ruvune"/>
    <s v="NMUV_2"/>
    <s v="Warufu/Muvumba Sub-Catchment"/>
    <n v="315.36"/>
  </r>
  <r>
    <x v="3"/>
    <s v="Ruhondo"/>
    <s v="Public"/>
    <x v="0"/>
    <s v="Gicumbi"/>
    <s v="Ruvune"/>
    <s v="NMUV_2"/>
    <s v="Warufu/Muvumba Sub-Catchment"/>
    <n v="1892.16"/>
  </r>
  <r>
    <x v="3"/>
    <s v="Rwagahaya"/>
    <s v="Public"/>
    <x v="0"/>
    <s v="Gicumbi"/>
    <s v="Ruvune"/>
    <s v="NMUV_2"/>
    <s v="Warufu/Muvumba Sub-Catchment"/>
    <n v="11037.6"/>
  </r>
  <r>
    <x v="3"/>
    <s v="Runaba"/>
    <s v="Public"/>
    <x v="0"/>
    <s v="Gicumbi"/>
    <s v="Ruvune"/>
    <s v="NMUV_2"/>
    <s v="Warufu/Muvumba Sub-Catchment"/>
    <n v="3153.6000000000004"/>
  </r>
  <r>
    <x v="3"/>
    <s v="Ku Kariba"/>
    <s v="Public"/>
    <x v="0"/>
    <s v="Gicumbi"/>
    <s v="Ruvune"/>
    <s v="NMUV_2"/>
    <s v="Warufu/Muvumba Sub-Catchment"/>
    <n v="11826.000000000002"/>
  </r>
  <r>
    <x v="3"/>
    <s v="Kamateke"/>
    <s v="Public"/>
    <x v="0"/>
    <s v="Gicumbi"/>
    <s v="Ruvune"/>
    <s v="NMUV_2"/>
    <s v="Warufu/Muvumba Sub-Catchment"/>
    <n v="11826.000000000002"/>
  </r>
  <r>
    <x v="3"/>
    <s v="Nyamabare II"/>
    <s v="Public"/>
    <x v="0"/>
    <s v="Gicumbi"/>
    <s v="Ruvune"/>
    <s v="NMUV_2"/>
    <s v="Warufu/Muvumba Sub-Catchment"/>
    <n v="2049.84"/>
  </r>
  <r>
    <x v="3"/>
    <s v="Rwafufu"/>
    <s v="Public"/>
    <x v="0"/>
    <s v="Gicumbi"/>
    <s v="Ruvune"/>
    <s v="NMUV_2"/>
    <s v="Warufu/Muvumba Sub-Catchment"/>
    <n v="1103.7600000000002"/>
  </r>
  <r>
    <x v="3"/>
    <s v="Murehe"/>
    <s v="Public"/>
    <x v="0"/>
    <s v="Gicumbi"/>
    <s v="Ruvune"/>
    <s v="NMUV_2"/>
    <s v="Warufu/Muvumba Sub-Catchment"/>
    <n v="11037.6"/>
  </r>
  <r>
    <x v="3"/>
    <s v="Rugorogoro"/>
    <s v="Public"/>
    <x v="0"/>
    <s v="Gicumbi"/>
    <s v="Ruvune"/>
    <s v="NMUV_2"/>
    <s v="Warufu/Muvumba Sub-Catchment"/>
    <n v="3942.0000000000005"/>
  </r>
  <r>
    <x v="3"/>
    <s v="Rukesha"/>
    <s v="Public"/>
    <x v="0"/>
    <s v="Gicumbi"/>
    <s v="Ruvune"/>
    <s v="NMUV_2"/>
    <s v="Warufu/Muvumba Sub-Catchment"/>
    <n v="1892.16"/>
  </r>
  <r>
    <x v="3"/>
    <s v="Nyakagezi I"/>
    <s v="Public"/>
    <x v="0"/>
    <s v="Gicumbi"/>
    <s v="Ruvune"/>
    <s v="NMUV_2"/>
    <s v="Warufu/Muvumba Sub-Catchment"/>
    <n v="1261.44"/>
  </r>
  <r>
    <x v="3"/>
    <s v="Mu Rufayo"/>
    <s v="Public"/>
    <x v="0"/>
    <s v="Gicumbi"/>
    <s v="Ruvune"/>
    <s v="NMUV_2"/>
    <s v="Warufu/Muvumba Sub-Catchment"/>
    <n v="473.04"/>
  </r>
  <r>
    <x v="3"/>
    <s v="Rwagakara"/>
    <s v="Public"/>
    <x v="0"/>
    <s v="Gicumbi"/>
    <s v="Ruvune"/>
    <s v="NMUV_2"/>
    <s v="Warufu/Muvumba Sub-Catchment"/>
    <n v="10249.199999999999"/>
  </r>
  <r>
    <x v="3"/>
    <s v="Rudogo"/>
    <s v="Public"/>
    <x v="0"/>
    <s v="Gicumbi"/>
    <s v="Ruvune"/>
    <s v="NMUV_2"/>
    <s v="Warufu/Muvumba Sub-Catchment"/>
    <n v="315.36"/>
  </r>
  <r>
    <x v="3"/>
    <s v="Buyanga"/>
    <s v="Public"/>
    <x v="0"/>
    <s v="Gicumbi"/>
    <s v="Ruvune"/>
    <s v="NMUV_2"/>
    <s v="Warufu/Muvumba Sub-Catchment"/>
    <n v="3942.0000000000005"/>
  </r>
  <r>
    <x v="3"/>
    <s v="Mu Gomero I"/>
    <s v="Public"/>
    <x v="0"/>
    <s v="Gicumbi"/>
    <s v="Ruvune"/>
    <s v="NMUV_2"/>
    <s v="Warufu/Muvumba Sub-Catchment"/>
    <n v="473.04"/>
  </r>
  <r>
    <x v="3"/>
    <s v="Kabingo"/>
    <s v="Public"/>
    <x v="0"/>
    <s v="Gicumbi"/>
    <s v="Shangasha"/>
    <s v="NMUV_2"/>
    <s v="Warufu/Muvumba Sub-Catchment"/>
    <n v="3153.6000000000004"/>
  </r>
  <r>
    <x v="3"/>
    <s v="Gashoka"/>
    <s v="Public"/>
    <x v="0"/>
    <s v="Gicumbi"/>
    <s v="Shangasha"/>
    <s v="NMUV_2"/>
    <s v="Warufu/Muvumba Sub-Catchment"/>
    <n v="157.68"/>
  </r>
  <r>
    <x v="3"/>
    <s v="Kabayi"/>
    <s v="Public"/>
    <x v="0"/>
    <s v="Gicumbi"/>
    <s v="Shangasha"/>
    <s v="NMUV_2"/>
    <s v="Warufu/Muvumba Sub-Catchment"/>
    <n v="3626.64"/>
  </r>
  <r>
    <x v="3"/>
    <s v="Ryamwahuzi"/>
    <s v="Public"/>
    <x v="0"/>
    <s v="Gicumbi"/>
    <s v="Shangasha"/>
    <s v="NMUV_2"/>
    <s v="Warufu/Muvumba Sub-Catchment"/>
    <n v="10249.199999999999"/>
  </r>
  <r>
    <x v="3"/>
    <s v="Kazirankurwe"/>
    <s v="Public"/>
    <x v="0"/>
    <s v="Gicumbi"/>
    <s v="Shangasha"/>
    <s v="NMUV_2"/>
    <s v="Warufu/Muvumba Sub-Catchment"/>
    <n v="3626.64"/>
  </r>
  <r>
    <x v="3"/>
    <s v="Rutovu"/>
    <s v="Public"/>
    <x v="0"/>
    <s v="Gicumbi"/>
    <s v="Shangasha"/>
    <s v="NMUV_2"/>
    <s v="Warufu/Muvumba Sub-Catchment"/>
    <n v="3626.64"/>
  </r>
  <r>
    <x v="3"/>
    <s v="Ruhondo I"/>
    <s v="Public"/>
    <x v="0"/>
    <s v="Gicumbi"/>
    <s v="Shangasha"/>
    <s v="NMUV_2"/>
    <s v="Warufu/Muvumba Sub-Catchment"/>
    <n v="1576.8000000000002"/>
  </r>
  <r>
    <x v="3"/>
    <s v="Rutovu"/>
    <s v="Public"/>
    <x v="0"/>
    <s v="Gicumbi"/>
    <s v="Shangasha"/>
    <s v="NMUV_2"/>
    <s v="Warufu/Muvumba Sub-Catchment"/>
    <n v="2049.84"/>
  </r>
  <r>
    <x v="3"/>
    <s v="Nyaruntungu"/>
    <s v="Public"/>
    <x v="0"/>
    <s v="Gicumbi"/>
    <s v="Shangasha"/>
    <s v="NMUV_2"/>
    <s v="Warufu/Muvumba Sub-Catchment"/>
    <n v="1892.16"/>
  </r>
  <r>
    <x v="3"/>
    <s v="Ku Gitare"/>
    <s v="Public"/>
    <x v="0"/>
    <s v="Gicumbi"/>
    <s v="Shangasha"/>
    <s v="NMUV_2"/>
    <s v="Warufu/Muvumba Sub-Catchment"/>
    <n v="4730.4000000000005"/>
  </r>
  <r>
    <x v="3"/>
    <s v="Nyakabingo 2"/>
    <s v="Public"/>
    <x v="0"/>
    <s v="Gicumbi"/>
    <s v="Shangasha"/>
    <s v="NMUV_2"/>
    <s v="Warufu/Muvumba Sub-Catchment"/>
    <n v="4099.68"/>
  </r>
  <r>
    <x v="3"/>
    <s v="Gisiza"/>
    <s v="Public"/>
    <x v="0"/>
    <s v="Gicumbi"/>
    <s v="Shangasha"/>
    <s v="NMUV_2"/>
    <s v="Warufu/Muvumba Sub-Catchment"/>
    <n v="946.08"/>
  </r>
  <r>
    <x v="3"/>
    <s v="Nyakabingo"/>
    <s v="Public"/>
    <x v="0"/>
    <s v="Gicumbi"/>
    <s v="Shangasha"/>
    <s v="NMUV_2"/>
    <s v="Warufu/Muvumba Sub-Catchment"/>
    <n v="1892.16"/>
  </r>
  <r>
    <x v="3"/>
    <s v="Kariba"/>
    <s v="Public"/>
    <x v="0"/>
    <s v="Gicumbi"/>
    <s v="Shangasha"/>
    <s v="NMUV_2"/>
    <s v="Warufu/Muvumba Sub-Catchment"/>
    <n v="6307.2000000000007"/>
  </r>
  <r>
    <x v="3"/>
    <s v="Gatare II"/>
    <s v="Public"/>
    <x v="0"/>
    <s v="Gicumbi"/>
    <s v="Shangasha"/>
    <s v="NMUV_2"/>
    <s v="Warufu/Muvumba Sub-Catchment"/>
    <n v="2365.2000000000003"/>
  </r>
  <r>
    <x v="3"/>
    <s v="Gahanga"/>
    <s v="Public"/>
    <x v="0"/>
    <s v="Gicumbi"/>
    <s v="Shangasha"/>
    <s v="NMUV_2"/>
    <s v="Warufu/Muvumba Sub-Catchment"/>
    <n v="3153.6000000000004"/>
  </r>
  <r>
    <x v="3"/>
    <s v="Nyakagezi II"/>
    <s v="Public"/>
    <x v="0"/>
    <s v="Gicumbi"/>
    <s v="Shangasha"/>
    <s v="NMUV_2"/>
    <s v="Warufu/Muvumba Sub-Catchment"/>
    <n v="3153.6000000000004"/>
  </r>
  <r>
    <x v="3"/>
    <s v="Bisika"/>
    <s v="Public"/>
    <x v="0"/>
    <s v="Gicumbi"/>
    <s v="Shangasha"/>
    <s v="NMUV_2"/>
    <s v="Warufu/Muvumba Sub-Catchment"/>
    <n v="2365.2000000000003"/>
  </r>
  <r>
    <x v="3"/>
    <s v="Kwa Bapfaguhata"/>
    <s v="Public"/>
    <x v="0"/>
    <s v="Gicumbi"/>
    <s v="Shangasha"/>
    <s v="NMUV_2"/>
    <s v="Warufu/Muvumba Sub-Catchment"/>
    <n v="27593.999999999996"/>
  </r>
  <r>
    <x v="3"/>
    <s v="Nyakagezi"/>
    <s v="Public"/>
    <x v="0"/>
    <s v="Gicumbi"/>
    <s v="Shangasha"/>
    <s v="NMUV_2"/>
    <s v="Warufu/Muvumba Sub-Catchment"/>
    <n v="1576.8000000000002"/>
  </r>
  <r>
    <x v="3"/>
    <s v="Kumugonero"/>
    <s v="Public"/>
    <x v="0"/>
    <s v="Gicumbi"/>
    <s v="Shangasha"/>
    <s v="NMUV_2"/>
    <s v="Warufu/Muvumba Sub-Catchment"/>
    <n v="6307.2000000000007"/>
  </r>
  <r>
    <x v="3"/>
    <s v="Kwa Kigarigari"/>
    <s v="Public"/>
    <x v="0"/>
    <s v="Gicumbi"/>
    <s v="Shangasha"/>
    <s v="NMUV_2"/>
    <s v="Warufu/Muvumba Sub-Catchment"/>
    <n v="3153.6000000000004"/>
  </r>
  <r>
    <x v="3"/>
    <s v="Gakoma"/>
    <s v="Public"/>
    <x v="0"/>
    <s v="Gicumbi"/>
    <s v="Shangasha"/>
    <s v="NMUV_2"/>
    <s v="Warufu/Muvumba Sub-Catchment"/>
    <n v="5991.84"/>
  </r>
  <r>
    <x v="3"/>
    <s v="Nyakagezi I"/>
    <s v="Public"/>
    <x v="0"/>
    <s v="Gicumbi"/>
    <s v="Shangasha"/>
    <s v="NMUV_2"/>
    <s v="Warufu/Muvumba Sub-Catchment"/>
    <n v="9460.8000000000011"/>
  </r>
  <r>
    <x v="3"/>
    <s v="Ryamabwire"/>
    <s v="Public"/>
    <x v="0"/>
    <s v="Gicumbi"/>
    <s v="Shangasha"/>
    <s v="NMUV_2"/>
    <s v="Warufu/Muvumba Sub-Catchment"/>
    <n v="1576.8000000000002"/>
  </r>
  <r>
    <x v="3"/>
    <s v="Gatare"/>
    <s v="Public"/>
    <x v="0"/>
    <s v="Gicumbi"/>
    <s v="Shangasha"/>
    <s v="NMUV_2"/>
    <s v="Warufu/Muvumba Sub-Catchment"/>
    <n v="1576.8000000000002"/>
  </r>
  <r>
    <x v="3"/>
    <s v="Mu Cyunga"/>
    <s v="Public"/>
    <x v="0"/>
    <s v="Gicumbi"/>
    <s v="Shangasha"/>
    <s v="NMUV_2"/>
    <s v="Warufu/Muvumba Sub-Catchment"/>
    <n v="10249.199999999999"/>
  </r>
  <r>
    <x v="3"/>
    <s v="Rwasama"/>
    <s v="Public"/>
    <x v="0"/>
    <s v="Gicumbi"/>
    <s v="Shangasha"/>
    <s v="NMUV_2"/>
    <s v="Warufu/Muvumba Sub-Catchment"/>
    <n v="4415.0400000000009"/>
  </r>
  <r>
    <x v="3"/>
    <s v="Muhonogo I"/>
    <s v="Public"/>
    <x v="0"/>
    <s v="Gicumbi"/>
    <s v="Shangasha"/>
    <s v="NMUV_2"/>
    <s v="Warufu/Muvumba Sub-Catchment"/>
    <n v="946.08"/>
  </r>
  <r>
    <x v="3"/>
    <s v="Kagwa"/>
    <s v="Public"/>
    <x v="0"/>
    <s v="Gicumbi"/>
    <s v="Shangasha"/>
    <s v="NMUV_2"/>
    <s v="Warufu/Muvumba Sub-Catchment"/>
    <n v="9460.8000000000011"/>
  </r>
  <r>
    <x v="3"/>
    <s v="Kanyomboroka"/>
    <s v="Public"/>
    <x v="0"/>
    <s v="Gicumbi"/>
    <s v="Shangasha"/>
    <s v="NMUV_2"/>
    <s v="Warufu/Muvumba Sub-Catchment"/>
    <n v="7884.0000000000009"/>
  </r>
  <r>
    <x v="3"/>
    <s v="Mu Honogo II"/>
    <s v="Public"/>
    <x v="0"/>
    <s v="Gicumbi"/>
    <s v="Shangasha"/>
    <s v="NMUV_2"/>
    <s v="Warufu/Muvumba Sub-Catchment"/>
    <n v="3153.6000000000004"/>
  </r>
  <r>
    <x v="3"/>
    <s v="Mu Gikombe"/>
    <s v="Public"/>
    <x v="0"/>
    <s v="Gicumbi"/>
    <s v="Shangasha"/>
    <s v="NMUV_2"/>
    <s v="Warufu/Muvumba Sub-Catchment"/>
    <n v="1261.44"/>
  </r>
  <r>
    <x v="3"/>
    <s v="Mu Gikombe"/>
    <s v="Public"/>
    <x v="0"/>
    <s v="Gicumbi"/>
    <s v="Shangasha"/>
    <s v="NMUV_2"/>
    <s v="Warufu/Muvumba Sub-Catchment"/>
    <n v="1261.44"/>
  </r>
  <r>
    <x v="3"/>
    <s v="Mu Bakabuza"/>
    <s v="Public"/>
    <x v="0"/>
    <s v="Gicumbi"/>
    <s v="Shangasha"/>
    <s v="NMUV_2"/>
    <s v="Warufu/Muvumba Sub-Catchment"/>
    <n v="11037.6"/>
  </r>
  <r>
    <x v="3"/>
    <s v="Kwa Kamari"/>
    <s v="Public"/>
    <x v="0"/>
    <s v="Gicumbi"/>
    <s v="Shangasha"/>
    <s v="NMUV_2"/>
    <s v="Warufu/Muvumba Sub-Catchment"/>
    <n v="1892.16"/>
  </r>
  <r>
    <x v="3"/>
    <s v="Gatare"/>
    <s v="Public"/>
    <x v="0"/>
    <s v="Gicumbi"/>
    <s v="Shangasha"/>
    <s v="NMUV_2"/>
    <s v="Warufu/Muvumba Sub-Catchment"/>
    <n v="3153.6000000000004"/>
  </r>
  <r>
    <x v="3"/>
    <s v="Nyagatovu"/>
    <s v="Public"/>
    <x v="0"/>
    <s v="Gicumbi"/>
    <s v="Shangasha"/>
    <s v="NMUV_2"/>
    <s v="Warufu/Muvumba Sub-Catchment"/>
    <n v="3153.6000000000004"/>
  </r>
  <r>
    <x v="3"/>
    <s v="MONT-SHONGA"/>
    <s v="Public"/>
    <x v="0"/>
    <s v="Nyagatare"/>
    <s v="Tabagwe"/>
    <s v="NMUV_2"/>
    <s v="Warufu/Muvumba Sub-Catchment"/>
    <n v="7884.0000000000009"/>
  </r>
  <r>
    <x v="3"/>
    <s v="NYAKIGANDO"/>
    <s v="Public"/>
    <x v="0"/>
    <s v="Nyagatare"/>
    <s v="Tabagwe"/>
    <s v="NMUV_2"/>
    <s v="Warufu/Muvumba Sub-Catchment"/>
    <n v="22075.200000000001"/>
  </r>
  <r>
    <x v="3"/>
    <s v="NYAKANONI"/>
    <s v="Public"/>
    <x v="0"/>
    <s v="Nyagatare"/>
    <s v="Tabagwe"/>
    <s v="NMUV_2"/>
    <s v="Warufu/Muvumba Sub-Catchment"/>
    <n v="19710"/>
  </r>
  <r>
    <x v="3"/>
    <s v="MUTUNGISA"/>
    <s v="Public"/>
    <x v="0"/>
    <s v="Nyagatare"/>
    <s v="Tabagwe"/>
    <s v="NMUV_2"/>
    <s v="Warufu/Muvumba Sub-Catchment"/>
    <n v="11826.000000000002"/>
  </r>
  <r>
    <x v="3"/>
    <s v="TABAGWE"/>
    <s v="Public"/>
    <x v="0"/>
    <s v="Nyagatare"/>
    <s v="Tabagwe"/>
    <s v="NMUV_2"/>
    <s v="Warufu/Muvumba Sub-Catchment"/>
    <n v="1103.7600000000002"/>
  </r>
  <r>
    <x v="3"/>
    <s v="NYAGATARE"/>
    <s v="Public"/>
    <x v="0"/>
    <s v="Nyagatare"/>
    <s v="Tabagwe"/>
    <s v="NMUV_2"/>
    <s v="Warufu/Muvumba Sub-Catchment"/>
    <n v="27593.999999999996"/>
  </r>
  <r>
    <x v="4"/>
    <s v="Ngenda"/>
    <s v="WASAC"/>
    <x v="0"/>
    <s v="Bugesera"/>
    <m/>
    <s v="NAKN_3"/>
    <s v="Cyohoha lake sub catchment"/>
    <n v="1241000"/>
  </r>
  <r>
    <x v="4"/>
    <s v="Rwakibirizi"/>
    <s v="WASAC"/>
    <x v="0"/>
    <s v="Bugesera"/>
    <m/>
    <s v="NAKN_3"/>
    <s v="Cyohoha lake sub catchment"/>
    <n v="146000"/>
  </r>
  <r>
    <x v="4"/>
    <s v="Miyove"/>
    <s v="WASAC"/>
    <x v="0"/>
    <s v="Burera"/>
    <m/>
    <s v="NMUK_1"/>
    <m/>
    <n v="58400"/>
  </r>
  <r>
    <x v="4"/>
    <s v="Kinyinya"/>
    <s v="WASAC"/>
    <x v="0"/>
    <s v="Gasabo"/>
    <m/>
    <s v="NNYL_1"/>
    <s v="Nyabugogo Sub-Catchment"/>
    <n v="401500"/>
  </r>
  <r>
    <x v="4"/>
    <s v="Gihengeri"/>
    <s v="WASAC"/>
    <x v="0"/>
    <s v="Gicumbi"/>
    <m/>
    <s v="NMUV_2"/>
    <m/>
    <n v="58400"/>
  </r>
  <r>
    <x v="4"/>
    <s v="Yaramba"/>
    <s v="WASAC"/>
    <x v="0"/>
    <s v="Gicumbi"/>
    <m/>
    <s v="NMUV_1"/>
    <m/>
    <n v="182500"/>
  </r>
  <r>
    <x v="4"/>
    <s v="Kadahokwa"/>
    <s v="WASAC"/>
    <x v="0"/>
    <s v="Huye"/>
    <m/>
    <s v="NAKN_1"/>
    <m/>
    <n v="3102500"/>
  </r>
  <r>
    <x v="4"/>
    <s v="Kanyabusage"/>
    <s v="WASAC"/>
    <x v="0"/>
    <s v="Karongi"/>
    <m/>
    <s v="CKIV_2"/>
    <m/>
    <n v="310250"/>
  </r>
  <r>
    <x v="4"/>
    <s v="Kazabazana"/>
    <s v="WASAC"/>
    <x v="0"/>
    <s v="Kayonza"/>
    <m/>
    <s v="NNYL_1"/>
    <m/>
    <n v="146000"/>
  </r>
  <r>
    <x v="4"/>
    <s v="Cyatokwe"/>
    <s v="WASAC"/>
    <x v="0"/>
    <s v="Kayonza"/>
    <m/>
    <s v="NNYL_1"/>
    <m/>
    <n v="146000"/>
  </r>
  <r>
    <x v="4"/>
    <s v="Bunono"/>
    <s v="WASAC"/>
    <x v="0"/>
    <s v="Kayonza"/>
    <m/>
    <s v="NAKU_1"/>
    <m/>
    <n v="255500"/>
  </r>
  <r>
    <x v="4"/>
    <s v="Gihuma"/>
    <s v="WASAC"/>
    <x v="0"/>
    <s v="Muhanga"/>
    <m/>
    <s v="NNYU_3"/>
    <m/>
    <n v="1642500"/>
  </r>
  <r>
    <x v="4"/>
    <s v="Rwansamira"/>
    <s v="WASAC"/>
    <x v="0"/>
    <s v="Muhanga"/>
    <m/>
    <s v="NNYU_3"/>
    <m/>
    <n v="43800"/>
  </r>
  <r>
    <x v="4"/>
    <s v="Mbare"/>
    <s v="WASAC"/>
    <x v="0"/>
    <s v="Muhanga"/>
    <m/>
    <s v="NNYU_3"/>
    <m/>
    <n v="29200"/>
  </r>
  <r>
    <x v="4"/>
    <s v="Mutobo"/>
    <s v="WASAC"/>
    <x v="0"/>
    <s v="Musanze"/>
    <m/>
    <s v="NMUK_2"/>
    <m/>
    <n v="4562500"/>
  </r>
  <r>
    <x v="4"/>
    <s v="Rwasaburo"/>
    <s v="WASAC"/>
    <x v="0"/>
    <s v="Ngoma"/>
    <m/>
    <s v="NAKU_1"/>
    <m/>
    <n v="237250"/>
  </r>
  <r>
    <x v="4"/>
    <s v="Cyondo"/>
    <s v="WASAC"/>
    <x v="0"/>
    <s v="Nyagatare"/>
    <m/>
    <s v="NMUV_2"/>
    <m/>
    <n v="1460000"/>
  </r>
  <r>
    <x v="4"/>
    <s v="Tovu"/>
    <s v="WASAC"/>
    <x v="0"/>
    <s v="Nyagatare"/>
    <m/>
    <s v="NMUV_2"/>
    <m/>
    <n v="182500"/>
  </r>
  <r>
    <x v="4"/>
    <s v="Nyamwishongwezi"/>
    <s v="WASAC"/>
    <x v="0"/>
    <s v="Nyagatare"/>
    <m/>
    <s v="NMUV_2"/>
    <m/>
    <n v="91250"/>
  </r>
  <r>
    <x v="4"/>
    <s v="Gisuma"/>
    <s v="WASAC"/>
    <x v="0"/>
    <s v="Nyamagabe"/>
    <m/>
    <s v="NNYU_2"/>
    <m/>
    <n v="210240"/>
  </r>
  <r>
    <x v="4"/>
    <s v="Mpanga"/>
    <s v="WASAC"/>
    <x v="0"/>
    <s v="Nyanza"/>
    <m/>
    <s v="NNYU_3"/>
    <m/>
    <n v="1277500"/>
  </r>
  <r>
    <x v="4"/>
    <s v="Nzove"/>
    <s v="WASAC"/>
    <x v="0"/>
    <s v="Nyarugenge"/>
    <m/>
    <s v="NNYL_1"/>
    <m/>
    <n v="17155000"/>
  </r>
  <r>
    <x v="4"/>
    <s v="Kimisagara"/>
    <s v="WASAC"/>
    <x v="0"/>
    <s v="Nyarugenge"/>
    <m/>
    <s v="NNYL_1"/>
    <m/>
    <n v="9490000"/>
  </r>
  <r>
    <x v="4"/>
    <s v="Kizanye"/>
    <s v="WASAC"/>
    <x v="0"/>
    <s v="Nyarugenge"/>
    <m/>
    <s v="NNYL_1"/>
    <m/>
    <n v="255500"/>
  </r>
  <r>
    <x v="4"/>
    <s v="Mburabuturo"/>
    <s v="WASAC"/>
    <x v="0"/>
    <s v="Nyarugenge"/>
    <m/>
    <s v="NNYL_1"/>
    <m/>
    <n v="292000"/>
  </r>
  <r>
    <x v="4"/>
    <s v="Byimana"/>
    <s v="WASAC"/>
    <x v="0"/>
    <s v="Nyarugenge"/>
    <m/>
    <s v="NNYL_1"/>
    <m/>
    <n v="310250"/>
  </r>
  <r>
    <x v="4"/>
    <s v="Gihogwe"/>
    <s v="WASAC"/>
    <x v="0"/>
    <s v="Nyarugenge"/>
    <m/>
    <s v="NNYL_2"/>
    <m/>
    <n v="146000"/>
  </r>
  <r>
    <x v="4"/>
    <s v="Mata"/>
    <s v="WASAC"/>
    <x v="0"/>
    <s v="Nyaruguru"/>
    <m/>
    <s v="NAKN_1"/>
    <m/>
    <n v="182500"/>
  </r>
  <r>
    <x v="4"/>
    <s v="Nyabimata"/>
    <s v="WASAC"/>
    <x v="0"/>
    <s v="Nyaruguru"/>
    <m/>
    <s v="NAKN_1"/>
    <m/>
    <n v="146000"/>
  </r>
  <r>
    <x v="4"/>
    <s v="Gihira"/>
    <s v="WASAC"/>
    <x v="0"/>
    <s v="Rubavu"/>
    <m/>
    <s v="CKIV_1"/>
    <m/>
    <n v="3102500"/>
  </r>
  <r>
    <x v="4"/>
    <s v="Kimanama"/>
    <s v="WASAC"/>
    <x v="0"/>
    <s v="Ruhango"/>
    <m/>
    <s v="NNYU_3"/>
    <m/>
    <n v="21900"/>
  </r>
  <r>
    <x v="4"/>
    <s v="Byimana"/>
    <s v="WASAC"/>
    <x v="0"/>
    <s v="Ruhango"/>
    <m/>
    <s v="NNYU_3"/>
    <m/>
    <n v="54750"/>
  </r>
  <r>
    <x v="4"/>
    <s v="Cyunyu"/>
    <s v="WASAC"/>
    <x v="0"/>
    <s v="Rusizi"/>
    <m/>
    <s v="CKIV_3"/>
    <m/>
    <n v="474500"/>
  </r>
  <r>
    <x v="4"/>
    <s v="Ruhondo"/>
    <s v="WASAC"/>
    <x v="0"/>
    <s v="Rusizi"/>
    <m/>
    <s v="CKIV_3"/>
    <m/>
    <n v="292000"/>
  </r>
  <r>
    <x v="4"/>
    <s v="Kibonabose"/>
    <s v="WASAC"/>
    <x v="0"/>
    <s v="Rusizi"/>
    <m/>
    <s v="CRUS_1"/>
    <m/>
    <n v="146000"/>
  </r>
  <r>
    <x v="4"/>
    <s v="Gashyuha-Muganza"/>
    <s v="WASAC"/>
    <x v="0"/>
    <s v="Rusizi"/>
    <m/>
    <s v="CRUS_1"/>
    <m/>
    <n v="547500"/>
  </r>
  <r>
    <x v="4"/>
    <s v="Rubengera"/>
    <s v="WASAC"/>
    <x v="0"/>
    <s v="Rutsiro"/>
    <m/>
    <s v="CKIV_2"/>
    <m/>
    <n v="127750"/>
  </r>
  <r>
    <x v="4"/>
    <s v="Karenge"/>
    <s v="WASAC"/>
    <x v="0"/>
    <s v="Rwamagana"/>
    <m/>
    <s v="NAKU_1"/>
    <m/>
    <n v="4380000"/>
  </r>
  <r>
    <x v="4"/>
    <s v="Muhazi"/>
    <s v="WASAC"/>
    <x v="0"/>
    <s v="Rwamagana"/>
    <m/>
    <s v="NNYL_1"/>
    <m/>
    <n v="1168000"/>
  </r>
  <r>
    <x v="5"/>
    <s v="Agasasa"/>
    <s v="RSSP1"/>
    <x v="1"/>
    <s v="Nyanza"/>
    <s v="ntyazo"/>
    <s v="NAKN_2"/>
    <s v="Gishara/Mukunguri Sub-Catchment"/>
    <n v="1312200"/>
  </r>
  <r>
    <x v="5"/>
    <s v="Agatare"/>
    <s v="QW-MDP"/>
    <x v="1"/>
    <s v="Gisagara"/>
    <s v="Mukindo"/>
    <s v="NAKN_2"/>
    <s v="Gishara/Mukunguri Sub-Catchment"/>
    <n v="397070"/>
  </r>
  <r>
    <x v="5"/>
    <s v="Akaboti"/>
    <s v="QW-MDP"/>
    <x v="1"/>
    <s v="Gisagara"/>
    <s v="Kansi"/>
    <s v="NAKN_2"/>
    <s v="Gishara/Mukunguri Sub-Catchment"/>
    <n v="511480"/>
  </r>
  <r>
    <x v="5"/>
    <s v="Akagera"/>
    <s v="QW-MDP"/>
    <x v="1"/>
    <s v="Huye"/>
    <s v="Gishamvu"/>
    <s v="NAKN_1"/>
    <s v="Giswi/Agatobwe Sub-Catchment"/>
    <n v="1046400"/>
  </r>
  <r>
    <x v="5"/>
    <s v="Bahimba"/>
    <s v="QW-MDP"/>
    <x v="2"/>
    <s v="Rulindo"/>
    <m/>
    <s v="NNYL_2"/>
    <s v="Mambu/Base Sub-Catchment"/>
    <n v="2576760"/>
  </r>
  <r>
    <x v="5"/>
    <s v="Base"/>
    <s v="RSSP1 /GAA"/>
    <x v="1"/>
    <s v="Ruhango"/>
    <s v="Bweramana"/>
    <s v="NNYU_3"/>
    <s v="Nyabarongo Upstream Sub-Catchment"/>
    <n v="976220"/>
  </r>
  <r>
    <x v="5"/>
    <s v="Binoni"/>
    <s v="KWAMP"/>
    <x v="3"/>
    <s v="Kirehe"/>
    <s v="Mushikire"/>
    <s v="NAKU_2"/>
    <s v="Rweru Sub-Catchment"/>
    <n v="1080540"/>
  </r>
  <r>
    <x v="5"/>
    <s v="Bishenyi"/>
    <s v="QW-MDP"/>
    <x v="1"/>
    <s v="Kamonyi"/>
    <s v="runda"/>
    <s v="NNYL_2"/>
    <s v="Mambu/Base Sub-Catchment"/>
    <n v="467280"/>
  </r>
  <r>
    <x v="5"/>
    <s v="Budubi"/>
    <s v="QW-MDP"/>
    <x v="1"/>
    <s v="Nyanza"/>
    <s v="Kigoma"/>
    <s v="NAKN_2"/>
    <s v="Gishara/Mukunguri Sub-Catchment"/>
    <n v="1057050"/>
  </r>
  <r>
    <x v="5"/>
    <s v="Bugugu"/>
    <s v="MINAGRI"/>
    <x v="3"/>
    <s v="Rwamagana"/>
    <s v="rubona"/>
    <s v="NAKU_1"/>
    <s v="Mugesera/Sake sub catchmentt"/>
    <n v="342400"/>
  </r>
  <r>
    <x v="5"/>
    <s v="Busogwe (Rehabilitation)"/>
    <s v="QW-MDP"/>
    <x v="1"/>
    <s v="Nyanza"/>
    <s v="Busasamana"/>
    <s v="NNYU_2"/>
    <s v="Mwogo Sub-Catchment"/>
    <n v="743580"/>
  </r>
  <r>
    <x v="5"/>
    <s v="Cyarubare"/>
    <s v="RSSP1"/>
    <x v="1"/>
    <s v="Huye"/>
    <s v="Mbazi"/>
    <s v="NNYU_2"/>
    <s v="Mwogo Sub-Catchment"/>
    <n v="261600"/>
  </r>
  <r>
    <x v="5"/>
    <s v="Cyaruhogo"/>
    <s v="MINAGRI"/>
    <x v="3"/>
    <s v="Rwamagana"/>
    <s v="rubona"/>
    <s v="NAKU_1"/>
    <s v="Mugesera/Sake sub catchmentt"/>
    <n v="856000"/>
  </r>
  <r>
    <x v="5"/>
    <s v="Cyili(Gisagara-Huye-Nyanza)"/>
    <s v="RSSP3"/>
    <x v="1"/>
    <s v="Gisagara"/>
    <s v="gikonko"/>
    <s v="NAKN_2"/>
    <s v="Gishara/Mukunguri Sub-Catchment"/>
    <n v="3095800"/>
  </r>
  <r>
    <x v="5"/>
    <s v="Cyimpima"/>
    <s v="MINAGRI"/>
    <x v="3"/>
    <s v="Rwamagana"/>
    <s v="kigabiro"/>
    <s v="NAKU_1"/>
    <s v="Mugesera/Sake sub catchmentt"/>
    <n v="642000"/>
  </r>
  <r>
    <x v="5"/>
    <s v="Cyogo"/>
    <s v="QW-MDP"/>
    <x v="4"/>
    <s v="Nyamagabe"/>
    <s v="Cyanika"/>
    <s v="NNYU_2"/>
    <s v="Mwogo Sub-Catchment"/>
    <n v="337440"/>
  </r>
  <r>
    <x v="5"/>
    <s v="Cyunuzi"/>
    <s v="KWAMP"/>
    <x v="3"/>
    <s v="Kirehe"/>
    <s v="Mushikire"/>
    <s v="NAKU_2"/>
    <s v="Rweru Sub-Catchment"/>
    <n v="1800900"/>
  </r>
  <r>
    <x v="5"/>
    <s v="Cyunuzi"/>
    <s v="RSSP1"/>
    <x v="3"/>
    <s v="Kirehe"/>
    <s v="Mushikire"/>
    <s v="NAKU_2"/>
    <s v="Rweru Sub-Catchment"/>
    <n v="1722600"/>
  </r>
  <r>
    <x v="5"/>
    <s v="Gacaca"/>
    <s v="RSSP3"/>
    <x v="3"/>
    <s v="Kayonza"/>
    <s v="murundi"/>
    <s v="NAKL_1"/>
    <s v="Akagera Lower Catchment"/>
    <n v="4324000"/>
  </r>
  <r>
    <x v="5"/>
    <s v="Gafobero"/>
    <s v="PAPSTA"/>
    <x v="2"/>
    <s v="Gakenke"/>
    <m/>
    <s v="NNYL_2"/>
    <s v="Mambu/Base Sub-Catchment"/>
    <n v="187750"/>
  </r>
  <r>
    <x v="5"/>
    <s v="Gashara"/>
    <s v="MINAGRI"/>
    <x v="3"/>
    <s v="Rwamagana"/>
    <s v="kigabiro"/>
    <s v="NAKU_1"/>
    <s v="Mugesera/Sake sub catchmentt"/>
    <n v="299600"/>
  </r>
  <r>
    <x v="5"/>
    <s v="Gashora 1"/>
    <s v="Lux Dev"/>
    <x v="3"/>
    <s v="Bugesera"/>
    <s v="Gashora"/>
    <s v="NAKU_1"/>
    <s v="Mugesera/Sake sub catchmentt"/>
    <n v="553800"/>
  </r>
  <r>
    <x v="5"/>
    <s v="Gashora 2"/>
    <s v="Lux Dev"/>
    <x v="3"/>
    <s v="Bugesera"/>
    <s v="Gashora"/>
    <s v="NAKU_1"/>
    <s v="Mugesera/Sake sub catchmentt"/>
    <n v="269800"/>
  </r>
  <r>
    <x v="5"/>
    <s v="Gashora 3"/>
    <s v="Lux Dev"/>
    <x v="3"/>
    <s v="Bugesera"/>
    <s v="Gashora"/>
    <s v="NAKU_1"/>
    <s v="Mugesera/Sake sub catchmentt"/>
    <n v="653200"/>
  </r>
  <r>
    <x v="5"/>
    <s v="Gashora 4"/>
    <s v="Lux Dev"/>
    <x v="3"/>
    <s v="Bugesera"/>
    <s v="Gashora"/>
    <s v="NAKU_1"/>
    <s v="Mugesera/Sake sub catchmentt"/>
    <n v="880400"/>
  </r>
  <r>
    <x v="5"/>
    <s v="Gashora site A"/>
    <s v="PAIRB"/>
    <x v="3"/>
    <s v="Bugesera"/>
    <s v="Gashora"/>
    <s v="NAKU_1"/>
    <s v="Mugesera/Sake sub catchmentt"/>
    <n v="10650000"/>
  </r>
  <r>
    <x v="5"/>
    <s v="Gatare- Rwabikwano"/>
    <s v="RSSP1"/>
    <x v="3"/>
    <s v="Bugesera"/>
    <s v="ruhuha"/>
    <s v="NAKN_3"/>
    <s v="Cyohoha lake Sub-Catchment"/>
    <n v="1917000"/>
  </r>
  <r>
    <x v="5"/>
    <s v="Gatsibo 8"/>
    <s v="LWH"/>
    <x v="3"/>
    <s v="Gatsibo"/>
    <s v="Gatsibo"/>
    <s v="NAKL_1"/>
    <s v="Akagera Lower Catchment"/>
    <n v="398250"/>
  </r>
  <r>
    <x v="5"/>
    <s v="Gikoro"/>
    <s v="QW-MDP"/>
    <x v="1"/>
    <s v="Kamonyi"/>
    <s v="rukoma"/>
    <s v="NNYL_2"/>
    <s v="Mambu/Base Sub-Catchment"/>
    <n v="657360"/>
  </r>
  <r>
    <x v="5"/>
    <s v="Gisaya"/>
    <s v="RSSP2"/>
    <x v="3"/>
    <s v="Ngoma"/>
    <s v="rurenge"/>
    <s v="NAKU_1"/>
    <s v="Mugesera/Sake sub catchmentt"/>
    <n v="796400"/>
  </r>
  <r>
    <x v="5"/>
    <s v="Gisuma"/>
    <s v="PAPSTA"/>
    <x v="3"/>
    <s v="Ngororero"/>
    <m/>
    <s v="NNYU_3"/>
    <s v="Nyabarongo Upstream Sub-Catchment"/>
    <n v="118200"/>
  </r>
  <r>
    <x v="5"/>
    <s v="Gitinga"/>
    <s v="MINAGRI"/>
    <x v="3"/>
    <s v="Kayonza"/>
    <s v="ruramira"/>
    <s v="NNYL_1"/>
    <s v="Nyabugogo Sub-Catchment"/>
    <n v="2432250"/>
  </r>
  <r>
    <x v="5"/>
    <s v="Kabogobogo"/>
    <s v="QW-MDP"/>
    <x v="1"/>
    <s v="Gisagara"/>
    <s v="Mukindo"/>
    <s v="NAKN_2"/>
    <s v="Gishara/Mukunguri Sub-Catchment"/>
    <n v="982580"/>
  </r>
  <r>
    <x v="5"/>
    <s v="Kabuye"/>
    <s v="RSSP3"/>
    <x v="5"/>
    <s v="Gasabo"/>
    <s v="Jabana"/>
    <s v="NNYL_1"/>
    <s v="Nyabugogo Sub-Catchment"/>
    <n v="283850"/>
  </r>
  <r>
    <x v="5"/>
    <s v="Kagitumba irrigation site"/>
    <s v="GFI"/>
    <x v="3"/>
    <s v="Nyagatare"/>
    <s v="matimba"/>
    <s v="NMUV_2"/>
    <s v="Warufu/Muvumba Sub-Catchment"/>
    <n v="2630000"/>
  </r>
  <r>
    <x v="5"/>
    <s v="Kajevuba"/>
    <s v="QW-MDP"/>
    <x v="5"/>
    <s v="Gasabo"/>
    <s v="Nduba"/>
    <s v="NNYL_1"/>
    <s v="Nyabugogo Sub-Catchment"/>
    <n v="4055000"/>
  </r>
  <r>
    <x v="5"/>
    <s v="Kamiranzovu"/>
    <s v="RSSP3"/>
    <x v="4"/>
    <s v="Nyamasheke"/>
    <m/>
    <s v="CKIV_3"/>
    <s v="Kamiranzovu Sub-Catchment"/>
    <n v="563570"/>
  </r>
  <r>
    <x v="5"/>
    <s v="Kamukungu-Kanyabiraza"/>
    <s v="QW-MDP"/>
    <x v="3"/>
    <s v="Ngoma"/>
    <s v="rurenge"/>
    <s v="NAKU_1"/>
    <s v="Mugesera/Sake sub catchmentt"/>
    <n v="1267000"/>
  </r>
  <r>
    <x v="5"/>
    <s v="Kanyonyomba"/>
    <s v="RSSP1"/>
    <x v="3"/>
    <s v="Gatsibo"/>
    <s v="Muhura"/>
    <s v="NNYL_1"/>
    <s v="Nyabugogo Sub-Catchment"/>
    <n v="513300"/>
  </r>
  <r>
    <x v="5"/>
    <s v="Karangazi &amp; katabagemu"/>
    <s v="RSSP3"/>
    <x v="3"/>
    <s v="Nyagatare"/>
    <s v="Katabagemu"/>
    <s v="NAKL_1"/>
    <s v="Akagera Lower Catchment"/>
    <n v="4576200"/>
  </r>
  <r>
    <x v="5"/>
    <s v="Karongi 12"/>
    <s v="LWH"/>
    <x v="4"/>
    <s v="Karongi"/>
    <m/>
    <s v="CKIV_2"/>
    <s v="Koko/Muregeya Sub-Catchment"/>
    <n v="8415000"/>
  </r>
  <r>
    <x v="5"/>
    <s v="Karongi 13"/>
    <s v="LWH"/>
    <x v="4"/>
    <s v="Karongi"/>
    <m/>
    <s v="CKIV_2"/>
    <s v="Koko/Muregeya Sub-Catchment"/>
    <n v="1355750"/>
  </r>
  <r>
    <x v="5"/>
    <s v="Kayonza"/>
    <s v="MINAGRI"/>
    <x v="3"/>
    <s v="Kayonza"/>
    <s v="MUKARANGE"/>
    <s v="NAKL_1"/>
    <s v="Akagera Lower Catchment"/>
    <n v="1156670"/>
  </r>
  <r>
    <x v="5"/>
    <s v="Kayonza 4"/>
    <s v="LWH"/>
    <x v="3"/>
    <s v="Kayonza"/>
    <s v="kabare"/>
    <s v="NAKL_1"/>
    <s v="Akagera Lower Catchment"/>
    <n v="1621500"/>
  </r>
  <r>
    <x v="5"/>
    <s v="kayumbu"/>
    <s v="District"/>
    <x v="1"/>
    <s v="Kamonyi"/>
    <s v="musambira"/>
    <s v="NNYL_2"/>
    <s v="Mambu/Base Sub-Catchment"/>
    <n v="3326400"/>
  </r>
  <r>
    <x v="5"/>
    <s v="Kibati"/>
    <s v="QW-MDP"/>
    <x v="4"/>
    <s v="Nyamasheke"/>
    <m/>
    <s v="CKIV_3"/>
    <s v="Kamiranzovu Sub-Catchment"/>
    <n v="203700"/>
  </r>
  <r>
    <x v="5"/>
    <s v="Kibaya lower"/>
    <s v="RSSP1"/>
    <x v="3"/>
    <s v="Ngoma"/>
    <s v="RUKIRA"/>
    <s v="NAKU_2"/>
    <s v="Rweru Sub-Catchment"/>
    <n v="1176500"/>
  </r>
  <r>
    <x v="5"/>
    <s v="Kibaya upper"/>
    <s v="RSSP2"/>
    <x v="3"/>
    <s v="Ngoma"/>
    <s v="rukira"/>
    <s v="NAKU_2"/>
    <s v="Rweru Sub-Catchment"/>
    <n v="932150"/>
  </r>
  <r>
    <x v="5"/>
    <s v="Kibaza"/>
    <s v="PAPSTA"/>
    <x v="3"/>
    <s v="Bugesera"/>
    <s v="ruhuha"/>
    <s v="NAKN_3"/>
    <s v="Cyohoha lake Sub-Catchment"/>
    <n v="710000"/>
  </r>
  <r>
    <x v="5"/>
    <s v="Kibugazi (Rehabilitation)"/>
    <s v="QW-MDP"/>
    <x v="1"/>
    <s v="Gisagara"/>
    <s v="Ndora"/>
    <s v="NAKN_2"/>
    <s v="Gishara/Mukunguri Sub-Catchment"/>
    <n v="726840"/>
  </r>
  <r>
    <x v="5"/>
    <s v="Kigaga"/>
    <s v="QW-MDP"/>
    <x v="1"/>
    <s v="Gisagara"/>
    <s v="Kigembe"/>
    <s v="NAKN_2"/>
    <s v="Gishara/Mukunguri Sub-Catchment"/>
    <n v="336500"/>
  </r>
  <r>
    <x v="5"/>
    <s v="Kinnyogo I"/>
    <s v="RSSP1"/>
    <x v="3"/>
    <s v="Kirehe"/>
    <s v="Nyarubuye"/>
    <s v="NAKU_2"/>
    <s v="Rweru Sub-Catchment"/>
    <n v="414990"/>
  </r>
  <r>
    <x v="5"/>
    <s v="Kinnyogo II"/>
    <s v="RSSP2"/>
    <x v="3"/>
    <s v="Kirehe"/>
    <s v="nyarubuye"/>
    <s v="NAKU_2"/>
    <s v="Rweru Sub-Catchment"/>
    <n v="1174500"/>
  </r>
  <r>
    <x v="5"/>
    <s v="Kinoni1"/>
    <s v="KWAMP"/>
    <x v="3"/>
    <s v="Kirehe"/>
    <s v="kigarama"/>
    <s v="NAKU_2"/>
    <s v="Rweru Sub-Catchment"/>
    <n v="1017900"/>
  </r>
  <r>
    <x v="5"/>
    <s v="Kinoni2"/>
    <s v="KWAMP"/>
    <x v="3"/>
    <s v="Kirehe"/>
    <s v="kigarama"/>
    <s v="NAKU_2"/>
    <s v="Rweru Sub-Catchment"/>
    <n v="1057050"/>
  </r>
  <r>
    <x v="5"/>
    <s v="Kinyegenyege"/>
    <s v="RSSP2"/>
    <x v="1"/>
    <s v="Nyanza"/>
    <s v="busoro"/>
    <s v="NAKN_2"/>
    <s v="Gishara/Mukunguri Sub-Catchment"/>
    <n v="729000"/>
  </r>
  <r>
    <x v="5"/>
    <s v="Kirimbi"/>
    <s v="RSSP3"/>
    <x v="4"/>
    <s v="Nyamasheke"/>
    <m/>
    <s v="CKIV_3"/>
    <s v="Kamiranzovu Sub-Catchment"/>
    <n v="1154300"/>
  </r>
  <r>
    <x v="5"/>
    <s v="Kiryango"/>
    <s v="GAA"/>
    <x v="1"/>
    <s v="Ruhango"/>
    <s v="Kinihira"/>
    <s v="NNYU_3"/>
    <s v="Nyabarongo Upstream Sub-Catchment"/>
    <n v="513800"/>
  </r>
  <r>
    <x v="5"/>
    <s v="Mahama"/>
    <s v="KWAMP"/>
    <x v="3"/>
    <s v="Kirehe"/>
    <s v="mahama"/>
    <s v="NAKL_1"/>
    <s v="Akagera Lower Catchment"/>
    <n v="845640"/>
  </r>
  <r>
    <x v="5"/>
    <s v="Makera"/>
    <s v="QW-MDP"/>
    <x v="1"/>
    <s v="Muhanga"/>
    <s v="Nyamabuye"/>
    <s v="NNYU_3"/>
    <s v="Nyabarongo Upstream Sub-Catchment"/>
    <n v="3320730"/>
  </r>
  <r>
    <x v="5"/>
    <s v="Matimba site"/>
    <s v="GFI"/>
    <x v="3"/>
    <s v="Nyagatare"/>
    <s v="Musheli"/>
    <s v="NMUV_2"/>
    <s v="Warufu/Muvumba Sub-Catchment"/>
    <n v="820560"/>
  </r>
  <r>
    <x v="5"/>
    <s v="Migina"/>
    <s v="QW-MDP"/>
    <x v="1"/>
    <s v="Huye"/>
    <s v="Tumba"/>
    <s v="NAKN_1"/>
    <s v="Giswi/Agatobwe Sub-Catchment"/>
    <n v="2616000"/>
  </r>
  <r>
    <x v="5"/>
    <s v="Mirayi"/>
    <s v="RSSP3"/>
    <x v="1"/>
    <s v="Gisagara"/>
    <s v="Gishubi"/>
    <s v="NAKN_2"/>
    <s v="Gishara/Mukunguri Sub-Catchment"/>
    <n v="1817100"/>
  </r>
  <r>
    <x v="5"/>
    <s v="Mugonero"/>
    <s v="QW-MDP"/>
    <x v="4"/>
    <s v="Nyamasheke"/>
    <m/>
    <s v="CKIV_3"/>
    <s v="Kamiranzovu Sub-Catchment"/>
    <n v="3395000"/>
  </r>
  <r>
    <x v="5"/>
    <s v="Muhazi"/>
    <s v="MINAGRI"/>
    <x v="3"/>
    <s v="Rwamagana"/>
    <s v="muhazi"/>
    <s v="NNYL_1"/>
    <s v="Nyabugogo Sub-Catchment"/>
    <n v="428000"/>
  </r>
  <r>
    <x v="5"/>
    <s v="Mukinga"/>
    <s v="QW-MDP"/>
    <x v="1"/>
    <s v="Musanze"/>
    <m/>
    <s v="NMUK_2"/>
    <s v="Giciye/Mukungwa Sub-Catchment"/>
    <n v="129360"/>
  </r>
  <r>
    <x v="5"/>
    <s v="Mukunguli - extension"/>
    <s v="RSSP3"/>
    <x v="1"/>
    <s v="Ruhango"/>
    <s v="Kinazi"/>
    <s v="NAKN_2"/>
    <s v="Gishara/Mukunguri Sub-Catchment"/>
    <n v="2936000"/>
  </r>
  <r>
    <x v="5"/>
    <s v="Mukunguri upper"/>
    <s v="RSSP2"/>
    <x v="1"/>
    <s v="Ruhango"/>
    <s v="Kinazi"/>
    <s v="NAKN_2"/>
    <s v="Gishara/Mukunguri Sub-Catchment"/>
    <n v="1835000"/>
  </r>
  <r>
    <x v="5"/>
    <s v="Mukura"/>
    <s v="QW-MDP"/>
    <x v="1"/>
    <s v="Huye"/>
    <s v="Mukura"/>
    <s v="NAKN_1"/>
    <s v="Giswi/Agatobwe Sub-Catchment"/>
    <n v="1635000"/>
  </r>
  <r>
    <x v="5"/>
    <s v="Murori"/>
    <s v="QW-MDP"/>
    <x v="1"/>
    <s v="Huye"/>
    <s v="Gishamvu"/>
    <s v="NAKN_1"/>
    <s v="Giswi/Agatobwe Sub-Catchment"/>
    <n v="817500"/>
  </r>
  <r>
    <x v="5"/>
    <s v="Mushaduka"/>
    <s v="RSSP3"/>
    <x v="1"/>
    <s v="Gisagara"/>
    <s v="mUSHA"/>
    <s v="NAKN_2"/>
    <s v="Gishara/Mukunguri Sub-Catchment"/>
    <n v="403800"/>
  </r>
  <r>
    <x v="5"/>
    <s v="Mushishito"/>
    <s v="QW-MDP"/>
    <x v="4"/>
    <s v="Nyamagabe"/>
    <s v="uwikingi"/>
    <s v="NNYU_2"/>
    <s v="Mwogo Sub-Catchment"/>
    <n v="888000"/>
  </r>
  <r>
    <x v="5"/>
    <s v="Muvumba-2+3 CODERVAM"/>
    <s v="MINAGRI"/>
    <x v="3"/>
    <s v="Nyagatare"/>
    <s v="rukomo"/>
    <s v="NMUV_2"/>
    <s v="Warufu/Muvumba Sub-Catchment"/>
    <n v="1367600"/>
  </r>
  <r>
    <x v="5"/>
    <s v="Muvumba-4"/>
    <s v="MINAGRI"/>
    <x v="3"/>
    <s v="Nyagatare"/>
    <s v="Nyagatare"/>
    <s v="NMUV_2"/>
    <s v="Warufu/Muvumba Sub-Catchment"/>
    <n v="3261200"/>
  </r>
  <r>
    <x v="5"/>
    <s v="Muvumba-5"/>
    <s v="RSSP2"/>
    <x v="3"/>
    <s v="Nyagatare"/>
    <s v="nyagatare"/>
    <s v="NMUV_2"/>
    <s v="Warufu/Muvumba Sub-Catchment"/>
    <n v="2419600"/>
  </r>
  <r>
    <x v="5"/>
    <s v="Muvumba-8"/>
    <s v="RSSP2"/>
    <x v="3"/>
    <s v="Nyagatare"/>
    <s v="tabagwe"/>
    <s v="NMUV_2"/>
    <s v="Warufu/Muvumba Sub-Catchment"/>
    <n v="1525400"/>
  </r>
  <r>
    <x v="5"/>
    <s v="Muyanza"/>
    <s v="LWH"/>
    <x v="2"/>
    <s v="Rulindo"/>
    <m/>
    <s v="NNYL_2"/>
    <s v="Mambu/Base Sub-Catchment"/>
    <n v="13790"/>
  </r>
  <r>
    <x v="5"/>
    <s v="Muzirantwago"/>
    <s v="QW-MDP"/>
    <x v="4"/>
    <s v="Nyamagabe"/>
    <s v="gasaka"/>
    <s v="NNYU_2"/>
    <s v="Mwogo Sub-Catchment"/>
    <n v="1332000"/>
  </r>
  <r>
    <x v="5"/>
    <s v="Mwambu"/>
    <s v="MINAGRI"/>
    <x v="3"/>
    <s v="Ngoma"/>
    <s v="rurenge"/>
    <s v="NAKU_1"/>
    <s v="Mugesera/Sake sub catchmentt"/>
    <n v="651600"/>
  </r>
  <r>
    <x v="5"/>
    <s v="Mwogo I"/>
    <s v="GAA"/>
    <x v="1"/>
    <s v="Huye"/>
    <s v="Rwaniro"/>
    <s v="NNYU_2"/>
    <s v="Mwogo Sub-Catchment"/>
    <n v="1373400"/>
  </r>
  <r>
    <x v="5"/>
    <s v="Mwura-Gatare"/>
    <s v="QW-MDP"/>
    <x v="1"/>
    <s v="Gisagara"/>
    <s v="gikonko"/>
    <s v="NAKN_2"/>
    <s v="Gishara/Mukunguri Sub-Catchment"/>
    <n v="2113220"/>
  </r>
  <r>
    <x v="5"/>
    <s v="Nasho site (phase 1)"/>
    <s v="GFI"/>
    <x v="3"/>
    <s v="Kirehe"/>
    <s v="Mpanga"/>
    <s v="NAKL_1"/>
    <s v="Akagera Lower Catchment"/>
    <n v="861300"/>
  </r>
  <r>
    <x v="5"/>
    <s v="Nasho site (phase 2)"/>
    <s v="GFI"/>
    <x v="3"/>
    <s v="Kirehe"/>
    <s v="Mpanga"/>
    <s v="NAKL_1"/>
    <s v="Akagera Lower Catchment"/>
    <n v="4698000"/>
  </r>
  <r>
    <x v="5"/>
    <s v="Ndongozi"/>
    <s v="RSSP3"/>
    <x v="2"/>
    <s v="Burera"/>
    <m/>
    <s v="NMUK_1"/>
    <s v="Burera/Ruhondo Sub-Catchment"/>
    <n v="13850"/>
  </r>
  <r>
    <x v="5"/>
    <s v="Ngoma22"/>
    <s v="MINAGRI- JICA"/>
    <x v="3"/>
    <s v="Ngoma"/>
    <s v="Remera"/>
    <s v="NAKU_1"/>
    <s v="Mugesera/Sake sub catchmentt"/>
    <n v="1086000"/>
  </r>
  <r>
    <x v="5"/>
    <s v="Nyaburiba"/>
    <s v="PAPSTA"/>
    <x v="3"/>
    <s v="Bugesera"/>
    <s v="RUHUHA"/>
    <s v="NAKN_3"/>
    <s v="Cyohoha lake Sub-Catchment"/>
    <n v="3408000"/>
  </r>
  <r>
    <x v="5"/>
    <s v="Nyaburiba"/>
    <s v="QW-MDP"/>
    <x v="3"/>
    <s v="Bugesera"/>
    <s v="RUHUHA"/>
    <s v="NAKN_3"/>
    <s v="Cyohoha lake Sub-Catchment"/>
    <n v="497000"/>
  </r>
  <r>
    <x v="5"/>
    <s v="Nyabuyogera"/>
    <s v="QW-MDP"/>
    <x v="1"/>
    <s v="Gisagara"/>
    <s v="Save"/>
    <s v="NAKN_2"/>
    <s v="Gishara/Mukunguri Sub-Catchment"/>
    <n v="215360"/>
  </r>
  <r>
    <x v="5"/>
    <s v="Nyagafunzo-Nyamigogo"/>
    <s v="QW-MDP"/>
    <x v="1"/>
    <s v="Ruhango"/>
    <s v="Ruhango"/>
    <s v="NNYU_3"/>
    <s v="Nyabarongo Upstream Sub-Catchment"/>
    <n v="389020"/>
  </r>
  <r>
    <x v="5"/>
    <s v="Nyagahembe"/>
    <s v="QW-MDP"/>
    <x v="4"/>
    <s v="Nyamasheke"/>
    <m/>
    <s v="CKIV_3"/>
    <s v="Kamiranzovu Sub-Catchment"/>
    <n v="740110"/>
  </r>
  <r>
    <x v="5"/>
    <s v="Nyagisenyi- Rufigiza"/>
    <s v="QW-MDP"/>
    <x v="5"/>
    <s v="Gasabo"/>
    <s v="kinyinya"/>
    <s v="NNYL_1"/>
    <s v="Nyabugogo Sub-Catchment"/>
    <n v="1297600"/>
  </r>
  <r>
    <x v="5"/>
    <s v="Nyakagezi"/>
    <s v="QW-MDP"/>
    <x v="1"/>
    <s v="Huye"/>
    <m/>
    <s v="NAKN_1"/>
    <s v="Giswi/Agatobwe Sub-Catchment"/>
    <n v="261600"/>
  </r>
  <r>
    <x v="5"/>
    <s v="Nyakanyeri"/>
    <s v="QW-MDP"/>
    <x v="1"/>
    <s v="Gisagara"/>
    <s v="gikonko"/>
    <s v="NAKN_2"/>
    <s v="Gishara/Mukunguri Sub-Catchment"/>
    <n v="1682500"/>
  </r>
  <r>
    <x v="5"/>
    <s v="Nyamugali"/>
    <s v="KWAMP"/>
    <x v="3"/>
    <s v="Kirehe"/>
    <s v="Nyamugali"/>
    <s v="NAKL_1"/>
    <s v="Akagera Lower Catchment"/>
    <n v="634230"/>
  </r>
  <r>
    <x v="5"/>
    <s v="Nyanza 23"/>
    <s v="LWH"/>
    <x v="1"/>
    <s v="Nyanza"/>
    <s v="rwabicuma"/>
    <s v="NNYU_2"/>
    <s v="Mwogo Sub-Catchment"/>
    <n v="546750"/>
  </r>
  <r>
    <x v="5"/>
    <s v="Nyarubogo"/>
    <s v="RSSP2"/>
    <x v="1"/>
    <s v="Nyanza"/>
    <s v="kibirizi"/>
    <s v="NAKN_2"/>
    <s v="Gishara/Mukunguri Sub-Catchment"/>
    <n v="3003480"/>
  </r>
  <r>
    <x v="5"/>
    <s v="Nyirabirandi"/>
    <s v="RSSP3"/>
    <x v="2"/>
    <s v="Burera"/>
    <m/>
    <s v="NMUK_1"/>
    <s v="Burera/Ruhondo Sub-Catchment"/>
    <n v="2609340"/>
  </r>
  <r>
    <x v="5"/>
    <s v="Nyirakiyange"/>
    <s v="QW-MDP"/>
    <x v="1"/>
    <s v="Ruhango"/>
    <s v="Ruhango"/>
    <s v="NNYU_3"/>
    <s v="Nyabarongo Upstream Sub-Catchment"/>
    <n v="1908400"/>
  </r>
  <r>
    <x v="5"/>
    <s v="Ruboroga (Rehabilitation)"/>
    <s v="QW-MDP"/>
    <x v="1"/>
    <s v="Kamonyi"/>
    <s v="rugarika"/>
    <s v="NNYL_2"/>
    <s v="Mambu/Base Sub-Catchment"/>
    <n v="3286800"/>
  </r>
  <r>
    <x v="5"/>
    <s v="Rubuyenge"/>
    <s v="QW-MDP"/>
    <x v="1"/>
    <s v="Ruhango"/>
    <s v="Ntongwe"/>
    <s v="NAKN_2"/>
    <s v="Gishara/Mukunguri Sub-Catchment"/>
    <n v="807400"/>
  </r>
  <r>
    <x v="5"/>
    <s v="Rufuha"/>
    <s v="PAPSTA"/>
    <x v="4"/>
    <s v="Nyamagabe"/>
    <s v="kibumbwe"/>
    <s v="NNYU_2"/>
    <s v="Mwogo Sub-Catchment"/>
    <n v="674880"/>
  </r>
  <r>
    <x v="5"/>
    <s v="Rufuka"/>
    <s v="QW-MDP"/>
    <x v="1"/>
    <s v="Nyanza"/>
    <s v="cyabakamyi"/>
    <s v="NNYU_2"/>
    <s v="Mwogo Sub-Catchment"/>
    <n v="1049760"/>
  </r>
  <r>
    <x v="5"/>
    <s v="Rugende complex"/>
    <s v="RSSP3"/>
    <x v="5"/>
    <s v="Gasabo"/>
    <s v="gikomero"/>
    <s v="NNYL_1"/>
    <s v="Nyabugogo Sub-Catchment"/>
    <n v="4460500"/>
  </r>
  <r>
    <x v="5"/>
    <s v="Rugeramigozi I"/>
    <s v="RSSP2 / GAA"/>
    <x v="1"/>
    <s v="Muhanga"/>
    <s v="Nyamabuye"/>
    <s v="NNYU_3"/>
    <s v="Nyabarongo Upstream Sub-Catchment"/>
    <n v="225900"/>
  </r>
  <r>
    <x v="5"/>
    <s v="Rugeramigozi II"/>
    <s v="GAA"/>
    <x v="1"/>
    <s v="Muhanga"/>
    <s v="Nyamabuye"/>
    <s v="NNYU_3"/>
    <s v="Nyabarongo Upstream Sub-Catchment"/>
    <n v="4141500"/>
  </r>
  <r>
    <x v="5"/>
    <s v="Rumira-Urukingo"/>
    <s v="QW-MDP"/>
    <x v="1"/>
    <s v="Gisagara"/>
    <s v="kigembe"/>
    <s v="NAKN_2"/>
    <s v="Gishara/Mukunguri Sub-Catchment"/>
    <n v="807600"/>
  </r>
  <r>
    <x v="5"/>
    <s v="Rurambi"/>
    <s v="PADAB"/>
    <x v="3"/>
    <s v="Bugesera"/>
    <s v="JURU"/>
    <s v="NAKU_1"/>
    <s v="Mugesera/Sake sub catchmentt"/>
    <n v="1320600"/>
  </r>
  <r>
    <x v="5"/>
    <s v="Rusuli II"/>
    <s v="GAA"/>
    <x v="1"/>
    <s v="Huye"/>
    <s v="Rwaniro"/>
    <s v="NNYU_2"/>
    <s v="Mwogo Sub-Catchment"/>
    <n v="542820"/>
  </r>
  <r>
    <x v="5"/>
    <s v="Rusuli Rwamuginga"/>
    <s v="RSSP1"/>
    <x v="1"/>
    <s v="Huye"/>
    <s v="Ruhashya"/>
    <s v="NNYU_2"/>
    <s v="Mwogo Sub-Catchment"/>
    <n v="5559000"/>
  </r>
  <r>
    <x v="5"/>
    <s v="Rutendeli"/>
    <s v="GAA"/>
    <x v="1"/>
    <s v="Ruhango"/>
    <s v="Kabagali"/>
    <s v="NNYU_3"/>
    <s v="Nyabarongo Upstream Sub-Catchment"/>
    <n v="880800"/>
  </r>
  <r>
    <x v="5"/>
    <s v="Ruvubu"/>
    <s v="RSSP1"/>
    <x v="3"/>
    <s v="Bugesera"/>
    <s v="SHYARA"/>
    <s v="NAKN_3"/>
    <s v="Cyohoha lake Sub-Catchment"/>
    <n v="2414000"/>
  </r>
  <r>
    <x v="5"/>
    <s v="Ruvugangoma"/>
    <s v="QW-MDP"/>
    <x v="1"/>
    <s v="Gisagara"/>
    <s v="musha"/>
    <s v="NAKN_2"/>
    <s v="Gishara/Mukunguri Sub-Catchment"/>
    <n v="296120"/>
  </r>
  <r>
    <x v="5"/>
    <s v="Ruvungirana"/>
    <s v="QW-MDP"/>
    <x v="1"/>
    <s v="Huye"/>
    <s v="Ruhashya"/>
    <s v="NNYU_2"/>
    <s v="Mwogo Sub-Catchment"/>
    <n v="588600"/>
  </r>
  <r>
    <x v="5"/>
    <s v="Rwabashyashya"/>
    <s v="QW-MDP "/>
    <x v="1"/>
    <s v="Kamonyi"/>
    <s v="GACURABWENGE"/>
    <s v="NNYL_2"/>
    <s v="Mambu/Base Sub-Catchment"/>
    <n v="340560"/>
  </r>
  <r>
    <x v="5"/>
    <s v="Rwabutazi"/>
    <s v="PAPSTA"/>
    <x v="3"/>
    <s v="Kirehe"/>
    <s v="Gatore"/>
    <s v="NAKU_2"/>
    <s v="Rweru Sub-Catchment"/>
    <n v="704700"/>
  </r>
  <r>
    <x v="5"/>
    <s v="Rwagitima downstream"/>
    <s v="RSSP3"/>
    <x v="3"/>
    <s v="Gatsibo"/>
    <m/>
    <s v="NAKL_1"/>
    <s v="Akagera Lower Catchment"/>
    <n v="292050"/>
  </r>
  <r>
    <x v="5"/>
    <s v="Rwagitima-Ntende"/>
    <s v="RSSP2"/>
    <x v="3"/>
    <s v="Gatsibo"/>
    <m/>
    <s v="NAKL_1"/>
    <s v="Akagera Lower Catchment"/>
    <n v="637200"/>
  </r>
  <r>
    <x v="5"/>
    <s v="Rwakaganza"/>
    <s v="QW-MDP"/>
    <x v="3"/>
    <s v="Ngoma"/>
    <m/>
    <s v="NAKU_2"/>
    <s v="Rweru Sub-Catchment"/>
    <n v="2941250"/>
  </r>
  <r>
    <x v="5"/>
    <s v="Rwamamba"/>
    <s v="QW-MDP"/>
    <x v="1"/>
    <s v="Huye"/>
    <s v="Tumba"/>
    <s v="NAKN_1"/>
    <s v="Giswi/Agatobwe Sub-Catchment"/>
    <n v="3976320"/>
  </r>
  <r>
    <x v="5"/>
    <s v="Rwamporera - Nyiramageni"/>
    <s v="QW-MDP"/>
    <x v="1"/>
    <s v="Gisagara"/>
    <s v="mamba"/>
    <s v="NAKN_2"/>
    <s v="Gishara/Mukunguri Sub-Catchment"/>
    <n v="1029690"/>
  </r>
  <r>
    <x v="5"/>
    <s v="Rwasave"/>
    <s v="RSSP1"/>
    <x v="1"/>
    <s v="Huye"/>
    <s v="Mbazi"/>
    <s v="NNYU_2"/>
    <s v="Mwogo Sub-Catchment"/>
    <n v="1746180"/>
  </r>
  <r>
    <x v="5"/>
    <s v="Rwinkwavu"/>
    <s v="RSSP3"/>
    <x v="3"/>
    <s v="Kayonza"/>
    <s v="Mwiri"/>
    <s v="NAKL_1"/>
    <s v="Akagera Lower Catchment"/>
    <n v="648600"/>
  </r>
  <r>
    <x v="5"/>
    <s v="Rwintare"/>
    <s v="RSSP1"/>
    <x v="3"/>
    <s v="Bugesera"/>
    <s v="SHYARA"/>
    <s v="NAKN_3"/>
    <s v="Cyohoha lake Sub-Catchment"/>
    <n v="2556000"/>
  </r>
  <r>
    <x v="5"/>
    <s v="Rwondo"/>
    <s v="QW-MDP"/>
    <x v="4"/>
    <s v="Nyamagabe"/>
    <s v="gatare"/>
    <s v="NNYU_1"/>
    <s v="Mbirurume Sub-Catchment"/>
    <n v="444000"/>
  </r>
  <r>
    <x v="5"/>
    <s v="Sagatare"/>
    <s v="KWAMP"/>
    <x v="3"/>
    <s v="Kirehe"/>
    <s v="Kirehe"/>
    <s v="NAKU_2"/>
    <s v="Rweru Sub-Catchment"/>
    <n v="2662200"/>
  </r>
  <r>
    <x v="5"/>
    <s v="Umusizi"/>
    <s v="QW-MDP"/>
    <x v="1"/>
    <s v="Huye"/>
    <s v="Huye"/>
    <s v="NAKN_1"/>
    <s v="Giswi/Agatobwe Sub-Catchment"/>
    <n v="418560"/>
  </r>
  <r>
    <x v="5"/>
    <s v="Umwaro"/>
    <s v="QW-MDP"/>
    <x v="1"/>
    <s v="Huye"/>
    <s v="Rusatira"/>
    <s v="NAKN_2"/>
    <s v="Gishara/Mukunguri Sub-Catchment"/>
    <n v="654000"/>
  </r>
  <r>
    <x v="5"/>
    <s v="Urwonjya"/>
    <s v="QW-MDP"/>
    <x v="1"/>
    <s v="Nyaruguru"/>
    <m/>
    <s v="NAKN_1"/>
    <s v="Giswi/Agatobwe Sub-Catchment"/>
    <n v="296310"/>
  </r>
  <r>
    <x v="5"/>
    <s v="Zone 1 - Kehmu"/>
    <s v="MINAGRI"/>
    <x v="4"/>
    <s v="Rusizi"/>
    <s v="Bugarama"/>
    <s v="CRUS_1"/>
    <s v="Rubyiro Sub-Catchment"/>
    <n v="291600"/>
  </r>
  <r>
    <x v="5"/>
    <s v="Zone 2 - Koimunya"/>
    <s v="MINAGRI"/>
    <x v="4"/>
    <s v="Rusizi"/>
    <s v="nyakabuye"/>
    <s v="CRUS_1"/>
    <s v="Rubyiro Sub-Catchment"/>
    <n v="437400"/>
  </r>
  <r>
    <x v="5"/>
    <s v="Zone 3 - Kojmu"/>
    <s v="MINAGRI"/>
    <x v="4"/>
    <s v="Rusizi"/>
    <s v="muganza"/>
    <s v="CRUS_1"/>
    <s v="Rubyiro Sub-Catchment"/>
    <n v="3761640"/>
  </r>
  <r>
    <x v="5"/>
    <s v="Zone 4 - Coproriki"/>
    <s v="MINAGRI"/>
    <x v="4"/>
    <s v="Rusizi"/>
    <s v="gikundamvura"/>
    <s v="CRUS_1"/>
    <s v="Rubyiro Sub-Catchment"/>
    <n v="2916000"/>
  </r>
  <r>
    <x v="5"/>
    <s v="NYAMIKAMBA"/>
    <s v="BUGINGO Gaspard"/>
    <x v="0"/>
    <s v="NYAGATARE"/>
    <s v="GATUNDA"/>
    <s v="NMUV_2"/>
    <s v="Warufu/Muvumba sub catchment"/>
    <n v="5405"/>
  </r>
  <r>
    <x v="5"/>
    <s v="BWIZA"/>
    <s v="FMP"/>
    <x v="0"/>
    <s v="GASABO"/>
    <s v="NDERA"/>
    <s v="NNYL_1"/>
    <s v="Nyabugogo sub catchment"/>
    <n v="5260"/>
  </r>
  <r>
    <x v="5"/>
    <s v="KIBAGABAGA"/>
    <s v="GASANA Emmanuel"/>
    <x v="0"/>
    <s v="GASABO"/>
    <s v="KIMIRONKO"/>
    <s v="NNYL_1"/>
    <s v="Nyabugogo sub catchment"/>
    <n v="5260"/>
  </r>
  <r>
    <x v="5"/>
    <s v="GAHANGA"/>
    <s v="NKOMAYOMBI Cyprien"/>
    <x v="0"/>
    <s v="KICUKIRO"/>
    <s v="GAHANGA"/>
    <s v="NAKU_1"/>
    <s v="Mugesera/Sake sub catchment"/>
    <n v="7100"/>
  </r>
  <r>
    <x v="5"/>
    <s v="AKAMATAMU"/>
    <s v="HABUMUGISHA Innocent"/>
    <x v="0"/>
    <s v="GASABO"/>
    <s v="JABANA"/>
    <s v="NNYL_1"/>
    <s v="Nyabugogo sub catchment"/>
    <n v="3270"/>
  </r>
  <r>
    <x v="5"/>
    <s v="NYAMIKAMBA"/>
    <s v=" Bugingo Gaspard"/>
    <x v="0"/>
    <s v="NYAGATARE"/>
    <s v="GATUNDA"/>
    <s v="NMUV_2"/>
    <s v="Warufu/Muvumba sub catchment"/>
    <n v="7100"/>
  </r>
  <r>
    <x v="5"/>
    <s v="NYAMIKAMBA"/>
    <s v="Dusabemungu Didace"/>
    <x v="0"/>
    <s v="NYAGATARE"/>
    <s v="GATUNDA"/>
    <s v="NMUV_2"/>
    <s v="Warufu/Muvumba sub catchment"/>
    <n v="4280"/>
  </r>
  <r>
    <x v="5"/>
    <s v="KIYENZI"/>
    <s v="UWITONZE Innocent "/>
    <x v="0"/>
    <s v="KAYONZA"/>
    <s v="GAHINI"/>
    <s v="NAKL_1"/>
    <s v="Akagera Lower catchment"/>
    <n v="3645"/>
  </r>
  <r>
    <x v="5"/>
    <s v="CYENKWANZI"/>
    <s v="BITWAYIKI Venuste"/>
    <x v="0"/>
    <s v="NYAGATARE"/>
    <s v="KARAMA"/>
    <s v="NMUV_2"/>
    <s v="Warufu/Muvumba sub catchment"/>
    <n v="3960"/>
  </r>
  <r>
    <x v="5"/>
    <s v="GIKUNDAMVURA"/>
    <s v="MANIRAGENA Leonidas"/>
    <x v="0"/>
    <s v="NYAGATARE"/>
    <s v="KARAMA"/>
    <s v="NMUV_2"/>
    <s v="Warufu/Muvumba sub catchment"/>
    <n v="3960"/>
  </r>
  <r>
    <x v="5"/>
    <s v="TEME"/>
    <s v="Ntagorana Bernard"/>
    <x v="0"/>
    <s v="GATSIBO"/>
    <s v="GASANGE"/>
    <s v="NAKL_1"/>
    <s v="Akagera Lower catchment"/>
    <n v="4280"/>
  </r>
  <r>
    <x v="5"/>
    <s v="NYAKIGANDO"/>
    <s v="NIZEYIMANA Silas"/>
    <x v="0"/>
    <s v="NYAGATARE"/>
    <s v="KARAMA"/>
    <s v="NMUV_2"/>
    <s v="Warufu/Muvumba sub catchment"/>
    <n v="3645"/>
  </r>
  <r>
    <x v="5"/>
    <s v="JURU"/>
    <s v="SINDIKUBWABO SYLIVESTRE"/>
    <x v="0"/>
    <s v="KAYONZA"/>
    <s v="GAHINI"/>
    <s v="NAKL_1"/>
    <s v="Akagera Lower catchment"/>
    <n v="4525"/>
  </r>
  <r>
    <x v="5"/>
    <s v="NYAKIGA"/>
    <s v="Nyiransabimana Berthe"/>
    <x v="0"/>
    <s v="NYAGATARE"/>
    <s v="KARAMA"/>
    <s v="NMUV_2"/>
    <s v="Warufu/Muvumba sub catchment"/>
    <n v="4055"/>
  </r>
  <r>
    <x v="5"/>
    <s v="BIRAMBO"/>
    <s v="NKURUNZIZA Christian"/>
    <x v="0"/>
    <s v="KARONGI"/>
    <s v="GASHARI"/>
    <s v="NNYU_3"/>
    <s v="Nyabarongo upstream sub catchment"/>
    <n v="3645"/>
  </r>
  <r>
    <x v="5"/>
    <s v="BWIZA"/>
    <s v="RUSANGANWA Eugene"/>
    <x v="0"/>
    <s v="RWAMAGANA"/>
    <s v="KIGABIRO"/>
    <s v="NAKU_1"/>
    <s v="Mugesera/Sake sub catchment"/>
    <n v="2970"/>
  </r>
  <r>
    <x v="5"/>
    <s v="NDAMA"/>
    <s v="MUDENGE Norman"/>
    <x v="0"/>
    <s v="NYAGATARE"/>
    <s v="KARANGAZI"/>
    <s v="NMUV_2"/>
    <s v="Warufu/Muvumba sub catchment"/>
    <n v="4525"/>
  </r>
  <r>
    <x v="5"/>
    <m/>
    <s v="Coop COPAMIMI/RYEZEMBERE Jean Pierre"/>
    <x v="0"/>
    <s v="NGOMA"/>
    <s v="GASHANDA"/>
    <s v="NAKU_2"/>
    <s v="Rweru sub catchment"/>
    <n v="3270"/>
  </r>
  <r>
    <x v="5"/>
    <s v="MUSENYI"/>
    <s v="KENTENGE Collette"/>
    <x v="0"/>
    <s v="NYAGATARE"/>
    <s v="KARANGAZI"/>
    <s v="NAKL_1"/>
    <s v="Akagera Lower catchment"/>
    <n v="3670"/>
  </r>
  <r>
    <x v="5"/>
    <s v="MBARE"/>
    <s v="KAYIHANGWE JANE "/>
    <x v="0"/>
    <s v="NYAGATARE"/>
    <s v="KARANGAZI"/>
    <s v="NAKL_1"/>
    <s v="Akagera Lower catchment"/>
    <n v="4280"/>
  </r>
  <r>
    <x v="5"/>
    <s v="MBARE"/>
    <s v="NDAMAGE STEVEN"/>
    <x v="0"/>
    <s v="NYAGATARE"/>
    <s v="KARANGAZI"/>
    <s v="NAKL_1"/>
    <s v="Akagera Lower catchment"/>
    <n v="3915"/>
  </r>
  <r>
    <x v="5"/>
    <s v="GASEKE"/>
    <s v="HAKIZIMANA  Bonavanture"/>
    <x v="0"/>
    <s v="NGORORERO"/>
    <s v="NYANGE "/>
    <s v="NNYU_3"/>
    <s v="Nyabarongo upstream sub catchment"/>
    <n v="3645"/>
  </r>
  <r>
    <x v="5"/>
    <s v="KIMANA"/>
    <s v="GASHAYIJA MARTIN"/>
    <x v="0"/>
    <s v="GISAGARA"/>
    <s v="MUSHA"/>
    <s v="NAKN_2"/>
    <s v="Gishara/Mukunguri sub catchment"/>
    <n v="4280"/>
  </r>
  <r>
    <x v="5"/>
    <s v="KINYONZWE"/>
    <s v="NZABONIMPA BENOIT"/>
    <x v="0"/>
    <s v="KARONGI"/>
    <s v="MUTUNTU"/>
    <s v="NNYU_1"/>
    <s v="Mbirurume sub catchment"/>
    <n v="3940"/>
  </r>
  <r>
    <x v="5"/>
    <m/>
    <s v="RASANA JOSHUA"/>
    <x v="0"/>
    <s v="RWAMAGANA"/>
    <s v="MUHAZI"/>
    <s v="NAKU_1"/>
    <s v="Mugesera/Sake sub catchment"/>
    <n v="3645"/>
  </r>
  <r>
    <x v="5"/>
    <s v="MBARE"/>
    <s v="NSENGIYUMVA THACIEN"/>
    <x v="0"/>
    <s v="NYAGATARE"/>
    <s v="KARANGAZI"/>
    <s v="NAKL_1"/>
    <s v="Akagera Lower catchment"/>
    <n v="5260"/>
  </r>
  <r>
    <x v="5"/>
    <s v="NYABICWAMBA"/>
    <s v="Nzabakurana Juvenal"/>
    <x v="0"/>
    <s v="GATSIBO"/>
    <s v="GATSIBO"/>
    <s v="NAKL_1"/>
    <s v="Akagera Lower catchment"/>
    <n v="5260"/>
  </r>
  <r>
    <x v="5"/>
    <s v="NYABICWAMBA"/>
    <s v="NKURIZABO ANASTASE"/>
    <x v="0"/>
    <s v="GATSIBO"/>
    <s v="GATSIBO"/>
    <s v="NAKL_1"/>
    <s v="Akagera Lower catchment"/>
    <n v="7100"/>
  </r>
  <r>
    <x v="5"/>
    <s v="NYARUBUNGO"/>
    <s v="SIWEGUSA SAID"/>
    <x v="0"/>
    <s v="GATSIBO"/>
    <s v="GITOKI"/>
    <s v="NAKL_1"/>
    <s v="Akagera Lower catchment"/>
    <n v="2970"/>
  </r>
  <r>
    <x v="5"/>
    <s v="KARUBUNGO"/>
    <s v="CODESOMA        "/>
    <x v="0"/>
    <s v="GATSIBO"/>
    <s v="GITOKI"/>
    <s v="NAKL_1"/>
    <s v="Akagera Lower catchment"/>
    <n v="2970"/>
  </r>
  <r>
    <x v="5"/>
    <s v="RYABEGA"/>
    <s v="BUTARE John"/>
    <x v="0"/>
    <s v="NYAGATARE"/>
    <s v="KARANGAZI"/>
    <s v="NAKL_1"/>
    <s v="Akagera Lower catchment"/>
    <n v="3960"/>
  </r>
  <r>
    <x v="5"/>
    <s v="KAMATE"/>
    <s v="GAKWAYA Emmanuel"/>
    <x v="0"/>
    <s v="NYAGATARE"/>
    <s v="KARANGAZI"/>
    <s v="NAKL_1"/>
    <s v="Akagera Lower catchment"/>
    <n v="5405"/>
  </r>
  <r>
    <x v="5"/>
    <s v="KAMATE"/>
    <s v="COOP KANDAMACO (MUKANDORI GETURIDA)"/>
    <x v="0"/>
    <s v="NYAGATARE"/>
    <s v="KARANGAZI"/>
    <s v="NAKL_1"/>
    <s v="Akagera Lower catchment"/>
    <n v="3270"/>
  </r>
  <r>
    <x v="5"/>
    <s v="KAGASA"/>
    <s v="TURATSINZE J.M.V"/>
    <x v="0"/>
    <s v="KICUKIRO"/>
    <s v="GAHANGA"/>
    <s v="NAKU_1"/>
    <s v="Mugesera/Sake sub catchment"/>
    <n v="4525"/>
  </r>
  <r>
    <x v="5"/>
    <s v="KAMATI"/>
    <s v="MBABAZI Allen"/>
    <x v="0"/>
    <s v="NYAGATARE"/>
    <s v="KARANGAZI"/>
    <s v="NAKL_1"/>
    <s v="Akagera Lower catchment"/>
    <n v="4525"/>
  </r>
  <r>
    <x v="5"/>
    <s v="NDAMA"/>
    <s v="MUDENGE NORMAN"/>
    <x v="0"/>
    <s v="NYAGATARE"/>
    <s v="KARANGAZI"/>
    <s v="NAKL_1"/>
    <s v="Akagera Lower catchment"/>
    <n v="4525"/>
  </r>
  <r>
    <x v="5"/>
    <s v="RUBAGABAGA"/>
    <s v="AGRO PROCESSING INDUSTRIES"/>
    <x v="0"/>
    <s v="NYAGATARE"/>
    <s v="KARANGAZI"/>
    <s v="NAKL_1"/>
    <s v="Akagera Lower catchment"/>
    <n v="5260"/>
  </r>
  <r>
    <x v="5"/>
    <s v="SIMBWA"/>
    <s v="RUGEMA WILLY"/>
    <x v="0"/>
    <s v="GATSIBO"/>
    <s v="KABARORE"/>
    <s v="NAKL_1"/>
    <s v="Akagera Lower catchment"/>
    <n v="5260"/>
  </r>
  <r>
    <x v="5"/>
    <s v="NYAGASHANGA"/>
    <s v="TURATSINZE  James                  "/>
    <x v="0"/>
    <s v="NYAGATARE"/>
    <s v="KARANGAZI"/>
    <s v="NAKL_1"/>
    <s v="Akagera Lower catchment"/>
    <n v="3645"/>
  </r>
  <r>
    <x v="5"/>
    <s v="MARIMBA"/>
    <s v="SIBOMANA VINCENT"/>
    <x v="0"/>
    <s v="GATSIBO"/>
    <s v="KABARORE"/>
    <s v="NAKL_1"/>
    <s v="Akagera Lower catchment"/>
    <n v="3645"/>
  </r>
  <r>
    <x v="5"/>
    <s v="KARAMA"/>
    <s v="SUNDAY DAVID"/>
    <x v="0"/>
    <s v="NYAGATARE"/>
    <s v="KARANGAZI"/>
    <s v="NAKL_1"/>
    <s v="Akagera Lower catchment"/>
    <n v="3645"/>
  </r>
  <r>
    <x v="5"/>
    <s v="GIHINGA"/>
    <s v="Hategekimana Innocent"/>
    <x v="0"/>
    <s v="KAMONYI"/>
    <s v="GACURABWENGE"/>
    <s v="NNYL_2"/>
    <s v="Mambu/Base sub catchment"/>
    <n v="3645"/>
  </r>
  <r>
    <x v="5"/>
    <s v="NKOMANGWA"/>
    <s v="GAKWAYA Modeste"/>
    <x v="0"/>
    <s v="RWAMAGANA"/>
    <s v="MUNYIGINYA"/>
    <s v="NAKU_1"/>
    <s v="Mugesera/Sake sub catchment"/>
    <n v="3645"/>
  </r>
  <r>
    <x v="5"/>
    <s v="NDAMA"/>
    <s v="BADIDI ELISA"/>
    <x v="0"/>
    <s v="NYAGATARE"/>
    <s v="KARANGAZI"/>
    <s v="NAKL_1"/>
    <s v="Akagera Lower catchment"/>
    <n v="4578"/>
  </r>
  <r>
    <x v="5"/>
    <s v="MBARE"/>
    <s v="RUZIGANA CHARLES"/>
    <x v="0"/>
    <s v="NYAGATARE"/>
    <s v="KARANGAZI"/>
    <s v="NAKL_1"/>
    <s v="Akagera Lower catchment"/>
    <n v="9939.9999999999982"/>
  </r>
  <r>
    <x v="5"/>
    <s v="MWENDO"/>
    <s v="TWAHIRWA Dieudonne"/>
    <x v="0"/>
    <s v="BUGESERA"/>
    <s v="GASHORA"/>
    <s v="NAKU_1"/>
    <s v="Mugesera/Sake sub catchment"/>
    <n v="6335"/>
  </r>
  <r>
    <x v="5"/>
    <s v="KARAMA"/>
    <s v="KARINGANIRE INNOCENT"/>
    <x v="0"/>
    <s v="NYAGATARE"/>
    <s v="KARANGAZI"/>
    <s v="NAKL_1"/>
    <s v="Akagera Lower catchment"/>
    <n v="5515.9999999999991"/>
  </r>
  <r>
    <x v="5"/>
    <s v="KAMATE"/>
    <s v="MUHWEZI STEVEN"/>
    <x v="0"/>
    <s v="NYAGATARE"/>
    <s v="KARANGAZI"/>
    <s v="NAKL_1"/>
    <s v="Akagera Lower catchment"/>
    <n v="6420"/>
  </r>
  <r>
    <x v="5"/>
    <s v="RWISIRABO"/>
    <s v="ASIMWE FRED"/>
    <x v="0"/>
    <s v="NYAGATARE"/>
    <s v="KARANGAZI"/>
    <s v="NAKL_1"/>
    <s v="Akagera Lower catchment"/>
    <n v="11360"/>
  </r>
  <r>
    <x v="5"/>
    <s v="SIBAGIRE"/>
    <s v="NGIRUMUGENGA Jean Marie pierre"/>
    <x v="0"/>
    <s v="RWAMAGANA"/>
    <s v="KIGABIRO"/>
    <s v="NAKU_1"/>
    <s v="Mugesera/Sake sub catchment"/>
    <n v="7240"/>
  </r>
  <r>
    <x v="5"/>
    <s v="RUYUMBA"/>
    <s v=" RWANGOMBWA JOHN"/>
    <x v="0"/>
    <s v="RWAMAGANA"/>
    <s v="GAHENGERI"/>
    <s v="NAKU_1"/>
    <s v="Mugesera/Sake sub catchment"/>
    <n v="6336"/>
  </r>
  <r>
    <x v="5"/>
    <s v="MBARE"/>
    <s v="SEMUDEBERI FRANK"/>
    <x v="0"/>
    <s v="NYAGATARE"/>
    <s v="KARANGAZI"/>
    <s v="NAKL_1"/>
    <s v="Akagera Lower catchment"/>
    <n v="6848.0000000000009"/>
  </r>
  <r>
    <x v="5"/>
    <s v="RUGARAMA"/>
    <s v="RUTERANA   Patrick                                      "/>
    <x v="0"/>
    <s v="KAYONZA"/>
    <s v="GAHINI"/>
    <s v="NAKL_1"/>
    <s v="Akagera Lower catchment"/>
    <n v="5832"/>
  </r>
  <r>
    <x v="5"/>
    <s v="MULINJA"/>
    <s v="MUKABAZIGA Madeline"/>
    <x v="0"/>
    <s v="KICUKIRO"/>
    <s v="GAHANGA"/>
    <s v="NAKU_1"/>
    <s v="Mugesera/Sake sub catchment"/>
    <n v="6848.0000000000009"/>
  </r>
  <r>
    <x v="5"/>
    <s v="MBARE"/>
    <s v="RUTAGENGWA EMMANUEL (RMK)"/>
    <x v="0"/>
    <s v="NYAGATARE"/>
    <s v="KARANGAZI"/>
    <s v="NAKL_1"/>
    <s v="Akagera Lower catchment"/>
    <n v="8110"/>
  </r>
  <r>
    <x v="5"/>
    <s v="NYAMIRAMBO"/>
    <s v="MWIZERWA DIDIER"/>
    <x v="0"/>
    <s v="NGOMA"/>
    <s v="KAREMBO"/>
    <s v="NAKU_1"/>
    <s v="Mugesera/Sake sub catchment"/>
    <n v="10520"/>
  </r>
  <r>
    <x v="5"/>
    <s v="MUNINI"/>
    <s v="HITIMANA JMV"/>
    <x v="0"/>
    <s v="RWAMAGANA"/>
    <s v="NYAKARIRO"/>
    <s v="NAKU_1"/>
    <s v="Mugesera/Sake sub catchment"/>
    <n v="8850"/>
  </r>
  <r>
    <x v="5"/>
    <s v="NTEBE"/>
    <s v="HABUMUGISHA OLIVIER"/>
    <x v="0"/>
    <s v="RWAMAGANA"/>
    <s v="MUHAZI"/>
    <s v="NAKU_1"/>
    <s v="Mugesera/Sake sub catchment"/>
    <n v="10810"/>
  </r>
  <r>
    <x v="5"/>
    <s v="URUGARAMA"/>
    <s v="NSHUNGUYINKA  Francois                     "/>
    <x v="0"/>
    <s v="KAYONZA"/>
    <s v="GAHINI"/>
    <s v="NAKL_1"/>
    <s v="Akagera Lower catchment"/>
    <n v="9350"/>
  </r>
  <r>
    <x v="5"/>
    <s v="MWENDO"/>
    <s v="BUSOBOZI Martin"/>
    <x v="0"/>
    <s v="BUGESERA"/>
    <s v="GASHORA"/>
    <s v="NAKU_1"/>
    <s v="Mugesera/Sake sub catchment"/>
    <n v="10520"/>
  </r>
  <r>
    <x v="5"/>
    <s v="NTEBE"/>
    <s v="Cecile NZABONIMANA KANIMBA"/>
    <x v="0"/>
    <s v="RWAMAGANA"/>
    <s v="MUHAZI"/>
    <s v="NAKU_1"/>
    <s v="Mugesera/Sake sub catchment"/>
    <n v="10520"/>
  </r>
  <r>
    <x v="5"/>
    <s v="NYIRANGARAMA"/>
    <s v="UWICYEZA OLIVE "/>
    <x v="0"/>
    <s v="RULINDO"/>
    <s v="BUSHOKI"/>
    <s v="NNYL_2"/>
    <s v="Mambu/Base sub catchment"/>
    <n v="5910"/>
  </r>
  <r>
    <x v="5"/>
    <s v="NYARURENZI"/>
    <s v="Coop. PAEMA/MUZINDUTSI EMMANUEL"/>
    <x v="0"/>
    <s v="NYARUGENGE"/>
    <s v="MAGERAGERE"/>
    <s v="NNYL_1"/>
    <s v="Nyabugogo sub catchment"/>
    <n v="8850"/>
  </r>
  <r>
    <x v="5"/>
    <s v="NDAMA"/>
    <s v="KAGINA Steven"/>
    <x v="0"/>
    <s v="NYAGATARE"/>
    <s v="KARANGAZI"/>
    <s v="NAKL_1"/>
    <s v="Akagera Lower catchment"/>
    <n v="10520"/>
  </r>
  <r>
    <x v="5"/>
    <s v="MULINJA"/>
    <s v="BAGIRUBWIRA Muhamed "/>
    <x v="0"/>
    <s v="KICUKIRO"/>
    <s v="GAHANGA"/>
    <s v="NAKU_1"/>
    <s v="Mugesera/Sake sub catchment"/>
    <n v="10520"/>
  </r>
  <r>
    <x v="5"/>
    <s v="KAMATI"/>
    <s v="MBABAZI Allen"/>
    <x v="0"/>
    <s v="NYAGATARE"/>
    <s v="KARANGAZI"/>
    <s v="NAKL_1"/>
    <s v="Akagera Lower catchment"/>
    <n v="8850"/>
  </r>
  <r>
    <x v="5"/>
    <s v="KIGANDARO"/>
    <s v="MPORANYIMIGABO PROSPER"/>
    <x v="0"/>
    <s v="KARONGI"/>
    <s v="MURAMBI"/>
    <s v="NNYU_3"/>
    <s v="Nyabarongo upstream sub catchment"/>
    <n v="7920"/>
  </r>
  <r>
    <x v="5"/>
    <s v="JURU"/>
    <s v="NZAMURAMBAHO Charles"/>
    <x v="0"/>
    <s v="KAYONZA"/>
    <s v="GAHINI"/>
    <s v="NAKL_1"/>
    <s v="Akagera Lower catchment"/>
    <n v="10520"/>
  </r>
  <r>
    <x v="5"/>
    <s v="RUNYOMBYI"/>
    <s v="MUTAGANDA JEAN BAPTIST"/>
    <x v="0"/>
    <s v="NYARUGURU"/>
    <s v="BUSANZE"/>
    <s v="NAKN_1"/>
    <s v="Giswi/Agatobwe sub catchment"/>
    <n v="10520"/>
  </r>
  <r>
    <x v="5"/>
    <s v="MULINJA"/>
    <s v="BAJYANAMA Leonard"/>
    <x v="0"/>
    <s v="KICUKIRO"/>
    <s v="GAHANGA"/>
    <s v="NAKU_1"/>
    <s v="Mugesera/Sake sub catchment"/>
    <n v="6540"/>
  </r>
  <r>
    <x v="5"/>
    <s v="MURINJA"/>
    <s v="HAKUZIMANA Syldio"/>
    <x v="0"/>
    <s v="KICUKIRO"/>
    <s v="GAHANGA"/>
    <s v="NAKU_1"/>
    <s v="Mugesera/Sake sub catchment"/>
    <n v="10520"/>
  </r>
  <r>
    <x v="5"/>
    <s v="MARIMBA"/>
    <s v="DUSHIMIRIMANA Jean de Dieu"/>
    <x v="0"/>
    <s v="GATSIBO"/>
    <s v="KABARORE"/>
    <s v="NAKL_1"/>
    <s v="Akagera Lower catchment"/>
    <n v="8560"/>
  </r>
  <r>
    <x v="5"/>
    <s v="MWURIRE"/>
    <s v="MUKANGARAMBE Immaculee"/>
    <x v="0"/>
    <s v="RWAMAGANA"/>
    <s v="MWURIRE"/>
    <s v="NAKU_1"/>
    <s v="Mugesera/Sake sub catchment"/>
    <n v="10520"/>
  </r>
  <r>
    <x v="5"/>
    <s v="JURU"/>
    <s v="NZAMURAMBAHO Charles"/>
    <x v="0"/>
    <s v="KAYONZA"/>
    <s v="GAHINI"/>
    <s v="NAKL_1"/>
    <s v="Akagera Lower catchment"/>
    <n v="8850"/>
  </r>
  <r>
    <x v="5"/>
    <s v="NTUNGA"/>
    <s v="Coop UYISENGANIMANZI (UWIHOREYE Chaste)"/>
    <x v="0"/>
    <s v="RWAMAGANA"/>
    <s v="MWURIRE"/>
    <s v="NAKU_1"/>
    <s v="Mugesera/Sake sub catchment"/>
    <n v="10520"/>
  </r>
  <r>
    <x v="5"/>
    <s v="KAMATI"/>
    <s v="COOPERATIVE KANDAMACO"/>
    <x v="0"/>
    <s v="NYAGATARE"/>
    <s v="KARANGAZI"/>
    <s v="NAKL_1"/>
    <s v="Akagera Lower catchment"/>
    <n v="6540"/>
  </r>
  <r>
    <x v="5"/>
    <s v="KAYENZI"/>
    <s v="Uyisabye Antoinette"/>
    <x v="0"/>
    <s v="BUGESERA"/>
    <s v="GASHORA"/>
    <s v="NAKU_1"/>
    <s v="Mugesera/Sake sub catchment"/>
    <n v="7830"/>
  </r>
  <r>
    <x v="5"/>
    <s v="KABUYE"/>
    <s v="Sibomana Louis"/>
    <x v="0"/>
    <s v="BUGESERA"/>
    <s v="GASHORA"/>
    <s v="NAKU_1"/>
    <s v="Mugesera/Sake sub catchment"/>
    <n v="6730"/>
  </r>
  <r>
    <x v="5"/>
    <s v="KARAMA"/>
    <s v="NKURAYIJA ERIC   "/>
    <x v="0"/>
    <s v="NYAGATARE"/>
    <s v="KARANGAZI"/>
    <s v="NAKL_1"/>
    <s v="Akagera Lower catchment"/>
    <n v="10810"/>
  </r>
  <r>
    <x v="5"/>
    <s v="GATOBOTOBO"/>
    <s v="MUTUMWINKA ANGELIQUE"/>
    <x v="0"/>
    <s v="HUYE"/>
    <s v="MBAZI"/>
    <s v="NNYU_2"/>
    <s v="Mwogo sub catchment"/>
    <n v="6790"/>
  </r>
  <r>
    <x v="5"/>
    <s v="NYAGASHANGA"/>
    <s v="TURATSINZE James   "/>
    <x v="0"/>
    <s v="NYAGATARE"/>
    <s v="KARANGAZI"/>
    <s v="NAKL_1"/>
    <s v="Akagera Lower catchment"/>
    <n v="7880"/>
  </r>
  <r>
    <x v="5"/>
    <s v="KAMATE"/>
    <s v="COOPERATIVE KANDAMACO"/>
    <x v="0"/>
    <s v="NYAGATARE"/>
    <s v="KARANGAZI"/>
    <s v="NAKL_1"/>
    <s v="Akagera Lower catchment"/>
    <n v="5910"/>
  </r>
  <r>
    <x v="5"/>
    <s v="NDAMA"/>
    <s v="KAGINA Stephen"/>
    <x v="0"/>
    <s v="NYAGATARE"/>
    <s v="KARANGAZI"/>
    <s v="NAKL_1"/>
    <s v="Akagera Lower catchment"/>
    <n v="10520"/>
  </r>
  <r>
    <x v="5"/>
    <s v="MURAMA"/>
    <s v="COODAKI"/>
    <x v="0"/>
    <s v="GASABO"/>
    <s v="KINYINYA"/>
    <s v="NNYL_1"/>
    <s v="Nyabugogo sub catchment"/>
    <n v="8560"/>
  </r>
  <r>
    <x v="5"/>
    <s v="MBARE"/>
    <s v="MPARAYE Pacome"/>
    <x v="0"/>
    <s v="NYAGATARE"/>
    <s v="KARANGAZI"/>
    <s v="NAKL_1"/>
    <s v="Akagera Lower catchment"/>
    <n v="14200"/>
  </r>
  <r>
    <x v="5"/>
    <s v="NUNGA"/>
    <s v="Nzeyimana Manase"/>
    <x v="0"/>
    <s v="KICUKIRO"/>
    <s v="GAHANGA"/>
    <s v="NAKU_1"/>
    <s v="Mugesera/Sake sub catchment"/>
    <n v="10810"/>
  </r>
  <r>
    <x v="5"/>
    <s v="MBARE"/>
    <s v="BUTERA VIANNEY"/>
    <x v="0"/>
    <s v="NYAGATARE"/>
    <s v="KARANGAZI"/>
    <s v="NAKL_1"/>
    <s v="Akagera Lower catchment"/>
    <n v="9350"/>
  </r>
  <r>
    <x v="5"/>
    <s v="KABUYE"/>
    <s v="Habanabakize Thomas"/>
    <x v="0"/>
    <s v="BUGESERA"/>
    <s v="GASHORA"/>
    <s v="NAKU_1"/>
    <s v="Mugesera/Sake sub catchment"/>
    <n v="8560"/>
  </r>
  <r>
    <x v="5"/>
    <s v="BIRYOGO"/>
    <s v="SHYAKA William "/>
    <x v="0"/>
    <s v="BUGESERA"/>
    <s v="GASHORA"/>
    <s v="NAKU_1"/>
    <s v="Mugesera/Sake sub catchment"/>
    <n v="7830"/>
  </r>
  <r>
    <x v="5"/>
    <s v="MWENDO"/>
    <s v="TWAHIRWA DieuDonne              "/>
    <x v="0"/>
    <s v="BUGESERA"/>
    <s v="GASHORA"/>
    <s v="NAKU_1"/>
    <s v="Mugesera/Sake sub catchment"/>
    <n v="8560"/>
  </r>
  <r>
    <x v="5"/>
    <s v="MWENDO"/>
    <s v="DUSABANE Yves                                          "/>
    <x v="0"/>
    <s v="BUGESERA"/>
    <s v="GASHORA"/>
    <s v="NAKU_1"/>
    <s v="Mugesera/Sake sub catchment"/>
    <n v="10520"/>
  </r>
  <r>
    <x v="5"/>
    <s v="BIRYOGO"/>
    <s v="KABAREBE MUDENGE Esperance"/>
    <x v="0"/>
    <s v="BUGESERA"/>
    <s v="GASHORA"/>
    <s v="NAKU_1"/>
    <s v="Mugesera/Sake sub catchment"/>
    <n v="10520"/>
  </r>
  <r>
    <x v="5"/>
    <s v="MWENDO"/>
    <s v="DUSABANE Yves"/>
    <x v="0"/>
    <s v="BUGESERA"/>
    <s v="GASHORA"/>
    <s v="NAKU_1"/>
    <s v="Mugesera/Sake sub catchment"/>
    <n v="10810"/>
  </r>
  <r>
    <x v="5"/>
    <s v="MWENDO"/>
    <s v="Roger-LAKESIDE LTD"/>
    <x v="0"/>
    <s v="BUGESERA"/>
    <s v="GASHORA"/>
    <s v="NAKU_1"/>
    <s v="Mugesera/Sake sub catchment"/>
    <n v="9050"/>
  </r>
  <r>
    <x v="5"/>
    <s v="MWENDO"/>
    <s v=" NDEKEZI Maarifa vincent"/>
    <x v="0"/>
    <s v="BUGESERA"/>
    <s v="GASHORA"/>
    <s v="NAKU_1"/>
    <s v="Mugesera/Sake sub catchment"/>
    <n v="9050"/>
  </r>
  <r>
    <x v="5"/>
    <s v="MWENDO"/>
    <s v="TWAHIRWA DieuDonne"/>
    <x v="0"/>
    <s v="BUGESERA"/>
    <s v="GASHORA"/>
    <s v="NAKU_1"/>
    <s v="Mugesera/Sake sub catchment"/>
    <n v="9050"/>
  </r>
  <r>
    <x v="5"/>
    <s v="KAGOMASI"/>
    <s v=" RULISA STEPHEN"/>
    <x v="0"/>
    <s v="BUGESERA"/>
    <s v="GASHORA"/>
    <s v="NAKU_1"/>
    <s v="Mugesera/Sake sub catchment"/>
    <n v="6730"/>
  </r>
  <r>
    <x v="5"/>
    <s v="MBARE"/>
    <s v="NSENGIYUMVA THACIEN"/>
    <x v="0"/>
    <s v="NYAGATARE"/>
    <s v="KARANGAZI"/>
    <s v="NAKL_1"/>
    <s v="Akagera Lower catchment"/>
    <n v="10520"/>
  </r>
  <r>
    <x v="5"/>
    <s v="MBARE"/>
    <s v="SAYINZOGA CHARLES"/>
    <x v="0"/>
    <s v="NYAGATARE"/>
    <s v="KARANGAZI"/>
    <s v="NAKL_1"/>
    <s v="Akagera Lower catchment"/>
    <n v="5810"/>
  </r>
  <r>
    <x v="5"/>
    <s v="MBARE"/>
    <s v="KALISA EUGENE"/>
    <x v="0"/>
    <s v="NYAGATARE"/>
    <s v="KARANGAZI"/>
    <s v="NAKL_1"/>
    <s v="Akagera Lower catchment"/>
    <n v="9050"/>
  </r>
  <r>
    <x v="5"/>
    <s v="JURU"/>
    <s v="NZAMURAMBAHO Charles"/>
    <x v="0"/>
    <s v="KAYONZA"/>
    <s v="GAHINI"/>
    <s v="NAKL_1"/>
    <s v="Akagera Lower catchment"/>
    <n v="8110"/>
  </r>
  <r>
    <x v="5"/>
    <s v="GAHOGO"/>
    <s v="TWAGIRIMANA Edouard"/>
    <x v="0"/>
    <s v="MUHANGA"/>
    <s v="NYAMABUYE"/>
    <s v="NNYU_3"/>
    <s v="Nyabarongo upstream sub catchment"/>
    <n v="7290"/>
  </r>
  <r>
    <x v="5"/>
    <s v="MUREHE"/>
    <s v="HABYARIMANA                       Jean Pierre                                        "/>
    <x v="0"/>
    <s v="KIREHE"/>
    <s v="GAHARA"/>
    <s v="NAKU_2"/>
    <s v="Rweru sub catchment"/>
    <n v="10810"/>
  </r>
  <r>
    <x v="5"/>
    <s v="CYUNUZI"/>
    <s v="HAKIZIMANA Bernard"/>
    <x v="0"/>
    <s v="KIREHE"/>
    <s v="GATORE"/>
    <s v="NAKU_2"/>
    <s v="Rweru sub catchment"/>
    <n v="9050"/>
  </r>
  <r>
    <x v="5"/>
    <s v="KIZIMYAMURIRO"/>
    <s v="MUNYEMBARAGA Innocent "/>
    <x v="0"/>
    <s v="NYAMAGABE"/>
    <s v="BURUHUKIRO"/>
    <s v="NNYU_2"/>
    <s v="Mwogo sub catchment"/>
    <n v="10810"/>
  </r>
  <r>
    <x v="5"/>
    <s v="KAGANO"/>
    <s v="HABIMANA Charles"/>
    <x v="0"/>
    <s v="NGORORERO"/>
    <s v="SOVU"/>
    <s v="NNYU_3"/>
    <s v="Nyabarongo upstream sub catchment"/>
    <n v="6540"/>
  </r>
  <r>
    <x v="5"/>
    <s v="GATARE"/>
    <s v="MUKARUYENZI Adele"/>
    <x v="0"/>
    <s v="RWAMAGANA"/>
    <s v="NYAKARIRO"/>
    <s v="NAKU_1"/>
    <s v="Mugesera/Sake sub catchment"/>
    <n v="8850"/>
  </r>
  <r>
    <x v="5"/>
    <s v="GATARE"/>
    <s v="NIYONSABA Evaliste"/>
    <x v="0"/>
    <s v="RWAMAGANA"/>
    <s v="NYAKARIRO"/>
    <s v="NAKU_1"/>
    <s v="Mugesera/Sake sub catchment"/>
    <n v="14200"/>
  </r>
  <r>
    <x v="5"/>
    <s v="GATARE"/>
    <s v="HABIMANA Faustin"/>
    <x v="0"/>
    <s v="RWAMAGANA"/>
    <s v="NYAKARIRO"/>
    <s v="NAKU_1"/>
    <s v="Mugesera/Sake sub catchment"/>
    <n v="7290"/>
  </r>
  <r>
    <x v="5"/>
    <s v="GATARE"/>
    <s v="BENDANTARAMA Constantin"/>
    <x v="0"/>
    <s v="RWAMAGANA"/>
    <s v="NYAKARIRO"/>
    <s v="NAKU_1"/>
    <s v="Mugesera/Sake sub catchment"/>
    <n v="8560"/>
  </r>
  <r>
    <x v="5"/>
    <s v="MATABA"/>
    <s v="NDAGIJIMANA Felicien"/>
    <x v="0"/>
    <s v="NYARUGENGE"/>
    <s v="MAGERAGERE"/>
    <s v="NNYL_1"/>
    <s v="Nyabugogo sub catchment"/>
    <n v="4440"/>
  </r>
  <r>
    <x v="5"/>
    <s v="KABASORE"/>
    <s v="TURAHIMANA Desire"/>
    <x v="0"/>
    <s v="RWAMAGANA"/>
    <s v="KARENGE"/>
    <s v="NAKU_1"/>
    <s v="Mugesera/Sake sub catchment"/>
    <n v="8560"/>
  </r>
  <r>
    <x v="5"/>
    <s v="KARITUTU"/>
    <s v="RWAKAYIGAMBA Emmanuel"/>
    <x v="0"/>
    <s v="RWAMAGANA"/>
    <s v="MUHAZI"/>
    <s v="NAKU_1"/>
    <s v="Mugesera/Sake sub catchment"/>
    <n v="8560"/>
  </r>
  <r>
    <x v="5"/>
    <s v="RWESERO"/>
    <s v="RUGWIZANGOGA Jean Batiste"/>
    <x v="0"/>
    <s v="NYARUGENGE"/>
    <s v="KIGALI"/>
    <s v="NNYL_1"/>
    <s v="Nyabugogo sub catchment"/>
    <n v="6540"/>
  </r>
  <r>
    <x v="5"/>
    <s v="BUJYUJYU"/>
    <s v="NKURIKIYINKA Izayase"/>
    <x v="0"/>
    <s v="RWAMAGANA"/>
    <s v="MUYUMBU"/>
    <s v="NAKU_1"/>
    <s v="Mugesera/Sake sub catchment"/>
    <n v="14200"/>
  </r>
  <r>
    <x v="5"/>
    <s v="NTEBE"/>
    <s v="BENIMANA Theogene"/>
    <x v="0"/>
    <s v="RWAMAGANA"/>
    <s v="MUYUMBU"/>
    <s v="NAKU_1"/>
    <s v="Mugesera/Sake sub catchment"/>
    <n v="14200"/>
  </r>
  <r>
    <x v="5"/>
    <s v="BUJYUJYU"/>
    <s v="UWIMANA Francois"/>
    <x v="0"/>
    <s v="RWAMAGANA"/>
    <s v="MUYUMBU"/>
    <s v="NAKU_1"/>
    <s v="Mugesera/Sake sub catchment"/>
    <n v="7920"/>
  </r>
  <r>
    <x v="5"/>
    <s v="RAMBA"/>
    <s v="HARINDINTWARI Theoneste"/>
    <x v="0"/>
    <s v="GISAGARA"/>
    <s v="MAMBA"/>
    <s v="NAKN_2"/>
    <s v="Gishara/Mukunguri sub catchment"/>
    <n v="8560"/>
  </r>
  <r>
    <x v="5"/>
    <s v="NYAMIRAMBO"/>
    <s v="NZEYIMANA Alexis        "/>
    <x v="0"/>
    <s v="NGOMA"/>
    <s v="KAREMBO"/>
    <s v="NAKU_1"/>
    <s v="Mugesera/Sake sub catchment"/>
    <n v="10810"/>
  </r>
  <r>
    <x v="5"/>
    <s v="KIREHE"/>
    <s v="BAGIRIMANA Jean Claude              "/>
    <x v="0"/>
    <s v="KAYONZA"/>
    <s v="KABARE"/>
    <s v="NAKL_1"/>
    <s v="Akagera Lower catchment"/>
    <n v="7340"/>
  </r>
  <r>
    <x v="5"/>
    <s v="MBARE"/>
    <s v="MUTERA AUGUSTIN"/>
    <x v="0"/>
    <s v="NYAGATARE"/>
    <s v="KARANGAZI"/>
    <s v="NAKL_1"/>
    <s v="Akagera Lower catchment"/>
    <n v="8560"/>
  </r>
  <r>
    <x v="5"/>
    <s v="GASAGARA"/>
    <s v="RUGOMWA David"/>
    <x v="0"/>
    <s v="GASABO"/>
    <s v="RUSORORO"/>
    <s v="NNYL_1"/>
    <s v="Nyabugogo sub catchment"/>
    <n v="8560"/>
  </r>
  <r>
    <x v="5"/>
    <s v="VUGANGOMA"/>
    <s v="MBANJINEZA Jonath"/>
    <x v="0"/>
    <s v="NYAMASHEKE"/>
    <s v="MACUBA"/>
    <s v="CKIV_3"/>
    <s v="Kamiranzovu sub catchment"/>
    <n v="8560"/>
  </r>
  <r>
    <x v="5"/>
    <m/>
    <s v="ABASHYIZEHAMWE/GASHORA"/>
    <x v="0"/>
    <s v="BUGESERA"/>
    <s v="GASHORA"/>
    <s v="NAKU_1"/>
    <s v="Mugesera/Sake sub catchment"/>
    <n v="8560"/>
  </r>
  <r>
    <x v="5"/>
    <s v="MBARE"/>
    <s v="MUZATSINDA GEOFFREY"/>
    <x v="0"/>
    <s v="NYAGATARE"/>
    <s v="KARANGAZI"/>
    <s v="NAKL_1"/>
    <s v="Akagera Lower catchment"/>
    <n v="8560"/>
  </r>
  <r>
    <x v="5"/>
    <s v="BUREHE"/>
    <s v="TWAGIRAYEZU  Alexis            "/>
    <x v="0"/>
    <s v="RULINDO"/>
    <s v="CYUNGO"/>
    <s v="NNYL_2"/>
    <s v="Mambu/Base sub catchment"/>
    <n v="8560"/>
  </r>
  <r>
    <x v="5"/>
    <s v="NUNGA"/>
    <s v="NTABANGANYIMANA THEOGENE"/>
    <x v="0"/>
    <s v="KICUKIRO"/>
    <s v="GAHANGA"/>
    <s v="NAKU_1"/>
    <s v="Mugesera/Sake sub catchment"/>
    <n v="8560"/>
  </r>
  <r>
    <x v="5"/>
    <s v="BWIZA"/>
    <s v="RUBANDA Simon"/>
    <x v="0"/>
    <s v="RWAMAGANA"/>
    <s v="KIGABIRO"/>
    <s v="NAKU_1"/>
    <s v="Mugesera/Sake sub catchment"/>
    <n v="8560"/>
  </r>
  <r>
    <x v="5"/>
    <s v="GAHURIRE"/>
    <s v="Umucyo Kazo/Tuyisenge Janvier"/>
    <x v="0"/>
    <s v="NGOMA"/>
    <s v="KAZO"/>
    <s v="NAKU_2"/>
    <s v="Rweru sub catchment"/>
    <n v="8560"/>
  </r>
  <r>
    <x v="5"/>
    <s v="KAGANO"/>
    <s v="SINIBAGIWE Jean Damascene"/>
    <x v="0"/>
    <s v="NGORORERO"/>
    <s v="SOVU"/>
    <s v="NNYU_3"/>
    <s v="Nyabarongo upstream sub catchment"/>
    <n v="8560"/>
  </r>
  <r>
    <x v="5"/>
    <s v="PERA"/>
    <s v="NKIZINGABO Amiru"/>
    <x v="0"/>
    <s v="RUSIZI"/>
    <s v="BUGARAMA"/>
    <s v="CRUS_1"/>
    <s v="Rubyiro sub catchment"/>
    <n v="8560"/>
  </r>
  <r>
    <x v="5"/>
    <s v="RYANKANA"/>
    <s v="NSABIMANA Emmanuel  "/>
    <x v="0"/>
    <s v="RUSIZI"/>
    <s v="BUGARAMA"/>
    <s v="CRUS_1"/>
    <s v="Rubyiro sub catchment"/>
    <n v="8560"/>
  </r>
  <r>
    <x v="5"/>
    <s v="GIHINGA"/>
    <s v="KIMENYI RUKUNDO Philbert"/>
    <x v="0"/>
    <s v="KAMONYI"/>
    <s v="GACURABWENGE"/>
    <s v="NNYL_2"/>
    <s v="Mambu/Base sub catchment"/>
    <n v="8560"/>
  </r>
  <r>
    <x v="5"/>
    <s v="MUBUGA"/>
    <s v="KOPERATIVE KOBARWO"/>
    <x v="0"/>
    <s v="NYARUGURU"/>
    <s v="KIBEHO"/>
    <s v="NAKN_1"/>
    <s v="Giswi/Agatobwe sub catchment"/>
    <n v="7290"/>
  </r>
  <r>
    <x v="5"/>
    <s v="RWABUTENGE"/>
    <s v="NTAYOMYA PHOCUS"/>
    <x v="0"/>
    <s v="KICUKIRO"/>
    <s v="GAHANGA"/>
    <s v="NAKU_1"/>
    <s v="Mugesera/Sake sub catchment"/>
    <n v="7290"/>
  </r>
  <r>
    <x v="5"/>
    <s v="MBARE"/>
    <s v="BAZATSINDA THOMAS"/>
    <x v="0"/>
    <s v="NYAGATARE"/>
    <s v="KARANGAZI"/>
    <s v="NAKL_1"/>
    <s v="Akagera Lower catchment"/>
    <n v="7290"/>
  </r>
  <r>
    <x v="5"/>
    <s v="MARIMBA"/>
    <s v="NIYIGENA ERNESTE"/>
    <x v="0"/>
    <s v="GATSIBO"/>
    <s v="KABARORE"/>
    <s v="NAKL_1"/>
    <s v="Akagera Lower catchment"/>
    <n v="7290"/>
  </r>
  <r>
    <x v="5"/>
    <s v="RWABUTENGE"/>
    <s v="NTAYOMBYA PHOCUS"/>
    <x v="0"/>
    <s v="KICUKIRO"/>
    <s v="GAHANGA"/>
    <s v="NAKU_1"/>
    <s v="Mugesera/Sake sub catchment"/>
    <n v="7290"/>
  </r>
  <r>
    <x v="5"/>
    <s v="BUJYUJYU"/>
    <s v="DUSABUMUREMYI Laurant"/>
    <x v="0"/>
    <s v="RWAMAGANA"/>
    <s v="MUYUMBU"/>
    <s v="NAKU_1"/>
    <s v="Mugesera/Sake sub catchment"/>
    <n v="7290"/>
  </r>
  <r>
    <x v="5"/>
    <s v="KABASORE"/>
    <s v="KURADUHONGE  J Dieu"/>
    <x v="0"/>
    <s v="RWAMAGANA"/>
    <s v="KARENGE"/>
    <s v="NAKU_1"/>
    <s v="Mugesera/Sake sub catchment"/>
    <n v="7290"/>
  </r>
  <r>
    <x v="5"/>
    <s v="KIRWA"/>
    <s v="MUKESHIMANA Callixte"/>
    <x v="0"/>
    <s v="KAMONYI"/>
    <s v="KAYENZI"/>
    <s v="NNYL_2"/>
    <s v="Mambu/Base sub catchment"/>
    <n v="7290"/>
  </r>
  <r>
    <x v="5"/>
    <s v="MBANDAZI"/>
    <s v=" MURIGO Elie"/>
    <x v="0"/>
    <s v="GASABO"/>
    <s v="RUSORORO"/>
    <s v="NNYL_1"/>
    <s v="Nyabugogo sub catchment"/>
    <n v="7290"/>
  </r>
  <r>
    <x v="5"/>
    <s v="BIRYOGO"/>
    <s v="SHYAKA William "/>
    <x v="0"/>
    <s v="BUGESERA"/>
    <s v="GASHORA"/>
    <s v="NAKU_1"/>
    <s v="Mugesera/Sake sub catchment"/>
    <n v="9050"/>
  </r>
  <r>
    <x v="5"/>
    <s v="RUGARAMA"/>
    <s v="TWAHIRWA Bernard"/>
    <x v="0"/>
    <s v="RWAMAGANA"/>
    <s v="NZIGE"/>
    <s v="NAKU_1"/>
    <s v="Mugesera/Sake sub catchment"/>
    <n v="14200"/>
  </r>
  <r>
    <x v="5"/>
    <s v="BIRYOGO"/>
    <s v="SHYAKA William  "/>
    <x v="0"/>
    <s v="BUGESERA"/>
    <s v="GASHORA"/>
    <s v="NAKU_1"/>
    <s v="Mugesera/Sake sub catchment"/>
    <n v="8560"/>
  </r>
  <r>
    <x v="5"/>
    <s v="KIRWA"/>
    <s v="MUKESHIMANA Callixte"/>
    <x v="0"/>
    <s v="KAMONYI"/>
    <s v="KAYENZI"/>
    <s v="NNYL_2"/>
    <s v="Mambu/Base sub catchment"/>
    <n v="7340"/>
  </r>
  <r>
    <x v="5"/>
    <s v="KABEZA"/>
    <s v="NDEREYIMANA Alexandre "/>
    <x v="0"/>
    <s v="GATSIBO"/>
    <s v="KABARORE"/>
    <s v="NAKL_1"/>
    <s v="Akagera Lower catchment"/>
    <n v="7340"/>
  </r>
  <r>
    <x v="5"/>
    <s v="KAGOMASI"/>
    <s v="KARIMUNDA Emmanuel"/>
    <x v="0"/>
    <s v="BUGESERA"/>
    <s v="GASHORA"/>
    <s v="NAKU_1"/>
    <s v="Mugesera/Sake sub catchment"/>
    <n v="6790"/>
  </r>
  <r>
    <x v="5"/>
    <s v="NYANZA"/>
    <s v="HABIMANA Anselme   "/>
    <x v="0"/>
    <s v="KICUKIRO"/>
    <s v="GATENGA"/>
    <s v="NAKU_1"/>
    <s v="Mugesera/Sake sub catchment"/>
    <n v="14200"/>
  </r>
  <r>
    <x v="5"/>
    <s v="MUYANGE"/>
    <s v="Stanislas NKIKABAHIZI"/>
    <x v="0"/>
    <s v="KICUKIRO"/>
    <s v="KAGARAMA"/>
    <s v="NAKU_1"/>
    <s v="Mugesera/Sake sub catchment"/>
    <n v="7880"/>
  </r>
  <r>
    <x v="5"/>
    <s v="BUSANZA"/>
    <s v="Kayibanda Ladisilas"/>
    <x v="0"/>
    <s v="KICUKIRO"/>
    <s v="KANOMBE"/>
    <s v="NAKU_1"/>
    <s v="Mugesera/Sake sub catchment"/>
    <n v="8560"/>
  </r>
  <r>
    <x v="5"/>
    <s v="MWENDO"/>
    <s v="TWAHIRWA Dieudonne"/>
    <x v="0"/>
    <s v="BUGESERA"/>
    <s v="GASHORA"/>
    <s v="NAKU_1"/>
    <s v="Mugesera/Sake sub catchment"/>
    <n v="8560"/>
  </r>
  <r>
    <x v="5"/>
    <s v="MWENDO"/>
    <s v="NZABAHIMANA Aaron   "/>
    <x v="0"/>
    <s v="BUGESERA"/>
    <s v="GASHORA"/>
    <s v="NAKU_1"/>
    <s v="Mugesera/Sake sub catchment"/>
    <n v="8560"/>
  </r>
  <r>
    <x v="5"/>
    <s v="NIBOYI"/>
    <s v="SHEMA AUGUSTIN"/>
    <x v="0"/>
    <s v="KICUKIRO"/>
    <s v="KANOMBE"/>
    <s v="NAKU_1"/>
    <s v="Mugesera/Sake sub catchment"/>
    <n v="8110"/>
  </r>
  <r>
    <x v="5"/>
    <s v="KIREHE"/>
    <s v="BAHUFITE Jean Claude              "/>
    <x v="0"/>
    <s v="KAYONZA"/>
    <s v="KABARE"/>
    <s v="NAKL_1"/>
    <s v="Akagera Lower catchment"/>
    <n v="8560"/>
  </r>
  <r>
    <x v="5"/>
    <s v="KAYENZI"/>
    <s v="NSHIMIYIMANA  J Paul"/>
    <x v="0"/>
    <s v="KARONGI"/>
    <s v="BWISHYURA"/>
    <s v="CKIV_2"/>
    <s v="Koko/Muregeya sub catchment"/>
    <n v="8560"/>
  </r>
  <r>
    <x v="5"/>
    <s v="SHANGO"/>
    <s v="KABERA Callixte"/>
    <x v="0"/>
    <s v="GASABO"/>
    <s v="NDUBA"/>
    <s v="NNYL_1"/>
    <s v="Nyabugogo sub catchment"/>
    <n v="10810"/>
  </r>
  <r>
    <x v="5"/>
    <s v="KIGARAMA"/>
    <s v="UTAZIRUBANDA Vedasite"/>
    <x v="0"/>
    <s v="RWAMAGANA"/>
    <s v="NZIGE"/>
    <s v="NAKU_1"/>
    <s v="Mugesera/Sake sub catchment"/>
    <n v="7880"/>
  </r>
  <r>
    <x v="5"/>
    <s v="RUGARAMA"/>
    <s v="TWIZEYIMANA Andre"/>
    <x v="0"/>
    <s v="RWAMAGANA"/>
    <s v="NZIGE"/>
    <s v="NAKU_1"/>
    <s v="Mugesera/Sake sub catchment"/>
    <n v="7290"/>
  </r>
  <r>
    <x v="5"/>
    <s v="GATORE"/>
    <s v="UBUZIMA FAMILY                   COMPANY                     "/>
    <x v="0"/>
    <s v="KIREHE"/>
    <s v="GATORE"/>
    <s v="NAKU_2"/>
    <s v="Rweru sub catchment"/>
    <n v="7290"/>
  </r>
  <r>
    <x v="5"/>
    <s v="RWESERO"/>
    <s v="RUGWIZANGOGA J Baptiste"/>
    <x v="0"/>
    <s v="NYARUGENGE"/>
    <s v="KIGALI"/>
    <s v="NNYL_1"/>
    <s v="Nyabugogo sub catchment"/>
    <n v="7290"/>
  </r>
  <r>
    <x v="5"/>
    <s v="KAGOMASI"/>
    <s v="RULISA Stephen"/>
    <x v="0"/>
    <s v="BUGESERA"/>
    <s v="GASHORA"/>
    <s v="NAKU_1"/>
    <s v="Mugesera/Sake sub catchment"/>
    <n v="7290"/>
  </r>
  <r>
    <x v="5"/>
    <s v="KABUHOME"/>
    <s v="NYANDWI Mathias                   "/>
    <x v="0"/>
    <s v="KAYONZA"/>
    <s v="KABARE"/>
    <s v="NAKL_1"/>
    <s v="Akagera Lower catchment"/>
    <n v="7290"/>
  </r>
  <r>
    <x v="5"/>
    <s v="NYAKERERA"/>
    <s v="NAMBAJIMANA Damien"/>
    <x v="0"/>
    <s v="KIREHE"/>
    <s v="KIGARAMA"/>
    <s v="NAKU_2"/>
    <s v="Rweru sub catchment"/>
    <n v="7290"/>
  </r>
  <r>
    <x v="5"/>
    <s v="GATARE"/>
    <s v="NDAZIHAKIWE Simon"/>
    <x v="0"/>
    <s v="RWAMAGANA"/>
    <s v="NYAKARIRO"/>
    <s v="NAKU_1"/>
    <s v="Mugesera/Sake sub catchment"/>
    <n v="7290"/>
  </r>
  <r>
    <x v="5"/>
    <s v="NTEBE"/>
    <s v="NIYITEGEKA Jean D'Amour"/>
    <x v="0"/>
    <s v="RWAMAGANA"/>
    <s v="MUYUMBU"/>
    <s v="NAKU_1"/>
    <s v="Mugesera/Sake sub catchment"/>
    <n v="8560"/>
  </r>
  <r>
    <x v="5"/>
    <s v="NTEBE"/>
    <s v="Benimana Theogene"/>
    <x v="0"/>
    <s v="RWAMAGANA"/>
    <s v="MUYUMBU"/>
    <s v="NAKU_1"/>
    <s v="Mugesera/Sake sub catchment"/>
    <n v="8560"/>
  </r>
  <r>
    <x v="5"/>
    <s v="GASAGARA"/>
    <s v="MUTETERI Dative"/>
    <x v="0"/>
    <s v="GASABO"/>
    <s v="RUSORORO"/>
    <s v="NNYL_1"/>
    <s v="Nyabugogo sub catchment"/>
    <n v="7830"/>
  </r>
  <r>
    <x v="5"/>
    <m/>
    <s v="GIRIZIGIRO Ephrem"/>
    <x v="0"/>
    <s v="BUGESERA"/>
    <s v="JURU"/>
    <s v="NAKU_1"/>
    <s v="Mugesera/Sake sub catchment"/>
    <n v="8560"/>
  </r>
  <r>
    <x v="5"/>
    <s v="CYARUBARE"/>
    <s v="ES- SOIL LTD"/>
    <x v="0"/>
    <s v="KAYONZA"/>
    <s v="KABARE"/>
    <s v="NAKL_1"/>
    <s v="Akagera Lower catchment"/>
    <n v="4440"/>
  </r>
  <r>
    <x v="5"/>
    <s v="NYANKURAZO"/>
    <s v="NSABIMANA Jean  Marie Vianney   "/>
    <x v="0"/>
    <s v="KIREHE"/>
    <s v="KIGARAMA"/>
    <s v="NAKU_2"/>
    <s v="Rweru sub catchment"/>
    <n v="14200"/>
  </r>
  <r>
    <x v="5"/>
    <s v="RADARI"/>
    <s v="KARASIRA Venuste"/>
    <x v="0"/>
    <s v="KICUKIRO"/>
    <s v="KANOMBE"/>
    <s v="NAKU_1"/>
    <s v="Mugesera/Sake sub catchment"/>
    <n v="14200"/>
  </r>
  <r>
    <x v="5"/>
    <s v="MUNINI"/>
    <s v="MANIRIHO Theoneste"/>
    <x v="0"/>
    <s v="RWAMAGANA"/>
    <s v="NYAKARIRO"/>
    <s v="NAKU_1"/>
    <s v="Mugesera/Sake sub catchment"/>
    <n v="8560"/>
  </r>
  <r>
    <x v="5"/>
    <s v="KIREHE"/>
    <s v="TUYIZERE Thomas                      "/>
    <x v="0"/>
    <s v="KAYONZA"/>
    <s v="KABARE"/>
    <s v="NAKL_1"/>
    <s v="Akagera Lower catchment"/>
    <n v="8560"/>
  </r>
  <r>
    <x v="5"/>
    <s v="MUGOBORE"/>
    <s v="Cooperative Twite kubidukikije Twiteza Imbere "/>
    <x v="0"/>
    <s v="HUYE"/>
    <s v="SIMBI"/>
    <s v="NNYU_2"/>
    <s v="Mwogo sub catchment"/>
    <n v="8560"/>
  </r>
  <r>
    <x v="5"/>
    <s v="KARAMBI"/>
    <s v="Cooperative Imbere Heza "/>
    <x v="0"/>
    <s v="HUYE"/>
    <s v="KIGOMA"/>
    <s v="NNYU_2"/>
    <s v="Mwogo sub catchment"/>
    <n v="7510"/>
  </r>
  <r>
    <x v="5"/>
    <s v="RUGALI"/>
    <s v="DEMALI Joseph"/>
    <x v="0"/>
    <s v="NYAGATARE"/>
    <s v="KATABAGEMU"/>
    <s v="NMUV_2"/>
    <s v="Warufu/Muvumba sub catchment"/>
    <n v="8560"/>
  </r>
  <r>
    <x v="5"/>
    <s v="RUBIRA"/>
    <s v="KARAKE Charles"/>
    <x v="0"/>
    <s v="NYAGATARE"/>
    <s v="KATABAGEMU"/>
    <s v="NMUV_2"/>
    <s v="Warufu/Muvumba sub catchment"/>
    <n v="10520"/>
  </r>
  <r>
    <x v="5"/>
    <s v="RUGAZI"/>
    <s v="RUSAGARA JOHN "/>
    <x v="0"/>
    <s v="NYAGATARE"/>
    <s v="KATABAGEMU"/>
    <s v="NMUV_2"/>
    <s v="Warufu/Muvumba sub catchment"/>
    <n v="10520"/>
  </r>
  <r>
    <x v="5"/>
    <s v="NYAKIGANDO"/>
    <s v="MUKAMUTARA ANNET"/>
    <x v="0"/>
    <s v="NYAGATARE"/>
    <s v="KATABAGEMU"/>
    <s v="NMUV_2"/>
    <s v="Warufu/Muvumba sub catchment"/>
    <n v="10520"/>
  </r>
  <r>
    <x v="5"/>
    <s v="RUGAZI"/>
    <s v="KAGAME Andrew"/>
    <x v="0"/>
    <s v="NYAGATARE"/>
    <s v="KATABAGEMU"/>
    <s v="NMUV_2"/>
    <s v="Warufu/Muvumba sub catchment"/>
    <n v="10520"/>
  </r>
  <r>
    <x v="5"/>
    <s v="NYAKIGANDO"/>
    <s v="NTAGANDA ALOYS"/>
    <x v="0"/>
    <s v="NYAGATARE"/>
    <s v="KATABAGEMU"/>
    <s v="NMUV_2"/>
    <s v="Warufu/Muvumba sub catchment"/>
    <n v="10520"/>
  </r>
  <r>
    <x v="5"/>
    <s v="NYAKIGANDO"/>
    <s v="NDAYISABA JEAN CHRISOSTOME"/>
    <x v="0"/>
    <s v="NYAGATARE"/>
    <s v="KATABAGEMU"/>
    <s v="NMUV_2"/>
    <s v="Warufu/Muvumba sub catchment"/>
    <n v="10520"/>
  </r>
  <r>
    <x v="5"/>
    <s v="NYAKIGANDO"/>
    <s v="MUKAMUTARA ANNET"/>
    <x v="0"/>
    <s v="NYAGATARE"/>
    <s v="KATABAGEMU"/>
    <s v="NMUV_2"/>
    <s v="Warufu/Muvumba sub catchment"/>
    <n v="10520"/>
  </r>
  <r>
    <x v="5"/>
    <s v="KATABAGEMU"/>
    <s v="YANKURIJE EMERANCE"/>
    <x v="0"/>
    <s v="NYAGATARE"/>
    <s v="KATABAGEMU"/>
    <s v="NMUV_2"/>
    <s v="Warufu/Muvumba sub catchment"/>
    <n v="10520"/>
  </r>
  <r>
    <x v="5"/>
    <s v="RURIBA"/>
    <s v="NKIKABAHIZI CELESTIN"/>
    <x v="0"/>
    <s v="NYAGATARE"/>
    <s v="KATABAGEMU"/>
    <s v="NMUV_2"/>
    <s v="Warufu/Muvumba sub catchment"/>
    <n v="10520"/>
  </r>
  <r>
    <x v="5"/>
    <s v="RUTOMA"/>
    <s v="NZABONIMPA ETIENNE"/>
    <x v="0"/>
    <s v="NYAGATARE"/>
    <s v="KATABAGEMU"/>
    <s v="NMUV_2"/>
    <s v="Warufu/Muvumba sub catchment"/>
    <n v="8850"/>
  </r>
  <r>
    <x v="5"/>
    <s v="RUBIRA"/>
    <s v="KAMUHANDA PAUL"/>
    <x v="0"/>
    <s v="NYAGATARE"/>
    <s v="KATABAGEMU"/>
    <s v="NMUV_2"/>
    <s v="Warufu/Muvumba sub catchment"/>
    <n v="7510"/>
  </r>
  <r>
    <x v="5"/>
    <s v="NYAKIGANDA"/>
    <s v="RWASHIRA ELIA"/>
    <x v="0"/>
    <s v="NYAGATARE"/>
    <s v="KATABAGEMU"/>
    <s v="NMUV_2"/>
    <s v="Warufu/Muvumba sub catchment"/>
    <n v="10520"/>
  </r>
  <r>
    <x v="5"/>
    <s v="NYAKIGANDA"/>
    <s v="KABANYANA FLORENCE"/>
    <x v="0"/>
    <s v="NYAGATARE"/>
    <s v="KATABAGEMU"/>
    <s v="NMUV_2"/>
    <s v="Warufu/Muvumba sub catchment"/>
    <n v="10520"/>
  </r>
  <r>
    <x v="5"/>
    <s v="RUBIRA"/>
    <s v="NSENGIYUMVA SYLVESTRE"/>
    <x v="0"/>
    <s v="NYAGATARE"/>
    <s v="KATABAGEMU"/>
    <s v="NMUV_2"/>
    <s v="Warufu/Muvumba sub catchment"/>
    <n v="4440"/>
  </r>
  <r>
    <x v="5"/>
    <s v="RUGAZI"/>
    <s v="RUSAGARA Vianney"/>
    <x v="0"/>
    <s v="NYAGATARE"/>
    <s v="KATABAGEMU"/>
    <s v="NMUV_2"/>
    <s v="Warufu/Muvumba sub catchment"/>
    <n v="10520"/>
  </r>
  <r>
    <x v="5"/>
    <s v="RUBIRA"/>
    <s v="KANTENGWA Odette"/>
    <x v="0"/>
    <s v="NYAGATARE"/>
    <s v="KATABAGEMU"/>
    <s v="NMUV_2"/>
    <s v="Warufu/Muvumba sub catchment"/>
    <n v="6730"/>
  </r>
  <r>
    <x v="5"/>
    <s v="RUGAZI"/>
    <s v="NTABANA Frank"/>
    <x v="0"/>
    <s v="NYAGATARE"/>
    <s v="KATABAGEMU"/>
    <s v="NMUV_2"/>
    <s v="Warufu/Muvumba sub catchment"/>
    <n v="14200"/>
  </r>
  <r>
    <x v="5"/>
    <s v="RUBIRA"/>
    <s v="KANTENGWA Odette"/>
    <x v="0"/>
    <s v="NYAGATARE"/>
    <s v="KATABAGEMU"/>
    <s v="NMUV_2"/>
    <s v="Warufu/Muvumba sub catchment"/>
    <n v="14200"/>
  </r>
  <r>
    <x v="5"/>
    <s v="NYAKIGANDO"/>
    <s v="HABIMANA J. Damascene"/>
    <x v="0"/>
    <s v="NYAGATARE"/>
    <s v="KATABAGEMU"/>
    <s v="NMUV_2"/>
    <s v="Warufu/Muvumba sub catchment"/>
    <n v="14200"/>
  </r>
  <r>
    <x v="5"/>
    <m/>
    <s v="SAPU Saratiel"/>
    <x v="0"/>
    <s v="NYAGATARE"/>
    <s v="KATABAGEMU"/>
    <s v="NMUV_2"/>
    <s v="Warufu/Muvumba sub catchment"/>
    <n v="14200"/>
  </r>
  <r>
    <x v="5"/>
    <s v="NYAKIGANDO"/>
    <s v="HAKIZIMANA "/>
    <x v="0"/>
    <s v="NYAGATARE"/>
    <s v="KATABAGEMU"/>
    <s v="NMUV_2"/>
    <s v="Warufu/Muvumba sub catchment"/>
    <n v="14200"/>
  </r>
  <r>
    <x v="5"/>
    <s v="RWANGINGO"/>
    <s v="Col.(Rtd) KAMILI KAREGYE                                   "/>
    <x v="0"/>
    <s v="NYAGATARE"/>
    <s v="KATABAGEMU"/>
    <s v="NMUV_2"/>
    <s v="Warufu/Muvumba sub catchment"/>
    <n v="14200"/>
  </r>
  <r>
    <x v="5"/>
    <s v="RUBIRA"/>
    <s v="KANTENGWA Odette"/>
    <x v="0"/>
    <s v="NYAGATARE"/>
    <s v="KATABAGEMU"/>
    <s v="NMUV_2"/>
    <s v="Warufu/Muvumba sub catchment"/>
    <n v="14200"/>
  </r>
  <r>
    <x v="5"/>
    <s v="RUBURA"/>
    <s v="MUDENGE Innocent"/>
    <x v="0"/>
    <s v="NYAGATARE"/>
    <s v="KATABAGEMU"/>
    <s v="NMUV_2"/>
    <s v="Warufu/Muvumba sub catchment"/>
    <n v="14200"/>
  </r>
  <r>
    <x v="5"/>
    <s v="CYINZOVU"/>
    <s v="Ndayisaba Innocent"/>
    <x v="0"/>
    <s v="KAYONZA"/>
    <s v="KABARONDO"/>
    <s v="NAKL_1"/>
    <s v="Akagera Lower catchment"/>
    <n v="14200"/>
  </r>
  <r>
    <x v="5"/>
    <s v="MAHANGO"/>
    <s v="KAYITERA Vianney"/>
    <x v="0"/>
    <s v="NGOMA "/>
    <s v="KIBUNGO"/>
    <s v="NAKL_1"/>
    <s v="Akagera Lower catchment"/>
    <n v="14200"/>
  </r>
  <r>
    <x v="5"/>
    <s v="CYASEMAKAMBA"/>
    <s v="SEZIBERA Gilbert"/>
    <x v="0"/>
    <s v="NGOMA"/>
    <s v="KIBUNGO"/>
    <s v="NAKL_1"/>
    <s v="Akagera Lower catchment"/>
    <n v="14200"/>
  </r>
  <r>
    <x v="5"/>
    <s v="MAHANGO"/>
    <s v="KAYIHURA ALEXIS"/>
    <x v="0"/>
    <s v="NGOMA"/>
    <s v="KIBUNGO"/>
    <s v="NAKL_1"/>
    <s v="Akagera Lower catchment"/>
    <n v="14200"/>
  </r>
  <r>
    <x v="5"/>
    <s v="NTAGA"/>
    <s v="AHORANAYEZU J Bosco"/>
    <x v="0"/>
    <s v="NGOMA"/>
    <s v="MUGESERA"/>
    <s v="NAKU_1"/>
    <s v="Mugesera/Sake sub catchment"/>
    <n v="14200"/>
  </r>
  <r>
    <x v="5"/>
    <s v="NTAGA"/>
    <s v="HABIYAKARE Emile"/>
    <x v="0"/>
    <s v="NGOMA"/>
    <s v="MUGESERA"/>
    <s v="NAKU_1"/>
    <s v="Mugesera/Sake sub catchment"/>
    <n v="14200"/>
  </r>
  <r>
    <x v="5"/>
    <s v="NTAGA"/>
    <s v="AHORANAYESU J. Bosco"/>
    <x v="0"/>
    <s v="NGOMA"/>
    <s v="MUGESERA"/>
    <s v="NAKU_1"/>
    <s v="Mugesera/Sake sub catchment"/>
    <n v="5540"/>
  </r>
  <r>
    <x v="5"/>
    <s v="NTAGA"/>
    <s v="KARITA Etienne"/>
    <x v="0"/>
    <s v="NGOMA"/>
    <s v="MUGESERA"/>
    <s v="NAKU_1"/>
    <s v="Mugesera/Sake sub catchment"/>
    <n v="8110"/>
  </r>
  <r>
    <x v="5"/>
    <s v="NTAGA"/>
    <s v="KABWEGURE Emmanuel"/>
    <x v="0"/>
    <s v="NGOMA"/>
    <s v="MUGESERA"/>
    <s v="NAKU_1"/>
    <s v="Mugesera/Sake sub catchment"/>
    <n v="8110"/>
  </r>
  <r>
    <x v="5"/>
    <s v="NYANGE"/>
    <s v="MUREBWAYIRE Milliam"/>
    <x v="0"/>
    <s v="NGOMA"/>
    <s v="MUGESERA"/>
    <s v="NAKU_1"/>
    <s v="Mugesera/Sake sub catchment"/>
    <n v="8110"/>
  </r>
  <r>
    <x v="5"/>
    <s v="NTAGA"/>
    <s v="NGIRUMUHIRE J. Batiste"/>
    <x v="0"/>
    <s v="NGOMA"/>
    <s v="MUGESERA"/>
    <s v="NAKU_1"/>
    <s v="Mugesera/Sake sub catchment"/>
    <n v="6540"/>
  </r>
  <r>
    <x v="5"/>
    <s v="NTAGA"/>
    <s v="UWIMANA J.paul"/>
    <x v="0"/>
    <s v="NGOMA"/>
    <s v="MUGESERA"/>
    <s v="NAKU_1"/>
    <s v="Mugesera/Sake sub catchment"/>
    <n v="7920"/>
  </r>
  <r>
    <x v="5"/>
    <m/>
    <s v="NKURUNZIZA Innocent"/>
    <x v="0"/>
    <s v="KAYONZA"/>
    <s v="MUKARANGE"/>
    <s v="NAKL_1"/>
    <s v="Akagera Lower catchment"/>
    <n v="7920"/>
  </r>
  <r>
    <x v="5"/>
    <s v="NTAGA"/>
    <s v="UWAMAHORO Janviere"/>
    <x v="0"/>
    <s v="NGOMA "/>
    <s v="MUGESERA"/>
    <s v="NAKU_1"/>
    <s v="Mugesera/Sake sub catchment"/>
    <n v="7920"/>
  </r>
  <r>
    <x v="5"/>
    <s v="NTAGA"/>
    <s v="BAYINGANA Theogene"/>
    <x v="0"/>
    <s v="NGOMA"/>
    <s v="MUGESERA"/>
    <s v="NAKU_1"/>
    <s v="Mugesera/Sake sub catchment"/>
    <n v="10810"/>
  </r>
  <r>
    <x v="5"/>
    <s v="MUGATARE"/>
    <s v="NKIRANUYE Sylivestre"/>
    <x v="0"/>
    <s v="NGOMA"/>
    <s v="MUGESERA"/>
    <s v="NAKU_1"/>
    <s v="Mugesera/Sake sub catchment"/>
    <n v="10810"/>
  </r>
  <r>
    <x v="5"/>
    <s v="NTAGA"/>
    <s v="UMUTONI Denyse"/>
    <x v="0"/>
    <s v="NGOMA"/>
    <s v="MUGESERA"/>
    <s v="NAKU_1"/>
    <s v="Mugesera/Sake sub catchment"/>
    <n v="10810"/>
  </r>
  <r>
    <x v="5"/>
    <s v="MUGATARE"/>
    <s v="Coop. TWIGE TWIGIRE  "/>
    <x v="0"/>
    <s v="NGOMA"/>
    <s v="MUGESERA"/>
    <s v="NAKU_1"/>
    <s v="Mugesera/Sake sub catchment"/>
    <n v="10810"/>
  </r>
  <r>
    <x v="5"/>
    <s v="GITARAGA"/>
    <s v="BAZIRUWUNGUKA Jean Pierre"/>
    <x v="0"/>
    <s v="NGOMA"/>
    <s v="MURAMA"/>
    <s v="NAKU_2"/>
    <s v="Rweru sub catchment"/>
    <n v="10810"/>
  </r>
  <r>
    <x v="5"/>
    <s v="SAKARA"/>
    <s v="HAKIZIMANA Gervais"/>
    <x v="0"/>
    <s v="NGOMA"/>
    <s v="MURAMA"/>
    <s v="NAKU_2"/>
    <s v="Rweru sub catchment"/>
    <n v="10810"/>
  </r>
  <r>
    <x v="5"/>
    <s v="SAKARA"/>
    <s v="HAKIZIMANA Gervais                "/>
    <x v="0"/>
    <s v="NGOMA"/>
    <s v="MURAMA"/>
    <s v="NAKU_2"/>
    <s v="Rweru sub catchment"/>
    <n v="10810"/>
  </r>
  <r>
    <x v="5"/>
    <s v="BAYIGABURIRE"/>
    <s v="SEZIBERA Appolinaire"/>
    <x v="0"/>
    <s v="NYAGATARE"/>
    <s v="KATABAGEMU"/>
    <s v="NMUV_2"/>
    <s v="Warufu/Muvumba sub catchment"/>
    <n v="10810"/>
  </r>
  <r>
    <x v="5"/>
    <s v="RUBIRA"/>
    <s v="SEZIKEYE John Bosco"/>
    <x v="0"/>
    <s v="NYAGATARE"/>
    <s v="KATABAGEMU"/>
    <s v="NMUV_2"/>
    <s v="Warufu/Muvumba sub catchment"/>
    <n v="6540"/>
  </r>
  <r>
    <x v="5"/>
    <s v="KABONA"/>
    <s v="HATEGEKIMANA Willy- Cedrick"/>
    <x v="0"/>
    <s v="HUYE"/>
    <s v="KINAZI"/>
    <s v="NNYU_2"/>
    <s v="Mwogo sub catchment"/>
    <n v="6540"/>
  </r>
  <r>
    <x v="5"/>
    <m/>
    <s v="ITSINDA ICYEREKEZO "/>
    <x v="0"/>
    <s v="BUGESERA "/>
    <s v="KAMABUYE"/>
    <s v="NAKU_1"/>
    <s v="Mugesera/Sake sub catchment"/>
    <n v="6540"/>
  </r>
  <r>
    <x v="5"/>
    <s v="RUGAZI"/>
    <s v="BIHOYIKI EMMANUEL"/>
    <x v="0"/>
    <s v="NYAGATARE"/>
    <s v="KATABAGEMU"/>
    <s v="NMUV_2"/>
    <s v="Warufu/Muvumba sub catchment"/>
    <n v="9050"/>
  </r>
  <r>
    <x v="5"/>
    <s v="NYAGATOVU"/>
    <s v="BYARUGABA Mathias"/>
    <x v="0"/>
    <s v="KAYONZA"/>
    <s v="MUKARANGE"/>
    <s v="NAKL_1"/>
    <s v="Akagera Lower catchment"/>
    <n v="9050"/>
  </r>
  <r>
    <x v="5"/>
    <s v="KARENGERA"/>
    <s v="COCOF MUSAMBIRA"/>
    <x v="0"/>
    <s v="KAMONYI"/>
    <s v="MUSAMBIRA"/>
    <s v="NNYL_2"/>
    <s v="Mambu/Base sub catchment"/>
    <n v="9050"/>
  </r>
  <r>
    <x v="5"/>
    <s v="GAKOVU"/>
    <s v="NGENDAHIMANA Francois"/>
    <x v="0"/>
    <s v="GISAGARA"/>
    <s v="MUSHA"/>
    <s v="NAKN_2"/>
    <s v="Gishara/Mukunguri sub catchment"/>
    <n v="9050"/>
  </r>
  <r>
    <x v="5"/>
    <s v="KAYONZA"/>
    <s v="MANDUSI Asouman"/>
    <x v="0"/>
    <s v="KAYONZA"/>
    <s v="MUKARANGE"/>
    <s v="NAKL_1"/>
    <s v="Akagera Lower catchment"/>
    <n v="9050"/>
  </r>
  <r>
    <x v="5"/>
    <s v="NYAKIGANDO"/>
    <s v="CYIZA SOSTENE"/>
    <x v="0"/>
    <s v="NYAGATARE"/>
    <s v="KATABAGEMU"/>
    <s v="NMUV_2"/>
    <s v="Warufu/Muvumba sub catchment"/>
    <n v="9050"/>
  </r>
  <r>
    <x v="5"/>
    <s v="NYAKIGANDO"/>
    <s v="MUKAMUTARA ANNET"/>
    <x v="0"/>
    <s v="NYAGATARE"/>
    <s v="KATABAGEMU"/>
    <s v="NMUV_2"/>
    <s v="Warufu/Muvumba sub catchment"/>
    <n v="9050"/>
  </r>
  <r>
    <x v="5"/>
    <s v="KAYONZA"/>
    <s v="MBONYUMUKIZA Emmanuel"/>
    <x v="0"/>
    <s v="KAYONZA"/>
    <s v="MUKARANGE"/>
    <s v="NAKL_1"/>
    <s v="Akagera Lower catchment"/>
    <n v="10520"/>
  </r>
  <r>
    <x v="5"/>
    <s v="RUBILIZI"/>
    <s v="GASHEJA Daniel"/>
    <x v="0"/>
    <s v="KICUKIRO"/>
    <s v="KANOMBE"/>
    <s v="NAKU_1"/>
    <s v="Mugesera/Sake sub catchment"/>
    <n v="10520"/>
  </r>
  <r>
    <x v="5"/>
    <s v="NYARURENZI"/>
    <s v="MBARUSHIMANA J.M.V"/>
    <x v="0"/>
    <s v="NYARUGENGE"/>
    <s v="MAGERAGERE"/>
    <s v="NNYL_1"/>
    <s v="Nyabugogo sub catchment"/>
    <n v="10520"/>
  </r>
  <r>
    <x v="5"/>
    <s v="NYAGASOZI"/>
    <s v="NDAYAMBAJE Cyprien"/>
    <x v="0"/>
    <s v="NGOMA"/>
    <s v="MUTENDELI"/>
    <s v="NAKU_2"/>
    <s v="Rweru sub catchment"/>
    <n v="10520"/>
  </r>
  <r>
    <x v="5"/>
    <s v="BWIZA"/>
    <s v="RUKUNDO Patrick"/>
    <x v="0"/>
    <s v="RWAMAGANA"/>
    <s v="KIGABIRO"/>
    <s v="NAKU_1"/>
    <s v="Mugesera/Sake sub catchment"/>
    <n v="10520"/>
  </r>
  <r>
    <x v="5"/>
    <s v="KIMU"/>
    <s v="RUTABINGWA Venuste"/>
    <x v="0"/>
    <s v="KICUKIRO"/>
    <s v="KIMU"/>
    <s v="NAKU_1"/>
    <s v="Mugesera/Sake sub catchment"/>
    <n v="10520"/>
  </r>
  <r>
    <x v="5"/>
    <s v="AYABARAYA"/>
    <s v="KADIRIGA Dismas"/>
    <x v="0"/>
    <s v="KICUKIRO"/>
    <s v="MASAKA"/>
    <s v="NAKU_1"/>
    <s v="Mugesera/Sake sub catchment"/>
    <n v="10520"/>
  </r>
  <r>
    <x v="5"/>
    <s v="MURAMA"/>
    <s v="INKWAKUZI/Gafaranga Thadee "/>
    <x v="0"/>
    <s v="GASABO"/>
    <s v="KINYINYA"/>
    <s v="NNYL_1"/>
    <s v="Nyabugogo sub catchment"/>
    <n v="10520"/>
  </r>
  <r>
    <x v="5"/>
    <s v="GACURIRO"/>
    <s v="UWIMANA Josepha"/>
    <x v="0"/>
    <s v="GASABO"/>
    <s v="KINYINYA"/>
    <s v="NNYL_1"/>
    <s v="Nyabugogo sub catchment"/>
    <n v="10520"/>
  </r>
  <r>
    <x v="5"/>
    <m/>
    <s v="KAYIRANGA Venuste"/>
    <x v="0"/>
    <s v="KAMONYI"/>
    <s v="MUSAMBIRA"/>
    <s v="NNYL_2"/>
    <s v="Mambu/Base sub catchment"/>
    <n v="10520"/>
  </r>
  <r>
    <x v="5"/>
    <s v="NYANGE"/>
    <s v="MUKANKUBITO Safi "/>
    <x v="0"/>
    <s v="RUSIZI"/>
    <s v="BUGARAMA"/>
    <s v="CRUS_1"/>
    <s v="Rubyiro sub catchment"/>
    <n v="10520"/>
  </r>
  <r>
    <x v="5"/>
    <s v="PERA"/>
    <s v="NKEJUWIMYE Mathias "/>
    <x v="0"/>
    <s v="RUSIZI"/>
    <s v="BUGARAMA"/>
    <s v="CRUS_1"/>
    <s v="Rubyiro sub catchment"/>
    <n v="7290"/>
  </r>
  <r>
    <x v="5"/>
    <s v="NYAGASOZI"/>
    <s v="Nkurikiyimana Emmanuel"/>
    <x v="0"/>
    <s v="NGOMA"/>
    <s v="MUTENDELI"/>
    <s v="NAKU_2"/>
    <s v="Rweru sub catchment"/>
    <n v="7290"/>
  </r>
  <r>
    <x v="5"/>
    <s v="GAHURIRE"/>
    <s v="Uwingeneye Vedaste"/>
    <x v="0"/>
    <s v="NGOMA"/>
    <s v="MUTENDELI"/>
    <s v="NAKU_2"/>
    <s v="Rweru sub catchment"/>
    <n v="7340"/>
  </r>
  <r>
    <x v="5"/>
    <s v="NYAMAGANA"/>
    <s v="Gatungire Aimable"/>
    <x v="0"/>
    <s v="NGOMA"/>
    <s v="REMERA"/>
    <s v="NAKU_1"/>
    <s v="Mugesera/Sake sub catchment"/>
    <n v="7340"/>
  </r>
  <r>
    <x v="5"/>
    <s v="GAHURIRE"/>
    <s v="Kabera Wenceslas"/>
    <x v="0"/>
    <s v="NGOMA"/>
    <s v="REMERA"/>
    <s v="NAKU_1"/>
    <s v="Mugesera/Sake sub catchment"/>
    <n v="7290"/>
  </r>
  <r>
    <x v="5"/>
    <s v="NYINYA"/>
    <s v="Muhayemungu alphonse"/>
    <x v="0"/>
    <s v="NGOMA"/>
    <s v="RUKIRA"/>
    <s v="NAKU_2"/>
    <s v="Rweru sub catchment"/>
    <n v="7290"/>
  </r>
  <r>
    <x v="5"/>
    <s v="BURIBA"/>
    <s v="Ndagijimana Aloys "/>
    <x v="0"/>
    <s v="NGOMA"/>
    <s v="RUKIRA"/>
    <s v="NAKU_2"/>
    <s v="Rweru sub catchment"/>
    <n v="7290"/>
  </r>
  <r>
    <x v="5"/>
    <s v="NYARUVUMU"/>
    <s v="Munyabugingo Bonaventure"/>
    <x v="0"/>
    <s v="NGOMA"/>
    <s v="RUKIRA"/>
    <s v="NAKU_2"/>
    <s v="Rweru sub catchment"/>
    <n v="7290"/>
  </r>
  <r>
    <x v="5"/>
    <s v="KIBATSI"/>
    <s v="Zirimwabagabo Vedaste"/>
    <x v="0"/>
    <s v="NGOMA"/>
    <s v="RUKIRA"/>
    <s v="NAKU_2"/>
    <s v="Rweru sub catchment"/>
    <n v="7290"/>
  </r>
  <r>
    <x v="5"/>
    <s v="BURIBA"/>
    <s v="Mwumvaneza Isaie"/>
    <x v="0"/>
    <s v="NGOMA"/>
    <s v="RUKIRA"/>
    <s v="NAKU_2"/>
    <s v="Rweru sub catchment"/>
    <n v="7290"/>
  </r>
  <r>
    <x v="5"/>
    <s v="KIBATSI"/>
    <s v="Bagaragaza Ereuteri"/>
    <x v="0"/>
    <s v="NGOMA"/>
    <s v="RUKIRA"/>
    <s v="NAKU_2"/>
    <s v="Rweru sub catchment"/>
    <n v="7290"/>
  </r>
  <r>
    <x v="5"/>
    <s v="KIBATSI"/>
    <s v="Coop. COTWORU/Kimonyo Bonaventure"/>
    <x v="0"/>
    <s v="NGOMA"/>
    <s v="RUKIRA"/>
    <s v="NAKU_2"/>
    <s v="Rweru sub catchment"/>
    <n v="7290"/>
  </r>
  <r>
    <x v="5"/>
    <s v="KAYONZA"/>
    <s v="MANDUSI Assoumani"/>
    <x v="0"/>
    <s v="KAYONZA"/>
    <s v="MUKARANGE"/>
    <s v="NAKL_1"/>
    <s v="Akagera Lower catchment"/>
    <n v="7290"/>
  </r>
  <r>
    <x v="5"/>
    <s v="KAYONZA"/>
    <s v="Ndahiro Bosco"/>
    <x v="0"/>
    <s v="KAYONZA"/>
    <s v="MUKARANGE"/>
    <s v="NAKL_1"/>
    <s v="Akagera Lower catchment"/>
    <n v="8560"/>
  </r>
  <r>
    <x v="5"/>
    <s v="NYINYA"/>
    <s v="Nyakarundi Thelesphole"/>
    <x v="0"/>
    <s v="NGOMA"/>
    <s v="RUKIRA"/>
    <s v="NAKU_2"/>
    <s v="Rweru sub catchment"/>
    <n v="8560"/>
  </r>
  <r>
    <x v="5"/>
    <s v="MBURABUTURO"/>
    <s v="Niyonteze Augustin"/>
    <x v="0"/>
    <s v="KAYONZA"/>
    <s v="MUKARANGE"/>
    <s v="NAKL_1"/>
    <s v="Akagera Lower catchment"/>
    <n v="8560"/>
  </r>
  <r>
    <x v="5"/>
    <s v="NYARUVUMU"/>
    <s v="GAHUTU Amouri"/>
    <x v="0"/>
    <s v="NGOMA"/>
    <s v="RUKIRA"/>
    <s v="NAKU_2"/>
    <s v="Rweru sub catchment"/>
    <n v="8560"/>
  </r>
  <r>
    <x v="5"/>
    <s v="RUSAVE"/>
    <s v="KAVAMAHANGA Augustin"/>
    <x v="0"/>
    <s v="KAYONZA"/>
    <s v="MURAMA"/>
    <s v="NAKL_1"/>
    <s v="Akagera Lower catchment"/>
    <n v="8560"/>
  </r>
  <r>
    <x v="5"/>
    <s v="MUYOGORO"/>
    <s v="Harindintwari Leodomir"/>
    <x v="0"/>
    <s v="HUYE"/>
    <s v="HUYE"/>
    <s v="NNYU_2"/>
    <s v="Mwogo sub catchment"/>
    <n v="8560"/>
  </r>
  <r>
    <x v="5"/>
    <s v="KABUMBWE"/>
    <s v="Kamanzi Theophile"/>
    <x v="0"/>
    <s v="GISAGARA"/>
    <s v="MAMBA"/>
    <s v="NAKN_2"/>
    <s v="Gishara/Mukunguri sub catchment"/>
    <n v="8560"/>
  </r>
  <r>
    <x v="5"/>
    <s v="GAHURIRE"/>
    <s v="Sendanyoye J. de Dieu"/>
    <x v="0"/>
    <s v="GATSIBO"/>
    <s v="KAGEYO"/>
    <s v="NAKL_1"/>
    <s v="Akagera Lower catchment"/>
    <n v="8560"/>
  </r>
  <r>
    <x v="5"/>
    <s v="NYAKIGANDO"/>
    <s v="KAGABO AUGUSTIN"/>
    <x v="0"/>
    <s v="NYAGATARE"/>
    <s v="KATABAGEMU"/>
    <s v="NMUV_2"/>
    <s v="Warufu/Muvumba sub catchment"/>
    <n v="8560"/>
  </r>
  <r>
    <x v="5"/>
    <s v="BIHARAGU"/>
    <s v="IYAKAREMYE Gilbert             "/>
    <x v="0"/>
    <s v="BUGESERA"/>
    <s v="KAMABUYE"/>
    <s v="NAKU_1"/>
    <s v="Mugesera/Sake sub catchment"/>
    <n v="8560"/>
  </r>
  <r>
    <x v="5"/>
    <s v="BUHIZA"/>
    <s v="Ntawugashira Alphonse"/>
    <x v="0"/>
    <s v="GASABO"/>
    <s v="JALI"/>
    <s v="NNYL_1"/>
    <s v="Nyabugogo sub catchment"/>
    <n v="8560"/>
  </r>
  <r>
    <x v="5"/>
    <s v="NYANGE"/>
    <s v="MUKARUKAKA Bernadette "/>
    <x v="0"/>
    <s v="RUSIZI"/>
    <s v="BUGARAMA"/>
    <s v="CRUS_1"/>
    <s v="Rubyiro sub catchment"/>
    <n v="8560"/>
  </r>
  <r>
    <x v="5"/>
    <s v="BILINGAGA"/>
    <s v="Harelimana J Bosco"/>
    <x v="0"/>
    <s v="MUHANGA"/>
    <s v="CYEZA"/>
    <s v="NNYU_3"/>
    <s v="Nyabarongo upstream sub catchment"/>
    <n v="8560"/>
  </r>
  <r>
    <x v="5"/>
    <s v="TUNDA"/>
    <s v="RUDASINGWA Jean Marie Vianney"/>
    <x v="0"/>
    <s v="BUGESERA"/>
    <s v="KAMABUYE"/>
    <s v="NAKU_1"/>
    <s v="Mugesera/Sake sub catchment"/>
    <n v="8560"/>
  </r>
  <r>
    <x v="5"/>
    <s v="AYABARAYA"/>
    <s v="KANYEMERA Zacharie"/>
    <x v="0"/>
    <s v="KICUKIRO"/>
    <s v="MASAKA"/>
    <s v="NAKU_1"/>
    <s v="Mugesera/Sake sub catchment"/>
    <n v="8560"/>
  </r>
  <r>
    <x v="5"/>
    <s v="AYABARAYA"/>
    <s v="MUHAYIMANA J Damascene"/>
    <x v="0"/>
    <s v="KICUKIRO"/>
    <s v="MASAKA"/>
    <s v="NAKU_1"/>
    <s v="Mugesera/Sake sub catchment"/>
    <n v="8560"/>
  </r>
  <r>
    <x v="5"/>
    <s v="AYABARAYA"/>
    <s v="NDORIYOBIJYA J.Baptiste"/>
    <x v="0"/>
    <s v="KICUKIRO"/>
    <s v="MASAKA"/>
    <s v="NAKU_1"/>
    <s v="Mugesera/Sake sub catchment"/>
    <n v="8560"/>
  </r>
  <r>
    <x v="5"/>
    <s v="NYARUKOMBE"/>
    <s v="Mukandekezi Martime"/>
    <x v="0"/>
    <s v="RWAMAGANA"/>
    <s v="MUYUMBU"/>
    <s v="NAKU_1"/>
    <s v="Mugesera/Sake sub catchment"/>
    <n v="8560"/>
  </r>
  <r>
    <x v="5"/>
    <s v="NYARUBUYE"/>
    <s v="Nkurunziza J Bosco"/>
    <x v="0"/>
    <s v="RWAMAGANA"/>
    <s v="MUNYIGINYA"/>
    <s v="NAKU_1"/>
    <s v="Mugesera/Sake sub catchment"/>
    <n v="8560"/>
  </r>
  <r>
    <x v="5"/>
    <s v="NYAMUGARI"/>
    <s v="Nkezarugamba Sylvain"/>
    <x v="0"/>
    <s v="NYAMAGABE"/>
    <s v="GASAKA"/>
    <s v="NNYU_2"/>
    <s v="Mwogo sub catchment"/>
    <n v="8560"/>
  </r>
  <r>
    <x v="5"/>
    <s v="NYAMATETE"/>
    <s v="Mbabajende Innocent"/>
    <x v="0"/>
    <s v="RWAMAGANA"/>
    <s v="KARENGE"/>
    <s v="NAKU_1"/>
    <s v="Mugesera/Sake sub catchment"/>
    <n v="8560"/>
  </r>
  <r>
    <x v="5"/>
    <s v="KIGARAMA"/>
    <s v="Mugiraneza Felix"/>
    <x v="0"/>
    <s v="RWAMAGANA"/>
    <s v="NZIGE"/>
    <s v="NAKU_1"/>
    <s v="Mugesera/Sake sub catchment"/>
    <n v="8560"/>
  </r>
  <r>
    <x v="5"/>
    <s v="RUBIRA"/>
    <s v="KAYIHURA MICHEL"/>
    <x v="0"/>
    <s v="NYAGATARE"/>
    <s v="KATABAGEMU"/>
    <s v="NMUV_2"/>
    <s v="Warufu/Muvumba sub catchment"/>
    <n v="8560"/>
  </r>
  <r>
    <x v="5"/>
    <s v="AYABARAYA"/>
    <s v="HAHIRWABAKE Leonce"/>
    <x v="0"/>
    <s v="KICUKIRO"/>
    <s v="MASAKA"/>
    <s v="NAKU_1"/>
    <s v="Mugesera/Sake sub catchment"/>
    <n v="8560"/>
  </r>
  <r>
    <x v="5"/>
    <s v="AYABARAYA"/>
    <s v="NSABIMANA Janvier"/>
    <x v="0"/>
    <s v="KICUKIRO"/>
    <s v="MASAKA"/>
    <s v="NAKU_1"/>
    <s v="Mugesera/Sake sub catchment"/>
    <n v="8560"/>
  </r>
  <r>
    <x v="5"/>
    <s v="RUBONA"/>
    <s v="Musabeyezu Therese"/>
    <x v="0"/>
    <s v="RUHANGO"/>
    <s v="BWERAMANA"/>
    <s v="NNYU_3"/>
    <s v="Nyabarongo upstream sub catchment"/>
    <n v="8560"/>
  </r>
  <r>
    <x v="5"/>
    <s v="BUKINANYANA"/>
    <s v="Karasira Fidele"/>
    <x v="0"/>
    <s v="GISAGARA"/>
    <s v="MUSHA"/>
    <s v="NAKN_2"/>
    <s v="Gishara/Mukunguri sub catchment"/>
    <n v="8560"/>
  </r>
  <r>
    <x v="5"/>
    <s v="BUKINANYANA"/>
    <s v="Rwagasana Joseph"/>
    <x v="0"/>
    <s v="GISAGARA"/>
    <s v="MUSHA"/>
    <s v="NAKN_2"/>
    <s v="Gishara/Mukunguri sub catchment"/>
    <n v="8560"/>
  </r>
  <r>
    <x v="5"/>
    <s v="KABAGOTE"/>
    <s v="Nahayo David"/>
    <x v="0"/>
    <s v="GISAGARA"/>
    <s v="KIBILIZI"/>
    <s v="NAKN_2"/>
    <s v="Gishara/Mukunguri sub catchment"/>
    <n v="8560"/>
  </r>
  <r>
    <x v="5"/>
    <s v="BUHABWA"/>
    <s v="KINYOGOTE Cyrille"/>
    <x v="0"/>
    <s v="KAYONZA"/>
    <s v="MURUNDI"/>
    <s v="NAKL_1"/>
    <s v="Akagera Lower catchment"/>
    <n v="8560"/>
  </r>
  <r>
    <x v="5"/>
    <s v="RIMBA"/>
    <s v="Katabarwa Lambert"/>
    <x v="0"/>
    <s v="HUYE"/>
    <s v="TUMBA"/>
    <s v="NNYU_2"/>
    <s v="Mwogo sub catchment"/>
    <n v="8560"/>
  </r>
  <r>
    <x v="5"/>
    <s v="GATARE"/>
    <s v="Nsengiyumva Felisi"/>
    <x v="0"/>
    <s v="BURERA"/>
    <s v="RUHUNDE"/>
    <s v="NMUK_1"/>
    <s v="Burera/Ruhondo sub catchment"/>
    <n v="8560"/>
  </r>
  <r>
    <x v="5"/>
    <s v="BUHORO"/>
    <s v="RUKUNDO Deo"/>
    <x v="0"/>
    <s v="KAMONYI"/>
    <s v="MUSAMBIRA"/>
    <s v="NNYL_2"/>
    <s v="Mambu/Base sub catchment"/>
    <n v="8712"/>
  </r>
  <r>
    <x v="5"/>
    <m/>
    <s v="Itsinda KTB/Mukahigiro Patricie"/>
    <x v="0"/>
    <s v="MUHANGA"/>
    <s v="NYARUSANGE"/>
    <s v="NNYU_3"/>
    <s v="Nyabarongo upstream sub catchment"/>
    <n v="9416"/>
  </r>
  <r>
    <x v="5"/>
    <s v="AKABOTI"/>
    <s v="Cooperative Koabirwiki"/>
    <x v="0"/>
    <s v="GISAGARA"/>
    <s v="KANSI"/>
    <s v="NAKN_2"/>
    <s v="Gishara/Mukunguri sub catchment"/>
    <n v="18460"/>
  </r>
  <r>
    <x v="5"/>
    <s v="NYAGISOZI"/>
    <s v="NIYONSABA Maurice     "/>
    <x v="0"/>
    <s v="GATSIBO"/>
    <s v="KAGEYO"/>
    <s v="NAKL_1"/>
    <s v="Akagera Lower catchment"/>
    <n v="18460"/>
  </r>
  <r>
    <x v="5"/>
    <s v="NDATEMWA"/>
    <s v="BUTERA VIANNET"/>
    <x v="0"/>
    <s v="GATSIBO"/>
    <s v="KIZIGURO"/>
    <s v="NAKL_1"/>
    <s v="Akagera Lower catchment"/>
    <n v="19879.999999999996"/>
  </r>
  <r>
    <x v="5"/>
    <s v="BIHARAGU"/>
    <s v="NSENGIYUMVA Jean Bosco"/>
    <x v="0"/>
    <s v="BUGESERA"/>
    <s v="KAMABUYE"/>
    <s v="NAKU_1"/>
    <s v="Mugesera/Sake sub catchment"/>
    <n v="9810"/>
  </r>
  <r>
    <x v="5"/>
    <m/>
    <s v="TWUNGANIRANE/ KAMABUYE"/>
    <x v="0"/>
    <s v="BUGESERA"/>
    <s v="KAMABUYE"/>
    <s v="NAKU_1"/>
    <s v="Mugesera/Sake sub catchment"/>
    <n v="12840"/>
  </r>
  <r>
    <x v="5"/>
    <s v="BURAMBO"/>
    <s v="MBAYIHA Straton"/>
    <x v="0"/>
    <s v="BUGESERA"/>
    <s v="KAMABUYE"/>
    <s v="NAKU_1"/>
    <s v="Mugesera/Sake sub catchment"/>
    <n v="16215"/>
  </r>
  <r>
    <x v="5"/>
    <m/>
    <s v="NZEYIMANA Louis                                           "/>
    <x v="0"/>
    <s v="BUGESERA"/>
    <s v="MAREBA"/>
    <s v="NAKU_1"/>
    <s v="Mugesera/Sake sub catchment"/>
    <n v="9810"/>
  </r>
  <r>
    <x v="5"/>
    <s v="RANGO"/>
    <s v="SIBOMANA Frederick"/>
    <x v="0"/>
    <s v="BUGESERA"/>
    <s v="MAREBA"/>
    <s v="NAKU_1"/>
    <s v="Mugesera/Sake sub catchment"/>
    <n v="11745"/>
  </r>
  <r>
    <x v="5"/>
    <s v="GAKAMBA"/>
    <s v="SHEMA Joseph"/>
    <x v="0"/>
    <s v="BUGESERA"/>
    <s v="MAYANGE"/>
    <s v="NAKU_1"/>
    <s v="Mugesera/Sake sub catchment"/>
    <n v="8865"/>
  </r>
  <r>
    <x v="5"/>
    <s v="KIBENGA"/>
    <s v="MUKWINDI Gaparayi"/>
    <x v="0"/>
    <s v="BUGESERA"/>
    <s v="MAYANGE"/>
    <s v="NAKU_1"/>
    <s v="Mugesera/Sake sub catchment"/>
    <n v="12840"/>
  </r>
  <r>
    <x v="5"/>
    <s v="GAKAMBA"/>
    <s v="SHEMA Joseph"/>
    <x v="0"/>
    <s v="BUGESERA"/>
    <s v="MAYANGE"/>
    <s v="NAKU_1"/>
    <s v="Mugesera/Sake sub catchment"/>
    <n v="11670"/>
  </r>
  <r>
    <x v="5"/>
    <s v="MUSENYI"/>
    <s v="VUGANEZA Francois"/>
    <x v="0"/>
    <s v="BUGESERA"/>
    <s v="MUSENYI"/>
    <s v="NAKU_1"/>
    <s v="Mugesera/Sake sub catchment"/>
    <n v="12840"/>
  </r>
  <r>
    <x v="5"/>
    <s v="NYAGIHUNIKA"/>
    <s v="HABIMANA Thelesphore            "/>
    <x v="0"/>
    <s v="BUGESERA"/>
    <s v="MUSENYI"/>
    <s v="NAKU_1"/>
    <s v="Mugesera/Sake sub catchment"/>
    <n v="12840"/>
  </r>
  <r>
    <x v="5"/>
    <s v="MUSENYI"/>
    <s v="VUGANEZA          Francois        "/>
    <x v="0"/>
    <s v="BUGESERA"/>
    <s v="MUSENYI"/>
    <s v="NAKU_1"/>
    <s v="Mugesera/Sake sub catchment"/>
    <n v="12840"/>
  </r>
  <r>
    <x v="5"/>
    <s v="RURENGE"/>
    <s v="BIHOYIKI Jean Damascene"/>
    <x v="0"/>
    <s v="BUGESERA"/>
    <s v="MWOGO"/>
    <s v="NAKU_1"/>
    <s v="Mugesera/Sake sub catchment"/>
    <n v="13275"/>
  </r>
  <r>
    <x v="5"/>
    <s v="RUGUNGA"/>
    <s v="NIYIRORA Nicolas"/>
    <x v="0"/>
    <s v="BUGESERA"/>
    <s v="MWOGO"/>
    <s v="NAKU_1"/>
    <s v="Mugesera/Sake sub catchment"/>
    <n v="9810"/>
  </r>
  <r>
    <x v="5"/>
    <s v="NDATEMWA"/>
    <s v="MUKAKIBIBI Jeanne"/>
    <x v="0"/>
    <s v="GATSIBO"/>
    <s v="KIZIGURO"/>
    <s v="NAKL_1"/>
    <s v="Akagera Lower catchment"/>
    <n v="16215"/>
  </r>
  <r>
    <x v="5"/>
    <s v="RWIMITERERI"/>
    <s v="MWISENEZA JONAS      "/>
    <x v="0"/>
    <s v="GATSIBO"/>
    <s v="MURAMBI"/>
    <s v="NAKL_1"/>
    <s v="Akagera Lower catchment"/>
    <n v="11745"/>
  </r>
  <r>
    <x v="5"/>
    <s v="NYAKIGANDO"/>
    <s v="MUNYEMANA PASCAL"/>
    <x v="0"/>
    <s v="NYAGATARE"/>
    <s v="KATABAGEMU"/>
    <s v="NMUV_2"/>
    <s v="Warufu/Muvumba sub catchment"/>
    <n v="12840"/>
  </r>
  <r>
    <x v="5"/>
    <s v="NYAKIGANDO"/>
    <s v="RWAMANYWA GEORGE"/>
    <x v="0"/>
    <s v="NYAGATARE"/>
    <s v="KATABAGEMU"/>
    <s v="NMUV_2"/>
    <s v="Warufu/Muvumba sub catchment"/>
    <n v="21300"/>
  </r>
  <r>
    <x v="5"/>
    <s v="KABUGA"/>
    <s v="BAKUNDUKIZE    J Damascene"/>
    <x v="0"/>
    <s v="KAMONYI"/>
    <s v="NGAMBA"/>
    <s v="NNYL_2"/>
    <s v="Mambu/Base sub catchment"/>
    <n v="9810"/>
  </r>
  <r>
    <x v="5"/>
    <s v="KANGAMBA"/>
    <s v="BIZIMANA Paulin"/>
    <x v="0"/>
    <s v="RWAMAGANA"/>
    <s v="KARENGE"/>
    <s v="NAKU_1"/>
    <s v="Mugesera/Sake sub catchment"/>
    <n v="13575"/>
  </r>
  <r>
    <x v="5"/>
    <s v="BUSHENGI"/>
    <s v="RWIBASIRA Eugene"/>
    <x v="0"/>
    <s v="RWAMAGANA"/>
    <s v="MWURIRE"/>
    <s v="NAKU_1"/>
    <s v="Mugesera/Sake sub catchment"/>
    <n v="13575"/>
  </r>
  <r>
    <x v="5"/>
    <s v="BUHABWA"/>
    <s v="TWESIGYE Dickson"/>
    <x v="0"/>
    <s v="KAYONZA"/>
    <s v="MURUNDI"/>
    <s v="NAKL_1"/>
    <s v="Akagera Lower catchment"/>
    <n v="13575"/>
  </r>
  <r>
    <x v="5"/>
    <s v="GITISI"/>
    <s v="NDAHAYO Felix"/>
    <x v="0"/>
    <s v="RUHANGO"/>
    <s v="BWERAMANA"/>
    <s v="NNYU_3"/>
    <s v="Nyabarongo upstream sub catchment"/>
    <n v="11295"/>
  </r>
  <r>
    <x v="5"/>
    <s v="NYAKIGANDO"/>
    <s v="KAYUMBA ANTOINE"/>
    <x v="0"/>
    <s v="NYAGATARE"/>
    <s v="KATABAGEMU"/>
    <s v="NMUV_2"/>
    <s v="Warufu/Muvumba sub catchment"/>
    <n v="9810"/>
  </r>
  <r>
    <x v="5"/>
    <m/>
    <s v="Coop. URUMURI RWA MUSHA/Sibomana Frederic"/>
    <x v="0"/>
    <s v="RWAMAGANA"/>
    <s v="MUSHA"/>
    <s v="NAKU_1"/>
    <s v="Mugesera/Sake sub catchment"/>
    <n v="12840"/>
  </r>
  <r>
    <x v="5"/>
    <s v="KABASORE"/>
    <s v="AHISHAKIYE  Jean Bosco   "/>
    <x v="0"/>
    <s v="RWAMAGANA"/>
    <s v="KARENGE"/>
    <s v="NAKU_1"/>
    <s v="Mugesera/Sake sub catchment"/>
    <n v="15780"/>
  </r>
  <r>
    <x v="5"/>
    <s v="KABASORE"/>
    <s v="BICABYIMUKA Costasie"/>
    <x v="0"/>
    <s v="RWAMAGANA"/>
    <s v="KARENGE"/>
    <s v="NAKU_1"/>
    <s v="Mugesera/Sake sub catchment"/>
    <n v="10095"/>
  </r>
  <r>
    <x v="5"/>
    <s v="NYABUBARE"/>
    <s v="DUSABIMANA Dative"/>
    <x v="0"/>
    <s v="RWAMAGANA"/>
    <s v="KARENGE"/>
    <s v="NAKU_1"/>
    <s v="Mugesera/Sake sub catchment"/>
    <n v="9810"/>
  </r>
  <r>
    <x v="5"/>
    <s v="NYAMATETE"/>
    <s v="GASAKE Jean Marie     Vianney "/>
    <x v="0"/>
    <s v="RWAMAGANA"/>
    <s v="KARENGE"/>
    <s v="NAKU_1"/>
    <s v="Mugesera/Sake sub catchment"/>
    <n v="21300"/>
  </r>
  <r>
    <x v="5"/>
    <s v="MWURIRE"/>
    <s v="KALINDA Francois   "/>
    <x v="0"/>
    <s v="RWAMAGANA"/>
    <s v="MWURIRE"/>
    <s v="NAKU_1"/>
    <s v="Mugesera/Sake sub catchment"/>
    <n v="21300"/>
  </r>
  <r>
    <x v="5"/>
    <s v="GATARE"/>
    <s v="MINANI Jean Pierre "/>
    <x v="0"/>
    <s v="RWAMAGANA"/>
    <s v="NYAKARIRO"/>
    <s v="NAKU_1"/>
    <s v="Mugesera/Sake sub catchment"/>
    <n v="12840"/>
  </r>
  <r>
    <x v="5"/>
    <s v="BYIMANA"/>
    <s v="MUJYANAMA Felicien "/>
    <x v="0"/>
    <s v="RWAMAGANA"/>
    <s v="KARENGE"/>
    <s v="NAKU_1"/>
    <s v="Mugesera/Sake sub catchment"/>
    <n v="10935"/>
  </r>
  <r>
    <x v="5"/>
    <s v="BICACA"/>
    <s v="MWITIREHE Jean     Nepomuscene"/>
    <x v="0"/>
    <s v="RWAMAGANA"/>
    <s v="KARENGE"/>
    <s v="NAKU_1"/>
    <s v="Mugesera/Sake sub catchment"/>
    <n v="10935"/>
  </r>
  <r>
    <x v="5"/>
    <s v="KABASORE"/>
    <s v="NDABABONYE Fulgence  "/>
    <x v="0"/>
    <s v="RWAMAGANA"/>
    <s v="KARENGE"/>
    <s v="NAKU_1"/>
    <s v="Mugesera/Sake sub catchment"/>
    <n v="21300"/>
  </r>
  <r>
    <x v="5"/>
    <s v="BIHEMBE"/>
    <s v="NIZEYIMANA Frodouard  "/>
    <x v="0"/>
    <s v="RWAMAGANA"/>
    <s v="NYAKARIRO"/>
    <s v="NAKU_1"/>
    <s v="Mugesera/Sake sub catchment"/>
    <n v="21300"/>
  </r>
  <r>
    <x v="5"/>
    <s v="KABASORE"/>
    <s v="NSANZINEZA Wellars  "/>
    <x v="0"/>
    <s v="RWAMAGANA"/>
    <s v="KARENGE"/>
    <s v="NAKU_1"/>
    <s v="Mugesera/Sake sub catchment"/>
    <n v="12840"/>
  </r>
  <r>
    <x v="5"/>
    <s v="BICACA"/>
    <s v="NTAHOMPAGAZE Dismas "/>
    <x v="0"/>
    <s v="RWAMAGANA"/>
    <s v="KARENGE"/>
    <s v="NAKU_1"/>
    <s v="Mugesera/Sake sub catchment"/>
    <n v="12840"/>
  </r>
  <r>
    <x v="5"/>
    <s v="KABASORE"/>
    <s v="NYIRABAGENZI Eliane"/>
    <x v="0"/>
    <s v="RWAMAGANA"/>
    <s v="KARENGE"/>
    <s v="NAKU_1"/>
    <s v="Mugesera/Sake sub catchment"/>
    <n v="12840"/>
  </r>
  <r>
    <x v="5"/>
    <s v="BYIMANA"/>
    <s v="NYIRANIZEYIMANA Marie Solange"/>
    <x v="0"/>
    <s v="RWAMAGANA"/>
    <s v="KARENGE"/>
    <s v="NAKU_1"/>
    <s v="Mugesera/Sake sub catchment"/>
    <n v="12840"/>
  </r>
  <r>
    <x v="5"/>
    <s v="KABASORE"/>
    <s v="NYIRARWANGO        Pascasie  "/>
    <x v="0"/>
    <s v="RWAMAGANA"/>
    <s v="KARENGE"/>
    <s v="NAKU_1"/>
    <s v="Mugesera/Sake sub catchment"/>
    <n v="6660"/>
  </r>
  <r>
    <x v="5"/>
    <s v="KABASORE"/>
    <s v="NZABONIMANA Theoneste   "/>
    <x v="0"/>
    <s v="RWAMAGANA"/>
    <s v="KARENGE"/>
    <s v="NAKU_1"/>
    <s v="Mugesera/Sake sub catchment"/>
    <n v="21300"/>
  </r>
  <r>
    <x v="5"/>
    <s v="NYAMATETE"/>
    <s v="RUZINDANA Joseph "/>
    <x v="0"/>
    <s v="RWAMAGANA"/>
    <s v="KARENGE"/>
    <s v="NAKU_1"/>
    <s v="Mugesera/Sake sub catchment"/>
    <n v="12840"/>
  </r>
  <r>
    <x v="5"/>
    <s v="BICACA"/>
    <s v="NYIRINGANGO Eliezel             "/>
    <x v="0"/>
    <s v="RWAMAGANA"/>
    <s v="KARENGE"/>
    <s v="NAKU_1"/>
    <s v="Mugesera/Sake sub catchment"/>
    <n v="21300"/>
  </r>
  <r>
    <x v="5"/>
    <s v="NYANGE"/>
    <s v="BIZIMANA Pascal "/>
    <x v="0"/>
    <s v="RUSIZI"/>
    <s v="BUGARAMA"/>
    <s v="CRUS_1"/>
    <s v="Rubyiro sub catchment"/>
    <n v="13275"/>
  </r>
  <r>
    <x v="5"/>
    <s v="NYANGE"/>
    <s v="KANKINDI ANNE         "/>
    <x v="0"/>
    <s v="RUSIZI"/>
    <s v="BUGARAMA"/>
    <s v="CRUS_1"/>
    <s v="Rubyiro sub catchment"/>
    <n v="21300"/>
  </r>
  <r>
    <x v="5"/>
    <s v="PERA"/>
    <s v="NZABANDORA Emmanuel                   "/>
    <x v="0"/>
    <s v="RUSIZI"/>
    <s v="BUGARAMA"/>
    <s v="CRUS_1"/>
    <s v="Rubyiro sub catchment"/>
    <n v="21300"/>
  </r>
  <r>
    <x v="5"/>
    <s v="RYANKANA"/>
    <s v="BIZEYIKI Ezechiel             "/>
    <x v="0"/>
    <s v="RUSIZI"/>
    <s v="BUGARAMA"/>
    <s v="CRUS_1"/>
    <s v="Rubyiro sub catchment"/>
    <n v="13275"/>
  </r>
  <r>
    <x v="5"/>
    <s v="PERA"/>
    <s v="NSABANYAGASANI   DANIEL                          "/>
    <x v="0"/>
    <s v="RUSIZI"/>
    <s v="BUGARAMA"/>
    <s v="CRUS_1"/>
    <s v="Rubyiro sub catchment"/>
    <n v="10095"/>
  </r>
  <r>
    <x v="5"/>
    <s v="PERA"/>
    <s v="MBARIMO - PIERRE                   "/>
    <x v="0"/>
    <s v="RUSIZI"/>
    <s v="BUGARAMA"/>
    <s v="CRUS_1"/>
    <s v="Rubyiro sub catchment"/>
    <n v="9810"/>
  </r>
  <r>
    <x v="5"/>
    <s v="PERA"/>
    <s v="HABIYAREMYE  VENUSTE                  "/>
    <x v="0"/>
    <s v="RUSIZI"/>
    <s v="BUGARAMA"/>
    <s v="CRUS_1"/>
    <s v="Rubyiro sub catchment"/>
    <n v="11880"/>
  </r>
  <r>
    <x v="5"/>
    <s v="PERA"/>
    <s v="NYIRANGENDAHIMANA CHRISTINE                     "/>
    <x v="0"/>
    <s v="RUSIZI"/>
    <s v="BUGARAMA"/>
    <s v="CRUS_1"/>
    <s v="Rubyiro sub catchment"/>
    <n v="11880"/>
  </r>
  <r>
    <x v="5"/>
    <s v="PERA"/>
    <s v="NTAKIYIMANA JOSEPH                "/>
    <x v="0"/>
    <s v="RUSIZI"/>
    <s v="BUGARAMA"/>
    <s v="CRUS_1"/>
    <s v="Rubyiro sub catchment"/>
    <n v="16215"/>
  </r>
  <r>
    <x v="5"/>
    <s v="PERA"/>
    <s v="MANIRARUTA DANIEL                "/>
    <x v="0"/>
    <s v="RUSIZI"/>
    <s v="BUGARAMA"/>
    <s v="CRUS_1"/>
    <s v="Rubyiro sub catchment"/>
    <n v="16215"/>
  </r>
  <r>
    <x v="5"/>
    <s v="RYANKANA"/>
    <s v="MUKANGANYIRENDE VERDIANNE                    "/>
    <x v="0"/>
    <s v="RUSIZI"/>
    <s v="BUGARAMA"/>
    <s v="CRUS_1"/>
    <s v="Rubyiro sub catchment"/>
    <n v="9810"/>
  </r>
  <r>
    <x v="5"/>
    <s v="PERA"/>
    <s v="BIZIMANA ISAIE               "/>
    <x v="0"/>
    <s v="RUSIZI"/>
    <s v="BUGARAMA"/>
    <s v="CRUS_1"/>
    <s v="Rubyiro sub catchment"/>
    <n v="9810"/>
  </r>
  <r>
    <x v="5"/>
    <s v="PERA"/>
    <s v="NYIRANGOMITUJE JULIENNE                       "/>
    <x v="0"/>
    <s v="RUSIZI"/>
    <s v="BUGARAMA"/>
    <s v="CRUS_1"/>
    <s v="Rubyiro sub catchment"/>
    <n v="9810"/>
  </r>
  <r>
    <x v="5"/>
    <s v="PERA"/>
    <s v="HATUNGIYAREMYE JACQUES                       "/>
    <x v="0"/>
    <s v="RUSIZI"/>
    <s v="BUGARAMA"/>
    <s v="CRUS_1"/>
    <s v="Rubyiro sub catchment"/>
    <n v="13575"/>
  </r>
  <r>
    <x v="5"/>
    <s v="NYANGE"/>
    <s v="UZAYISENGA ASUMANI                "/>
    <x v="0"/>
    <s v="RUSIZI"/>
    <s v="BUGARAMA"/>
    <s v="CRUS_1"/>
    <s v="Rubyiro sub catchment"/>
    <n v="13575"/>
  </r>
  <r>
    <x v="5"/>
    <s v="BULIBA"/>
    <s v="NDAJIMANA Sylivestre"/>
    <x v="0"/>
    <s v="NGOMA"/>
    <s v="RUKIRA"/>
    <s v="NAKU_2"/>
    <s v="Rweru sub catchment"/>
    <n v="15780"/>
  </r>
  <r>
    <x v="5"/>
    <s v="NYARUVUMU"/>
    <s v="GAHUTU Amouri"/>
    <x v="0"/>
    <s v="NGOMA"/>
    <s v="RUKIRA"/>
    <s v="NAKU_2"/>
    <s v="Rweru sub catchment"/>
    <n v="10935"/>
  </r>
  <r>
    <x v="5"/>
    <s v="BULIBA"/>
    <s v="NDAJIMANA Sylivestre"/>
    <x v="0"/>
    <s v="NGOMA"/>
    <s v="RUKIRA"/>
    <s v="NAKU_2"/>
    <s v="Rweru sub catchment"/>
    <n v="10935"/>
  </r>
  <r>
    <x v="5"/>
    <s v="RUGAZI"/>
    <s v="MPAGAZEHE SARATHIERE"/>
    <x v="0"/>
    <s v="NYAGATARE"/>
    <s v="KATABAGEMU"/>
    <s v="NMUV_2"/>
    <s v="Warufu/Muvumba sub catchment"/>
    <n v="12840"/>
  </r>
  <r>
    <x v="5"/>
    <s v="RURENGE"/>
    <s v="NGIRIMANA Martin "/>
    <x v="0"/>
    <s v="BUGESERA"/>
    <s v="MWOGO"/>
    <s v="NAKU_1"/>
    <s v="Mugesera/Sake sub catchment"/>
    <n v="12840"/>
  </r>
  <r>
    <x v="5"/>
    <s v="GATWARO"/>
    <s v="MUTAMBUKA Protais                             "/>
    <x v="0"/>
    <s v="GICUMBI"/>
    <s v="RUTARE"/>
    <s v="NMUV_1"/>
    <s v="Murindi sub catchment"/>
    <n v="12840"/>
  </r>
  <r>
    <x v="5"/>
    <s v="NYANGE"/>
    <s v="BIZIMANA Pascal  "/>
    <x v="0"/>
    <s v="RUSIZI"/>
    <s v="BUGARAMA"/>
    <s v="CRUS_1"/>
    <s v="Rubyiro sub catchment"/>
    <n v="12840"/>
  </r>
  <r>
    <x v="5"/>
    <s v="NYARUVUMU"/>
    <s v="HABYARIMANA Godfroid"/>
    <x v="0"/>
    <s v="NGOMA"/>
    <s v="RUKIRA"/>
    <s v="NAKU_2"/>
    <s v="Rweru sub catchment"/>
    <n v="12840"/>
  </r>
  <r>
    <x v="5"/>
    <s v="AYABARAYA"/>
    <s v="ITSINDA         TWISUNGANE"/>
    <x v="0"/>
    <s v="KICUKIRO"/>
    <s v="MASAKA"/>
    <s v="NAKU_1"/>
    <s v="Mugesera/Sake sub catchment"/>
    <n v="12840"/>
  </r>
  <r>
    <x v="5"/>
    <s v="BYIMANA"/>
    <s v="SEBAGABO Ezechias"/>
    <x v="0"/>
    <s v="RWAMAGANA"/>
    <s v="BYIMANA"/>
    <s v="NAKU_1"/>
    <s v="Mugesera/Sake sub catchment"/>
    <n v="12528.000000000002"/>
  </r>
  <r>
    <x v="5"/>
    <s v="BUHABWA"/>
    <s v="RUGANGAZI Evariste"/>
    <x v="0"/>
    <s v="KAYONZA"/>
    <s v="MURUNDI"/>
    <s v="NAKL_1"/>
    <s v="Akagera Lower catchment"/>
    <n v="24140"/>
  </r>
  <r>
    <x v="5"/>
    <s v="GAKO"/>
    <s v="MANIRAGUHA Sylvere"/>
    <x v="0"/>
    <s v="KICUKIRO"/>
    <s v="MASAKA"/>
    <s v="NAKU_1"/>
    <s v="Mugesera/Sake sub catchment"/>
    <n v="15385"/>
  </r>
  <r>
    <x v="5"/>
    <s v="BITABA"/>
    <s v="NSANZIMANA Evaliste"/>
    <x v="0"/>
    <s v="BUGESERA"/>
    <s v="MWOGO"/>
    <s v="NAKU_1"/>
    <s v="Mugesera/Sake sub catchment"/>
    <n v="15408"/>
  </r>
  <r>
    <x v="5"/>
    <s v="GITISI"/>
    <s v="NDAHAYO Felix           "/>
    <x v="0"/>
    <s v="RUHANGO"/>
    <s v="BWERAMANA"/>
    <s v="NNYU_3"/>
    <s v="Nyabarongo upstream sub catchment"/>
    <n v="13851"/>
  </r>
  <r>
    <x v="5"/>
    <s v="GITISI"/>
    <s v="UWIMANA            Felicite                        "/>
    <x v="0"/>
    <s v="RUHANGO"/>
    <s v="BWERAMANA"/>
    <s v="NNYU_3"/>
    <s v="Nyabarongo upstream sub catchment"/>
    <n v="21040"/>
  </r>
  <r>
    <x v="5"/>
    <s v="MURAMA"/>
    <s v="KAJYIBWAMI Abraham"/>
    <x v="0"/>
    <s v="RUHANGO"/>
    <s v="BWERAMANA"/>
    <s v="NNYU_3"/>
    <s v="Nyabarongo upstream sub catchment"/>
    <n v="21040"/>
  </r>
  <r>
    <x v="5"/>
    <s v="NYAKIGANDO"/>
    <s v="UGIRIMPUHWE FRANCOIS"/>
    <x v="0"/>
    <s v="NYAGATARE"/>
    <s v="KATABAGEMU"/>
    <s v="NMUV_2"/>
    <s v="Warufu/Muvumba sub catchment"/>
    <n v="21040"/>
  </r>
  <r>
    <x v="5"/>
    <s v="KAGASA"/>
    <s v="SINDAYIGAYA Jean de Dieu"/>
    <x v="0"/>
    <s v="BUGESERA"/>
    <s v="MWOGO"/>
    <s v="NAKU_1"/>
    <s v="Mugesera/Sake sub catchment"/>
    <n v="21040"/>
  </r>
  <r>
    <x v="5"/>
    <s v="NINZI"/>
    <s v="MUVANDIMWE - Theogene               "/>
    <x v="0"/>
    <s v="NYAMASHEKE"/>
    <s v="KAGANO"/>
    <s v="CKIV_3"/>
    <s v="Kamiranzovu sub catchment"/>
    <n v="21040"/>
  </r>
  <r>
    <x v="5"/>
    <s v="KIGARAMA"/>
    <s v="RUKARA DAVID"/>
    <x v="0"/>
    <s v="NYAGATARE"/>
    <s v="KATABAGEMU"/>
    <s v="NMUV_2"/>
    <s v="Warufu/Muvumba sub catchment"/>
    <n v="18700"/>
  </r>
  <r>
    <x v="5"/>
    <s v="KAGASE"/>
    <s v="NYANDWI Azaria"/>
    <x v="0"/>
    <s v="BUGESERA"/>
    <s v="MWOGO"/>
    <s v="NAKU_1"/>
    <s v="Mugesera/Sake sub catchment"/>
    <n v="21040"/>
  </r>
  <r>
    <x v="5"/>
    <s v="KIGARAMA"/>
    <s v="NSENGIYUMVA SYLVESTRE"/>
    <x v="0"/>
    <s v="NYAGATARE"/>
    <s v="KATABAGEMU"/>
    <s v="NMUV_2"/>
    <s v="Warufu/Muvumba sub catchment"/>
    <n v="13080"/>
  </r>
  <r>
    <x v="5"/>
    <s v="REBERO"/>
    <s v="KANYABITARO                              Andre                                 "/>
    <x v="0"/>
    <s v="RULINDO"/>
    <s v="KINIHIRA"/>
    <s v="NNYL_2"/>
    <s v="Mambu/Base sub catchment"/>
    <n v="21040"/>
  </r>
  <r>
    <x v="5"/>
    <s v="KAGUGU"/>
    <s v="NDIZEYE Willy               "/>
    <x v="0"/>
    <s v="GASABO"/>
    <s v="KINYINYA"/>
    <s v="NNYL_1"/>
    <s v="Nyabugogo sub catchment"/>
    <n v="21040"/>
  </r>
  <r>
    <x v="5"/>
    <s v="KABASORE"/>
    <s v="KAVUMBI Innocent              "/>
    <x v="0"/>
    <s v="RWAMAGANA"/>
    <s v="KARENGE"/>
    <s v="NAKU_1"/>
    <s v="Mugesera/Sake sub catchment"/>
    <n v="21040"/>
  </r>
  <r>
    <x v="5"/>
    <s v="KIBAGABAGA"/>
    <s v="MUHIRWA  RICHARD                    "/>
    <x v="0"/>
    <s v="GASABO"/>
    <s v="KIMIRONKO"/>
    <s v="NNYL_1"/>
    <s v="Nyabugogo sub catchment"/>
    <n v="21040"/>
  </r>
  <r>
    <x v="5"/>
    <s v="RURENGE"/>
    <s v="KANYARWANDA Alexandre"/>
    <x v="0"/>
    <s v="BUGESERA"/>
    <s v="MWOGO"/>
    <s v="NAKU_1"/>
    <s v="Mugesera/Sake sub catchment"/>
    <n v="21040"/>
  </r>
  <r>
    <x v="5"/>
    <s v="BIHEMBE"/>
    <s v="MUSUHUKE Thadee             "/>
    <x v="0"/>
    <s v="RWAMAGANA"/>
    <s v="NYAKARIRO"/>
    <s v="NAKU_1"/>
    <s v="Mugesera/Sake sub catchment"/>
    <n v="13080"/>
  </r>
  <r>
    <x v="5"/>
    <s v="GATARE"/>
    <s v="KAREMERA Claude            R "/>
    <x v="0"/>
    <s v="RWAMAGANA"/>
    <s v="NYAKARIRO"/>
    <s v="NAKU_1"/>
    <s v="Mugesera/Sake sub catchment"/>
    <n v="17120"/>
  </r>
  <r>
    <x v="5"/>
    <s v="KABASORE"/>
    <s v="MUBERA Jean Pierre              "/>
    <x v="0"/>
    <s v="RWAMAGANA"/>
    <s v="KARENGE"/>
    <s v="NAKU_1"/>
    <s v="Mugesera/Sake sub catchment"/>
    <n v="21040"/>
  </r>
  <r>
    <x v="5"/>
    <s v="GATARE"/>
    <s v="NYIRANSABIMANA   Therese                "/>
    <x v="0"/>
    <s v="RWAMAGANA"/>
    <s v="NYAKARIRO"/>
    <s v="NAKU_1"/>
    <s v="Mugesera/Sake sub catchment"/>
    <n v="21040"/>
  </r>
  <r>
    <x v="5"/>
    <s v="KABASORE"/>
    <s v="NZITABAKUZE Philemon                  "/>
    <x v="0"/>
    <s v="RWAMAGANA"/>
    <s v="KARENGE"/>
    <s v="NAKU_1"/>
    <s v="Mugesera/Sake sub catchment"/>
    <n v="21040"/>
  </r>
  <r>
    <x v="5"/>
    <s v="ZINDIRO"/>
    <s v="UWANYIRIGIRA  Eugenie                         "/>
    <x v="0"/>
    <s v="GASABO"/>
    <s v="KIMIRONKO"/>
    <s v="NNYL_1"/>
    <s v="Nyabugogo sub catchment"/>
    <n v="17120"/>
  </r>
  <r>
    <x v="5"/>
    <s v="RWIMBOGO"/>
    <s v="KUBWIMANA Cleophas                  "/>
    <x v="0"/>
    <s v="RWAMAGANA"/>
    <s v="NYAKARIRO"/>
    <s v="NAKU_1"/>
    <s v="Mugesera/Sake sub catchment"/>
    <n v="17120"/>
  </r>
  <r>
    <x v="5"/>
    <s v="KANGAMBA"/>
    <s v="TUGIRINSHUTI Obed                      "/>
    <x v="0"/>
    <s v="RWAMAGANA"/>
    <s v="KARENGE"/>
    <s v="NAKU_1"/>
    <s v="Mugesera/Sake sub catchment"/>
    <n v="17120"/>
  </r>
  <r>
    <x v="5"/>
    <s v="RUGARAMA"/>
    <s v="BIZIMANA Idrissa"/>
    <x v="0"/>
    <s v="KIREHE"/>
    <s v="KIGINA"/>
    <s v="NAKU_2"/>
    <s v="Rweru sub catchment"/>
    <n v="17120"/>
  </r>
  <r>
    <x v="5"/>
    <s v="MUNINI"/>
    <s v="NTARE Cosmos"/>
    <x v="0"/>
    <s v="KIREHE"/>
    <s v="MAHAMA"/>
    <s v="NAKU_2"/>
    <s v="Rweru sub catchment"/>
    <n v="21040"/>
  </r>
  <r>
    <x v="5"/>
    <s v="KABASORE"/>
    <s v="NGARAMBE Mathias                       "/>
    <x v="0"/>
    <s v="RWAMAGANA"/>
    <s v="KARENGE"/>
    <s v="NAKU_1"/>
    <s v="Mugesera/Sake sub catchment"/>
    <n v="13080"/>
  </r>
  <r>
    <x v="5"/>
    <s v="KIMUNA"/>
    <s v="MUKAMPIRWA   Venantie                            "/>
    <x v="0"/>
    <s v="HUYE"/>
    <s v="RUSATIRA"/>
    <s v="NNYU_2"/>
    <s v="Mwogo sub catchment"/>
    <n v="17700"/>
  </r>
  <r>
    <x v="5"/>
    <s v="NGOMA"/>
    <s v="GAHIGI Athanase"/>
    <x v="0"/>
    <s v="KAMONYI"/>
    <s v="NYAMIYAGA"/>
    <s v="NNYL_2"/>
    <s v="Mambu/Base sub catchment"/>
    <n v="13080"/>
  </r>
  <r>
    <x v="5"/>
    <s v="RWESERO"/>
    <s v="HAKIZIMANA                       KANYAMANZA Eugene                      "/>
    <x v="0"/>
    <s v="NYARUGENGE"/>
    <s v="KIGALI"/>
    <s v="NNYL_1"/>
    <s v="Nyabugogo sub catchment"/>
    <n v="15660"/>
  </r>
  <r>
    <x v="5"/>
    <s v="BUHABWA"/>
    <s v="TWESIGYE DICKSON"/>
    <x v="0"/>
    <s v="KAYONZA"/>
    <s v="MURUNDI"/>
    <s v="NAKL_1"/>
    <s v="Akagera Lower catchment"/>
    <n v="17120"/>
  </r>
  <r>
    <x v="5"/>
    <s v="KAMUSHENYI"/>
    <s v="RWUGUMBIRA Jean de Dieu"/>
    <x v="0"/>
    <s v="RULINDO"/>
    <s v="KISARO"/>
    <s v="NNYL_1"/>
    <s v="Nyabugogo sub catchment"/>
    <n v="13080"/>
  </r>
  <r>
    <x v="5"/>
    <s v="MUNINI"/>
    <s v="NSHIMIYIMANA Alexis"/>
    <x v="0"/>
    <s v="KIREHE"/>
    <s v="MAHAMA"/>
    <s v="NAKU_2"/>
    <s v="Rweru sub catchment"/>
    <n v="13080"/>
  </r>
  <r>
    <x v="5"/>
    <s v="RWAYIKONA"/>
    <s v="NSENGIYUMVA                     ETIENNE                       "/>
    <x v="0"/>
    <s v="KIREHE"/>
    <s v="MUSHIKIRI"/>
    <s v="NAKU_2"/>
    <s v="Rweru sub catchment"/>
    <n v="21040"/>
  </r>
  <r>
    <x v="5"/>
    <s v="CYAMBWE"/>
    <s v="NKWAKUZI Ignace                  "/>
    <x v="0"/>
    <s v="KIREHE"/>
    <s v="NASHO"/>
    <s v="NAKU_2"/>
    <s v="Rweru sub catchment"/>
    <n v="21040"/>
  </r>
  <r>
    <x v="5"/>
    <s v="KARENGE"/>
    <s v="AKIMANIZANYE Marie Jeanne                      "/>
    <x v="0"/>
    <s v="RWAMAGANA"/>
    <s v="KARENGE"/>
    <s v="NAKU_1"/>
    <s v="Mugesera/Sake sub catchment"/>
    <n v="21040"/>
  </r>
  <r>
    <x v="5"/>
    <s v="PERA"/>
    <s v="NKIZINGABO Amiru"/>
    <x v="0"/>
    <s v="RUSIZI"/>
    <s v="BUGARAMA"/>
    <s v="CRUS_1"/>
    <s v="Rubyiro sub catchment"/>
    <n v="18100"/>
  </r>
  <r>
    <x v="5"/>
    <s v="RYANKANA"/>
    <s v="NSABIMANA Emmanuel"/>
    <x v="0"/>
    <s v="RUSIZI"/>
    <s v="BUGARAMA"/>
    <s v="CRUS_1"/>
    <s v="Rubyiro sub catchment"/>
    <n v="18100"/>
  </r>
  <r>
    <x v="5"/>
    <s v="NYANGE"/>
    <s v="MUKANKUBITO Safi"/>
    <x v="0"/>
    <s v="RUSIZI"/>
    <s v="BUGARAMA"/>
    <s v="CRUS_1"/>
    <s v="Rubyiro sub catchment"/>
    <n v="18100"/>
  </r>
  <r>
    <x v="5"/>
    <s v="PERA"/>
    <s v="NKEJUWIMYE Mathias"/>
    <x v="0"/>
    <s v="RUSIZI"/>
    <s v="BUGARAMA"/>
    <s v="CRUS_1"/>
    <s v="Rubyiro sub catchment"/>
    <n v="18100"/>
  </r>
  <r>
    <x v="5"/>
    <s v="NYANGE"/>
    <s v="MUKARUKAKA Bernadette"/>
    <x v="0"/>
    <s v="RUSIZI"/>
    <s v="BUGARAMA"/>
    <s v="CRUS_1"/>
    <s v="Rubyiro sub catchment"/>
    <n v="18100"/>
  </r>
  <r>
    <x v="5"/>
    <s v="HANGABASHI"/>
    <s v="NIYITEGEKA Fidele"/>
    <x v="0"/>
    <s v="RUSIZI"/>
    <s v="GITAMBI"/>
    <s v="CRUS_1"/>
    <s v="Rubyiro sub catchment"/>
    <n v="18100"/>
  </r>
  <r>
    <x v="5"/>
    <s v="HANGABASHI"/>
    <s v="NIYITEGEKA Fidele"/>
    <x v="0"/>
    <s v="RUSIZI"/>
    <s v="GITAMBI"/>
    <s v="CRUS_1"/>
    <s v="Rubyiro sub catchment"/>
    <n v="18100"/>
  </r>
  <r>
    <x v="5"/>
    <s v="KAMURERA"/>
    <s v="NTIBAKUNZE  Sylvere                            "/>
    <x v="0"/>
    <s v="RUSIZI"/>
    <s v="KAMEMBE"/>
    <s v="CRUS_1"/>
    <s v="Rubyiro sub catchment"/>
    <n v="18100"/>
  </r>
  <r>
    <x v="5"/>
    <s v="KAMASHANGI"/>
    <s v="SECUMI Elias"/>
    <x v="0"/>
    <s v="RUSIZI"/>
    <s v="KAMEMBE"/>
    <s v="CRUS_1"/>
    <s v="Rubyiro sub catchment"/>
    <n v="18100"/>
  </r>
  <r>
    <x v="5"/>
    <s v="GIKUNDAMVURA"/>
    <s v="NSEKANABANGA Damien"/>
    <x v="0"/>
    <s v="RUSIZI"/>
    <s v="MUGANZA"/>
    <s v="CRUS_1"/>
    <s v="Rubyiro sub catchment"/>
    <n v="21040"/>
  </r>
  <r>
    <x v="5"/>
    <s v="GAKONI"/>
    <s v="NTAWUKURIRYAYO Eliazal"/>
    <x v="0"/>
    <s v="RUSIZI"/>
    <s v="MUGANZA"/>
    <s v="CRUS_1"/>
    <s v="Rubyiro sub catchment"/>
    <n v="21040"/>
  </r>
  <r>
    <x v="5"/>
    <s v="CYARUKARA"/>
    <s v="NDUWIMANA Jean Paul"/>
    <x v="0"/>
    <s v="RUSIZI"/>
    <s v="MUGANZA"/>
    <s v="CRUS_1"/>
    <s v="Rubyiro sub catchment"/>
    <n v="13080"/>
  </r>
  <r>
    <x v="5"/>
    <s v="CYARUKARA"/>
    <s v="CYIMANA Oscar"/>
    <x v="0"/>
    <s v="RUSIZI"/>
    <s v="MUGANZA"/>
    <s v="CRUS_1"/>
    <s v="Rubyiro sub catchment"/>
    <n v="21620"/>
  </r>
  <r>
    <x v="5"/>
    <s v="CYARUKARA"/>
    <s v="MUTANGANA Simeon  "/>
    <x v="0"/>
    <s v="RUSIZI"/>
    <s v="MUGANZA"/>
    <s v="CRUS_1"/>
    <s v="Rubyiro sub catchment"/>
    <n v="13080"/>
  </r>
  <r>
    <x v="5"/>
    <s v="RURENGE"/>
    <s v="BARIHUTA Celestin"/>
    <x v="0"/>
    <s v="BUGESERA"/>
    <s v="MWOGO"/>
    <s v="NAKU_1"/>
    <s v="Mugesera/Sake sub catchment"/>
    <n v="15840"/>
  </r>
  <r>
    <x v="5"/>
    <s v="GISHORE"/>
    <s v="MWANZIMWABO  Alphonse             "/>
    <x v="0"/>
    <s v="RWAMAGANA"/>
    <s v="NYAKARIRO"/>
    <s v="NAKU_1"/>
    <s v="Mugesera/Sake sub catchment"/>
    <n v="18100"/>
  </r>
  <r>
    <x v="5"/>
    <s v="RYAMANYONI"/>
    <s v="NYAMAMBARA Isaie"/>
    <x v="0"/>
    <s v="KAYONZA"/>
    <s v="MURUNDI"/>
    <s v="NAKL_1"/>
    <s v="Akagera Lower catchment"/>
    <n v="21620"/>
  </r>
  <r>
    <x v="5"/>
    <s v="BUHABWA"/>
    <s v="BARINDA Joseph"/>
    <x v="0"/>
    <s v="KAYONZA"/>
    <s v="MURUNDI"/>
    <s v="NAKL_1"/>
    <s v="Akagera Lower catchment"/>
    <n v="18100"/>
  </r>
  <r>
    <x v="5"/>
    <s v="BYIMANA"/>
    <s v="BARASEBWA  Simeon                   "/>
    <x v="0"/>
    <s v="RWAMAGANA"/>
    <s v="KARENGE"/>
    <s v="NAKU_1"/>
    <s v="Mugesera/Sake sub catchment"/>
    <n v="13080"/>
  </r>
  <r>
    <x v="5"/>
    <s v="KABASORE"/>
    <s v="HARERIMANA Charles                      "/>
    <x v="0"/>
    <s v="RWAMAGANA"/>
    <s v="KARENGE"/>
    <s v="NAKU_1"/>
    <s v="Mugesera/Sake sub catchment"/>
    <n v="13080"/>
  </r>
  <r>
    <x v="5"/>
    <s v="NTEBE"/>
    <s v="ITSINDA DUHUZE  IMBARAGA                  "/>
    <x v="0"/>
    <s v="RWAMAGANA"/>
    <s v="MUHAZI"/>
    <s v="NAKU_1"/>
    <s v="Mugesera/Sake sub catchment"/>
    <n v="13460"/>
  </r>
  <r>
    <x v="5"/>
    <s v="GATARE"/>
    <s v="KANYARUGENDO               Emmanuel                       "/>
    <x v="0"/>
    <s v="RWAMAGANA"/>
    <s v="NYAKARIRO"/>
    <s v="NAKU_1"/>
    <s v="Mugesera/Sake sub catchment"/>
    <n v="13460"/>
  </r>
  <r>
    <x v="5"/>
    <s v="KANGAMBA"/>
    <s v="KURADUSENGE                   Claver                 "/>
    <x v="0"/>
    <s v="RWAMAGANA"/>
    <s v="KARENGE"/>
    <s v="NAKU_1"/>
    <s v="Mugesera/Sake sub catchment"/>
    <n v="11080"/>
  </r>
  <r>
    <x v="5"/>
    <s v="CYAMBWE"/>
    <s v="NZABARANKIZE   Stephanie                          "/>
    <x v="0"/>
    <s v="KIREHE"/>
    <s v="NASHO"/>
    <s v="NAKL_1"/>
    <s v="Akagera Lower catchment"/>
    <n v="28400"/>
  </r>
  <r>
    <x v="5"/>
    <s v="MURUNDI"/>
    <s v="SAFARI James"/>
    <x v="0"/>
    <s v="KAYONZA"/>
    <s v="MURUNDI"/>
    <s v="NAKL_1"/>
    <s v="Akagera Lower catchment"/>
    <n v="28400"/>
  </r>
  <r>
    <x v="5"/>
    <s v="KAMUSENYI"/>
    <s v="ICYITEGETSE Judith           "/>
    <x v="0"/>
    <s v="RUHANGO"/>
    <s v="BYIMANA"/>
    <s v="NNYU_3"/>
    <s v="Nyabarongo upstream sub catchment"/>
    <n v="21040"/>
  </r>
  <r>
    <x v="5"/>
    <s v="KARENGE"/>
    <s v="NSHIMIYIMANA Andre               "/>
    <x v="0"/>
    <s v="RWAMAGANA"/>
    <s v="KARENGE"/>
    <s v="NAKU_1"/>
    <s v="Mugesera/Sake sub catchment"/>
    <n v="17120"/>
  </r>
  <r>
    <x v="5"/>
    <s v="KANGAMBA"/>
    <s v="MUSABIMANA  Emmanuel                 "/>
    <x v="0"/>
    <s v="RWAMAGANA"/>
    <s v="KARENGE"/>
    <s v="NAKU_1"/>
    <s v="Mugesera/Sake sub catchment"/>
    <n v="17120"/>
  </r>
  <r>
    <x v="5"/>
    <s v="JENDA"/>
    <s v="ABAKORANAMURAVA                       "/>
    <x v="0"/>
    <s v="NYAMAGABE"/>
    <s v="MUSANGE"/>
    <s v="NNYU_2"/>
    <s v="Mwogo sub catchment"/>
    <n v="14580"/>
  </r>
  <r>
    <x v="5"/>
    <s v="JENDA"/>
    <s v="ABISHYIZEHAMWEJENDA                      "/>
    <x v="0"/>
    <s v="NYAMAGABE"/>
    <s v="MUSANGE"/>
    <s v="NNYU_2"/>
    <s v="Mwogo sub catchment"/>
    <n v="18100"/>
  </r>
  <r>
    <x v="5"/>
    <s v="NYARUNYINYA"/>
    <s v="IDAHEMUKA   Tharcisse                          "/>
    <x v="0"/>
    <s v="MUHANGA"/>
    <s v="CYEZA"/>
    <s v="NNYU_3"/>
    <s v="Nyabarongo upstream sub catchment"/>
    <n v="18100"/>
  </r>
  <r>
    <x v="5"/>
    <s v="BUHABWA"/>
    <s v="ZIGIRA Alphonse"/>
    <x v="0"/>
    <s v="KAYONZA"/>
    <s v="MURUNDI"/>
    <s v="NAKL_1"/>
    <s v="Akagera Lower catchment"/>
    <n v="21040"/>
  </r>
  <r>
    <x v="5"/>
    <s v="MATYAZO"/>
    <s v="Huye Coop.of Reservists Development Welfare Investiment(HCRDWI)(TWAGIRUMUKIZA Faustin)"/>
    <x v="0"/>
    <s v="HUYE"/>
    <s v="NGOMA"/>
    <s v="NNYU_2"/>
    <s v="Mwogo sub catchment"/>
    <n v="21040"/>
  </r>
  <r>
    <x v="5"/>
    <s v="KIVUGIZA"/>
    <s v="NDANGIZI Pascal"/>
    <x v="0"/>
    <s v="RULINDO"/>
    <s v="MASORO"/>
    <s v="NNYL_1"/>
    <s v="Nyabugogo sub catchment"/>
    <n v="28400"/>
  </r>
  <r>
    <x v="5"/>
    <s v="RWAMIKO"/>
    <s v="NDAGIJIMANA     Boniface                  "/>
    <x v="0"/>
    <s v="GISAGARA"/>
    <s v="MUGANZA"/>
    <s v="NAKN_2"/>
    <s v="Gishara/Mukunguri sub catchment"/>
    <n v="17120"/>
  </r>
  <r>
    <x v="5"/>
    <s v="CYAMBWE"/>
    <s v="KANYARWANDA Daniel                       "/>
    <x v="0"/>
    <s v="KIREHE"/>
    <s v="NASHO"/>
    <s v="NAKL_1"/>
    <s v="Akagera Lower catchment"/>
    <n v="15660"/>
  </r>
  <r>
    <x v="5"/>
    <s v="MURAMA"/>
    <s v="GIHANA Donatha"/>
    <x v="0"/>
    <s v="BUGESERA"/>
    <s v="NGERUKA"/>
    <s v="NAKN_3"/>
    <s v="Cyohoha lake sub catchment"/>
    <n v="13080"/>
  </r>
  <r>
    <x v="5"/>
    <s v="GAHURIRE"/>
    <s v="Nyirabazungu Julienne"/>
    <x v="0"/>
    <s v="BUGESERA"/>
    <s v="NGERUKA"/>
    <s v="NAKN_3"/>
    <s v="Cyohoha lake sub catchment"/>
    <n v="15560"/>
  </r>
  <r>
    <x v="5"/>
    <s v="KAYENZI"/>
    <s v="Usabyimfura Judith"/>
    <x v="0"/>
    <s v="BUGESERA"/>
    <s v="NGERUKA"/>
    <s v="NAKN_3"/>
    <s v="Cyohoha lake sub catchment"/>
    <n v="14580"/>
  </r>
  <r>
    <x v="5"/>
    <s v="KANGAMBA"/>
    <s v="BIGIRIMANA   Innocent                       "/>
    <x v="0"/>
    <s v="RWAMAGANA"/>
    <s v="KARENGE"/>
    <s v="NAKU_1"/>
    <s v="Mugesera/Sake sub catchment"/>
    <n v="14580"/>
  </r>
  <r>
    <x v="5"/>
    <s v="BUHABWA"/>
    <s v="BARINDA Joseph"/>
    <x v="0"/>
    <s v="KAYONZA"/>
    <s v="MURUNDI"/>
    <s v="NAKL_1"/>
    <s v="Akagera Lower catchment"/>
    <n v="28400"/>
  </r>
  <r>
    <x v="5"/>
    <s v="KANGAMBA"/>
    <s v="MUDAHERANWA Faustin                     "/>
    <x v="0"/>
    <s v="RWAMAGANA"/>
    <s v="KARENGE"/>
    <s v="NAKU_1"/>
    <s v="Mugesera/Sake sub catchment"/>
    <n v="15560"/>
  </r>
  <r>
    <x v="5"/>
    <s v="KINGAMBA"/>
    <s v="UWIHOREYE Theoneste                    "/>
    <x v="0"/>
    <s v="RWAMAGANA"/>
    <s v="KARENGE"/>
    <s v="NAKU_1"/>
    <s v="Mugesera/Sake sub catchment"/>
    <n v="18100"/>
  </r>
  <r>
    <x v="5"/>
    <s v="KANGAMBA"/>
    <s v="UWIRAGIYE Valens                                              "/>
    <x v="0"/>
    <s v="RWAMAGANA"/>
    <s v="KARENGE"/>
    <s v="NAKU_1"/>
    <s v="Mugesera/Sake sub catchment"/>
    <n v="17120"/>
  </r>
  <r>
    <x v="5"/>
    <s v="KANGAMBA"/>
    <s v="NDIKUBWIMANA Aphrodis                                       "/>
    <x v="0"/>
    <s v="RWAMAGANA"/>
    <s v="KARENGE"/>
    <s v="NAKU_1"/>
    <s v="Mugesera/Sake sub catchment"/>
    <n v="21040"/>
  </r>
  <r>
    <x v="5"/>
    <s v="RUBILIZI"/>
    <s v="MANIRAGABA J Baptiste  "/>
    <x v="0"/>
    <s v="KIREHE"/>
    <s v="NASHO"/>
    <s v="NAKL_1"/>
    <s v="Akagera Lower catchment"/>
    <n v="21040"/>
  </r>
  <r>
    <x v="5"/>
    <s v="RWESERO"/>
    <s v="KANYAMANZA HAKIZIMANA Eugene                          "/>
    <x v="0"/>
    <s v="NYARUGENGE"/>
    <s v="KIGALI"/>
    <s v="NNYL_1"/>
    <s v="Nyabugogo sub catchment"/>
    <n v="21040"/>
  </r>
  <r>
    <x v="5"/>
    <s v="GITUZA"/>
    <s v="MBARAGA Faustin"/>
    <x v="0"/>
    <s v="NGOMA"/>
    <s v="RUKUMBERI"/>
    <s v="NAKU_1"/>
    <s v="Mugesera/Sake sub catchment"/>
    <n v="21040"/>
  </r>
  <r>
    <x v="5"/>
    <s v="MURUNDI"/>
    <s v="SAFARI James"/>
    <x v="0"/>
    <s v="KAYONZA"/>
    <s v="MURUNDI"/>
    <s v="NAKL_1"/>
    <s v="Akagera Lower catchment"/>
    <n v="21040"/>
  </r>
  <r>
    <x v="5"/>
    <s v="KAYENZI"/>
    <s v="Rugabira Andre"/>
    <x v="0"/>
    <s v="BUGESERA"/>
    <s v="NGERUKA"/>
    <s v="NAKN_3"/>
    <s v="Cyohoha lake sub catchment"/>
    <n v="17700"/>
  </r>
  <r>
    <x v="5"/>
    <s v="GATABA"/>
    <s v="ABANYAMURAVA(NIZEYIMANA Daniel)"/>
    <x v="0"/>
    <s v="GAKENKE"/>
    <s v="RUSASA"/>
    <s v="NNYL_2"/>
    <s v="Mambu/Base sub catchment"/>
    <n v="21620"/>
  </r>
  <r>
    <x v="5"/>
    <s v="KARENGE"/>
    <s v="NSANZAMAHORO  Jean Claude                                                  "/>
    <x v="0"/>
    <s v="RWAMAGANA"/>
    <s v="KARENGE"/>
    <s v="NAKU_1"/>
    <s v="Mugesera/Sake sub catchment"/>
    <n v="21040"/>
  </r>
  <r>
    <x v="5"/>
    <s v="BUHABWA"/>
    <s v="ZIGIRA Alphonse"/>
    <x v="0"/>
    <s v="KAYONZA"/>
    <s v="MURUNDI"/>
    <s v="NAKL_1"/>
    <s v="Akagera Lower catchment"/>
    <n v="21040"/>
  </r>
  <r>
    <x v="5"/>
    <s v="NYAWERA"/>
    <s v="PASCAL UZABAKIRIHO"/>
    <x v="0"/>
    <s v="KAYONZA"/>
    <s v="MWILI"/>
    <s v="NAKL_1"/>
    <s v="Akagera Lower catchment"/>
    <n v="17120"/>
  </r>
  <r>
    <x v="5"/>
    <s v="KIGASHA"/>
    <s v="MUSONI Protais "/>
    <x v="0"/>
    <s v="GATSIBO"/>
    <s v="NGARAMA"/>
    <s v="NAKL_1"/>
    <s v="Akagera Lower catchment"/>
    <n v="17700"/>
  </r>
  <r>
    <x v="5"/>
    <s v="KAYENZI"/>
    <s v="Habimana J Bosco"/>
    <x v="0"/>
    <s v="BUGESERA"/>
    <s v="NGERUKA"/>
    <s v="NAKN_3"/>
    <s v="Cyohoha lake sub catchment"/>
    <n v="17120"/>
  </r>
  <r>
    <x v="5"/>
    <s v="KABASORE"/>
    <s v="NKURIKIYIMANA Cassien              "/>
    <x v="0"/>
    <s v="RWAMAGANA"/>
    <s v="KARENGE"/>
    <s v="NAKU_1"/>
    <s v="Mugesera/Sake sub catchment"/>
    <n v="13460"/>
  </r>
  <r>
    <x v="5"/>
    <s v="BYEZA"/>
    <s v="NYIRIMIHIGO Jean Marie Vianney                       "/>
    <x v="0"/>
    <s v="RWAMAGANA"/>
    <s v="MUHAZI"/>
    <s v="NAKU_1"/>
    <s v="Mugesera/Sake sub catchment"/>
    <n v="21040"/>
  </r>
  <r>
    <x v="5"/>
    <s v="CYARUKARA"/>
    <s v="BIGIRIMANA Silas "/>
    <x v="0"/>
    <s v="RUSIZI"/>
    <s v="MUGANZA"/>
    <s v="CRUS_1"/>
    <s v="Rubyiro sub catchment"/>
    <n v="21040"/>
  </r>
  <r>
    <x v="5"/>
    <s v="RUBIRA"/>
    <s v="KARENGERA GEOFRE"/>
    <x v="0"/>
    <s v="NYAGATARE"/>
    <s v="KATABAGEMU"/>
    <s v="NMUV_2"/>
    <s v="Warufu/Muvumba sub catchment"/>
    <n v="21040"/>
  </r>
  <r>
    <x v="5"/>
    <s v="RUBIRA"/>
    <s v="UGIRASHEBUJA ERIAS"/>
    <x v="0"/>
    <s v="NYAGATARE"/>
    <s v="KATABAGEMU"/>
    <s v="NMUV_2"/>
    <s v="Warufu/Muvumba sub catchment"/>
    <n v="28400"/>
  </r>
  <r>
    <x v="5"/>
    <s v="BAYIGABURIRE"/>
    <s v="NGENDAHIMANA ERNESTE"/>
    <x v="0"/>
    <s v="NYAGATARE"/>
    <s v="KATABAGEMU"/>
    <s v="NMUV_2"/>
    <s v="Warufu/Muvumba sub catchment"/>
    <n v="28400"/>
  </r>
  <r>
    <x v="5"/>
    <s v="NYAKIGANDO"/>
    <s v="MUJUNI FRED"/>
    <x v="0"/>
    <s v="NYAGATARE"/>
    <s v="KATABAGEMU"/>
    <s v="NMUV_2"/>
    <s v="Warufu/Muvumba sub catchment"/>
    <n v="28400"/>
  </r>
  <r>
    <x v="5"/>
    <s v="BWERA"/>
    <s v="RUGANGAZI Benjamin "/>
    <x v="0"/>
    <s v="NYAGATARE"/>
    <s v="MATIMBA"/>
    <s v="NAKL_1"/>
    <s v="Akagera Lower catchment"/>
    <n v="28400"/>
  </r>
  <r>
    <x v="5"/>
    <s v="BWERA"/>
    <s v="GAHUNDE FRANK"/>
    <x v="0"/>
    <s v="NYAGATARE"/>
    <s v="MATIMBA"/>
    <s v="NAKL_1"/>
    <s v="Akagera Lower catchment"/>
    <n v="28400"/>
  </r>
  <r>
    <x v="5"/>
    <s v="BWERA"/>
    <s v="MUCUMA ABDUL"/>
    <x v="0"/>
    <s v="NYAGATARE"/>
    <s v="MATIMBA"/>
    <s v="NAKL_1"/>
    <s v="Akagera Lower catchment"/>
    <n v="16220"/>
  </r>
  <r>
    <x v="5"/>
    <s v="BWERA"/>
    <s v="MPAMBARE ERNESTE"/>
    <x v="0"/>
    <s v="NYAGATARE"/>
    <s v="MATIMBA"/>
    <s v="NAKL_1"/>
    <s v="Akagera Lower catchment"/>
    <n v="17700"/>
  </r>
  <r>
    <x v="5"/>
    <s v="RWENTANGA"/>
    <s v="IRYARUREMESHA BONA Stephen "/>
    <x v="0"/>
    <s v="NYAGATARE"/>
    <s v="MATIMBA"/>
    <s v="NAKL_1"/>
    <s v="Akagera Lower catchment"/>
    <n v="17700"/>
  </r>
  <r>
    <x v="5"/>
    <s v="RWENTANGA"/>
    <s v="RUBAGUMYA SAM"/>
    <x v="0"/>
    <s v="NYAGATARE"/>
    <s v="MATIMBA"/>
    <s v="NAKL_1"/>
    <s v="Akagera Lower catchment"/>
    <n v="13460"/>
  </r>
  <r>
    <x v="5"/>
    <s v="BWERA"/>
    <s v="RUTAREMARA Christophe"/>
    <x v="0"/>
    <s v="NYAGATARE"/>
    <s v="MATIMBA"/>
    <s v="NAKL_1"/>
    <s v="Akagera Lower catchment"/>
    <n v="13460"/>
  </r>
  <r>
    <x v="5"/>
    <s v="RWENTANGA"/>
    <s v="MUHIZI Francois"/>
    <x v="0"/>
    <s v="NYAGATARE"/>
    <s v="MATIMBA"/>
    <s v="NAKL_1"/>
    <s v="Akagera Lower catchment"/>
    <n v="15840"/>
  </r>
  <r>
    <x v="5"/>
    <s v="RWENTANGA"/>
    <s v="NDAYAMBAJE Cedric"/>
    <x v="0"/>
    <s v="NYAGATARE"/>
    <s v="MATIMBA"/>
    <s v="NAKL_1"/>
    <s v="Akagera Lower catchment"/>
    <n v="15840"/>
  </r>
  <r>
    <x v="5"/>
    <s v="RWENTANGA"/>
    <s v="HITIMANA J.Paul"/>
    <x v="0"/>
    <s v="NYAGATARE"/>
    <s v="MATIMBA"/>
    <s v="NAKL_1"/>
    <s v="Akagera Lower catchment"/>
    <n v="15840"/>
  </r>
  <r>
    <x v="5"/>
    <s v="RWENTANGA"/>
    <s v="SEMASAKA J.Pierre"/>
    <x v="0"/>
    <s v="NYAGATARE"/>
    <s v="MATIMBA"/>
    <s v="NAKL_1"/>
    <s v="Akagera Lower catchment"/>
    <n v="21620"/>
  </r>
  <r>
    <x v="5"/>
    <s v="RWENTANGA"/>
    <s v="NIYODUSABA Adeodatus"/>
    <x v="0"/>
    <s v="NYAGATARE"/>
    <s v="MATIMBA"/>
    <s v="NAKL_1"/>
    <s v="Akagera Lower catchment"/>
    <n v="13080"/>
  </r>
  <r>
    <x v="5"/>
    <s v="KANYONZA"/>
    <s v="GAKARAMA Evariste"/>
    <x v="0"/>
    <s v="NYAGATARE"/>
    <s v="MATIMBA"/>
    <s v="NAKL_1"/>
    <s v="Akagera Lower catchment"/>
    <n v="13080"/>
  </r>
  <r>
    <x v="5"/>
    <s v="CYEMBOGO"/>
    <s v="HANYURWABAKE Stanslas"/>
    <x v="0"/>
    <s v="NYAGATARE"/>
    <s v="MATIMBA"/>
    <s v="NAKL_1"/>
    <s v="Akagera Lower catchment"/>
    <n v="13080"/>
  </r>
  <r>
    <x v="5"/>
    <s v="CYEMBOGO"/>
    <s v="NIZEYIMANA Antoine"/>
    <x v="0"/>
    <s v="NYAGATARE"/>
    <s v="MATIMBA"/>
    <s v="NAKL_1"/>
    <s v="Akagera Lower catchment"/>
    <n v="13080"/>
  </r>
  <r>
    <x v="5"/>
    <s v="RWENTANGA"/>
    <s v="UWAYEZU Clever"/>
    <x v="0"/>
    <s v="NYAGATARE"/>
    <s v="MATIMBA"/>
    <s v="NAKL_1"/>
    <s v="Akagera Lower catchment"/>
    <n v="15660"/>
  </r>
  <r>
    <x v="5"/>
    <s v="KAGITUMBA"/>
    <s v="HABUMUGISHA Peter"/>
    <x v="0"/>
    <s v="NYAGATARE"/>
    <s v="MATIMBA"/>
    <s v="NAKL_1"/>
    <s v="Akagera Lower catchment"/>
    <n v="15060"/>
  </r>
  <r>
    <x v="5"/>
    <s v="NGARAMA"/>
    <s v="MURISA DIOGENE"/>
    <x v="0"/>
    <s v="GATSIBO"/>
    <s v="NGARAMA"/>
    <s v="NAKL_1"/>
    <s v="Akagera Lower catchment"/>
    <n v="18100"/>
  </r>
  <r>
    <x v="5"/>
    <s v="KIGASHA"/>
    <s v="REBERO STEVEEN"/>
    <x v="0"/>
    <s v="GATSIBO"/>
    <s v="NGARAMA"/>
    <s v="NAKL_1"/>
    <s v="Akagera Lower catchment"/>
    <n v="18100"/>
  </r>
  <r>
    <x v="5"/>
    <s v="NGARAMA"/>
    <s v="UMUGABA THEOPHILE"/>
    <x v="0"/>
    <s v="GATSIBO"/>
    <s v="NGARAMA"/>
    <s v="NAKL_1"/>
    <s v="Akagera Lower catchment"/>
    <n v="18100"/>
  </r>
  <r>
    <x v="5"/>
    <s v="BWERA"/>
    <s v="MUTABAZI RONALD"/>
    <x v="0"/>
    <s v="NYAGATARE"/>
    <s v="MATIMBA"/>
    <s v="NAKL_1"/>
    <s v="Akagera Lower catchment"/>
    <n v="18100"/>
  </r>
  <r>
    <x v="5"/>
    <s v="GISIZA"/>
    <s v="NTANEZA JEAN DE DIEU"/>
    <x v="0"/>
    <s v="GAKENKE"/>
    <s v="MUYONGWE"/>
    <s v="NNYL_2"/>
    <s v="Mambu/Base sub catchment"/>
    <n v="18100"/>
  </r>
  <r>
    <x v="5"/>
    <s v="BWERA"/>
    <s v="RUTEMBESA SAM"/>
    <x v="0"/>
    <s v="NYAGATARE"/>
    <s v="MATIMBA"/>
    <s v="NAKL_1"/>
    <s v="Akagera Lower catchment"/>
    <n v="21040"/>
  </r>
  <r>
    <x v="5"/>
    <s v="RUHUNDA"/>
    <s v="RURAZI NGOBOKA Justin"/>
    <x v="0"/>
    <s v="RWAMAGANA"/>
    <s v="GISHARI"/>
    <s v="NAKU_1"/>
    <s v="Mugesera/Sake sub catchment"/>
    <n v="21040"/>
  </r>
  <r>
    <x v="5"/>
    <s v="KIGASHA"/>
    <s v="MUKANDORI Speciose"/>
    <x v="0"/>
    <s v="GATSIBO"/>
    <s v="NGARAMA"/>
    <s v="NAKL_1"/>
    <s v="Akagera Lower catchment"/>
    <n v="21040"/>
  </r>
  <r>
    <x v="5"/>
    <s v="MATIMBA"/>
    <s v="NSABIMANA ETIENNE"/>
    <x v="0"/>
    <s v="NYAGATARE"/>
    <s v="MATIMBA"/>
    <s v="NAKL_1"/>
    <s v="Akagera Lower catchment"/>
    <n v="21040"/>
  </r>
  <r>
    <x v="5"/>
    <s v="RUGEYO"/>
    <s v="NTIYAMIRA PATRICE"/>
    <x v="0"/>
    <s v="KAYONZA"/>
    <s v="MWILI"/>
    <s v="NAKL_1"/>
    <s v="Akagera Lower catchment"/>
    <n v="21040"/>
  </r>
  <r>
    <x v="5"/>
    <s v="BWERA"/>
    <s v="MAJYAMBERE BERNARD"/>
    <x v="0"/>
    <s v="NYAGATARE"/>
    <s v="MATIMBA"/>
    <s v="NAKL_1"/>
    <s v="Akagera Lower catchment"/>
    <n v="21040"/>
  </r>
  <r>
    <x v="5"/>
    <s v="BWERA"/>
    <s v="RUTAREMARA Christophe"/>
    <x v="0"/>
    <s v="NYAGATARE"/>
    <s v="MATIMBA"/>
    <s v="NAKL_1"/>
    <s v="Akagera Lower catchment"/>
    <n v="21040"/>
  </r>
  <r>
    <x v="5"/>
    <s v="BIBARE"/>
    <s v="NDAYAMBAJE PHOCUS"/>
    <x v="0"/>
    <s v="NYAGATARE"/>
    <s v="MIMURI"/>
    <s v="NMUV_2"/>
    <s v="Warufu/Muvumba sub catchment"/>
    <n v="21040"/>
  </r>
  <r>
    <x v="5"/>
    <s v="KIGASHA"/>
    <s v="Mukandori Speciose"/>
    <x v="0"/>
    <s v="GATSIBO"/>
    <s v="NGARAMA"/>
    <s v="NAKL_1"/>
    <s v="Akagera Lower catchment"/>
    <n v="21040"/>
  </r>
  <r>
    <x v="5"/>
    <s v="KIGASHA"/>
    <s v="MUSONI Protais                      "/>
    <x v="0"/>
    <s v="GATSIBO"/>
    <s v="NGARAMA"/>
    <s v="NAKL_1"/>
    <s v="Akagera Lower catchment"/>
    <n v="21040"/>
  </r>
  <r>
    <x v="5"/>
    <s v="BIBARE"/>
    <s v="NIYOYITA Felicien"/>
    <x v="0"/>
    <s v="NYAGATARE"/>
    <s v="MIMURI"/>
    <s v="NMUV_2"/>
    <s v="Warufu/Muvumba sub catchment"/>
    <n v="21040"/>
  </r>
  <r>
    <x v="5"/>
    <s v="MIMURI"/>
    <s v="NDAHIRO Cassien"/>
    <x v="0"/>
    <s v="NYAGATARE"/>
    <s v="MIMURI"/>
    <s v="NMUV_2"/>
    <s v="Warufu/Muvumba sub catchment"/>
    <n v="21040"/>
  </r>
  <r>
    <x v="5"/>
    <s v="NYAGISOZI"/>
    <s v="COOPERATIVE ABISHYIZEHAMWE URWONJYA"/>
    <x v="0"/>
    <s v="NYARUGURU"/>
    <s v="NYAGISOZI"/>
    <s v="NAKN_1"/>
    <s v="Giswi/Agatobwe sub catchment"/>
    <n v="21040"/>
  </r>
  <r>
    <x v="5"/>
    <s v="MBANDAZI"/>
    <s v="MUGABO WILSON"/>
    <x v="0"/>
    <s v="GASABO"/>
    <s v="RUSORORO"/>
    <s v="NNYL_1"/>
    <s v="Nyabugogo sub catchment"/>
    <n v="21040"/>
  </r>
  <r>
    <x v="5"/>
    <s v="GATARE"/>
    <s v="NDAHAYO ERNESTE"/>
    <x v="0"/>
    <s v="RWAMAGANA"/>
    <s v="NYAKARIRO"/>
    <s v="NAKU_1"/>
    <s v="Mugesera/Sake sub catchment"/>
    <n v="21040"/>
  </r>
  <r>
    <x v="5"/>
    <s v="SOVU"/>
    <s v="NGABOYAMABOKO JOSEPH"/>
    <x v="0"/>
    <s v="RWAMAGANA"/>
    <s v="KIGABIRO"/>
    <s v="NAKU_1"/>
    <s v="Mugesera/Sake sub catchment"/>
    <n v="21040"/>
  </r>
  <r>
    <x v="5"/>
    <s v="NYAGISOZI"/>
    <s v="SEKUTURE CELESTIN"/>
    <x v="0"/>
    <s v="NYAMAGABE"/>
    <s v="MUSANGE"/>
    <s v="NNYU_2"/>
    <s v="Mwogo sub catchment"/>
    <n v="8880"/>
  </r>
  <r>
    <x v="5"/>
    <s v="BUGAMBA"/>
    <s v="MUGABO JEAN"/>
    <x v="0"/>
    <s v="GATSIBO"/>
    <s v="NGARAMA"/>
    <s v="NAKL_1"/>
    <s v="Akagera Lower catchment"/>
    <n v="8880"/>
  </r>
  <r>
    <x v="5"/>
    <m/>
    <s v="NSHIMIYIMANA GAFARANGA EMMANUEL"/>
    <x v="0"/>
    <s v="RWAMAGANA"/>
    <s v="GISHARI"/>
    <s v="NAKU_1"/>
    <s v="Mugesera/Sake sub catchment"/>
    <n v="14580"/>
  </r>
  <r>
    <x v="5"/>
    <s v="MIMURI"/>
    <s v="RWEMARIKA Garkan"/>
    <x v="0"/>
    <s v="NYAGATARE"/>
    <s v="MIMURI"/>
    <s v="NMUV_2"/>
    <s v="Warufu/Muvumba sub catchment"/>
    <n v="14680"/>
  </r>
  <r>
    <x v="5"/>
    <s v="MIMURI"/>
    <s v="UWAMBAYE Providence"/>
    <x v="0"/>
    <s v="NYAGATARE"/>
    <s v="MIMURI"/>
    <s v="NMUV_2"/>
    <s v="Warufu/Muvumba sub catchment"/>
    <n v="14680"/>
  </r>
  <r>
    <x v="5"/>
    <s v="RWAMIKO"/>
    <s v="UHAGAZE FRODUARD"/>
    <x v="0"/>
    <s v="GISAGARA"/>
    <s v="MUGANZA"/>
    <s v="NAKN_2"/>
    <s v="Gishara/Mukunguri sub catchment"/>
    <n v="15760"/>
  </r>
  <r>
    <x v="5"/>
    <s v="RWAMIKO"/>
    <s v="NSABIMANA CELESTIN"/>
    <x v="0"/>
    <s v="GISAGARA"/>
    <s v="MUGANZA"/>
    <s v="NAKN_2"/>
    <s v="Gishara/Mukunguri sub catchment"/>
    <n v="14580"/>
  </r>
  <r>
    <x v="5"/>
    <s v="GACURABWENGE"/>
    <s v="EAR DIOCESE BYUMBA"/>
    <x v="0"/>
    <s v="GICUMBI"/>
    <s v="BYUMBA"/>
    <s v="NMUV_1"/>
    <s v="Murindi sub catchment"/>
    <n v="17120"/>
  </r>
  <r>
    <x v="5"/>
    <s v="GAKO"/>
    <s v="Mukarushema Marie Rose"/>
    <x v="0"/>
    <s v="KICUKIRO"/>
    <s v="MASAKA"/>
    <s v="NAKU_1"/>
    <s v="Mugesera/Sake sub catchment"/>
    <n v="17120"/>
  </r>
  <r>
    <x v="5"/>
    <s v="RUGARA"/>
    <s v="KARIKUMUTIMA Vincent"/>
    <x v="0"/>
    <s v="NYAGATARE"/>
    <s v="MIMURI"/>
    <s v="NMUV_2"/>
    <s v="Warufu/Muvumba sub catchment"/>
    <n v="17120"/>
  </r>
  <r>
    <x v="5"/>
    <s v="GAKOMA"/>
    <s v="NZITAKUZE Simon"/>
    <x v="0"/>
    <s v="NYAGATARE"/>
    <s v="MIMURI"/>
    <s v="NMUV_2"/>
    <s v="Warufu/Muvumba sub catchment"/>
    <n v="17120"/>
  </r>
  <r>
    <x v="5"/>
    <s v="RUGALI"/>
    <s v="SEMINEGA Fulgence"/>
    <x v="0"/>
    <s v="NYAGATARE"/>
    <s v="MIMURI"/>
    <s v="NMUV_2"/>
    <s v="Warufu/Muvumba sub catchment"/>
    <n v="17120"/>
  </r>
  <r>
    <x v="5"/>
    <s v="MIMURI"/>
    <s v="ABIYINGOMA LEONARD"/>
    <x v="0"/>
    <s v="NYAGATARE"/>
    <s v="MIMURI"/>
    <s v="NMUV_2"/>
    <s v="Warufu/Muvumba sub catchment"/>
    <n v="17120"/>
  </r>
  <r>
    <x v="5"/>
    <s v="RWERI"/>
    <s v="COOPERATIVE COOPAG"/>
    <x v="0"/>
    <s v="RWAMAGANA"/>
    <s v="GAHENGERI"/>
    <s v="NAKU_1"/>
    <s v="Mugesera/Sake sub catchment"/>
    <n v="17120"/>
  </r>
  <r>
    <x v="5"/>
    <s v="KAYENZI"/>
    <s v="Bucumi Pascal"/>
    <x v="0"/>
    <s v="BUGESERA"/>
    <s v="NGERUKA"/>
    <s v="NAKN_3"/>
    <s v="Cyohoha lake sub catchment"/>
    <n v="17120"/>
  </r>
  <r>
    <x v="5"/>
    <s v="KAYENZI"/>
    <s v="Nyiransabimana Epiphanie"/>
    <x v="0"/>
    <s v="BUGESERA"/>
    <s v="NGERUKA"/>
    <s v="NAKN_3"/>
    <s v="Cyohoha lake sub catchment"/>
    <n v="17120"/>
  </r>
  <r>
    <x v="5"/>
    <s v="KAYENZI"/>
    <s v="Niyobuhungiro  Samson"/>
    <x v="0"/>
    <s v="BUGESERA"/>
    <s v="NGERUKA"/>
    <s v="NAKN_3"/>
    <s v="Cyohoha lake sub catchment"/>
    <n v="17120"/>
  </r>
  <r>
    <x v="5"/>
    <s v="KAYENZI"/>
    <s v="Sezikeye Ildephonse"/>
    <x v="0"/>
    <s v="BUGESERA"/>
    <s v="NGERUKA"/>
    <s v="NAKN_3"/>
    <s v="Cyohoha lake sub catchment"/>
    <n v="17120"/>
  </r>
  <r>
    <x v="5"/>
    <s v="KAYENZI"/>
    <s v="Nsabimana Alexandre"/>
    <x v="0"/>
    <s v="BUGESERA"/>
    <s v="NGERUKA"/>
    <s v="NAKN_3"/>
    <s v="Cyohoha lake sub catchment"/>
    <n v="17120"/>
  </r>
  <r>
    <x v="5"/>
    <s v="KAYENZI"/>
    <s v="Uwimana Appolinarie"/>
    <x v="0"/>
    <s v="BUGESERA"/>
    <s v="NGERUKA"/>
    <s v="NAKN_3"/>
    <s v="Cyohoha lake sub catchment"/>
    <n v="17120"/>
  </r>
  <r>
    <x v="5"/>
    <s v="GIHEMBE"/>
    <s v="Murwanashyaka Nathan"/>
    <x v="0"/>
    <s v="BUGESERA"/>
    <s v="NGERUKA"/>
    <s v="NAKN_3"/>
    <s v="Cyohoha lake sub catchment"/>
    <n v="17120"/>
  </r>
  <r>
    <x v="5"/>
    <s v="CYUGARO"/>
    <s v="MAKUZA Celestin"/>
    <x v="0"/>
    <s v="BUGESERA"/>
    <s v="NTARAMA"/>
    <s v="NAKN_3"/>
    <s v="Cyohoha lake sub catchment"/>
    <n v="17120"/>
  </r>
  <r>
    <x v="5"/>
    <m/>
    <s v="ITSINDA         TWISUNGANE       "/>
    <x v="0"/>
    <s v="BUGESERA"/>
    <s v="NTARAMA"/>
    <s v="NAKN_3"/>
    <s v="Cyohoha lake sub catchment"/>
    <n v="17120"/>
  </r>
  <r>
    <x v="5"/>
    <s v="MURUMA"/>
    <s v="MUHIZI DELPHIN"/>
    <x v="0"/>
    <s v="BUGESERA"/>
    <s v="NYAMATA"/>
    <s v="NAKN_3"/>
    <s v="Cyohoha lake sub catchment"/>
    <n v="23670"/>
  </r>
  <r>
    <x v="5"/>
    <m/>
    <s v="SUNRIPE FARMS LTD"/>
    <x v="0"/>
    <s v="BUGESERA"/>
    <s v="NYAMATA"/>
    <s v="NAKN_3"/>
    <s v="Cyohoha lake sub catchment"/>
    <n v="32659.999999999996"/>
  </r>
  <r>
    <x v="5"/>
    <s v="MURAMA"/>
    <s v="CYIZA Consolee"/>
    <x v="0"/>
    <s v="BUGESERA"/>
    <s v="NYAMATA"/>
    <s v="NAKN_3"/>
    <s v="Cyohoha lake sub catchment"/>
    <n v="19464"/>
  </r>
  <r>
    <x v="5"/>
    <s v="MURAMA"/>
    <s v="Kayigi Pierre Claver"/>
    <x v="0"/>
    <s v="BUGESERA"/>
    <s v="NYAMATA"/>
    <s v="NAKN_3"/>
    <s v="Cyohoha lake sub catchment"/>
    <n v="16825"/>
  </r>
  <r>
    <x v="5"/>
    <s v="MURAMA"/>
    <s v="UWIZEYIMANA Jean De Dieu             "/>
    <x v="0"/>
    <s v="BUGESERA"/>
    <s v="NYAMATA"/>
    <s v="NAKN_3"/>
    <s v="Cyohoha lake sub catchment"/>
    <n v="22625"/>
  </r>
  <r>
    <x v="5"/>
    <s v="NYAMATA VILLE"/>
    <s v="RYUMUGABE J.M.V"/>
    <x v="0"/>
    <s v="BUGESERA"/>
    <s v="NYAMATA"/>
    <s v="NAKN_3"/>
    <s v="Cyohoha lake sub catchment"/>
    <n v="21400"/>
  </r>
  <r>
    <x v="5"/>
    <s v="NYAMATA VILLE"/>
    <s v="RYUMUGABE J.M.V"/>
    <x v="0"/>
    <s v="BUGESERA"/>
    <s v="NYAMATA"/>
    <s v="NAKN_3"/>
    <s v="Cyohoha lake sub catchment"/>
    <n v="22625"/>
  </r>
  <r>
    <x v="5"/>
    <s v="NYAMATA"/>
    <s v="KARANGWA Sylvestre"/>
    <x v="0"/>
    <s v="BUGESERA"/>
    <s v="NYAMATA"/>
    <s v="NAKN_3"/>
    <s v="Cyohoha lake sub catchment"/>
    <n v="21400"/>
  </r>
  <r>
    <x v="5"/>
    <s v="KAYUMBA"/>
    <s v="NDAYAMBAJE Samuel  "/>
    <x v="0"/>
    <s v="BUGESERA"/>
    <s v="NYAMATA"/>
    <s v="NAKN_3"/>
    <s v="Cyohoha lake sub catchment"/>
    <n v="26300"/>
  </r>
  <r>
    <x v="5"/>
    <s v="KAYUMBA"/>
    <s v="KALISA Jean Claude"/>
    <x v="0"/>
    <s v="BUGESERA"/>
    <s v="NYAMATA"/>
    <s v="NAKN_3"/>
    <s v="Cyohoha lake sub catchment"/>
    <n v="16350"/>
  </r>
  <r>
    <x v="5"/>
    <s v="KIMARANZARA"/>
    <s v="HAKUNDIMANA BISANANA innocent"/>
    <x v="0"/>
    <s v="BUGESERA"/>
    <s v="RILIMA"/>
    <s v="NAKU_1"/>
    <s v="Mugesera/Sake sub catchment"/>
    <n v="19575"/>
  </r>
  <r>
    <x v="5"/>
    <s v="NTARAMA"/>
    <s v="DUSENGIMANA Janvier"/>
    <x v="0"/>
    <s v="BUGESERA"/>
    <s v="RILIMA"/>
    <s v="NAKU_1"/>
    <s v="Mugesera/Sake sub catchment"/>
    <n v="18225"/>
  </r>
  <r>
    <x v="5"/>
    <s v="KIMARANZARA"/>
    <s v="KAYISIRE Damien                    "/>
    <x v="0"/>
    <s v="BUGESERA"/>
    <s v="RILIMA"/>
    <s v="NAKU_1"/>
    <s v="Mugesera/Sake sub catchment"/>
    <n v="35500"/>
  </r>
  <r>
    <x v="5"/>
    <s v="KARERA"/>
    <s v="BAYAVUGE Adrien             "/>
    <x v="0"/>
    <s v="BUGESERA"/>
    <s v="RILIMA"/>
    <s v="NAKU_1"/>
    <s v="Mugesera/Sake sub catchment"/>
    <n v="35500"/>
  </r>
  <r>
    <x v="5"/>
    <s v="KIMARANZARA"/>
    <s v="HABIMANA Alexis"/>
    <x v="0"/>
    <s v="BUGESERA"/>
    <s v="RILIMA"/>
    <s v="NAKU_1"/>
    <s v="Mugesera/Sake sub catchment"/>
    <n v="35500"/>
  </r>
  <r>
    <x v="5"/>
    <s v="KIMARANZARA"/>
    <s v="NSANZIMANA Jean de Dieu"/>
    <x v="0"/>
    <s v="BUGESERA"/>
    <s v="RILIMA"/>
    <s v="NAKU_1"/>
    <s v="Mugesera/Sake sub catchment"/>
    <n v="35500"/>
  </r>
  <r>
    <x v="5"/>
    <s v="RILIMA"/>
    <s v="NIYITEGEKA Abraham"/>
    <x v="0"/>
    <s v="BUGESERA"/>
    <s v="RILIMA"/>
    <s v="NAKU_1"/>
    <s v="Mugesera/Sake sub catchment"/>
    <n v="22125"/>
  </r>
  <r>
    <x v="5"/>
    <s v="RUHUHA"/>
    <s v="BANA Emmanuel"/>
    <x v="0"/>
    <s v="BUGESERA"/>
    <s v="RUHUHA"/>
    <s v="NAKU_1"/>
    <s v="Mugesera/Sake sub catchment"/>
    <n v="16825"/>
  </r>
  <r>
    <x v="5"/>
    <s v="NEMBA"/>
    <s v="NTAGARA Theophile"/>
    <x v="0"/>
    <s v="BUGESERA"/>
    <s v="RWERU"/>
    <s v="NAKU_2"/>
    <s v="Rweru sub catchment"/>
    <n v="16825"/>
  </r>
  <r>
    <x v="5"/>
    <m/>
    <s v="ABASHYIZEHAMWE/ RWERU-KINTAMBWE"/>
    <x v="0"/>
    <s v="BUGESERA"/>
    <s v="RWERU"/>
    <s v="NAKU_2"/>
    <s v="Rweru sub catchment"/>
    <n v="21400"/>
  </r>
  <r>
    <x v="5"/>
    <s v="KINTAMBWE"/>
    <s v="ITSINDA TWISUNGANE"/>
    <x v="0"/>
    <s v="BUGESERA"/>
    <s v="RWERU"/>
    <s v="NAKU_2"/>
    <s v="Rweru sub catchment"/>
    <n v="21400"/>
  </r>
  <r>
    <x v="5"/>
    <s v="NZIRANZIZA"/>
    <s v="HITIYAREMYE Cyprien"/>
    <x v="0"/>
    <s v="BUGESERA"/>
    <s v="SHYARA"/>
    <s v="NAKU_1"/>
    <s v="Mugesera/Sake sub catchment"/>
    <n v="21400"/>
  </r>
  <r>
    <x v="5"/>
    <s v="NZIRANZIZA"/>
    <s v="NDARIHORANYE Jean"/>
    <x v="0"/>
    <s v="BUGESERA"/>
    <s v="SHYARA"/>
    <s v="NAKN_3"/>
    <s v="Cyohoha lake sub catchment"/>
    <n v="38340.000000000007"/>
  </r>
  <r>
    <x v="5"/>
    <s v="RUTARE"/>
    <s v="HARAKANDI Isae"/>
    <x v="0"/>
    <s v="BUGESERA"/>
    <s v="SHYARA"/>
    <s v="NAKN_3"/>
    <s v="Cyohoha lake sub catchment"/>
    <n v="42316"/>
  </r>
  <r>
    <x v="5"/>
    <s v="KABAGUGU"/>
    <s v="NZACYAHINYERETSE Denis"/>
    <x v="0"/>
    <s v="BUGESERA"/>
    <s v="SHYARA"/>
    <s v="NAKN_3"/>
    <s v="Cyohoha lake sub catchment"/>
    <n v="24330"/>
  </r>
  <r>
    <x v="5"/>
    <m/>
    <s v="UWAMAHORO Agnes     "/>
    <x v="0"/>
    <s v="BUGESERA"/>
    <m/>
    <s v="NAKN_3"/>
    <s v="Cyohoha lake sub catchment"/>
    <n v="31560"/>
  </r>
  <r>
    <x v="5"/>
    <s v="KIVUMU"/>
    <s v="UWISHEMA Georgette"/>
    <x v="0"/>
    <s v="BURERA"/>
    <s v="NEMBA"/>
    <s v="NMUK_1"/>
    <s v="Burera/Ruhondo sub catchment"/>
    <n v="26550"/>
  </r>
  <r>
    <x v="5"/>
    <s v="NDUBA"/>
    <s v="NTAWUKURIRYAYO J Damascene"/>
    <x v="0"/>
    <s v="GASABO"/>
    <s v="NDUBA"/>
    <s v="NNYL_1"/>
    <s v="Nyabugogo sub catchment"/>
    <n v="26550"/>
  </r>
  <r>
    <x v="5"/>
    <m/>
    <s v="FIDESCO Rwanda, CECYDAR"/>
    <x v="0"/>
    <s v="GASABO"/>
    <s v="REMERA"/>
    <s v="NNYL_1"/>
    <s v="Nyabugogo sub catchment"/>
    <n v="42600"/>
  </r>
  <r>
    <x v="5"/>
    <s v="GASOGI"/>
    <s v="MURAMIRA Gregoire"/>
    <x v="0"/>
    <s v="GASABO"/>
    <s v="NDERA"/>
    <s v="NNYL_1"/>
    <s v="Nyabugogo sub catchment"/>
    <n v="32430"/>
  </r>
  <r>
    <x v="5"/>
    <s v="MURAMA"/>
    <s v="ABASHIRIKABUTE BAGASABO"/>
    <x v="0"/>
    <s v="GASABO"/>
    <s v="KINYINYA"/>
    <s v="NNYL_1"/>
    <s v="Nyabugogo sub catchment"/>
    <n v="32430"/>
  </r>
  <r>
    <x v="5"/>
    <m/>
    <s v="HAKIZIMANA Claude  "/>
    <x v="0"/>
    <s v="GASABO"/>
    <s v="RUSORO"/>
    <s v="NNYL_1"/>
    <s v="Nyabugogo sub catchment"/>
    <n v="32430"/>
  </r>
  <r>
    <x v="5"/>
    <m/>
    <s v="COODAKI "/>
    <x v="0"/>
    <s v="GASABO"/>
    <s v="KINYINYA"/>
    <s v="NNYL_1"/>
    <s v="Nyabugogo sub catchment"/>
    <n v="42600"/>
  </r>
  <r>
    <x v="5"/>
    <m/>
    <s v="GATERA Egide"/>
    <x v="0"/>
    <s v="GASABO"/>
    <s v="KINYINYA"/>
    <s v="NNYL_1"/>
    <s v="Nyabugogo sub catchment"/>
    <n v="42600"/>
  </r>
  <r>
    <x v="5"/>
    <s v="KINYANA"/>
    <s v="NIYONSENGA Michel  "/>
    <x v="0"/>
    <s v="GASABO"/>
    <s v="KINYINYA"/>
    <s v="NNYL_1"/>
    <s v="Nyabugogo sub catchment"/>
    <n v="42600"/>
  </r>
  <r>
    <x v="5"/>
    <s v="KIBAGABAGA"/>
    <s v="MUHIRWA Richard                    "/>
    <x v="0"/>
    <s v="GASABO"/>
    <s v="KIMIRONKO"/>
    <s v="NNYL_1"/>
    <s v="Nyabugogo sub catchment"/>
    <n v="31560"/>
  </r>
  <r>
    <x v="5"/>
    <s v="GACURIRO"/>
    <s v="UWIMANA Josepha"/>
    <x v="0"/>
    <s v="GASABO"/>
    <s v="KINYINYA"/>
    <s v="NNYL_1"/>
    <s v="Nyabugogo sub catchment"/>
    <n v="32430"/>
  </r>
  <r>
    <x v="5"/>
    <s v="MURAMA"/>
    <s v="GAFARANGA Thadee (inkwakuzi za rusenyi)"/>
    <x v="0"/>
    <s v="GASABO"/>
    <s v="KINYINYA"/>
    <s v="NNYL_1"/>
    <s v="Nyabugogo sub catchment"/>
    <n v="22590"/>
  </r>
  <r>
    <x v="5"/>
    <s v="RUDASHYA"/>
    <s v="NIYONSABA SYLDIO"/>
    <x v="0"/>
    <s v="GASABO"/>
    <s v="NDERA"/>
    <s v="NNYL_1"/>
    <s v="Nyabugogo sub catchment"/>
    <n v="25680"/>
  </r>
  <r>
    <x v="5"/>
    <s v="GATEKO"/>
    <s v="NYIRABAGENZI Marie Goretti     "/>
    <x v="0"/>
    <s v="GASABO"/>
    <s v="JALI"/>
    <s v="NNYL_1"/>
    <s v="Nyabugogo sub catchment"/>
    <n v="23340"/>
  </r>
  <r>
    <x v="5"/>
    <s v="NGARAMA"/>
    <s v="MUKABUTARE GODELIVA"/>
    <x v="0"/>
    <s v="GATSIBO"/>
    <s v="NGARAMA"/>
    <s v="NAKL_1"/>
    <s v="Akagera Lower catchment"/>
    <n v="31560"/>
  </r>
  <r>
    <x v="5"/>
    <s v="BUGAMBA"/>
    <s v="NSHIMIYIMANA JEAN DE DIEU"/>
    <x v="0"/>
    <s v="GATSIBO"/>
    <s v="NGARAMA"/>
    <s v="NAKL_1"/>
    <s v="Akagera Lower catchment"/>
    <n v="23760"/>
  </r>
  <r>
    <x v="5"/>
    <s v="KIGASHA"/>
    <s v="KAMIRE FIATE"/>
    <x v="0"/>
    <s v="GATSIBO"/>
    <s v="NGARAMA"/>
    <s v="NAKL_1"/>
    <s v="Akagera Lower catchment"/>
    <n v="24330"/>
  </r>
  <r>
    <x v="5"/>
    <s v="NGARAMA"/>
    <s v="HITIMANA JEAN DAMASCENE"/>
    <x v="0"/>
    <s v="GATSIBO"/>
    <s v="NGARAMA"/>
    <s v="NAKL_1"/>
    <s v="Akagera Lower catchment"/>
    <n v="42600"/>
  </r>
  <r>
    <x v="5"/>
    <m/>
    <s v="SHYAKA THEONESTE"/>
    <x v="0"/>
    <s v="GATSIBO"/>
    <s v="NGARAMA"/>
    <s v="NAKL_1"/>
    <s v="Akagera Lower catchment"/>
    <n v="19620"/>
  </r>
  <r>
    <x v="5"/>
    <s v="MUNINI"/>
    <s v="Mukamanzi Joseline"/>
    <x v="0"/>
    <s v="GATSIBO"/>
    <s v="RWIMBOGO"/>
    <s v="NAKL_1"/>
    <s v="Akagera Lower catchment"/>
    <n v="23340"/>
  </r>
  <r>
    <x v="5"/>
    <s v="MUNINI"/>
    <s v="BAYIJAHE INNOCENT"/>
    <x v="0"/>
    <s v="GATSIBO"/>
    <s v="RWIMBOGO"/>
    <s v="NAKL_1"/>
    <s v="Akagera Lower catchment"/>
    <n v="42600"/>
  </r>
  <r>
    <x v="5"/>
    <s v="NYARUBUYE"/>
    <s v="KARAMAGE Issa"/>
    <x v="0"/>
    <s v="GICUMBI"/>
    <s v="MUTETE"/>
    <s v="NMUV_1"/>
    <s v="Murindi sub catchment"/>
    <n v="31560"/>
  </r>
  <r>
    <x v="5"/>
    <s v="GATWARO"/>
    <s v="MUTAMBUKA Protais                              "/>
    <x v="0"/>
    <s v="GICUMBI"/>
    <s v="RUTARE"/>
    <s v="NMUV_1"/>
    <s v="Murindi sub catchment"/>
    <n v="31560"/>
  </r>
  <r>
    <x v="5"/>
    <s v="NYIRAVUGIZA"/>
    <s v="HARELIMANA Jean Bosco"/>
    <x v="0"/>
    <s v="GICUMBI"/>
    <s v="MANYAGIRO"/>
    <s v="NMUV_1"/>
    <s v="Murindi sub catchment"/>
    <n v="27150"/>
  </r>
  <r>
    <x v="5"/>
    <s v="MUYAGA"/>
    <s v=" NAYIGIZEKI  BONIFACE"/>
    <x v="0"/>
    <s v="GISAGARA"/>
    <s v="MAMBA"/>
    <s v="NAKN_2"/>
    <s v="Gishara/Mukunguri sub catchment"/>
    <n v="19620"/>
  </r>
  <r>
    <x v="5"/>
    <s v="NYARUTEJA"/>
    <s v=" NKUNDABAGENZI EMMANUEL"/>
    <x v="0"/>
    <s v="GISAGARA"/>
    <s v="NYANZA"/>
    <s v="NAKN_2"/>
    <s v="Gishara/Mukunguri sub catchment"/>
    <n v="19620"/>
  </r>
  <r>
    <x v="5"/>
    <s v="KIMANA"/>
    <s v="GASHAYIJA Martin"/>
    <x v="0"/>
    <s v="GISAGARA"/>
    <s v="MUSHA"/>
    <s v="NAKN_2"/>
    <s v="Gishara/Mukunguri sub catchment"/>
    <n v="27150"/>
  </r>
  <r>
    <x v="5"/>
    <s v="HIGIRO"/>
    <s v="KOPERATIVE NTAMACOO"/>
    <x v="0"/>
    <s v="GISAGARA"/>
    <s v="NYANZA"/>
    <s v="NAKN_2"/>
    <s v="Gishara/Mukunguri sub catchment"/>
    <n v="19620"/>
  </r>
  <r>
    <x v="5"/>
    <s v="MUYAGA"/>
    <s v=" NAYIGIZEKI  BONIFACE"/>
    <x v="0"/>
    <s v="GISAGARA"/>
    <s v="MAMBA"/>
    <s v="NAKN_2"/>
    <s v="Gishara/Mukunguri sub catchment"/>
    <n v="22590"/>
  </r>
  <r>
    <x v="5"/>
    <s v="UMUBANGA"/>
    <s v="HAKIMANA Pascal"/>
    <x v="0"/>
    <s v="GISAGARA"/>
    <s v="NYANZA"/>
    <s v="NAKN_2"/>
    <s v="Gishara/Mukunguri sub catchment"/>
    <n v="26550"/>
  </r>
  <r>
    <x v="5"/>
    <s v="UMUBANGA"/>
    <s v="NSABIMANA Pascal"/>
    <x v="0"/>
    <s v="GISAGARA"/>
    <s v="NYANZA"/>
    <s v="NAKN_2"/>
    <s v="Gishara/Mukunguri sub catchment"/>
    <n v="26550"/>
  </r>
  <r>
    <x v="5"/>
    <s v="MBOGO"/>
    <s v="NDAGIJIMANA PHENIAS"/>
    <x v="0"/>
    <s v="GISAGARA"/>
    <s v="GIKONKO"/>
    <s v="NAKN_2"/>
    <s v="Gishara/Mukunguri sub catchment"/>
    <n v="31560"/>
  </r>
  <r>
    <x v="5"/>
    <m/>
    <s v="IPRC SOUTH"/>
    <x v="0"/>
    <s v="HUYE"/>
    <s v="NGOMA"/>
    <s v="NNYU_2"/>
    <s v="Mwogo sub catchment"/>
    <n v="25680"/>
  </r>
  <r>
    <x v="5"/>
    <s v="NYUMBA"/>
    <s v="GATETE Emmanuel"/>
    <x v="0"/>
    <s v="HUYE"/>
    <s v="GISHAMVU"/>
    <s v="NNYU_2"/>
    <s v="Mwogo sub catchment"/>
    <n v="24330"/>
  </r>
  <r>
    <x v="5"/>
    <s v="GISHAMVU"/>
    <s v="NIZEYIMANA Athanase"/>
    <x v="0"/>
    <s v="HUYE"/>
    <s v="GISHAMVU"/>
    <s v="NNYU_2"/>
    <s v="Mwogo sub catchment"/>
    <n v="23490"/>
  </r>
  <r>
    <x v="5"/>
    <s v="KIDAHWE"/>
    <s v="NIYONIZEYE Juvenal"/>
    <x v="0"/>
    <s v="KAMONYI"/>
    <s v="NYAMIYAGA"/>
    <s v="NNYL_2"/>
    <s v="Mambu/Base sub catchment"/>
    <n v="21870"/>
  </r>
  <r>
    <x v="5"/>
    <s v="KIGESE"/>
    <s v="NGWABIJE Daniel"/>
    <x v="0"/>
    <s v="KAMONYI"/>
    <s v="RUGALIKA"/>
    <s v="NNYL_2"/>
    <s v="Mambu/Base sub catchment"/>
    <n v="32430"/>
  </r>
  <r>
    <x v="5"/>
    <s v="SHELI"/>
    <s v="DUSHIMIMANA Philbert"/>
    <x v="0"/>
    <s v="KAMONYI"/>
    <s v="RUGARIKA"/>
    <s v="NNYL_2"/>
    <s v="Mambu/Base sub catchment"/>
    <n v="32430"/>
  </r>
  <r>
    <x v="5"/>
    <s v="SHERI"/>
    <s v="NSHIMIYIMANA Claude"/>
    <x v="0"/>
    <s v="KAMONYI"/>
    <s v="RUGARIKA"/>
    <s v="NNYL_2"/>
    <s v="Mambu/Base sub catchment"/>
    <n v="32430"/>
  </r>
  <r>
    <x v="5"/>
    <s v="SHELI"/>
    <s v="NSABIMANA Youssouf"/>
    <x v="0"/>
    <s v="KAMONYI"/>
    <s v="RUGARIKA"/>
    <s v="NNYL_2"/>
    <s v="Mambu/Base sub catchment"/>
    <n v="25680"/>
  </r>
  <r>
    <x v="5"/>
    <s v="KIGESE"/>
    <s v="HATEGEKIMANA Emmanuel"/>
    <x v="0"/>
    <s v="KAMONYI"/>
    <s v="RUGARIKA"/>
    <s v="NNYL_2"/>
    <s v="Mambu/Base sub catchment"/>
    <n v="31560"/>
  </r>
  <r>
    <x v="5"/>
    <s v="MIBIRIZI"/>
    <s v=" MUMVANEZA JUSTIN"/>
    <x v="0"/>
    <s v="KAMONYI"/>
    <s v="RUGARIKA"/>
    <s v="NNYL_2"/>
    <s v="Mambu/Base sub catchment"/>
    <n v="31560"/>
  </r>
  <r>
    <x v="5"/>
    <s v="MIBIRIZI"/>
    <s v=" MUMVANEZA JUSTIN"/>
    <x v="0"/>
    <s v="KAMONYI"/>
    <s v="RUGARIKA"/>
    <s v="NNYL_2"/>
    <s v="Mambu/Base sub catchment"/>
    <n v="19620"/>
  </r>
  <r>
    <x v="5"/>
    <s v="KAGINA"/>
    <s v="CONGREGATION DES                       FRERES JOSEPHITES                 "/>
    <x v="0"/>
    <s v="KAMONYI"/>
    <s v="RUNDA"/>
    <s v="NNYL_2"/>
    <s v="Mambu/Base sub catchment"/>
    <n v="31560"/>
  </r>
  <r>
    <x v="5"/>
    <s v="MUGANZA"/>
    <s v="NDAGIJIMANA Hassan Paul"/>
    <x v="0"/>
    <s v="KAMONYI"/>
    <s v="RUNDA"/>
    <s v="NNYL_2"/>
    <s v="Mambu/Base sub catchment"/>
    <n v="42600"/>
  </r>
  <r>
    <x v="5"/>
    <s v="MUGANZA"/>
    <s v="MUKARUZINDANA Dorothee"/>
    <x v="0"/>
    <s v="KAMONYI"/>
    <s v="RUNDA"/>
    <s v="NNYL_2"/>
    <s v="Mambu/Base sub catchment"/>
    <n v="24330"/>
  </r>
  <r>
    <x v="5"/>
    <s v="KIGANDARO"/>
    <s v="MPORANYIMIGABO Prosper"/>
    <x v="0"/>
    <s v="KARONGI"/>
    <s v="MURAMBI"/>
    <s v="NNYU_3"/>
    <s v="Nyabarongo upstream sub catchment"/>
    <n v="24330"/>
  </r>
  <r>
    <x v="5"/>
    <s v="RUGEYO"/>
    <s v="NTIYAMIRA PATRICE"/>
    <x v="0"/>
    <s v="KAYONZA"/>
    <s v="MWILI"/>
    <s v="NAKL_1"/>
    <s v="Akagera Lower catchment"/>
    <n v="24330"/>
  </r>
  <r>
    <x v="5"/>
    <s v="NYAMUGARI"/>
    <s v="KANAMUGIRE Jean  Pierre                                               "/>
    <x v="0"/>
    <s v="KAYONZA"/>
    <s v="MWURIRE"/>
    <s v="NAKL_1"/>
    <s v="Akagera Lower catchment"/>
    <n v="24330"/>
  </r>
  <r>
    <x v="5"/>
    <s v="BYIMANA"/>
    <s v="NSONZERUMPA Jean"/>
    <x v="0"/>
    <s v="KAYONZA"/>
    <s v="NDEGO"/>
    <s v="NAKL_1"/>
    <s v="Akagera Lower catchment"/>
    <n v="26550"/>
  </r>
  <r>
    <x v="5"/>
    <s v="BYIMANA"/>
    <s v="Ishimwe Daniel"/>
    <x v="0"/>
    <s v="KAYONZA"/>
    <s v="NDEGO"/>
    <s v="NAKL_1"/>
    <s v="Akagera Lower catchment"/>
    <n v="20190"/>
  </r>
  <r>
    <x v="5"/>
    <s v="ISANGANO"/>
    <s v="Ndayambaje Yves"/>
    <x v="0"/>
    <s v="KAYONZA"/>
    <s v="NDEGO"/>
    <s v="NAKL_1"/>
    <s v="Akagera Lower catchment"/>
    <n v="20190"/>
  </r>
  <r>
    <x v="5"/>
    <s v="ISANGANO"/>
    <s v="GASANA Andre                          "/>
    <x v="0"/>
    <s v="KAYONZA"/>
    <s v="NDEGO"/>
    <s v="NAKL_1"/>
    <s v="Akagera Lower catchment"/>
    <n v="32430"/>
  </r>
  <r>
    <x v="5"/>
    <s v="ISANGANO"/>
    <s v="TWIZERIMANA Emmanuel"/>
    <x v="0"/>
    <s v="KAYONZA"/>
    <s v="NDEGO"/>
    <s v="NAKL_1"/>
    <s v="Akagera Lower catchment"/>
    <n v="19620"/>
  </r>
  <r>
    <x v="5"/>
    <s v="KIYOVU"/>
    <s v="HABIYAREMYE Evaliste"/>
    <x v="0"/>
    <s v="KAYONZA"/>
    <s v="NDENGO"/>
    <s v="NAKL_1"/>
    <s v="Akagera Lower catchment"/>
    <n v="19620"/>
  </r>
  <r>
    <x v="5"/>
    <s v="GIKAYA"/>
    <s v="MUTAMBARUNGU J M V"/>
    <x v="0"/>
    <s v="KAYONZA"/>
    <s v="NYAMIRAMA"/>
    <s v="NAKL_1"/>
    <s v="Akagera Lower catchment"/>
    <n v="19620"/>
  </r>
  <r>
    <x v="5"/>
    <s v="RUGARAMA"/>
    <s v="UWIMANA DANIEL"/>
    <x v="0"/>
    <s v="KAYONZA"/>
    <s v="NYAMIRAMA"/>
    <s v="NAKL_1"/>
    <s v="Akagera Lower catchment"/>
    <n v="19620"/>
  </r>
  <r>
    <x v="5"/>
    <s v="MUSUMBA"/>
    <s v="MUJYANAMA Aber"/>
    <x v="0"/>
    <s v="KAYONZA"/>
    <s v="NYAMIRAMA"/>
    <s v="NAKL_1"/>
    <s v="Akagera Lower catchment"/>
    <n v="27150"/>
  </r>
  <r>
    <x v="5"/>
    <s v="RUGARAMA"/>
    <s v="UWIMANA Daniel"/>
    <x v="0"/>
    <s v="KAYONZA"/>
    <s v="NYAMIRAMA"/>
    <s v="NAKL_1"/>
    <s v="Akagera Lower catchment"/>
    <n v="27150"/>
  </r>
  <r>
    <x v="5"/>
    <s v="GAHURIRE"/>
    <s v="Ndanguza Reverane"/>
    <x v="0"/>
    <s v="KAYONZA"/>
    <s v="RWINKWAVU"/>
    <s v="NAKL_1"/>
    <s v="Akagera Lower catchment"/>
    <n v="31560"/>
  </r>
  <r>
    <x v="5"/>
    <s v="MUKOYOYO"/>
    <s v="MFITUMUKIZA Innocet "/>
    <x v="0"/>
    <s v="KAYONZA"/>
    <s v="RWINKWAVU"/>
    <s v="NAKL_1"/>
    <s v="Akagera Lower catchment"/>
    <n v="31560"/>
  </r>
  <r>
    <x v="5"/>
    <s v="MUKOYOYO"/>
    <s v="MFITUMUKIZA Innocet    "/>
    <x v="0"/>
    <s v="KAYONZA"/>
    <s v="RWINKWAVU"/>
    <s v="NAKL_1"/>
    <s v="Akagera Lower catchment"/>
    <n v="31560"/>
  </r>
  <r>
    <x v="5"/>
    <s v="GAKO"/>
    <s v="Twagiramungu Telesphole"/>
    <x v="0"/>
    <s v="KICUKIRO"/>
    <s v="MASAKA"/>
    <s v="NAKU_1"/>
    <s v="Mugesera/Sake sub catchment"/>
    <n v="31560"/>
  </r>
  <r>
    <x v="5"/>
    <s v="GAKO"/>
    <s v="NAHIMANA Bruno"/>
    <x v="0"/>
    <s v="KICUKIRO"/>
    <s v="MASAKA"/>
    <s v="NAKU_1"/>
    <s v="Mugesera/Sake sub catchment"/>
    <n v="31560"/>
  </r>
  <r>
    <x v="5"/>
    <s v="GAKO"/>
    <s v="RANGIRA Cassim"/>
    <x v="0"/>
    <s v="KICUKIRO"/>
    <s v="MASAKA"/>
    <s v="NAKU_1"/>
    <s v="Mugesera/Sake sub catchment"/>
    <n v="31560"/>
  </r>
  <r>
    <x v="5"/>
    <s v="GITARAGA"/>
    <s v="KARISA Yves"/>
    <x v="0"/>
    <s v="KICUKIRO"/>
    <s v="MASAKA"/>
    <s v="NAKU_1"/>
    <s v="Mugesera/Sake sub catchment"/>
    <n v="31560"/>
  </r>
  <r>
    <x v="5"/>
    <s v="GITARAGA"/>
    <s v="KARISA Yves"/>
    <x v="0"/>
    <s v="KICUKIRO"/>
    <s v="MASAKA"/>
    <s v="NAKU_1"/>
    <s v="Mugesera/Sake sub catchment"/>
    <n v="31560"/>
  </r>
  <r>
    <x v="5"/>
    <s v="MBABE"/>
    <s v="MUSABYIMANA Petronille"/>
    <x v="0"/>
    <s v="KICUKIRO"/>
    <s v="MASAKA"/>
    <s v="NAKU_1"/>
    <s v="Mugesera/Sake sub catchment"/>
    <n v="31560"/>
  </r>
  <r>
    <x v="5"/>
    <s v="MBABE"/>
    <s v="NDOBA R. Roger "/>
    <x v="0"/>
    <s v="KICUKIRO"/>
    <s v="MASAKA"/>
    <s v="NAKU_1"/>
    <s v="Mugesera/Sake sub catchment"/>
    <n v="31560"/>
  </r>
  <r>
    <x v="5"/>
    <s v="MBABE"/>
    <s v="NDOBA R. Roger    "/>
    <x v="0"/>
    <s v="KICUKIRO"/>
    <s v="MASAKA"/>
    <s v="NAKU_1"/>
    <s v="Mugesera/Sake sub catchment"/>
    <n v="31560"/>
  </r>
  <r>
    <x v="5"/>
    <s v="RUSHESHE"/>
    <s v="HAGUMIMANA Wencisilas"/>
    <x v="0"/>
    <s v="KICUKIRO"/>
    <s v="MASAKA"/>
    <s v="NAKU_1"/>
    <s v="Mugesera/Sake sub catchment"/>
    <n v="31560"/>
  </r>
  <r>
    <x v="5"/>
    <s v="RUSHESHE"/>
    <s v="HAKIZIMANA Alexandre"/>
    <x v="0"/>
    <s v="KICUKIRO"/>
    <s v="MASAKA"/>
    <s v="NAKU_1"/>
    <s v="Mugesera/Sake sub catchment"/>
    <n v="13320"/>
  </r>
  <r>
    <x v="5"/>
    <s v="RUSHESHE"/>
    <s v="MUKARWEGO Marie"/>
    <x v="0"/>
    <s v="KICUKIRO"/>
    <s v="MASAKA"/>
    <s v="NAKU_1"/>
    <s v="Mugesera/Sake sub catchment"/>
    <n v="21870"/>
  </r>
  <r>
    <x v="5"/>
    <s v="RUSHESHE"/>
    <s v="Dusengimana Leostache"/>
    <x v="0"/>
    <s v="KICUKIRO"/>
    <s v="MASAKA"/>
    <s v="NAKU_1"/>
    <s v="Mugesera/Sake sub catchment"/>
    <n v="25680"/>
  </r>
  <r>
    <x v="5"/>
    <s v="RUSHESHE"/>
    <s v="NIRINGIYIMANA Francois"/>
    <x v="0"/>
    <s v="KICUKIRO"/>
    <s v="MASAKA"/>
    <s v="NAKU_1"/>
    <s v="Mugesera/Sake sub catchment"/>
    <n v="25680"/>
  </r>
  <r>
    <x v="5"/>
    <s v="RUSHESHE"/>
    <s v="UWIMPUNDU Theophile"/>
    <x v="0"/>
    <s v="KICUKIRO"/>
    <s v="MASAKA"/>
    <s v="NAKU_1"/>
    <s v="Mugesera/Sake sub catchment"/>
    <n v="25680"/>
  </r>
  <r>
    <x v="5"/>
    <s v="RUSHESHE"/>
    <s v="HAKIZIMANA Alexandre"/>
    <x v="0"/>
    <s v="KICUKIRO"/>
    <s v="MASAKA"/>
    <s v="NAKU_1"/>
    <s v="Mugesera/Sake sub catchment"/>
    <n v="25680"/>
  </r>
  <r>
    <x v="5"/>
    <s v="GITARAGA"/>
    <s v="UWIMANA Aline"/>
    <x v="0"/>
    <s v="KICUKIRO"/>
    <s v="NYAGATARE"/>
    <s v="NAKU_1"/>
    <s v="Mugesera/Sake sub catchment"/>
    <n v="25680"/>
  </r>
  <r>
    <x v="5"/>
    <s v="RUBILIZI"/>
    <s v="RUKUNDO Eric  "/>
    <x v="0"/>
    <s v="KIREHE"/>
    <s v="NASHO"/>
    <s v="NAKL_1"/>
    <s v="Akagera Lower catchment"/>
    <n v="25680"/>
  </r>
  <r>
    <x v="5"/>
    <s v="RUBILIZI"/>
    <s v="HABUMUGISHA Alphonse "/>
    <x v="0"/>
    <s v="KIREHE"/>
    <s v="NASHO"/>
    <s v="NAKL_1"/>
    <s v="Akagera Lower catchment"/>
    <n v="25680"/>
  </r>
  <r>
    <x v="5"/>
    <s v="RUBILIZI"/>
    <s v="NIRAGIRE Bosco  "/>
    <x v="0"/>
    <s v="KIREHE"/>
    <s v="NASHO"/>
    <s v="NAKU_2"/>
    <s v="Rweru sub catchment"/>
    <n v="30975"/>
  </r>
  <r>
    <x v="5"/>
    <s v="NYARUTUNGA"/>
    <s v="SINDIKUBWABO Evariste                                      "/>
    <x v="0"/>
    <s v="KIREHE"/>
    <s v="NYARUBUYE"/>
    <s v="NAKU_2"/>
    <s v="Rweru sub catchment"/>
    <n v="49700"/>
  </r>
  <r>
    <x v="5"/>
    <s v="MAREBA"/>
    <s v="MUYOBOKE Jean Nepo        "/>
    <x v="0"/>
    <s v="KIREHE"/>
    <s v="NYARUBUYE"/>
    <s v="NAKU_2"/>
    <s v="Rweru sub catchment"/>
    <n v="29960"/>
  </r>
  <r>
    <x v="5"/>
    <s v="BIRINGARA"/>
    <s v="NYIRASAFARI Triphonie"/>
    <x v="0"/>
    <s v="MUHANGA"/>
    <s v="CYEZA"/>
    <s v="NNYU_3"/>
    <s v="Nyabarongo upstream sub catchment"/>
    <n v="31675"/>
  </r>
  <r>
    <x v="5"/>
    <s v="GITUZA"/>
    <s v="MBANGUKIRA Juvenal"/>
    <x v="0"/>
    <s v="NGOMA"/>
    <s v="RUKUMBERI"/>
    <s v="NAKU_1"/>
    <s v="Mugesera/Sake sub catchment"/>
    <n v="49700"/>
  </r>
  <r>
    <x v="5"/>
    <s v="RUBONA"/>
    <s v="HATANGIMANA Xavier"/>
    <x v="0"/>
    <s v="NGOMA"/>
    <s v="RUKUMBERI"/>
    <s v="NAKU_1"/>
    <s v="Mugesera/Sake sub catchment"/>
    <n v="29960"/>
  </r>
  <r>
    <x v="5"/>
    <s v="RUBONA"/>
    <s v="NYAMINANI Damien"/>
    <x v="0"/>
    <s v="NGOMA"/>
    <s v="RUKUMBERI"/>
    <s v="NAKU_1"/>
    <s v="Mugesera/Sake sub catchment"/>
    <n v="34240"/>
  </r>
  <r>
    <x v="5"/>
    <s v="RWINTASHYA"/>
    <s v="NTAMABYARIRO Sylvere "/>
    <x v="0"/>
    <s v="NGOMA"/>
    <s v="RUKUMBERI"/>
    <s v="NAKU_1"/>
    <s v="Mugesera/Sake sub catchment"/>
    <n v="31520"/>
  </r>
  <r>
    <x v="5"/>
    <s v="RUBONA"/>
    <s v="MUSHEJA Innocent"/>
    <x v="0"/>
    <s v="NGOMA"/>
    <s v="RUKUMBERI"/>
    <s v="NAKU_1"/>
    <s v="Mugesera/Sake sub catchment"/>
    <n v="42080"/>
  </r>
  <r>
    <x v="5"/>
    <s v="NTOVI"/>
    <s v="KANAMUGIRE Mongi Hornella Chantal"/>
    <x v="0"/>
    <s v="NGOMA"/>
    <s v="RUKUMBERI"/>
    <s v="NAKU_1"/>
    <s v="Mugesera/Sake sub catchment"/>
    <n v="42080"/>
  </r>
  <r>
    <x v="5"/>
    <s v="NTOVI"/>
    <s v="KUBWAYO Charles"/>
    <x v="0"/>
    <s v="NGOMA"/>
    <s v="RUKUMBERI"/>
    <s v="NAKU_1"/>
    <s v="Mugesera/Sake sub catchment"/>
    <n v="42080"/>
  </r>
  <r>
    <x v="5"/>
    <s v="RUBONA"/>
    <s v="NYAMINANI Damien"/>
    <x v="0"/>
    <s v="NGOMA"/>
    <s v="RUKUMBERI"/>
    <s v="NAKU_1"/>
    <s v="Mugesera/Sake sub catchment"/>
    <n v="56800"/>
  </r>
  <r>
    <x v="5"/>
    <s v="RUBONA"/>
    <s v="NTABARESHA Patrice"/>
    <x v="0"/>
    <s v="NGOMA"/>
    <s v="RUKUMBERI"/>
    <s v="NAKU_1"/>
    <s v="Mugesera/Sake sub catchment"/>
    <n v="56800"/>
  </r>
  <r>
    <x v="5"/>
    <s v="RUBONA"/>
    <s v="HABIRYAYO Obed"/>
    <x v="0"/>
    <s v="NGOMA"/>
    <s v="RUKUMBERI"/>
    <s v="NAKU_1"/>
    <s v="Mugesera/Sake sub catchment"/>
    <n v="34240"/>
  </r>
  <r>
    <x v="5"/>
    <s v="RUBONA"/>
    <s v="HATANGIMANA Xavier            "/>
    <x v="0"/>
    <s v="NGOMA"/>
    <s v="RUKUMBERI"/>
    <s v="NAKU_1"/>
    <s v="Mugesera/Sake sub catchment"/>
    <n v="29160"/>
  </r>
  <r>
    <x v="5"/>
    <s v="RUBONA"/>
    <s v="NYAMINANI Damien                "/>
    <x v="0"/>
    <s v="NGOMA"/>
    <s v="RUKUMBERI"/>
    <s v="NAKU_1"/>
    <s v="Mugesera/Sake sub catchment"/>
    <n v="43240"/>
  </r>
  <r>
    <x v="5"/>
    <s v="RWINTASHYA"/>
    <s v="NTAMABYARIRO Sylvere                  "/>
    <x v="0"/>
    <s v="NGOMA"/>
    <s v="RUKUMBERI"/>
    <s v="NAKU_1"/>
    <s v="Mugesera/Sake sub catchment"/>
    <n v="43240"/>
  </r>
  <r>
    <x v="5"/>
    <s v="GITUZA"/>
    <s v="NSABIMANA Aloys"/>
    <x v="0"/>
    <s v="NGOMA"/>
    <s v="RUKUMBERI"/>
    <s v="NAKU_1"/>
    <s v="Mugesera/Sake sub catchment"/>
    <n v="32440"/>
  </r>
  <r>
    <x v="5"/>
    <s v="RUBONA"/>
    <s v="NZAYISENGA Emmanuel"/>
    <x v="0"/>
    <s v="NGOMA"/>
    <s v="RUKUMBERI"/>
    <s v="NAKU_1"/>
    <s v="Mugesera/Sake sub catchment"/>
    <n v="36200"/>
  </r>
  <r>
    <x v="5"/>
    <s v="RUBOGO"/>
    <s v="NZEYIMANA Emmanuel"/>
    <x v="0"/>
    <s v="NGOMA"/>
    <s v="RUKUMBERI"/>
    <s v="NAKU_1"/>
    <s v="Mugesera/Sake sub catchment"/>
    <n v="42080"/>
  </r>
  <r>
    <x v="5"/>
    <s v="MUHURIRE"/>
    <s v="MPORE Eric"/>
    <x v="0"/>
    <s v="NGOMA"/>
    <s v="RURENGE"/>
    <s v="NAKU_1"/>
    <s v="Mugesera/Sake sub catchment"/>
    <n v="29360"/>
  </r>
  <r>
    <x v="5"/>
    <s v="RUGESE"/>
    <s v="KINTU Emmanuel"/>
    <x v="0"/>
    <s v="NGOMA"/>
    <s v="RURENGE"/>
    <s v="NAKU_1"/>
    <s v="Mugesera/Sake sub catchment"/>
    <n v="56800"/>
  </r>
  <r>
    <x v="5"/>
    <s v="GAFUNZO"/>
    <s v="GASHAYIGI J.Paul"/>
    <x v="0"/>
    <s v="NGOMA"/>
    <s v="SAKE"/>
    <s v="NAKU_1"/>
    <s v="Mugesera/Sake sub catchment"/>
    <n v="56800"/>
  </r>
  <r>
    <x v="5"/>
    <m/>
    <s v="KOPERATIVE KOTASA"/>
    <x v="0"/>
    <s v="NGOMA"/>
    <s v="SAKE"/>
    <s v="NAKU_1"/>
    <s v="Mugesera/Sake sub catchment"/>
    <n v="35400"/>
  </r>
  <r>
    <x v="5"/>
    <s v="GAFUNZO"/>
    <s v="KAYITESIRE Marie Laetitia"/>
    <x v="0"/>
    <s v="NGOMA"/>
    <s v="SAKE"/>
    <s v="NAKU_1"/>
    <s v="Mugesera/Sake sub catchment"/>
    <n v="29160"/>
  </r>
  <r>
    <x v="5"/>
    <s v="RUHEMBE"/>
    <s v="RWAMUGENZA Francois"/>
    <x v="0"/>
    <s v="NGOMA"/>
    <s v="ZAZA"/>
    <s v="NAKU_1"/>
    <s v="Mugesera/Sake sub catchment"/>
    <n v="29160"/>
  </r>
  <r>
    <x v="5"/>
    <s v="NYAGATUNGUNDA"/>
    <s v="HAKIZIMANA Mihigo Theogene"/>
    <x v="0"/>
    <s v="NGOMA"/>
    <s v="ZAZA"/>
    <s v="NAKU_1"/>
    <s v="Mugesera/Sake sub catchment"/>
    <n v="42080"/>
  </r>
  <r>
    <x v="5"/>
    <m/>
    <s v="STEVIA PLUS LTD"/>
    <x v="0"/>
    <s v="NGOMA"/>
    <s v="ZAZA"/>
    <s v="NAKU_1"/>
    <s v="Mugesera/Sake sub catchment"/>
    <n v="29160"/>
  </r>
  <r>
    <x v="5"/>
    <m/>
    <s v=" STEVIA PLUS LTD"/>
    <x v="0"/>
    <s v="NGOMA"/>
    <s v="ZAZA"/>
    <s v="NAKU_1"/>
    <s v="Mugesera/Sake sub catchment"/>
    <n v="29360"/>
  </r>
  <r>
    <x v="5"/>
    <s v="NYAGATUNGA"/>
    <s v="HAKIZIMANA  Mihigo Theogene"/>
    <x v="0"/>
    <s v="NGOMA"/>
    <s v="ZAZA"/>
    <s v="NAKU_1"/>
    <s v="Mugesera/Sake sub catchment"/>
    <n v="30120"/>
  </r>
  <r>
    <x v="5"/>
    <s v="MIMURI"/>
    <s v="HABARUREMA ENODE"/>
    <x v="0"/>
    <s v="NYAGATARE"/>
    <s v="MIMURI"/>
    <s v="NMUV_2"/>
    <s v="Warufu/Muvumba sub catchment"/>
    <n v="43240"/>
  </r>
  <r>
    <x v="5"/>
    <s v="MIMURI"/>
    <s v="NGIRENTE EMMANUEL"/>
    <x v="0"/>
    <s v="NYAGATARE"/>
    <s v="MIMURI"/>
    <s v="NMUV_2"/>
    <s v="Warufu/Muvumba sub catchment"/>
    <n v="32440"/>
  </r>
  <r>
    <x v="5"/>
    <s v="RUGARAMA"/>
    <s v=" SEMAKURA Cyprien (CODPUM)"/>
    <x v="0"/>
    <s v="NYAGATARE"/>
    <s v="MUKAMA"/>
    <s v="NMUV_2"/>
    <s v="Warufu/Muvumba sub catchment"/>
    <n v="56800"/>
  </r>
  <r>
    <x v="5"/>
    <s v="RUGARAMA"/>
    <s v="CODPCUM (Semakura Cyprien )"/>
    <x v="0"/>
    <s v="NYAGATARE"/>
    <s v="MUKAMA"/>
    <s v="NMUV_2"/>
    <s v="Warufu/Muvumba sub catchment"/>
    <n v="56800"/>
  </r>
  <r>
    <x v="5"/>
    <s v="GIHENGERI"/>
    <s v="KAMBANDA Jean Claude         "/>
    <x v="0"/>
    <s v="NYAGATARE"/>
    <s v="MUKAMA"/>
    <s v="NMUV_2"/>
    <s v="Warufu/Muvumba sub catchment"/>
    <n v="56800"/>
  </r>
  <r>
    <x v="5"/>
    <s v="BUTUNDA"/>
    <s v="DUKUNDE ISUKA    "/>
    <x v="0"/>
    <s v="NYAGATARE"/>
    <s v="MUKAMA"/>
    <s v="NMUV_2"/>
    <s v="Warufu/Muvumba sub catchment"/>
    <n v="32440"/>
  </r>
  <r>
    <x v="5"/>
    <s v="KIBIRIZI"/>
    <s v="MUCURIRE Jeanette"/>
    <x v="0"/>
    <s v="NYAGATARE"/>
    <s v="MUSHELI"/>
    <s v="NMUV_2"/>
    <s v="Warufu/Muvumba sub catchment"/>
    <n v="26160"/>
  </r>
  <r>
    <x v="5"/>
    <s v="NYAGATABIRE"/>
    <s v="UWIMANA Grace"/>
    <x v="0"/>
    <s v="NYAGATARE"/>
    <s v="MUSHELI"/>
    <s v="NMUV_2"/>
    <s v="Warufu/Muvumba sub catchment"/>
    <n v="43240"/>
  </r>
  <r>
    <x v="5"/>
    <s v="NYAGATABIRE"/>
    <s v="RUGIRA John"/>
    <x v="0"/>
    <s v="NYAGATARE"/>
    <s v="MUSHELI"/>
    <s v="NMUV_2"/>
    <s v="Warufu/Muvumba sub catchment"/>
    <n v="26160"/>
  </r>
  <r>
    <x v="5"/>
    <s v="NYAGATABIRE"/>
    <s v="SHYAKA George"/>
    <x v="0"/>
    <s v="NYAGATARE"/>
    <s v="MUSHERI"/>
    <s v="NMUV_2"/>
    <s v="Warufu/Muvumba sub catchment"/>
    <n v="31320"/>
  </r>
  <r>
    <x v="5"/>
    <s v="NYAGATABIRE"/>
    <s v="SHYAKA George            "/>
    <x v="0"/>
    <s v="NYAGATARE"/>
    <s v="MUSHERI"/>
    <s v="NMUV_2"/>
    <s v="Warufu/Muvumba sub catchment"/>
    <n v="36200"/>
  </r>
  <r>
    <x v="5"/>
    <s v="KIGASHA"/>
    <s v="NDAYISENGA ALEXANDRE"/>
    <x v="0"/>
    <s v="NYAGATARE"/>
    <s v="NGARAMA"/>
    <s v="NMUV_2"/>
    <s v="Warufu/Muvumba sub catchment"/>
    <n v="42080"/>
  </r>
  <r>
    <x v="5"/>
    <s v="NSHEKE"/>
    <s v="Frank J.R MUNYANEZA"/>
    <x v="0"/>
    <s v="NYAGATARE"/>
    <s v="NYAGATARE"/>
    <s v="NMUV_2"/>
    <s v="Warufu/Muvumba sub catchment"/>
    <n v="42080"/>
  </r>
  <r>
    <x v="5"/>
    <s v="NSHEKE"/>
    <s v="BUSINGE Souzan"/>
    <x v="0"/>
    <s v="NYAGATARE"/>
    <s v="NYAGATARE"/>
    <s v="NMUV_2"/>
    <s v="Warufu/Muvumba sub catchment"/>
    <n v="42080"/>
  </r>
  <r>
    <x v="5"/>
    <s v="CYABAYAGA"/>
    <s v="HABYARIMANA Joseph"/>
    <x v="0"/>
    <s v="NYAGATARE"/>
    <s v="NYAGATARE"/>
    <s v="NMUV_2"/>
    <s v="Warufu/Muvumba sub catchment"/>
    <n v="42080"/>
  </r>
  <r>
    <x v="5"/>
    <s v="RUTARAKA"/>
    <s v="NGARAMBE Francis"/>
    <x v="0"/>
    <s v="NYAGATARE"/>
    <s v="NYAGATARE"/>
    <s v="NMUV_2"/>
    <s v="Warufu/Muvumba sub catchment"/>
    <n v="29160"/>
  </r>
  <r>
    <x v="5"/>
    <s v="CYABAYAGA"/>
    <s v="NDOREYAHO Vianney"/>
    <x v="0"/>
    <s v="NYAGATARE"/>
    <s v="NYAGATARE"/>
    <s v="NMUV_2"/>
    <s v="Warufu/Muvumba sub catchment"/>
    <n v="29360"/>
  </r>
  <r>
    <x v="5"/>
    <s v="CYABAYAGA"/>
    <s v="HATEGEKIMANA Aloys"/>
    <x v="0"/>
    <s v="NYAGATARE"/>
    <s v="NYAGATARE"/>
    <s v="NMUV_2"/>
    <s v="Warufu/Muvumba sub catchment"/>
    <n v="31520"/>
  </r>
  <r>
    <x v="5"/>
    <s v="GAKIRAGE"/>
    <s v="Kazungu Sylivestre"/>
    <x v="0"/>
    <s v="NYAGATARE"/>
    <s v="NYAGATARE"/>
    <s v="NMUV_2"/>
    <s v="Warufu/Muvumba sub catchment"/>
    <n v="34240"/>
  </r>
  <r>
    <x v="5"/>
    <s v="NSHEKE"/>
    <s v="NYAGATARE SECONDARY SCHOOL"/>
    <x v="0"/>
    <s v="NYAGATARE"/>
    <s v="NYAGATARE"/>
    <s v="NMUV_2"/>
    <s v="Warufu/Muvumba sub catchment"/>
    <n v="39825"/>
  </r>
  <r>
    <x v="5"/>
    <s v="RYABEGA"/>
    <s v="NYIRINGANGO THACIEN"/>
    <x v="0"/>
    <s v="NYAGATARE"/>
    <s v="NYAGATARE"/>
    <s v="NMUV_2"/>
    <s v="Warufu/Muvumba sub catchment"/>
    <n v="39825"/>
  </r>
  <r>
    <x v="5"/>
    <s v="BUSHOGA"/>
    <s v="UWISHEMA MILTON"/>
    <x v="0"/>
    <s v="NYAGATARE"/>
    <s v="NYAGATARE"/>
    <s v="NMUV_2"/>
    <s v="Warufu/Muvumba sub catchment"/>
    <n v="40550"/>
  </r>
  <r>
    <x v="5"/>
    <s v="BARIJA"/>
    <s v="BARUGIRA JOHN"/>
    <x v="0"/>
    <s v="NYAGATARE"/>
    <s v="NYAGATARE"/>
    <s v="NMUV_2"/>
    <s v="Warufu/Muvumba sub catchment"/>
    <n v="52600"/>
  </r>
  <r>
    <x v="5"/>
    <s v="NSHEKE"/>
    <s v="NDUNGUTSE Gilbert"/>
    <x v="0"/>
    <s v="NYAGATARE"/>
    <s v="NYAGATARE"/>
    <s v="NMUV_2"/>
    <s v="Warufu/Muvumba sub catchment"/>
    <n v="71000"/>
  </r>
  <r>
    <x v="5"/>
    <s v="RUTARAKA"/>
    <s v=" NGARAMBE Francis"/>
    <x v="0"/>
    <s v="NYAGATARE"/>
    <s v="NYAGATARE"/>
    <s v="NMUV_2"/>
    <s v="Warufu/Muvumba sub catchment"/>
    <n v="71000"/>
  </r>
  <r>
    <x v="5"/>
    <s v="RUTARAKA"/>
    <s v=" NGARAMBE Francis"/>
    <x v="0"/>
    <s v="NYAGATARE"/>
    <s v="NYAGATARE"/>
    <s v="NMUV_2"/>
    <s v="Warufu/Muvumba sub catchment"/>
    <n v="71000"/>
  </r>
  <r>
    <x v="5"/>
    <s v="RURENGE"/>
    <s v="GAFURUKA GEORGE:"/>
    <x v="0"/>
    <s v="NYAGATARE"/>
    <s v="RUKOMO"/>
    <s v="NMUV_2"/>
    <s v="Warufu/Muvumba sub catchment"/>
    <n v="22200"/>
  </r>
  <r>
    <x v="5"/>
    <s v="RURENGE"/>
    <s v="Turwanyinzara (UWITONZE Edouard, NDEREYIMANA J. Batiste)"/>
    <x v="0"/>
    <s v="NYAGATARE"/>
    <s v="RUKOMO"/>
    <s v="NMUV_2"/>
    <s v="Warufu/Muvumba sub catchment"/>
    <n v="45250"/>
  </r>
  <r>
    <x v="5"/>
    <s v="RUKOMO"/>
    <s v="UWIMANA J.Pierre"/>
    <x v="0"/>
    <s v="NYAGATARE"/>
    <s v="RUKOMO"/>
    <s v="NMUV_2"/>
    <s v="Warufu/Muvumba sub catchment"/>
    <n v="32700"/>
  </r>
  <r>
    <x v="5"/>
    <s v="RURENGE"/>
    <s v="KOTIDIURU     "/>
    <x v="0"/>
    <s v="NYAGATARE"/>
    <s v="RUKOMO"/>
    <s v="NMUV_2"/>
    <s v="Warufu/Muvumba sub catchment"/>
    <n v="32700"/>
  </r>
  <r>
    <x v="5"/>
    <s v="KAZAZA"/>
    <s v="RUHIMBANA John"/>
    <x v="0"/>
    <s v="NYAGATARE"/>
    <s v="RWEMPASHA"/>
    <s v="NMUV_2"/>
    <s v="Warufu/Muvumba sub catchment"/>
    <n v="71000"/>
  </r>
  <r>
    <x v="5"/>
    <s v="KIJOJO"/>
    <s v=" Rwajekare Straton"/>
    <x v="0"/>
    <s v="NYAGATARE"/>
    <s v="RWEMPASHA"/>
    <s v="NMUV_2"/>
    <s v="Warufu/Muvumba sub catchment"/>
    <n v="71000"/>
  </r>
  <r>
    <x v="5"/>
    <s v="GASINGO"/>
    <s v="KAYITARE GEOFREY"/>
    <x v="0"/>
    <s v="NYAGATARE"/>
    <s v="RWEMPASHA"/>
    <s v="NMUV_2"/>
    <s v="Warufu/Muvumba sub catchment"/>
    <n v="52600"/>
  </r>
  <r>
    <x v="5"/>
    <m/>
    <s v="ABADATENGUHA MUVUMBA"/>
    <x v="0"/>
    <s v="NYAGATARE"/>
    <s v="RWEMPASHA"/>
    <s v="NMUV_2"/>
    <s v="Warufu/Muvumba sub catchment"/>
    <n v="52600"/>
  </r>
  <r>
    <x v="5"/>
    <s v="RUTARE"/>
    <s v="MUKANDORI Christine"/>
    <x v="0"/>
    <s v="NYAGATARE"/>
    <s v="RWEMPASHA"/>
    <s v="NMUV_2"/>
    <s v="Warufu/Muvumba sub catchment"/>
    <n v="52600"/>
  </r>
  <r>
    <x v="5"/>
    <s v="RUTARE"/>
    <s v="MUKANDOLI CHRISTINE  "/>
    <x v="0"/>
    <s v="NYAGATARE"/>
    <s v="RWEMPASHA"/>
    <s v="NMUV_2"/>
    <s v="Warufu/Muvumba sub catchment"/>
    <n v="52600"/>
  </r>
  <r>
    <x v="5"/>
    <s v="KIJOJO"/>
    <s v="SENZOGA Innocent"/>
    <x v="0"/>
    <s v="NYAGATARE"/>
    <s v="RWEMPASHA"/>
    <s v="NMUV_2"/>
    <s v="Warufu/Muvumba sub catchment"/>
    <n v="45250"/>
  </r>
  <r>
    <x v="5"/>
    <m/>
    <s v="TURAGARA Augustin"/>
    <x v="0"/>
    <s v="NYAGATARE"/>
    <s v="RWIMIYAGA "/>
    <s v="NAKL_1"/>
    <s v="Akagera Lower catchment"/>
    <n v="52600"/>
  </r>
  <r>
    <x v="5"/>
    <s v="KIREBE"/>
    <s v="MUGIMBA Fidele"/>
    <x v="0"/>
    <s v="NYAGATARE"/>
    <s v="RWIMIYAGA "/>
    <s v="NAKL_1"/>
    <s v="Akagera Lower catchment"/>
    <n v="39600"/>
  </r>
  <r>
    <x v="5"/>
    <s v="KIREBE"/>
    <s v="MUGABO Eric"/>
    <x v="0"/>
    <s v="NYAGATARE"/>
    <s v="RWIMIYAGA "/>
    <s v="NAKL_1"/>
    <s v="Akagera Lower catchment"/>
    <n v="45250"/>
  </r>
  <r>
    <x v="5"/>
    <s v="BUTUNGU"/>
    <s v="KAMPAYANA Augustin"/>
    <x v="0"/>
    <s v="NYAGATARE"/>
    <s v="RWIMIYAGA "/>
    <s v="NAKL_1"/>
    <s v="Akagera Lower catchment"/>
    <n v="45250"/>
  </r>
  <r>
    <x v="5"/>
    <s v="KIREBE"/>
    <s v="KAYUMBA CHARLES"/>
    <x v="0"/>
    <s v="NYAGATARE"/>
    <s v="RWIMIYAGA "/>
    <s v="NAKL_1"/>
    <s v="Akagera Lower catchment"/>
    <n v="33650"/>
  </r>
  <r>
    <x v="5"/>
    <s v="KIREBE"/>
    <s v="MUGABO ERIC"/>
    <x v="0"/>
    <s v="NYAGATARE"/>
    <s v="RWIMIYAGA "/>
    <s v="NAKL_1"/>
    <s v="Akagera Lower catchment"/>
    <n v="54050"/>
  </r>
  <r>
    <x v="5"/>
    <s v="KIREBE"/>
    <s v="KALISA Michel "/>
    <x v="0"/>
    <s v="NYAGATARE"/>
    <s v="RWIMIYAGA "/>
    <s v="NAKL_1"/>
    <s v="Akagera Lower catchment"/>
    <n v="44250"/>
  </r>
  <r>
    <x v="5"/>
    <s v="KIREBE"/>
    <s v="GASANA DAMAS"/>
    <x v="0"/>
    <s v="NYAGATARE"/>
    <s v="RWIMIYAGA "/>
    <s v="NAKL_1"/>
    <s v="Akagera Lower catchment"/>
    <n v="52600"/>
  </r>
  <r>
    <x v="5"/>
    <s v="NTOMA"/>
    <s v="NTARE FRANCIS"/>
    <x v="0"/>
    <s v="NYAGATARE"/>
    <s v="RWIMIYAGA "/>
    <s v="NAKL_1"/>
    <s v="Akagera Lower catchment"/>
    <n v="42800"/>
  </r>
  <r>
    <x v="5"/>
    <s v="KIREBE"/>
    <s v="MUKARUNYANA SPECIOSE"/>
    <x v="0"/>
    <s v="NYAGATARE"/>
    <s v="RWIMIYAGA "/>
    <s v="NAKL_1"/>
    <s v="Akagera Lower catchment"/>
    <n v="42800"/>
  </r>
  <r>
    <x v="5"/>
    <s v="KIREBE"/>
    <s v="NYIRANZEYIMANA VEDASTINE"/>
    <x v="0"/>
    <s v="NYAGATARE"/>
    <s v="RWIMIYAGA "/>
    <s v="NAKL_1"/>
    <s v="Akagera Lower catchment"/>
    <n v="40550"/>
  </r>
  <r>
    <x v="5"/>
    <s v="KIREBE"/>
    <s v="MUKAGASANA PERUTH"/>
    <x v="0"/>
    <s v="NYAGATARE"/>
    <s v="RWIMIYAGA "/>
    <s v="NAKL_1"/>
    <s v="Akagera Lower catchment"/>
    <n v="36450"/>
  </r>
  <r>
    <x v="5"/>
    <s v="NTOMA"/>
    <s v="RUTEMBESA EMMANUEL"/>
    <x v="0"/>
    <s v="NYAGATARE"/>
    <s v="RWIMIYAGA "/>
    <s v="NAKL_1"/>
    <s v="Akagera Lower catchment"/>
    <n v="54050"/>
  </r>
  <r>
    <x v="5"/>
    <s v="NYARUPFUBIRE"/>
    <s v="BAMBANZE ROBERT"/>
    <x v="0"/>
    <s v="NYAGATARE"/>
    <s v="RWIMIYAGA "/>
    <s v="NAKL_1"/>
    <s v="Akagera Lower catchment"/>
    <n v="29050"/>
  </r>
  <r>
    <x v="5"/>
    <s v="KIREBE"/>
    <s v="KAZUNGU WILSON"/>
    <x v="0"/>
    <s v="NYAGATARE"/>
    <s v="RWIMIYAGA "/>
    <s v="NAKL_1"/>
    <s v="Akagera Lower catchment"/>
    <n v="42800"/>
  </r>
  <r>
    <x v="5"/>
    <s v="RUTUNGA"/>
    <s v="NTAMBARA MANASSEH"/>
    <x v="0"/>
    <s v="NYAGATARE"/>
    <s v="RWIMIYAGA "/>
    <s v="NAKL_1"/>
    <s v="Akagera Lower catchment"/>
    <n v="71000"/>
  </r>
  <r>
    <x v="5"/>
    <s v="KIREBE"/>
    <s v="RUDASINGWA Agire Fred"/>
    <x v="0"/>
    <s v="NYAGATARE"/>
    <s v="RWIMIYAGA "/>
    <s v="NAKL_1"/>
    <s v="Akagera Lower catchment"/>
    <n v="33650"/>
  </r>
  <r>
    <x v="5"/>
    <s v="KABEZA"/>
    <s v="NSENGIYUMVA Djumatatu"/>
    <x v="0"/>
    <s v="NYAGATARE"/>
    <s v="RWIMIYAGA "/>
    <s v="NAKL_1"/>
    <s v="Akagera Lower catchment"/>
    <n v="39150"/>
  </r>
  <r>
    <x v="5"/>
    <s v="KIREBE"/>
    <s v="KALISA Michel"/>
    <x v="0"/>
    <s v="NYAGATARE"/>
    <s v="RWIMIYAGA "/>
    <s v="NAKL_1"/>
    <s v="Akagera Lower catchment"/>
    <n v="52600"/>
  </r>
  <r>
    <x v="5"/>
    <s v="KIREBE"/>
    <s v="BUTOYI Hamisi"/>
    <x v="0"/>
    <s v="NYAGATARE"/>
    <s v="RWIMIYAGA "/>
    <s v="NAKL_1"/>
    <s v="Akagera Lower catchment"/>
    <n v="52600"/>
  </r>
  <r>
    <x v="5"/>
    <s v="KIREBE"/>
    <s v="KARISA Michel"/>
    <x v="0"/>
    <s v="NYAGATARE"/>
    <s v="RWIMIYAGA "/>
    <s v="NAKL_1"/>
    <s v="Akagera Lower catchment"/>
    <n v="52600"/>
  </r>
  <r>
    <x v="5"/>
    <s v="KIREBE"/>
    <s v="BUTOYI Hamisi"/>
    <x v="0"/>
    <s v="NYAGATARE"/>
    <s v="RWIMIYAGA "/>
    <s v="NAKL_1"/>
    <s v="Akagera Lower catchment"/>
    <n v="52600"/>
  </r>
  <r>
    <x v="5"/>
    <s v="KIREBE"/>
    <s v="KARISA Michel"/>
    <x v="0"/>
    <s v="NYAGATARE"/>
    <s v="RWIMIYAGA "/>
    <s v="NAKL_1"/>
    <s v="Akagera Lower catchment"/>
    <n v="52600"/>
  </r>
  <r>
    <x v="5"/>
    <s v="GACUNDELI"/>
    <s v="RUTAGANDA Bosco"/>
    <x v="0"/>
    <s v="NYAGATARE"/>
    <s v="RWIMIYAGA "/>
    <s v="NAKL_1"/>
    <s v="Akagera Lower catchment"/>
    <n v="52600"/>
  </r>
  <r>
    <x v="5"/>
    <s v="KIREBE"/>
    <s v="KALISA MICHAEL"/>
    <x v="0"/>
    <s v="NYAGATARE"/>
    <s v="RWIMIYAGA "/>
    <s v="NAKL_1"/>
    <s v="Akagera Lower catchment"/>
    <n v="52600"/>
  </r>
  <r>
    <x v="5"/>
    <s v="NYAKIGANDO"/>
    <s v="NTIYAMIRA MOISE"/>
    <x v="0"/>
    <s v="NYAGATARE"/>
    <s v="TABAGWE"/>
    <s v="NMUV_2"/>
    <s v="Warufu/Muvumba sub catchment"/>
    <n v="22200"/>
  </r>
  <r>
    <x v="5"/>
    <s v="GITENGURE"/>
    <s v="HATEGEKIMA Antoine"/>
    <x v="0"/>
    <s v="NYAGATARE"/>
    <s v="TABAGWE"/>
    <s v="NMUV_2"/>
    <s v="Warufu/Muvumba sub catchment"/>
    <n v="36450"/>
  </r>
  <r>
    <x v="5"/>
    <s v="GISHORE"/>
    <s v="NGOBOKA INNOCENT  "/>
    <x v="0"/>
    <s v="NYAGATARE"/>
    <s v="TABAGWE"/>
    <s v="NMUV_2"/>
    <s v="Warufu/Muvumba sub catchment"/>
    <n v="42800"/>
  </r>
  <r>
    <x v="5"/>
    <s v="GITENGURE"/>
    <s v="HATEGEKIMANA Antoine"/>
    <x v="0"/>
    <s v="NYAGATARE"/>
    <s v="TABAGWE"/>
    <s v="NMUV_2"/>
    <s v="Warufu/Muvumba sub catchment"/>
    <n v="58912"/>
  </r>
  <r>
    <x v="5"/>
    <s v="GITENGURE"/>
    <s v="ISABWE Thierry"/>
    <x v="0"/>
    <s v="NYAGATARE"/>
    <s v="TABAGWE"/>
    <s v="NMUV_2"/>
    <s v="Warufu/Muvumba sub catchment"/>
    <n v="63120"/>
  </r>
  <r>
    <x v="5"/>
    <s v="RUTARAKA"/>
    <s v="GATSINZI Emmanuel "/>
    <x v="0"/>
    <s v="NYAGATARE"/>
    <s v="TABAGWE"/>
    <s v="NMUV_2"/>
    <s v="Warufu/Muvumba sub catchment"/>
    <n v="63120"/>
  </r>
  <r>
    <x v="5"/>
    <s v="GISHORE"/>
    <s v="NGOBOKA INNOCENT"/>
    <x v="0"/>
    <s v="NYAGATARE"/>
    <s v="TABAGWE"/>
    <s v="NMUV_2"/>
    <s v="Warufu/Muvumba sub catchment"/>
    <n v="51360"/>
  </r>
  <r>
    <x v="5"/>
    <m/>
    <s v="NZABONIMPA ETIENNE"/>
    <x v="0"/>
    <s v="NYAGATARE"/>
    <m/>
    <s v="NMUV_2"/>
    <s v="Warufu/Muvumba sub catchment"/>
    <n v="51360"/>
  </r>
  <r>
    <x v="5"/>
    <s v="GATARE"/>
    <s v="HABANABAKIZE Jean Baptiste"/>
    <x v="0"/>
    <s v="NYAMAGABE"/>
    <s v="GATARE"/>
    <s v="NNYU_2"/>
    <s v="Mwogo sub catchment"/>
    <n v="39240"/>
  </r>
  <r>
    <x v="5"/>
    <s v="GATARE"/>
    <s v="MUKESHIMANA CHANTAL"/>
    <x v="0"/>
    <s v="NYAMAGABE"/>
    <s v="GATARE"/>
    <s v="NNYU_2"/>
    <s v="Mwogo sub catchment"/>
    <n v="63120"/>
  </r>
  <r>
    <x v="5"/>
    <s v="GATARE"/>
    <s v="NIZEYIMANA ANTOINETTE"/>
    <x v="0"/>
    <s v="NYAMAGABE"/>
    <s v="GATARE"/>
    <s v="NNYU_2"/>
    <s v="Mwogo sub catchment"/>
    <n v="63120"/>
  </r>
  <r>
    <x v="5"/>
    <s v="GATARE"/>
    <s v="UWAMWIZA MARIE THERESE"/>
    <x v="0"/>
    <s v="NYAMAGABE"/>
    <s v="GATARE"/>
    <s v="NNYU_2"/>
    <s v="Mwogo sub catchment"/>
    <n v="63120"/>
  </r>
  <r>
    <x v="5"/>
    <s v="BUGINA"/>
    <s v="SHYAKA Prosper"/>
    <x v="0"/>
    <s v="NYANZA"/>
    <s v="MUYIRA"/>
    <s v="NAKN_2"/>
    <s v="Gishara/Mukunguri sub catchment"/>
    <n v="63120"/>
  </r>
  <r>
    <x v="5"/>
    <s v="KATARARA"/>
    <s v="KAYIGI Tharcisse"/>
    <x v="0"/>
    <s v="NYANZA"/>
    <s v="NTYAZO"/>
    <s v="NAKN_2"/>
    <s v="Gishara/Mukunguri sub catchment"/>
    <n v="63120"/>
  </r>
  <r>
    <x v="5"/>
    <s v="GATAGARA"/>
    <s v="NYIRINKWAYA Japhet"/>
    <x v="0"/>
    <s v="NYANZA"/>
    <s v="MUKINGO"/>
    <s v="NNYU_3"/>
    <s v="Nyabarongo upstream sub catchment"/>
    <n v="54300"/>
  </r>
  <r>
    <x v="5"/>
    <s v="NKOMERO"/>
    <s v="NKURUNZIZA Emmanuel"/>
    <x v="0"/>
    <s v="NYANZA"/>
    <s v="MUKINGO"/>
    <s v="NNYU_3"/>
    <s v="Nyabarongo upstream sub catchment"/>
    <n v="63120"/>
  </r>
  <r>
    <x v="5"/>
    <s v="BWERAMANA"/>
    <s v="RUTAYISIRE STANISLAS"/>
    <x v="0"/>
    <s v="NYANZA"/>
    <s v="BUSORO"/>
    <s v="NAKN_2"/>
    <s v="Gishara/Mukunguri sub catchment"/>
    <n v="54300"/>
  </r>
  <r>
    <x v="5"/>
    <s v="KAMUSENYI"/>
    <s v="KANYANA Felicite"/>
    <x v="0"/>
    <s v="RUHANGO"/>
    <s v="BYIMANA"/>
    <s v="NNYU_3"/>
    <s v="Nyabarongo upstream sub catchment"/>
    <n v="85200"/>
  </r>
  <r>
    <x v="5"/>
    <s v="KAMUSENYI"/>
    <s v="ICYITEGETSE  Judith"/>
    <x v="0"/>
    <s v="RUHANGO"/>
    <s v="BYIMANA"/>
    <s v="NNYU_3"/>
    <s v="Nyabarongo upstream sub catchment"/>
    <n v="64860"/>
  </r>
  <r>
    <x v="5"/>
    <s v="BURIMA"/>
    <s v="NIYONSABA Phillipe"/>
    <x v="0"/>
    <s v="RUHANGO"/>
    <s v="KINAZI"/>
    <s v="NAKN_2"/>
    <s v="Gishara/Mukunguri sub catchment"/>
    <n v="39240"/>
  </r>
  <r>
    <x v="5"/>
    <s v="RUKIRA"/>
    <s v="RUDASINGWA            "/>
    <x v="0"/>
    <s v="RUHANGO"/>
    <s v="KINIHIRA"/>
    <s v="NNYU_3"/>
    <s v="Nyabarongo upstream sub catchment"/>
    <n v="46980"/>
  </r>
  <r>
    <x v="5"/>
    <s v="NYAMAGANA"/>
    <s v="BAGARAGAZA Thadee"/>
    <x v="0"/>
    <s v="RUHANGO"/>
    <s v="RUHANGO"/>
    <s v="NNYU_3"/>
    <s v="Nyabarongo upstream sub catchment"/>
    <n v="64860"/>
  </r>
  <r>
    <x v="5"/>
    <s v="BUKORO"/>
    <s v="HABINEZA Anselme                        "/>
    <x v="0"/>
    <s v="RULINDO"/>
    <s v="MBOGO"/>
    <s v="NNYL_1"/>
    <s v="Nyabugogo sub catchment"/>
    <n v="63120"/>
  </r>
  <r>
    <x v="5"/>
    <s v="KANYARWANDA"/>
    <s v="IRAMBONA BRUCE"/>
    <x v="0"/>
    <s v="RULINDO"/>
    <s v="NGOMA"/>
    <s v="NNYL_1"/>
    <s v="Nyabugogo sub catchment"/>
    <n v="63120"/>
  </r>
  <r>
    <x v="5"/>
    <s v="MUNYARWANDA"/>
    <s v="RIZINJIRABAKE Jean Claude"/>
    <x v="0"/>
    <s v="RULINDO"/>
    <s v="NGOMA"/>
    <s v="NNYL_1"/>
    <s v="Nyabugogo sub catchment"/>
    <n v="63120"/>
  </r>
  <r>
    <x v="5"/>
    <s v="MUNKOTO"/>
    <s v="FLORAMATT LTD"/>
    <x v="0"/>
    <s v="RULINDO"/>
    <s v="RUSIGA"/>
    <s v="NNYL_1"/>
    <s v="Nyabugogo sub catchment"/>
    <n v="53100"/>
  </r>
  <r>
    <x v="5"/>
    <s v="GAKONI"/>
    <s v="KABARINDA Margarthe"/>
    <x v="0"/>
    <s v="RUSIZI"/>
    <s v="MUGANZA"/>
    <s v="CRUS_1"/>
    <s v="Rubyiro sub catchment"/>
    <n v="53100"/>
  </r>
  <r>
    <x v="5"/>
    <s v="CYARUKARA"/>
    <s v="NYIRAKANYANA              Venantie                     "/>
    <x v="0"/>
    <s v="RUSIZI"/>
    <s v="MUGANZA"/>
    <s v="CRUS_1"/>
    <s v="Rubyiro sub catchment"/>
    <n v="47520"/>
  </r>
  <r>
    <x v="5"/>
    <s v="CYARUKARA"/>
    <s v="VUGUZIGA Francoise "/>
    <x v="0"/>
    <s v="RUSIZI"/>
    <s v="MUGANZA"/>
    <s v="CRUS_1"/>
    <s v="Rubyiro sub catchment"/>
    <n v="46980"/>
  </r>
  <r>
    <x v="5"/>
    <s v="GAKONI"/>
    <s v="SINGIRANKABO Daniel  "/>
    <x v="0"/>
    <s v="RUSIZI"/>
    <s v="MUGANZA"/>
    <s v="CRUS_1"/>
    <s v="Rubyiro sub catchment"/>
    <n v="63120"/>
  </r>
  <r>
    <x v="5"/>
    <s v="GAKONI"/>
    <s v="HABYARIMANA Narcisse "/>
    <x v="0"/>
    <s v="RUSIZI"/>
    <s v="MUGANZA"/>
    <s v="CRUS_1"/>
    <s v="Rubyiro sub catchment"/>
    <n v="63350"/>
  </r>
  <r>
    <x v="5"/>
    <s v="GAKONI"/>
    <s v="NTAMAKIRIRO Boniface"/>
    <x v="0"/>
    <s v="RUSIZI"/>
    <s v="MUGANZA"/>
    <s v="CRUS_1"/>
    <s v="Rubyiro sub catchment"/>
    <n v="61950"/>
  </r>
  <r>
    <x v="5"/>
    <s v="CYARUKARA"/>
    <s v="NDAMUZEYE Theoneste"/>
    <x v="0"/>
    <s v="RUSIZI"/>
    <s v="MUGANZA"/>
    <s v="CRUS_1"/>
    <s v="Rubyiro sub catchment"/>
    <n v="73640"/>
  </r>
  <r>
    <x v="5"/>
    <s v="GAKONI"/>
    <s v="NTAMAKIRIRO Boniface                   "/>
    <x v="0"/>
    <s v="RUSIZI"/>
    <s v="MUGANZA"/>
    <s v="CRUS_1"/>
    <s v="Rubyiro sub catchment"/>
    <n v="73640"/>
  </r>
  <r>
    <x v="5"/>
    <s v="CYARUKARA"/>
    <s v="NDAMUZEYE Theoneste                   "/>
    <x v="0"/>
    <s v="RUSIZI"/>
    <s v="MUGANZA"/>
    <s v="CRUS_1"/>
    <s v="Rubyiro sub catchment"/>
    <n v="63350"/>
  </r>
  <r>
    <x v="5"/>
    <s v="CYARUKARA"/>
    <s v="MUTANGANA Simeon"/>
    <x v="0"/>
    <s v="RUSIZI"/>
    <s v="MUGANZA"/>
    <s v="CRUS_1"/>
    <s v="Rubyiro sub catchment"/>
    <n v="99400"/>
  </r>
  <r>
    <x v="5"/>
    <s v="GAKONI"/>
    <s v="BIGIRIMANA Silas"/>
    <x v="0"/>
    <s v="RUSIZI"/>
    <s v="MUGANZA"/>
    <s v="CRUS_1"/>
    <s v="Rubyiro sub catchment"/>
    <n v="99400"/>
  </r>
  <r>
    <x v="5"/>
    <s v="GAKONI"/>
    <s v="KABARINDA Marigarthe"/>
    <x v="0"/>
    <s v="RUSIZI"/>
    <s v="MUGANZA"/>
    <s v="CRUS_1"/>
    <s v="Rubyiro sub catchment"/>
    <n v="99400"/>
  </r>
  <r>
    <x v="5"/>
    <s v="CYARUKARA"/>
    <s v="NYIRAKANYANA Venantie"/>
    <x v="0"/>
    <s v="RUSIZI"/>
    <s v="MUGANZA"/>
    <s v="CRUS_1"/>
    <s v="Rubyiro sub catchment"/>
    <n v="47110"/>
  </r>
  <r>
    <x v="5"/>
    <s v="CYARUKARA"/>
    <s v="VUGUZIGA Francoise"/>
    <x v="0"/>
    <s v="RUSIZI"/>
    <s v="MUGANZA"/>
    <s v="CRUS_1"/>
    <s v="Rubyiro sub catchment"/>
    <n v="73640"/>
  </r>
  <r>
    <x v="5"/>
    <s v="GAKONI"/>
    <s v="SINGIRANKABO Daniel"/>
    <x v="0"/>
    <s v="RUSIZI"/>
    <s v="MUGANZA"/>
    <s v="CRUS_1"/>
    <s v="Rubyiro sub catchment"/>
    <n v="54810"/>
  </r>
  <r>
    <x v="5"/>
    <s v="GAKONI"/>
    <s v="HABYARIMANA Narcisse"/>
    <x v="0"/>
    <s v="RUSIZI"/>
    <s v="MUGANZA"/>
    <s v="CRUS_1"/>
    <s v="Rubyiro sub catchment"/>
    <n v="68480"/>
  </r>
  <r>
    <x v="5"/>
    <s v="KANGAZI"/>
    <s v="BANAMWABO Jean Damascene"/>
    <x v="0"/>
    <s v="RUSIZI"/>
    <s v="NKANKA"/>
    <s v="CRUS_1"/>
    <s v="Rubyiro sub catchment"/>
    <n v="62240"/>
  </r>
  <r>
    <x v="5"/>
    <s v="KARANGIRO"/>
    <s v="HATEGEKIMANA Dominique"/>
    <x v="0"/>
    <s v="RUSIZI"/>
    <s v="NYAKARENZO"/>
    <s v="CRUS_1"/>
    <s v="Rubyiro sub catchment"/>
    <n v="72400"/>
  </r>
  <r>
    <x v="5"/>
    <s v="BUTAMBAMO"/>
    <s v="Ugirashebuja Felix"/>
    <x v="0"/>
    <s v="RUSIZI"/>
    <s v="NZAHAHA"/>
    <s v="CRUS_1"/>
    <s v="Rubyiro sub catchment"/>
    <n v="62640"/>
  </r>
  <r>
    <x v="5"/>
    <s v="MURAMBI"/>
    <s v="MURERWA Diane"/>
    <x v="0"/>
    <s v="RWAMAGANA"/>
    <s v="MUHAZI"/>
    <s v="NAKU_1"/>
    <s v="Mugesera/Sake sub catchment"/>
    <n v="68480"/>
  </r>
  <r>
    <x v="5"/>
    <s v="RUHIMBI"/>
    <s v="MUKAMWIZA Marie Constance"/>
    <x v="0"/>
    <s v="RWAMAGANA"/>
    <s v="GISHARI"/>
    <s v="NAKU_1"/>
    <s v="Mugesera/Sake sub catchment"/>
    <n v="84160"/>
  </r>
  <r>
    <x v="5"/>
    <s v="GISHORE"/>
    <s v="NTIRUSHWA Emmanuel"/>
    <x v="0"/>
    <s v="RWAMAGANA"/>
    <s v="NYAKARIRO"/>
    <s v="NAKU_1"/>
    <s v="Mugesera/Sake sub catchment"/>
    <n v="68480"/>
  </r>
  <r>
    <x v="5"/>
    <s v="GISHORE"/>
    <s v="MUKANYOGA Anonciate "/>
    <x v="0"/>
    <s v="RWAMAGANA"/>
    <s v="NYAKARIRO"/>
    <s v="NAKU_1"/>
    <s v="Mugesera/Sake sub catchment"/>
    <n v="47520"/>
  </r>
  <r>
    <x v="5"/>
    <s v="GISHORE"/>
    <s v="HABYARIMANA Paul"/>
    <x v="0"/>
    <s v="RWAMAGANA"/>
    <s v="NYAKARIRO"/>
    <s v="NAKU_1"/>
    <s v="Mugesera/Sake sub catchment"/>
    <n v="72400"/>
  </r>
  <r>
    <x v="5"/>
    <s v="GISHORE"/>
    <s v="BIKWIYIMANA Celestin"/>
    <x v="0"/>
    <s v="RWAMAGANA"/>
    <s v="NYAKARIRO"/>
    <s v="NAKU_1"/>
    <s v="Mugesera/Sake sub catchment"/>
    <n v="68480"/>
  </r>
  <r>
    <x v="5"/>
    <s v="CYANYA"/>
    <s v="AFRICAN Jean bosco"/>
    <x v="0"/>
    <s v="RWAMAGANA"/>
    <s v="KIGABIRO"/>
    <s v="NAKU_1"/>
    <s v="Mugesera/Sake sub catchment"/>
    <n v="89420"/>
  </r>
  <r>
    <x v="5"/>
    <m/>
    <s v=" KABERA Adolphe"/>
    <x v="0"/>
    <s v="RWAMAGANA"/>
    <s v="MUSHA"/>
    <s v="NAKU_1"/>
    <s v="Mugesera/Sake sub catchment"/>
    <n v="94680"/>
  </r>
  <r>
    <x v="5"/>
    <s v="BICACA"/>
    <s v="RUKENGERA Innocent"/>
    <x v="0"/>
    <s v="RWAMAGANA"/>
    <s v="KARENGE"/>
    <s v="NAKU_1"/>
    <s v="Mugesera/Sake sub catchment"/>
    <n v="94680"/>
  </r>
  <r>
    <x v="5"/>
    <s v="NYAMATETE"/>
    <s v="NSANZIMANA Alphonse"/>
    <x v="0"/>
    <s v="RWAMAGANA"/>
    <s v="KARENGE"/>
    <s v="NAKU_1"/>
    <s v="Mugesera/Sake sub catchment"/>
    <n v="71280"/>
  </r>
  <r>
    <x v="5"/>
    <s v="NYABUBARE"/>
    <s v="NSENGIYUMVA Nepo"/>
    <x v="0"/>
    <s v="RWAMAGANA"/>
    <s v="KARENGE"/>
    <s v="NAKU_1"/>
    <s v="Mugesera/Sake sub catchment"/>
    <n v="94680"/>
  </r>
  <r>
    <x v="5"/>
    <s v="NYAMUGARI"/>
    <s v="NYIRANEZA Suzanne"/>
    <x v="0"/>
    <s v="RWAMAGANA"/>
    <s v="GAHENGERI"/>
    <s v="NAKU_1"/>
    <s v="Mugesera/Sake sub catchment"/>
    <n v="94680"/>
  </r>
  <r>
    <x v="5"/>
    <s v="NYARUBUYE"/>
    <s v="RWANYANGE Etienne"/>
    <x v="0"/>
    <s v="RWAMAGANA"/>
    <s v="MUNYIGINYA"/>
    <s v="NAKU_1"/>
    <s v="Mugesera/Sake sub catchment"/>
    <n v="70920"/>
  </r>
  <r>
    <x v="5"/>
    <s v="GISHORE"/>
    <s v="MUDAHERANWA J. Chrisostome"/>
    <x v="0"/>
    <s v="RWAMAGANA"/>
    <s v="NYAKARIRO"/>
    <s v="NAKU_1"/>
    <s v="Mugesera/Sake sub catchment"/>
    <n v="99940"/>
  </r>
  <r>
    <x v="5"/>
    <s v="MUNINI"/>
    <s v="BIZIMANA Olivier"/>
    <x v="0"/>
    <s v="RWAMAGANA"/>
    <s v="NYAKARIRO"/>
    <s v="NAKU_1"/>
    <s v="Mugesera/Sake sub catchment"/>
    <n v="85600"/>
  </r>
  <r>
    <x v="5"/>
    <s v="MUNINI"/>
    <s v="MPARAYE Pacome"/>
    <x v="0"/>
    <s v="RWAMAGANA"/>
    <s v="NYAKARIRO"/>
    <s v="NAKU_1"/>
    <s v="Mugesera/Sake sub catchment"/>
    <n v="105200"/>
  </r>
  <r>
    <x v="5"/>
    <s v="GISHORE"/>
    <s v="MBARUBUKEYE Emmanuel"/>
    <x v="0"/>
    <s v="RWAMAGANA"/>
    <s v="NYAKARIRO"/>
    <s v="NAKU_1"/>
    <s v="Mugesera/Sake sub catchment"/>
    <n v="85600"/>
  </r>
  <r>
    <x v="5"/>
    <s v="NYABISINDU"/>
    <s v="Mr RUMONGI RUDAKEMWA"/>
    <x v="0"/>
    <s v="RWAMAGANA"/>
    <s v="MUSHA"/>
    <s v="NAKU_1"/>
    <s v="Mugesera/Sake sub catchment"/>
    <n v="93500"/>
  </r>
  <r>
    <x v="5"/>
    <s v="NYARUBUYE"/>
    <s v="TORERO MUGENYI Eugene"/>
    <x v="0"/>
    <s v="RWAMAGANA"/>
    <s v="MUNYIGINYA"/>
    <s v="NAKU_1"/>
    <s v="Mugesera/Sake sub catchment"/>
    <n v="58100"/>
  </r>
  <r>
    <x v="5"/>
    <s v="MUNINI"/>
    <s v=" HITIMANA J MARIA VIANNEY"/>
    <x v="0"/>
    <s v="RWAMAGANA"/>
    <s v="NYAKARIRO"/>
    <s v="NAKU_1"/>
    <s v="Mugesera/Sake sub catchment"/>
    <n v="81100"/>
  </r>
  <r>
    <x v="5"/>
    <s v="MUNINI"/>
    <s v="HABIYAKARE Jean Bosco"/>
    <x v="0"/>
    <s v="RWAMAGANA"/>
    <s v="NYAKARIRO"/>
    <s v="NAKU_1"/>
    <s v="Mugesera/Sake sub catchment"/>
    <n v="81100"/>
  </r>
  <r>
    <x v="5"/>
    <s v="MUNINI"/>
    <s v="NTABAKIVINDIMWE Jacqueline"/>
    <x v="0"/>
    <s v="RWAMAGANA"/>
    <s v="NYAKARIRO"/>
    <s v="NAKU_1"/>
    <s v="Mugesera/Sake sub catchment"/>
    <n v="81100"/>
  </r>
  <r>
    <x v="5"/>
    <s v="MUNINI"/>
    <s v="BAMAZIMINSI Leonard"/>
    <x v="0"/>
    <s v="RWAMAGANA"/>
    <s v="NYAKARIRO"/>
    <s v="NAKU_1"/>
    <s v="Mugesera/Sake sub catchment"/>
    <n v="105200"/>
  </r>
  <r>
    <x v="5"/>
    <s v="MUNINI"/>
    <s v="KABARORE Charles"/>
    <x v="0"/>
    <s v="RWAMAGANA"/>
    <s v="NYAKARIRO"/>
    <s v="NAKU_1"/>
    <s v="Mugesera/Sake sub catchment"/>
    <n v="105200"/>
  </r>
  <r>
    <x v="5"/>
    <s v="MUNINI"/>
    <s v="UTAZIRUBANDA Frederic"/>
    <x v="0"/>
    <s v="RWAMAGANA"/>
    <s v="NYAKARIRO"/>
    <s v="NAKU_1"/>
    <s v="Mugesera/Sake sub catchment"/>
    <n v="105200"/>
  </r>
  <r>
    <x v="5"/>
    <s v="MUNINI"/>
    <s v="TWIRINGIYIMANA Alfred"/>
    <x v="0"/>
    <s v="RWAMAGANA"/>
    <s v="NYAKARIRO"/>
    <s v="NAKU_1"/>
    <s v="Mugesera/Sake sub catchment"/>
    <n v="105200"/>
  </r>
  <r>
    <x v="5"/>
    <s v="NYABISINDU"/>
    <s v="UMUTONI Marcel"/>
    <x v="0"/>
    <s v="RWAMAGANA"/>
    <s v="MUSHA"/>
    <s v="NAKU_1"/>
    <s v="Mugesera/Sake sub catchment"/>
    <n v="108100"/>
  </r>
  <r>
    <x v="5"/>
    <s v="MUNINI"/>
    <s v="NIYONAGIRA Aimable"/>
    <x v="0"/>
    <s v="RWAMAGANA"/>
    <s v="NYAKARIRO"/>
    <s v="NAKU_1"/>
    <s v="Mugesera/Sake sub catchment"/>
    <n v="142000"/>
  </r>
  <r>
    <x v="5"/>
    <s v="GISHORE"/>
    <s v="IYAMUREMYE Bosco  "/>
    <x v="0"/>
    <s v="RWAMAGANA"/>
    <s v="NYAKARIRO"/>
    <s v="NAKU_1"/>
    <s v="Mugesera/Sake sub catchment"/>
    <n v="108100"/>
  </r>
  <r>
    <x v="5"/>
    <m/>
    <s v=" KABERA Adolphe"/>
    <x v="0"/>
    <s v="RWAMAGANA"/>
    <s v="MUSHA"/>
    <s v="NAKU_1"/>
    <s v="Mugesera/Sake sub catchment"/>
    <n v="108100"/>
  </r>
  <r>
    <x v="5"/>
    <s v="BICACA"/>
    <s v="RUKENGERA Innocent"/>
    <x v="0"/>
    <s v="RWAMAGANA"/>
    <s v="KARENGE"/>
    <s v="NAKU_1"/>
    <s v="Mugesera/Sake sub catchment"/>
    <n v="108100"/>
  </r>
  <r>
    <x v="5"/>
    <s v="NYAMATETE"/>
    <s v="NSANZIMANA Alphonse"/>
    <x v="0"/>
    <s v="RWAMAGANA"/>
    <s v="KARENGE"/>
    <s v="NAKU_1"/>
    <s v="Mugesera/Sake sub catchment"/>
    <n v="88500"/>
  </r>
  <r>
    <x v="5"/>
    <s v="NYABUBARE"/>
    <s v="NSENGIYUMVA Nepo:"/>
    <x v="0"/>
    <s v="RWAMAGANA"/>
    <s v="KARENGE"/>
    <s v="NAKU_1"/>
    <s v="Mugesera/Sake sub catchment"/>
    <n v="105200"/>
  </r>
  <r>
    <x v="5"/>
    <s v="NYAMUGARI"/>
    <s v="NYIRANEZA Suzanne"/>
    <x v="0"/>
    <s v="RWAMAGANA"/>
    <s v="GAHENGERI"/>
    <s v="NAKU_1"/>
    <s v="Mugesera/Sake sub catchment"/>
    <n v="105200"/>
  </r>
  <r>
    <x v="5"/>
    <s v="NYARUBUYE"/>
    <s v="RWANYANGE Etienne"/>
    <x v="0"/>
    <s v="RWAMAGANA"/>
    <s v="MUNYIGINYA"/>
    <s v="NAKU_1"/>
    <s v="Mugesera/Sake sub catchment"/>
    <n v="88500"/>
  </r>
  <r>
    <x v="5"/>
    <s v="MUNINI"/>
    <s v="NIYONAGIRA Aimable"/>
    <x v="0"/>
    <s v="RWAMAGANA"/>
    <s v="NYAKARIRO"/>
    <s v="NAKU_1"/>
    <s v="Mugesera/Sake sub catchment"/>
    <n v="85600"/>
  </r>
  <r>
    <x v="5"/>
    <s v="GISHORE"/>
    <s v="MUDAHERANWA J. Chrisostome"/>
    <x v="0"/>
    <s v="RWAMAGANA"/>
    <s v="NYAKARIRO"/>
    <s v="NAKU_1"/>
    <s v="Mugesera/Sake sub catchment"/>
    <n v="142000"/>
  </r>
  <r>
    <x v="5"/>
    <s v="MUNINI"/>
    <s v="HABIMANA J. Damascene (they are two)"/>
    <x v="0"/>
    <s v="RWAMAGANA"/>
    <s v="NYAKARIRO"/>
    <s v="NAKU_1"/>
    <s v="Mugesera/Sake sub catchment"/>
    <n v="81100"/>
  </r>
  <r>
    <x v="5"/>
    <s v="MUNINI"/>
    <s v="BIZIMANA Olivier"/>
    <x v="0"/>
    <s v="RWAMAGANA"/>
    <s v="NYAKARIRO"/>
    <s v="NAKU_1"/>
    <s v="Mugesera/Sake sub catchment"/>
    <n v="81100"/>
  </r>
  <r>
    <x v="5"/>
    <s v="GISHORE"/>
    <s v="MBARUBUKEYE Emmanuel"/>
    <x v="0"/>
    <s v="RWAMAGANA"/>
    <s v="NYAKARIRO"/>
    <s v="NAKU_1"/>
    <s v="Mugesera/Sake sub catchment"/>
    <n v="59400"/>
  </r>
  <r>
    <x v="5"/>
    <s v="KABASORE"/>
    <s v="AHISHAKIYE Jean Bosco                             "/>
    <x v="0"/>
    <s v="RWAMAGANA"/>
    <s v="KARENGE"/>
    <s v="NAKU_1"/>
    <s v="Mugesera/Sake sub catchment"/>
    <n v="93500"/>
  </r>
  <r>
    <x v="5"/>
    <s v="KABASORE"/>
    <s v="BICABYIMUKA Costasie             "/>
    <x v="0"/>
    <s v="RWAMAGANA"/>
    <s v="KARENGE"/>
    <s v="NAKU_1"/>
    <s v="Mugesera/Sake sub catchment"/>
    <n v="108100"/>
  </r>
  <r>
    <x v="5"/>
    <s v="NYABUBARE"/>
    <s v="DUSABIMANA Dative            "/>
    <x v="0"/>
    <s v="RWAMAGANA"/>
    <s v="KARENGE"/>
    <s v="NAKU_1"/>
    <s v="Mugesera/Sake sub catchment"/>
    <n v="90500"/>
  </r>
  <r>
    <x v="5"/>
    <s v="NYAMATETE"/>
    <s v="GASAKE Jean Marie     Vianney                    "/>
    <x v="0"/>
    <s v="RWAMAGANA"/>
    <s v="KARENGE"/>
    <s v="NAKU_1"/>
    <s v="Mugesera/Sake sub catchment"/>
    <n v="90500"/>
  </r>
  <r>
    <x v="5"/>
    <s v="MWURIRE"/>
    <s v="KALINDA Francois                "/>
    <x v="0"/>
    <s v="RWAMAGANA"/>
    <s v="MWURIRE"/>
    <s v="NAKU_1"/>
    <s v="Mugesera/Sake sub catchment"/>
    <n v="90500"/>
  </r>
  <r>
    <x v="5"/>
    <s v="GATARE"/>
    <s v="MINANI Jean Pierre                 "/>
    <x v="0"/>
    <s v="RWAMAGANA"/>
    <s v="NYAKARIRO"/>
    <s v="NAKU_1"/>
    <s v="Mugesera/Sake sub catchment"/>
    <n v="105200"/>
  </r>
  <r>
    <x v="5"/>
    <s v="BYIMANA"/>
    <s v="MUJYANAMA Felicien               "/>
    <x v="0"/>
    <s v="RWAMAGANA"/>
    <s v="KARENGE"/>
    <s v="NAKU_1"/>
    <s v="Mugesera/Sake sub catchment"/>
    <n v="105200"/>
  </r>
  <r>
    <x v="5"/>
    <s v="BICACA"/>
    <s v="MWITIREHE Jean     Nepomuscene                "/>
    <x v="0"/>
    <s v="RWAMAGANA"/>
    <s v="KARENGE"/>
    <s v="NAKU_1"/>
    <s v="Mugesera/Sake sub catchment"/>
    <n v="105200"/>
  </r>
  <r>
    <x v="5"/>
    <s v="KABASORE"/>
    <s v="NDABABONYE Fulgence                "/>
    <x v="0"/>
    <s v="RWAMAGANA"/>
    <s v="KARENGE"/>
    <s v="NAKU_1"/>
    <s v="Mugesera/Sake sub catchment"/>
    <n v="105200"/>
  </r>
  <r>
    <x v="5"/>
    <s v="BIHEMBE"/>
    <s v="NIZEYIMANA Frodouard              "/>
    <x v="0"/>
    <s v="RWAMAGANA"/>
    <s v="NYAKARIRO"/>
    <s v="NAKU_1"/>
    <s v="Mugesera/Sake sub catchment"/>
    <n v="105200"/>
  </r>
  <r>
    <x v="5"/>
    <s v="KABASORE"/>
    <s v="NSANZINEZA Wellars            "/>
    <x v="0"/>
    <s v="RWAMAGANA"/>
    <s v="KARENGE"/>
    <s v="NAKU_1"/>
    <s v="Mugesera/Sake sub catchment"/>
    <n v="105200"/>
  </r>
  <r>
    <x v="5"/>
    <s v="BICACA"/>
    <s v="NTAHOMPAGAZE Dismas                     "/>
    <x v="0"/>
    <s v="RWAMAGANA"/>
    <s v="KARENGE"/>
    <s v="NAKU_1"/>
    <s v="Mugesera/Sake sub catchment"/>
    <n v="105200"/>
  </r>
  <r>
    <x v="5"/>
    <s v="KABASORE"/>
    <s v="NYIRABAGENZI Eliane                      "/>
    <x v="0"/>
    <s v="RWAMAGANA"/>
    <s v="KARENGE"/>
    <s v="NAKU_1"/>
    <s v="Mugesera/Sake sub catchment"/>
    <n v="105200"/>
  </r>
  <r>
    <x v="5"/>
    <s v="BYIMANA"/>
    <s v="NYIRANIZEYIMANA  Marie Solange                                 "/>
    <x v="0"/>
    <s v="RWAMAGANA"/>
    <s v="KARENGE"/>
    <s v="NAKU_1"/>
    <s v="Mugesera/Sake sub catchment"/>
    <n v="85600"/>
  </r>
  <r>
    <x v="5"/>
    <s v="KABASORE"/>
    <s v="NYIRARWANGO  Pascasie                                "/>
    <x v="0"/>
    <s v="RWAMAGANA"/>
    <s v="KARENGE"/>
    <s v="NAKU_1"/>
    <s v="Mugesera/Sake sub catchment"/>
    <n v="162150"/>
  </r>
  <r>
    <x v="5"/>
    <s v="KABASORE"/>
    <s v="NZABONIMANA Theoneste                                  "/>
    <x v="0"/>
    <s v="RWAMAGANA"/>
    <s v="KARENGE"/>
    <s v="NAKU_1"/>
    <s v="Mugesera/Sake sub catchment"/>
    <n v="136960"/>
  </r>
  <r>
    <x v="5"/>
    <s v="NYAMATETE"/>
    <s v="RUZINDANA Joseph              "/>
    <x v="0"/>
    <s v="RWAMAGANA"/>
    <s v="KARENGE"/>
    <s v="NAKU_1"/>
    <s v="Mugesera/Sake sub catchment"/>
    <n v="145520"/>
  </r>
  <r>
    <x v="5"/>
    <s v="BICACA"/>
    <s v="NYIRINGANGO Eliezel              "/>
    <x v="0"/>
    <s v="RWAMAGANA"/>
    <s v="KARENGE"/>
    <s v="NAKU_1"/>
    <s v="Mugesera/Sake sub catchment"/>
    <n v="137870"/>
  </r>
  <r>
    <x v="5"/>
    <s v="BYIMANA"/>
    <s v="SEBAGABO Ezechias       "/>
    <x v="0"/>
    <s v="RWAMAGANA"/>
    <s v="BYIMANA"/>
    <s v="NAKU_1"/>
    <s v="Mugesera/Sake sub catchment"/>
    <n v="210400"/>
  </r>
  <r>
    <x v="5"/>
    <s v="CYANYA"/>
    <s v="RUZINDANA Denis"/>
    <x v="0"/>
    <s v="RWAMAGANA"/>
    <s v="KIGABIRO"/>
    <s v="NAKU_1"/>
    <s v="Mugesera/Sake sub catchment"/>
    <n v="263000"/>
  </r>
  <r>
    <x v="5"/>
    <s v="RUHIMBI"/>
    <s v="NIZEYIMANA Felicien"/>
    <x v="0"/>
    <s v="RWAMAGANA"/>
    <s v="GISHARI"/>
    <s v="NAKU_1"/>
    <s v="Mugesera/Sake sub catchment"/>
    <n v="294560"/>
  </r>
  <r>
    <x v="5"/>
    <s v="BUJYUJYU"/>
    <s v="HATEGEKIMANA Froduard"/>
    <x v="0"/>
    <s v="RWAMAGANA"/>
    <s v="MUYUMBU"/>
    <s v="NAKU_1"/>
    <s v="Mugesera/Sake sub catchment"/>
    <n v="294560"/>
  </r>
  <r>
    <x v="5"/>
    <s v="BUJYUJYU"/>
    <s v="RIBAKARE J Batiste"/>
    <x v="0"/>
    <s v="RWAMAGANA"/>
    <s v="MUYUMBU"/>
    <s v="NAKU_1"/>
    <s v="Mugesera/Sake sub catchment"/>
    <n v="294560"/>
  </r>
  <r>
    <x v="5"/>
    <s v="NAWE"/>
    <s v="MUGANGA Jean Claude"/>
    <x v="0"/>
    <s v="RWAMAGANA"/>
    <s v="RUBONA"/>
    <s v="NAKU_1"/>
    <s v="Mugesera/Sake sub catchment"/>
    <n v="324300"/>
  </r>
  <r>
    <x v="5"/>
    <s v="KAGEZI"/>
    <s v="KAYITARE Thacien"/>
    <x v="0"/>
    <s v="RWAMAGANA"/>
    <s v="GAHENGERI"/>
    <s v="NAKU_1"/>
    <s v="Mugesera/Sake sub catchment"/>
    <n v="315600"/>
  </r>
  <r>
    <x v="5"/>
    <s v="GATI"/>
    <s v="SONH KEE WOOK"/>
    <x v="0"/>
    <s v="RWAMAGANA"/>
    <s v="GISHARI"/>
    <s v="NAKU_1"/>
    <s v="Mugesera/Sake sub catchment"/>
    <n v="325800"/>
  </r>
  <r>
    <x v="5"/>
    <s v="ZINGA"/>
    <s v="HAKOMERIMANA Jean Claude"/>
    <x v="0"/>
    <s v="RWAMAGANA"/>
    <s v="MUNYAGA "/>
    <s v="NAKU_1"/>
    <s v="Mugesera/Sake sub catchment"/>
    <n v="232400"/>
  </r>
  <r>
    <x v="5"/>
    <s v="RUTOMA"/>
    <s v="GABO WILSON"/>
    <x v="0"/>
    <s v="RWAMAGANA"/>
    <s v="MUSHA"/>
    <s v="NAKU_1"/>
    <s v="Mugesera/Sake sub catchment"/>
    <n v="269200"/>
  </r>
  <r>
    <x v="5"/>
    <s v="SASABIRAGO"/>
    <s v="AMUTUHAIRE CHRISTINE"/>
    <x v="0"/>
    <s v="RWAMAGANA"/>
    <s v="FUMBWE"/>
    <s v="NAKU_1"/>
    <s v="Mugesera/Sake sub catchment"/>
    <n v="4055"/>
  </r>
  <r>
    <x v="5"/>
    <m/>
    <s v="DUTERIMBERE/ RWAMAGANA"/>
    <x v="0"/>
    <s v="RWAMAGANA"/>
    <s v="GISHARI"/>
    <s v="NAKU_1"/>
    <s v="Mugesera/Sake sub catchment"/>
    <n v="26300"/>
  </r>
  <r>
    <x v="5"/>
    <s v="GISHARI"/>
    <s v="RNP, PTS GISHARI"/>
    <x v="0"/>
    <s v="RWAMAGANA"/>
    <s v="GISHARI"/>
    <s v="NAKU_1"/>
    <s v="Mugesera/Sake sub catchment"/>
    <n v="31560"/>
  </r>
  <r>
    <x v="6"/>
    <s v="ASIMWE FRED"/>
    <s v="RWISIRABO"/>
    <x v="0"/>
    <s v="NYAGATARE"/>
    <s v="KARANGAZI"/>
    <s v="NAKL_1"/>
    <s v="Akagera Lower Catchment"/>
    <n v="250"/>
  </r>
  <r>
    <x v="6"/>
    <s v="Augustin TURAGARA"/>
    <m/>
    <x v="0"/>
    <s v="NYAGATARE"/>
    <s v="RWIMIYAGA"/>
    <s v="NAKL_1"/>
    <s v="Akagera Lower Catchment"/>
    <n v="250"/>
  </r>
  <r>
    <x v="6"/>
    <s v="BADIDI ELISA"/>
    <s v="NDAMA"/>
    <x v="0"/>
    <s v="NYAGATARE"/>
    <s v="KARANGAZI"/>
    <s v="NAKL_1"/>
    <s v="Akagera Lower Catchment"/>
    <n v="250"/>
  </r>
  <r>
    <x v="6"/>
    <s v="BAMBANZE ROBERT"/>
    <s v="NYARUPFUBIRE"/>
    <x v="0"/>
    <s v="NYAGATARE"/>
    <s v="RWIMIYAGA"/>
    <s v="NAKL_1"/>
    <s v="Akagera Lower Catchment"/>
    <n v="120"/>
  </r>
  <r>
    <x v="6"/>
    <s v="BARINDA Joseph"/>
    <s v="BUHABWA"/>
    <x v="0"/>
    <s v="KAYONZA"/>
    <s v="MURUNDI"/>
    <s v="NAKL_1"/>
    <s v="Akagera Lower Catchment"/>
    <n v="250"/>
  </r>
  <r>
    <x v="6"/>
    <s v="BARUGIRA JOHN"/>
    <s v="BARIJA"/>
    <x v="0"/>
    <s v="NYAGATARE"/>
    <s v="NYAGATARE"/>
    <s v="NAKL_1"/>
    <s v="Akagera Lower Catchment"/>
    <n v="250"/>
  </r>
  <r>
    <x v="6"/>
    <s v="BUTERA John"/>
    <s v="RYABEGA"/>
    <x v="0"/>
    <s v="NYAGATARE"/>
    <s v="KARANGAZI"/>
    <s v="NAKL_1"/>
    <s v="Akagera Lower Catchment"/>
    <n v="250"/>
  </r>
  <r>
    <x v="6"/>
    <s v="BUTOYI Hamisi"/>
    <s v="KIREBE"/>
    <x v="0"/>
    <s v="NYAGATARE"/>
    <s v="RWIMIYAGA"/>
    <s v="NAKL_1"/>
    <s v="Akagera Lower Catchment"/>
    <n v="250"/>
  </r>
  <r>
    <x v="6"/>
    <s v="Coop.KAMDAMACO (MUKANDORI Gerturde)"/>
    <s v="KAMATE"/>
    <x v="0"/>
    <s v="NYAGATARE"/>
    <s v="KARANGAZI"/>
    <s v="NAKL_1"/>
    <s v="Akagera Lower Catchment"/>
    <n v="250"/>
  </r>
  <r>
    <x v="6"/>
    <s v="COOPERATIVE KANDAMACO"/>
    <s v="KAMATE"/>
    <x v="0"/>
    <s v="NYAGATARE"/>
    <s v="KARANGAZI"/>
    <s v="NAKL_1"/>
    <s v="Akagera Lower Catchment"/>
    <n v="250"/>
  </r>
  <r>
    <x v="6"/>
    <s v="Frank J.R MUNYANEZA"/>
    <s v="NSHEKE"/>
    <x v="0"/>
    <s v="NYAGATARE"/>
    <s v="NYAGATARE"/>
    <s v="NAKL_1"/>
    <s v="Akagera Lower Catchment"/>
    <n v="480"/>
  </r>
  <r>
    <x v="6"/>
    <s v="GAHUNDE FRANK"/>
    <s v="BWERA"/>
    <x v="0"/>
    <s v="NYAGATARE"/>
    <s v="MATIMBA"/>
    <s v="NAKL_1"/>
    <s v="Akagera Lower Catchment"/>
    <n v="250"/>
  </r>
  <r>
    <x v="6"/>
    <s v="GAKWAYA Emmanuel"/>
    <s v="KAMATE"/>
    <x v="0"/>
    <s v="NYAGATARE"/>
    <s v="KARANGAZI"/>
    <s v="NAKL_1"/>
    <s v="Akagera Lower Catchment"/>
    <n v="480"/>
  </r>
  <r>
    <x v="6"/>
    <s v="GASANA DAMAS"/>
    <s v="KIREBE"/>
    <x v="0"/>
    <s v="NYAGATARE"/>
    <s v="RWIMIYAGA"/>
    <s v="NAKL_1"/>
    <s v="Akagera Lower Catchment"/>
    <n v="250"/>
  </r>
  <r>
    <x v="6"/>
    <s v="IRYARUREMESHA BONA Stephen"/>
    <s v="RWENTANGA"/>
    <x v="0"/>
    <s v="NYAGATARE"/>
    <s v="MATIMBA"/>
    <s v="NAKL_1"/>
    <s v="Akagera Lower Catchment"/>
    <n v="250"/>
  </r>
  <r>
    <x v="6"/>
    <s v="Joseph DAMELI"/>
    <s v="RUGALI"/>
    <x v="0"/>
    <s v="NYAGATARE"/>
    <s v="KATABAGEMU"/>
    <s v="NAKL_1"/>
    <s v="Akagera Lower Catchment"/>
    <n v="480"/>
  </r>
  <r>
    <x v="6"/>
    <s v="KAGINA Steven"/>
    <s v="NDAMA"/>
    <x v="0"/>
    <s v="NYAGATARE"/>
    <s v="KARANGAZI"/>
    <s v="NAKL_1"/>
    <s v="Akagera Lower Catchment"/>
    <n v="250"/>
  </r>
  <r>
    <x v="6"/>
    <s v="KALISA Michel"/>
    <s v="KIREBE"/>
    <x v="0"/>
    <s v="NYAGATARE"/>
    <s v="RWIMIYAGA"/>
    <s v="NAKL_1"/>
    <s v="Akagera Lower Catchment"/>
    <n v="250"/>
  </r>
  <r>
    <x v="6"/>
    <s v="Kampayana Augustin"/>
    <s v="BUTUNGU"/>
    <x v="0"/>
    <s v="NYAGATARE"/>
    <s v="RWIMIYAGA"/>
    <s v="NAKL_1"/>
    <s v="Akagera Lower Catchment"/>
    <n v="250"/>
  </r>
  <r>
    <x v="6"/>
    <s v="KANTENGWA Odette"/>
    <s v="RUBIRA"/>
    <x v="0"/>
    <s v="NYAGATARE"/>
    <s v="KATABAGEMU"/>
    <s v="NAKL_1"/>
    <s v="Akagera Lower Catchment"/>
    <n v="250"/>
  </r>
  <r>
    <x v="6"/>
    <s v="KARAKE Charles"/>
    <s v="RUBIRA"/>
    <x v="0"/>
    <s v="NYAGATARE"/>
    <s v="KATABAGEMU"/>
    <s v="NAKL_1"/>
    <s v="Akagera Lower Catchment"/>
    <n v="480"/>
  </r>
  <r>
    <x v="6"/>
    <s v="KARINGANIRE INNOCENT"/>
    <s v="KARAMA"/>
    <x v="0"/>
    <s v="NYAGATARE"/>
    <s v="KARANGAZI"/>
    <s v="NAKL_1"/>
    <s v="Akagera Lower Catchment"/>
    <n v="250"/>
  </r>
  <r>
    <x v="6"/>
    <s v="KAYITARE GODFREY"/>
    <s v="GASINGO"/>
    <x v="0"/>
    <s v="NYAGATARE"/>
    <s v="RWEMPASHA"/>
    <s v="NAKL_1"/>
    <s v="Akagera Lower Catchment"/>
    <n v="250"/>
  </r>
  <r>
    <x v="6"/>
    <s v="KAYUMBA CHARLES"/>
    <s v="KIREBE"/>
    <x v="0"/>
    <s v="NYAGATARE"/>
    <s v="RWIMIYAGA"/>
    <s v="NAKL_1"/>
    <s v="Akagera Lower Catchment"/>
    <n v="250"/>
  </r>
  <r>
    <x v="6"/>
    <s v="KAZUNGU WILSON"/>
    <s v="KIREBE"/>
    <x v="0"/>
    <s v="NYAGATARE"/>
    <s v="RWIMIYAGA"/>
    <s v="NAKL_1"/>
    <s v="Akagera Lower Catchment"/>
    <n v="250"/>
  </r>
  <r>
    <x v="6"/>
    <s v="KINYOGOTE Cyrille"/>
    <s v="BUHABWA"/>
    <x v="0"/>
    <s v="KAYONZA"/>
    <s v="MURUNDI"/>
    <s v="NAKL_1"/>
    <s v="Akagera Lower Catchment"/>
    <n v="480"/>
  </r>
  <r>
    <x v="6"/>
    <s v="MACUMA ABDUL"/>
    <s v="BWERA"/>
    <x v="0"/>
    <s v="NYAGATARE"/>
    <s v="MATIMBA"/>
    <s v="NAKL_1"/>
    <s v="Akagera Lower Catchment"/>
    <n v="250"/>
  </r>
  <r>
    <x v="6"/>
    <s v="MAJYAMBERE BERNARD"/>
    <s v="BWERA"/>
    <x v="0"/>
    <s v="NYAGATARE"/>
    <s v="MATIMBA"/>
    <s v="NAKL_1"/>
    <s v="Akagera Lower Catchment"/>
    <n v="120"/>
  </r>
  <r>
    <x v="6"/>
    <s v="MBABAZI Allen"/>
    <s v="KAMATI"/>
    <x v="0"/>
    <s v="NYAGATARE"/>
    <s v="KARANGAZI"/>
    <s v="NAKL_1"/>
    <s v="Akagera Lower Catchment"/>
    <n v="250"/>
  </r>
  <r>
    <x v="6"/>
    <s v="MUDENGE Norman"/>
    <s v="NDAMA"/>
    <x v="0"/>
    <s v="NYAGATARE"/>
    <s v="KARANGAZI"/>
    <s v="NAKL_1"/>
    <s v="Akagera Lower Catchment"/>
    <n v="250"/>
  </r>
  <r>
    <x v="6"/>
    <s v="MUGABO Eric"/>
    <s v="KIREBE"/>
    <x v="0"/>
    <s v="NYAGATARE"/>
    <s v="RWIMIYAGA"/>
    <s v="NAKL_1"/>
    <s v="Akagera Lower Catchment"/>
    <n v="250"/>
  </r>
  <r>
    <x v="6"/>
    <s v="MUGIMBA Fidele"/>
    <s v="KIREBE"/>
    <x v="0"/>
    <s v="NYAGATARE"/>
    <s v="RWIMIYAGA"/>
    <s v="NAKL_1"/>
    <s v="Akagera Lower Catchment"/>
    <n v="250"/>
  </r>
  <r>
    <x v="6"/>
    <s v="MUHWEZI STEVEN"/>
    <s v="KAMATE"/>
    <x v="0"/>
    <s v="NYAGATARE"/>
    <s v="KARANGAZI"/>
    <s v="NAKL_1"/>
    <s v="Akagera Lower Catchment"/>
    <n v="250"/>
  </r>
  <r>
    <x v="6"/>
    <s v="MUKAGASANA PERUTH"/>
    <s v="KIREBE"/>
    <x v="0"/>
    <s v="NYAGATARE"/>
    <s v="RWIMIYAGA"/>
    <s v="NAKL_1"/>
    <s v="Akagera Lower Catchment"/>
    <n v="250"/>
  </r>
  <r>
    <x v="6"/>
    <s v="MUKAMUTARA ANNET"/>
    <s v="NYAKIGANDO"/>
    <x v="0"/>
    <s v="NYAGATARE"/>
    <s v="KATABAGEMU"/>
    <s v="NAKL_1"/>
    <s v="Akagera Lower Catchment"/>
    <n v="120"/>
  </r>
  <r>
    <x v="6"/>
    <s v="MUKANDORI Christine"/>
    <s v="RUTARE"/>
    <x v="0"/>
    <s v="NYAGATARE"/>
    <s v="RWEMPASHA"/>
    <s v="NAKL_1"/>
    <s v="Akagera Lower Catchment"/>
    <n v="250"/>
  </r>
  <r>
    <x v="6"/>
    <s v="MUKARUNYANA SPECIOSE"/>
    <s v="KIREBE"/>
    <x v="0"/>
    <s v="NYAGATARE"/>
    <s v="RWIMIYAGA"/>
    <s v="NAKL_1"/>
    <s v="Akagera Lower Catchment"/>
    <n v="250"/>
  </r>
  <r>
    <x v="6"/>
    <s v="MUTABAZI RONALD"/>
    <s v="BWERA"/>
    <x v="0"/>
    <s v="NYAGATARE"/>
    <s v="MATIMBA"/>
    <s v="NAKL_1"/>
    <s v="Akagera Lower Catchment"/>
    <n v="250"/>
  </r>
  <r>
    <x v="6"/>
    <s v="NSABIMANA ETIENNE"/>
    <s v="MATIMBA"/>
    <x v="0"/>
    <s v="NYAGATARE"/>
    <s v="MATIMBA"/>
    <s v="NAKL_1"/>
    <s v="Akagera Lower Catchment"/>
    <n v="250"/>
  </r>
  <r>
    <x v="6"/>
    <s v="NSENGIYUMVA Djumatatu"/>
    <s v="KABEZA"/>
    <x v="0"/>
    <s v="NYAGATARE"/>
    <s v="RWIMIYAGA"/>
    <s v="NAKL_1"/>
    <s v="Akagera Lower Catchment"/>
    <n v="250"/>
  </r>
  <r>
    <x v="6"/>
    <s v="NSENGIYUMVA THACIEN"/>
    <s v="MBARE"/>
    <x v="0"/>
    <s v="NYAGATARE"/>
    <s v="KARANGAZI"/>
    <s v="NAKL_1"/>
    <s v="Akagera Lower Catchment"/>
    <n v="250"/>
  </r>
  <r>
    <x v="6"/>
    <s v="NTABANA Frank"/>
    <s v="RUGAZI"/>
    <x v="0"/>
    <s v="NYAGATARE"/>
    <s v="KATABAGEMU"/>
    <s v="NAKL_1"/>
    <s v="Akagera Lower Catchment"/>
    <n v="250"/>
  </r>
  <r>
    <x v="6"/>
    <s v="NTAMBARA Manase"/>
    <s v="RUTUNGA"/>
    <x v="0"/>
    <s v="NYAGATARE"/>
    <s v="RWIMIYAGA"/>
    <s v="NAKL_1"/>
    <s v="Akagera Lower Catchment"/>
    <n v="250"/>
  </r>
  <r>
    <x v="6"/>
    <s v="NTARE FRANCIS"/>
    <s v="NTOMA"/>
    <x v="0"/>
    <s v="NYAGATARE"/>
    <s v="RWIMIYAGA"/>
    <s v="NAKL_1"/>
    <s v="Akagera Lower Catchment"/>
    <n v="250"/>
  </r>
  <r>
    <x v="6"/>
    <s v="NYAGATARE SECONDARY SCHOOL"/>
    <s v="NSHEKE"/>
    <x v="0"/>
    <s v="NYAGATARE"/>
    <s v="NYAGATARE"/>
    <s v="NAKL_1"/>
    <s v="Akagera Lower Catchment"/>
    <n v="250"/>
  </r>
  <r>
    <x v="6"/>
    <s v="NYIRANZEYIMANA VEDASTINE"/>
    <s v="KIREBE"/>
    <x v="0"/>
    <s v="NYAGATARE"/>
    <s v="RWIMIYAGA"/>
    <s v="NAKL_1"/>
    <s v="Akagera Lower Catchment"/>
    <n v="250"/>
  </r>
  <r>
    <x v="6"/>
    <s v="NYIRINGANGO THACIEN"/>
    <s v="RYABEGA"/>
    <x v="0"/>
    <s v="NYAGATARE"/>
    <s v="NYAGATARE"/>
    <s v="NAKL_1"/>
    <s v="Akagera Lower Catchment"/>
    <n v="250"/>
  </r>
  <r>
    <x v="6"/>
    <s v="NZAMURAMBAHO Charles"/>
    <s v="JURU"/>
    <x v="0"/>
    <s v="KAYONZA"/>
    <s v="GAHINI"/>
    <s v="NAKL_1"/>
    <s v="Akagera Lower Catchment"/>
    <n v="250"/>
  </r>
  <r>
    <x v="6"/>
    <s v="RUBAGUMYA SAM"/>
    <s v="RWENTANGA"/>
    <x v="0"/>
    <s v="NYAGATARE"/>
    <s v="MATIMBA"/>
    <s v="NAKL_1"/>
    <s v="Akagera Lower Catchment"/>
    <n v="250"/>
  </r>
  <r>
    <x v="6"/>
    <s v="RUDASINGWA Agire Fred"/>
    <s v="KIREBE"/>
    <x v="0"/>
    <s v="NYAGATARE"/>
    <s v="RWIMIYAGA"/>
    <s v="NAKL_1"/>
    <s v="Akagera Lower Catchment"/>
    <n v="250"/>
  </r>
  <r>
    <x v="6"/>
    <s v="RUGANGAZI Benjamin"/>
    <s v="BWERA"/>
    <x v="0"/>
    <s v="NYAGATARE"/>
    <s v="MATIMBA"/>
    <s v="NAKL_1"/>
    <s v="Akagera Lower Catchment"/>
    <n v="480"/>
  </r>
  <r>
    <x v="6"/>
    <s v="RUGANGAZI Evariste"/>
    <s v="BUHABWA"/>
    <x v="0"/>
    <s v="KAYONZA"/>
    <s v="MURUNDI"/>
    <s v="NAKL_1"/>
    <s v="Akagera Lower Catchment"/>
    <n v="480"/>
  </r>
  <r>
    <x v="6"/>
    <s v="RUGEMA WILLY"/>
    <s v="SIMBWA"/>
    <x v="0"/>
    <s v="GATSIBO"/>
    <s v="KABARORE"/>
    <s v="NAKL_1"/>
    <s v="Akagera Lower Catchment"/>
    <n v="250"/>
  </r>
  <r>
    <x v="6"/>
    <s v="RUSAGARA Vianney"/>
    <s v="MBARE"/>
    <x v="0"/>
    <s v="NYAGATARE"/>
    <s v="KARANGAZI"/>
    <s v="NAKL_1"/>
    <s v="Akagera Lower Catchment"/>
    <n v="250"/>
  </r>
  <r>
    <x v="6"/>
    <s v="RUTAREMARA Christophe"/>
    <s v="BWERA"/>
    <x v="0"/>
    <s v="NYAGATARE"/>
    <s v="MATIMBA"/>
    <s v="NAKL_1"/>
    <s v="Akagera Lower Catchment"/>
    <n v="250"/>
  </r>
  <r>
    <x v="6"/>
    <s v="RUTEMBESA EMMANUEL"/>
    <s v="NTOMA"/>
    <x v="0"/>
    <s v="NYAGATARE"/>
    <s v="RWIMIYAGA"/>
    <s v="NAKL_1"/>
    <s v="Akagera Lower Catchment"/>
    <n v="250"/>
  </r>
  <r>
    <x v="6"/>
    <s v="RUTEMBESA SAM"/>
    <s v="BWERA"/>
    <x v="0"/>
    <s v="NYAGATARE"/>
    <s v="MATIMBA"/>
    <s v="NAKL_1"/>
    <s v="Akagera Lower Catchment"/>
    <n v="250"/>
  </r>
  <r>
    <x v="6"/>
    <s v="RUZIGANA CHARLES"/>
    <s v="MBARE"/>
    <x v="0"/>
    <s v="NYAGATARE"/>
    <s v="KARANGAZI"/>
    <s v="NAKL_1"/>
    <s v="Akagera Lower Catchment"/>
    <n v="250"/>
  </r>
  <r>
    <x v="6"/>
    <s v="SAFARI James"/>
    <s v="MURUNDI"/>
    <x v="0"/>
    <s v="KAYONZA"/>
    <s v="MURUNDI"/>
    <s v="NAKL_1"/>
    <s v="Akagera Lower Catchment"/>
    <n v="250"/>
  </r>
  <r>
    <x v="6"/>
    <s v="SEMUDEBERI FRANK"/>
    <s v="MBARE"/>
    <x v="0"/>
    <s v="NYAGATARE"/>
    <s v="KARANGAZI"/>
    <s v="NAKL_1"/>
    <s v="Akagera Lower Catchment"/>
    <n v="250"/>
  </r>
  <r>
    <x v="6"/>
    <s v="SUNDAY DAVID"/>
    <s v="KARAMA"/>
    <x v="0"/>
    <s v="NYAGATARE"/>
    <s v="KARANGAZI"/>
    <s v="NAKL_1"/>
    <s v="Akagera Lower Catchment"/>
    <n v="250"/>
  </r>
  <r>
    <x v="6"/>
    <s v="TURATSINZE James"/>
    <s v="NYAGASHANGA"/>
    <x v="0"/>
    <s v="NYAGATARE"/>
    <s v="KARANGAZI"/>
    <s v="NAKL_1"/>
    <s v="Akagera Lower Catchment"/>
    <n v="250"/>
  </r>
  <r>
    <x v="6"/>
    <s v="TWESIGYE Dickson"/>
    <s v="BUHABWA"/>
    <x v="0"/>
    <s v="KAYONZA"/>
    <s v="MURUNDI"/>
    <s v="NAKL_1"/>
    <s v="Akagera Lower Catchment"/>
    <n v="250"/>
  </r>
  <r>
    <x v="6"/>
    <s v="ZIGIRA Alphonse"/>
    <s v="BUHABWA"/>
    <x v="0"/>
    <s v="KAYONZA"/>
    <s v="MURUNDI"/>
    <s v="NAKL_1"/>
    <s v="Akagera Lower Catchment"/>
    <n v="250"/>
  </r>
  <r>
    <x v="6"/>
    <s v=" NDEKEZI Maarifa vincent"/>
    <s v="MWENDO"/>
    <x v="0"/>
    <s v="BUGESERA"/>
    <s v="GASHORA"/>
    <s v="NAKN_3"/>
    <s v="Cyohoha lake Sub-Catchment"/>
    <n v="250"/>
  </r>
  <r>
    <x v="6"/>
    <s v=" RULISA STEPHEN"/>
    <s v="KAGOMASI"/>
    <x v="0"/>
    <s v="BUGESERA"/>
    <s v="GASHORA"/>
    <s v="NAKN_3"/>
    <s v="Cyohoha lake Sub-Catchment"/>
    <n v="250"/>
  </r>
  <r>
    <x v="6"/>
    <s v="ABASHYIZEHAMWE/RWERU-KINTAMBWE"/>
    <m/>
    <x v="0"/>
    <s v="BUGESERA"/>
    <s v="GASHORA"/>
    <s v="NAKN_3"/>
    <s v="Cyohoha lake Sub-Catchment"/>
    <n v="120"/>
  </r>
  <r>
    <x v="6"/>
    <s v="KABAREBE MUDENGE Esperance"/>
    <s v="BIRYOGO"/>
    <x v="0"/>
    <s v="BUGESERA"/>
    <s v="GASHORA"/>
    <s v="NAKN_3"/>
    <s v="Cyohoha lake Sub-Catchment"/>
    <n v="250"/>
  </r>
  <r>
    <x v="6"/>
    <s v="MUHIZI DELPHIN"/>
    <s v="MURUMA"/>
    <x v="0"/>
    <s v="BUGESERA"/>
    <s v="NYAMATA"/>
    <s v="NAKN_3"/>
    <s v="Cyohoha lake Sub-Catchment"/>
    <n v="250"/>
  </r>
  <r>
    <x v="6"/>
    <s v="MUKWINDI Gaparayi"/>
    <s v="KIBENGA"/>
    <x v="0"/>
    <s v="BUGESERA"/>
    <s v="MAYANGE"/>
    <s v="NAKN_3"/>
    <s v="Cyohoha lake Sub-Catchment"/>
    <n v="250"/>
  </r>
  <r>
    <x v="6"/>
    <s v="RYUMUGABE J.M.V"/>
    <s v="NYAMATA VILLE"/>
    <x v="0"/>
    <s v="BUGESERA"/>
    <s v="NYAMATA"/>
    <s v="NAKN_3"/>
    <s v="Cyohoha lake Sub-Catchment"/>
    <n v="120"/>
  </r>
  <r>
    <x v="6"/>
    <s v="SHEMA Joseph"/>
    <s v="GAKAMBA"/>
    <x v="0"/>
    <s v="BUGESERA"/>
    <s v="MAYANGE"/>
    <s v="NAKN_3"/>
    <s v="Cyohoha lake Sub-Catchment"/>
    <n v="250"/>
  </r>
  <r>
    <x v="6"/>
    <s v="SHYAKA William"/>
    <s v="BIRYOGO"/>
    <x v="0"/>
    <s v="BUGESERA"/>
    <s v="GASHORA"/>
    <s v="NAKN_3"/>
    <s v="Cyohoha lake Sub-Catchment"/>
    <n v="480"/>
  </r>
  <r>
    <x v="6"/>
    <s v="UWAMAHORO Agnes"/>
    <s v="KABUYE"/>
    <x v="0"/>
    <s v="BUGESERA"/>
    <s v="GASHORA"/>
    <s v="NAKN_3"/>
    <s v="Cyohoha lake Sub-Catchment"/>
    <n v="250"/>
  </r>
  <r>
    <x v="6"/>
    <s v=" MWUMVANEZA JUSTIN"/>
    <s v="BUTANSINDA"/>
    <x v="0"/>
    <s v="NYANZA"/>
    <s v="KIGOMA"/>
    <s v="NAKN_2"/>
    <s v="Gishara/Mukunguri Sub-Catchment"/>
    <n v="120"/>
  </r>
  <r>
    <x v="6"/>
    <s v="COCOF MUSAMBIRA"/>
    <s v="KARENGERA"/>
    <x v="0"/>
    <s v="KAMONYI"/>
    <s v="MUSAMBIRA"/>
    <s v="NAKN_2"/>
    <s v="Gishara/Mukunguri Sub-Catchment"/>
    <n v="250"/>
  </r>
  <r>
    <x v="6"/>
    <s v="KAYIRANGA Venuste"/>
    <s v="CYAMBWE"/>
    <x v="0"/>
    <s v="KAMONYI"/>
    <s v="MUSAMBIRA"/>
    <s v="NAKN_2"/>
    <s v="Gishara/Mukunguri Sub-Catchment"/>
    <n v="250"/>
  </r>
  <r>
    <x v="6"/>
    <s v="MAKUZA Celestin"/>
    <s v="CYUGARO"/>
    <x v="0"/>
    <s v="BUGESERA"/>
    <s v="NTARAMA"/>
    <s v="NAKN_2"/>
    <s v="Gishara/Mukunguri Sub-Catchment"/>
    <n v="250"/>
  </r>
  <r>
    <x v="6"/>
    <s v="SHYAKA Prosper"/>
    <s v="BUGINA"/>
    <x v="0"/>
    <s v="NYANZA"/>
    <s v="MUYIRA"/>
    <s v="NAKN_2"/>
    <s v="Gishara/Mukunguri Sub-Catchment"/>
    <n v="250"/>
  </r>
  <r>
    <x v="6"/>
    <s v="UMUTONI Marcel"/>
    <s v="NYABISINDU"/>
    <x v="0"/>
    <s v="RWAMAGANA"/>
    <s v="MUSHA"/>
    <s v="NAKN_2"/>
    <s v="Gishara/Mukunguri Sub-Catchment"/>
    <n v="250"/>
  </r>
  <r>
    <x v="6"/>
    <s v="IPRC SOUTH"/>
    <m/>
    <x v="0"/>
    <s v="HUYE"/>
    <s v="NGOMA"/>
    <s v="NAKN_1"/>
    <s v="Giswi/Agatobwe Sub-Catchment"/>
    <n v="250"/>
  </r>
  <r>
    <x v="6"/>
    <s v="AFRICAN Jean bosco"/>
    <s v="CYANYA"/>
    <x v="0"/>
    <s v="RWAMAGANA"/>
    <s v="KIGABIRO"/>
    <s v="NAKU_1"/>
    <s v="Mugesera/Sake sub catchmentt"/>
    <n v="120"/>
  </r>
  <r>
    <x v="6"/>
    <s v="AHORANAYEZU J Bosco"/>
    <s v="NTAGA"/>
    <x v="0"/>
    <s v="NGOMA"/>
    <s v="MUGESERA"/>
    <s v="NAKU_1"/>
    <s v="Mugesera/Sake sub catchmentt"/>
    <n v="250"/>
  </r>
  <r>
    <x v="6"/>
    <s v="Cecile NZABONIMANA KANIMBA"/>
    <s v="NTEBE"/>
    <x v="0"/>
    <s v="RWAMAGANA"/>
    <s v="MUHAZI"/>
    <s v="NAKU_1"/>
    <s v="Mugesera/Sake sub catchmentt"/>
    <n v="250"/>
  </r>
  <r>
    <x v="6"/>
    <s v="Coop. TWIGE TWIGIRA MUGESERA"/>
    <s v="MUGATARE"/>
    <x v="0"/>
    <s v="NGOMA"/>
    <s v="MUGESERA"/>
    <s v="NAKU_1"/>
    <s v="Mugesera/Sake sub catchmentt"/>
    <n v="250"/>
  </r>
  <r>
    <x v="6"/>
    <s v="GAKWAYA Modeste"/>
    <s v="NKOMANGWA"/>
    <x v="0"/>
    <s v="RWAMAGANA"/>
    <s v="MUNYIGINYA"/>
    <s v="NAKU_1"/>
    <s v="Mugesera/Sake sub catchmentt"/>
    <n v="250"/>
  </r>
  <r>
    <x v="6"/>
    <s v="GASANA Emmanuel"/>
    <s v="KIBAGABAGA"/>
    <x v="0"/>
    <s v="GASABO"/>
    <s v="KIMIRONKO"/>
    <s v="NAKU_1"/>
    <s v="Mugesera/Sake sub catchmentt"/>
    <n v="480"/>
  </r>
  <r>
    <x v="6"/>
    <s v="GASHEJA Daniel"/>
    <s v="RUBILIZI"/>
    <x v="0"/>
    <s v="KICUKIRO"/>
    <s v="KANOMBE"/>
    <s v="NAKU_1"/>
    <s v="Mugesera/Sake sub catchmentt"/>
    <n v="480"/>
  </r>
  <r>
    <x v="6"/>
    <s v="HABUMUGISHA OLIVIER"/>
    <s v="NTEBE"/>
    <x v="0"/>
    <s v="RWAMAGANA"/>
    <s v="MUHAZI"/>
    <s v="NAKU_1"/>
    <s v="Mugesera/Sake sub catchmentt"/>
    <n v="250"/>
  </r>
  <r>
    <x v="6"/>
    <s v="HAKIZIMANA Claude"/>
    <s v="NYAGAHANGA"/>
    <x v="0"/>
    <s v="GASABO"/>
    <s v="RUSORORO"/>
    <s v="NAKU_1"/>
    <s v="Mugesera/Sake sub catchmentt"/>
    <n v="480"/>
  </r>
  <r>
    <x v="6"/>
    <s v="KANAMUGIRE Mongi Hornella Chantal"/>
    <s v="NTOVI"/>
    <x v="0"/>
    <s v="NGOMA"/>
    <s v="RUKUMBERI"/>
    <s v="NAKU_1"/>
    <s v="Mugesera/Sake sub catchmentt"/>
    <n v="250"/>
  </r>
  <r>
    <x v="6"/>
    <s v="MANIRAGUHA Sylvere"/>
    <s v="GAKO"/>
    <x v="0"/>
    <s v="KICUKIRO"/>
    <s v="MASAKA"/>
    <s v="NAKU_1"/>
    <s v="Mugesera/Sake sub catchmentt"/>
    <n v="480"/>
  </r>
  <r>
    <x v="6"/>
    <s v="MUGABO WILSON"/>
    <s v="MBANDAZI"/>
    <x v="0"/>
    <s v="GASABO"/>
    <s v="RUSORORO"/>
    <s v="NAKU_1"/>
    <s v="Mugesera/Sake sub catchmentt"/>
    <n v="250"/>
  </r>
  <r>
    <x v="6"/>
    <s v="MUSABYIMANA Petronille"/>
    <m/>
    <x v="0"/>
    <s v="KICUKIRO"/>
    <s v="MASAKA"/>
    <s v="NAKU_1"/>
    <s v="Mugesera/Sake sub catchmentt"/>
    <n v="250"/>
  </r>
  <r>
    <x v="6"/>
    <s v="NSANZIMANA Alphonse"/>
    <s v="NYAMATETE"/>
    <x v="0"/>
    <s v="RWAMAGANA"/>
    <s v="KARENGE"/>
    <s v="NAKU_1"/>
    <s v="Mugesera/Sake sub catchmentt"/>
    <n v="120"/>
  </r>
  <r>
    <x v="6"/>
    <s v="NSENGIYUMVA Nepo"/>
    <s v="NYABUBARE"/>
    <x v="0"/>
    <s v="RWAMAGANA"/>
    <s v="KARENGE"/>
    <s v="NAKU_1"/>
    <s v="Mugesera/Sake sub catchmentt"/>
    <n v="120"/>
  </r>
  <r>
    <x v="6"/>
    <s v="NTAYOMBYA PHOCUS"/>
    <s v="RWABUTENGE"/>
    <x v="0"/>
    <s v="KICUKIRO"/>
    <s v="GAHANGA"/>
    <s v="NAKU_1"/>
    <s v="Mugesera/Sake sub catchmentt"/>
    <n v="250"/>
  </r>
  <r>
    <x v="6"/>
    <s v="NYIRANEZA Suzanne"/>
    <s v="NYAMUGARI"/>
    <x v="0"/>
    <s v="RWAMAGANA"/>
    <s v="GAHENGERI"/>
    <s v="NAKU_1"/>
    <s v="Mugesera/Sake sub catchmentt"/>
    <n v="120"/>
  </r>
  <r>
    <x v="6"/>
    <s v="RASANA JOSHUA"/>
    <m/>
    <x v="0"/>
    <s v="RWAMAGANA"/>
    <s v="MUHAZI"/>
    <s v="NAKU_1"/>
    <s v="Mugesera/Sake sub catchmentt"/>
    <n v="250"/>
  </r>
  <r>
    <x v="6"/>
    <s v="RUKENGERA Innocent"/>
    <s v="BICACA"/>
    <x v="0"/>
    <s v="RWAMAGANA"/>
    <s v="KARENGE"/>
    <s v="NAKU_1"/>
    <s v="Mugesera/Sake sub catchmentt"/>
    <n v="120"/>
  </r>
  <r>
    <x v="6"/>
    <s v="RWANYANGE Etienne"/>
    <s v="NYARUBUYE"/>
    <x v="0"/>
    <s v="RWAMAGANA"/>
    <s v="MUNYIGINYA"/>
    <s v="NAKU_1"/>
    <s v="Mugesera/Sake sub catchmentt"/>
    <n v="120"/>
  </r>
  <r>
    <x v="6"/>
    <s v="Stanislas NKIKABAHIZI"/>
    <s v="MUYANGE"/>
    <x v="0"/>
    <s v="KICUKIRO"/>
    <s v="KAGARAMA"/>
    <s v="NAKU_1"/>
    <s v="Mugesera/Sake sub catchmentt"/>
    <n v="250"/>
  </r>
  <r>
    <x v="6"/>
    <s v="STEVIA PLUS LTD"/>
    <s v="KABUNGO"/>
    <x v="0"/>
    <s v="NGOMA"/>
    <s v="ZAZA"/>
    <s v="NAKU_1"/>
    <s v="Mugesera/Sake sub catchmentt"/>
    <n v="250"/>
  </r>
  <r>
    <x v="6"/>
    <s v="TORERO MUGENYI Eugene"/>
    <s v="NYARUBUYE"/>
    <x v="0"/>
    <s v="RWAMAGANA"/>
    <s v="MUNYIGINYA"/>
    <s v="NAKU_1"/>
    <s v="Mugesera/Sake sub catchmentt"/>
    <n v="250"/>
  </r>
  <r>
    <x v="6"/>
    <s v="TURATSINZE J.M.V"/>
    <s v="KAGASA"/>
    <x v="0"/>
    <s v="KICUKIRO"/>
    <s v="GAHANGA"/>
    <s v="NAKU_1"/>
    <s v="Mugesera/Sake sub catchmentt"/>
    <n v="250"/>
  </r>
  <r>
    <x v="6"/>
    <s v="Itsinda ICYEREKEZO"/>
    <s v="KABUSANZA"/>
    <x v="0"/>
    <s v="HUYE"/>
    <s v="SIMBI"/>
    <s v="NNYU_2"/>
    <s v="Mwogo Sub-Catchment"/>
    <n v="250"/>
  </r>
  <r>
    <x v="6"/>
    <s v="MPORANYIMIGABO Prosper"/>
    <s v="KIGANDARO"/>
    <x v="0"/>
    <s v="KARONGI"/>
    <s v="MURAMBI"/>
    <s v="NNYL_1"/>
    <s v="Nyabugogo Sub-Catchment"/>
    <n v="250"/>
  </r>
  <r>
    <x v="6"/>
    <s v="NIYONSENGA Michel"/>
    <s v="KINYANA"/>
    <x v="0"/>
    <s v="GASABO"/>
    <s v="KINYINYA"/>
    <s v="NNYL_1"/>
    <s v="Nyabugogo Sub-Catchment"/>
    <n v="250"/>
  </r>
  <r>
    <x v="6"/>
    <s v="NTIYAMIRA MOISE"/>
    <s v="NYAKIGANDO"/>
    <x v="0"/>
    <s v="NYAGATARE"/>
    <s v="TABAGWE"/>
    <s v="NMUV_2"/>
    <s v="Warufu/Muvumba Sub-Catchment"/>
    <n v="250"/>
  </r>
  <r>
    <x v="6"/>
    <s v="Itsinda ABADACOGORA"/>
    <s v="KINTABWA"/>
    <x v="0"/>
    <s v="BUGESERA"/>
    <s v="RWERU"/>
    <s v="NAKU_2"/>
    <s v="Rweru sub catchment"/>
    <n v="250"/>
  </r>
  <r>
    <x v="6"/>
    <s v="RUDASINGWA Jean Marie Vianney"/>
    <s v="TUNDA"/>
    <x v="0"/>
    <s v="BUGESERA"/>
    <s v="KAMABUYE"/>
    <s v="NAKN_3"/>
    <s v="Cyohoha lake sub catchment"/>
    <n v="480"/>
  </r>
  <r>
    <x v="7"/>
    <m/>
    <s v="Amashyuza"/>
    <x v="4"/>
    <n v="36"/>
    <m/>
    <s v="CRUS_1"/>
    <s v="Rubyiro sub catchment (CRUS_1)"/>
    <n v="634"/>
  </r>
  <r>
    <x v="7"/>
    <m/>
    <s v="Bijya"/>
    <x v="1"/>
    <n v="21"/>
    <m/>
    <s v="NNYU_3"/>
    <s v="Nyabarongo upstream sub catchment (NNYU_3)"/>
    <n v="96368"/>
  </r>
  <r>
    <x v="7"/>
    <m/>
    <s v="butozo"/>
    <x v="2"/>
    <n v="45"/>
    <m/>
    <s v="CKIV_3"/>
    <s v="Kamiranzovu sub catchment (CKIV_3)"/>
    <n v="205416"/>
  </r>
  <r>
    <x v="7"/>
    <m/>
    <s v="Cyunyu"/>
    <x v="4"/>
    <n v="36"/>
    <m/>
    <s v="NMUV_1"/>
    <s v="Murindi sub catchment (NMUV_1)"/>
    <n v="102708"/>
  </r>
  <r>
    <x v="7"/>
    <m/>
    <s v="Gahondo"/>
    <x v="1"/>
    <n v="24"/>
    <m/>
    <s v="NNYU_2"/>
    <s v="Mwogo sub catchment (NNYU_2)"/>
    <n v="57060"/>
  </r>
  <r>
    <x v="7"/>
    <m/>
    <s v="Gasharu"/>
    <x v="1"/>
    <n v="24"/>
    <m/>
    <s v="NNYU_2"/>
    <s v="Mwogo sub catchment (NNYU_2)"/>
    <n v="4438"/>
  </r>
  <r>
    <x v="7"/>
    <m/>
    <s v="Gatsakingi"/>
    <x v="1"/>
    <n v="24"/>
    <m/>
    <s v="NAKN_1"/>
    <s v="Giswi/Agatobwe sub catchment (NAKN_1)"/>
    <n v="3487"/>
  </r>
  <r>
    <x v="7"/>
    <m/>
    <s v="Gisiza"/>
    <x v="3"/>
    <n v="53"/>
    <m/>
    <s v="NAKL_1"/>
    <s v="Akagera Lower catchment (NAKL_1)"/>
    <n v="5389"/>
  </r>
  <r>
    <x v="7"/>
    <m/>
    <s v="Gisiza"/>
    <x v="3"/>
    <n v="53"/>
    <m/>
    <s v="NAKL_1"/>
    <s v="Akagera Lower catchment (NAKL_1)"/>
    <n v="8242"/>
  </r>
  <r>
    <x v="7"/>
    <m/>
    <s v="Gituza"/>
    <x v="3"/>
    <n v="53"/>
    <m/>
    <s v="CKIV_2"/>
    <s v="Koko/Muregeya sub catchment (CKIV_2)"/>
    <n v="3170"/>
  </r>
  <r>
    <x v="7"/>
    <m/>
    <s v="kabirizi"/>
    <x v="4"/>
    <n v="32"/>
    <m/>
    <s v="CKIV_2"/>
    <s v="Koko/Muregeya sub catchment (CKIV_2)"/>
    <n v="3170"/>
  </r>
  <r>
    <x v="7"/>
    <m/>
    <s v="kabweja"/>
    <x v="3"/>
    <n v="53"/>
    <m/>
    <s v="CKIV_2"/>
    <s v="Koko/Muregeya sub catchment (CKIV_2)"/>
    <n v="2219"/>
  </r>
  <r>
    <x v="7"/>
    <m/>
    <s v="kigombe"/>
    <x v="2"/>
    <n v="43"/>
    <m/>
    <s v="NNYL_1"/>
    <s v="Nyabugogo sub catchment (NNYL_1)"/>
    <n v="1585"/>
  </r>
  <r>
    <x v="7"/>
    <m/>
    <s v="lac kivu"/>
    <x v="4"/>
    <n v="32"/>
    <m/>
    <s v="CKIV_2"/>
    <s v="Koko/Muregeya sub catchment (CKIV_2)"/>
    <n v="2219"/>
  </r>
  <r>
    <x v="7"/>
    <m/>
    <s v="mburabuturo"/>
    <x v="5"/>
    <n v="13"/>
    <m/>
    <s v="NNYL_1"/>
    <s v="Nyabugogo sub catchment (NNYL_1)"/>
    <n v="819470.36"/>
  </r>
  <r>
    <x v="7"/>
    <m/>
    <s v="mishungero"/>
    <x v="1"/>
    <n v="23"/>
    <m/>
    <s v="NNYL_1"/>
    <s v="Nyabugogo sub catchment (NNYL_1)"/>
    <n v="142650"/>
  </r>
  <r>
    <x v="7"/>
    <m/>
    <s v="MUGASEKE"/>
    <x v="4"/>
    <n v="37"/>
    <m/>
    <s v="NNYL_1"/>
    <s v="Nyabugogo sub catchment (NNYL_1)"/>
    <n v="1902"/>
  </r>
  <r>
    <x v="7"/>
    <m/>
    <s v="MUGASEKE"/>
    <x v="4"/>
    <n v="31"/>
    <m/>
    <s v="CKIV_3"/>
    <s v="Kamiranzovu sub catchment (CKIV_3)"/>
    <n v="6340"/>
  </r>
  <r>
    <x v="7"/>
    <m/>
    <s v="MUGATOKI"/>
    <x v="4"/>
    <n v="37"/>
    <m/>
    <s v="CKIV_2"/>
    <s v="Koko/Muregeya sub catchment (CKIV_2)"/>
    <n v="8242"/>
  </r>
  <r>
    <x v="7"/>
    <m/>
    <s v="Mukariba"/>
    <x v="4"/>
    <n v="37"/>
    <m/>
    <s v="NMUK_2"/>
    <s v="Giciye/Mukungwa sub catchment (NMUK_2)"/>
    <n v="1141200"/>
  </r>
  <r>
    <x v="7"/>
    <m/>
    <s v="MUNYAMUNYO"/>
    <x v="4"/>
    <n v="37"/>
    <m/>
    <s v="CKIV_2"/>
    <s v="Koko/Muregeya sub catchment (CKIV_2)"/>
    <n v="380400"/>
  </r>
  <r>
    <x v="7"/>
    <m/>
    <s v="mutende"/>
    <x v="3"/>
    <n v="56"/>
    <m/>
    <s v="NNYL_1"/>
    <s v="Nyabugogo sub catchment (NNYL_1)"/>
    <n v="3423.6000000000004"/>
  </r>
  <r>
    <x v="7"/>
    <m/>
    <s v="Nyabukobero"/>
    <x v="3"/>
    <n v="53"/>
    <m/>
    <s v="CRUS_2"/>
    <s v="Ruhwa sub catchment (CRUS_2)"/>
    <n v="380400"/>
  </r>
  <r>
    <x v="7"/>
    <m/>
    <s v="Nyagasozi"/>
    <x v="1"/>
    <n v="24"/>
    <m/>
    <s v="NAKN_2"/>
    <s v="Gishara/Mukunguri sub catchment (NAKN_2)"/>
    <n v="1118376"/>
  </r>
  <r>
    <x v="7"/>
    <m/>
    <s v="Nyagasozi"/>
    <x v="1"/>
    <n v="28"/>
    <m/>
    <s v="NAKU_2"/>
    <s v="Rweru sub catchment (NAKU_2)"/>
    <n v="57060"/>
  </r>
  <r>
    <x v="7"/>
    <m/>
    <s v="NYIRABIZI RIVER"/>
    <x v="4"/>
    <n v="37"/>
    <m/>
    <s v="CKIV_3"/>
    <s v="Kamiranzovu sub catchment (CKIV_3)"/>
    <n v="951"/>
  </r>
  <r>
    <x v="7"/>
    <m/>
    <s v="NYIRAKAGEZI"/>
    <x v="4"/>
    <n v="37"/>
    <m/>
    <s v="NAKL_1"/>
    <s v="Akagera Lower catchment (NAKL_1)"/>
    <n v="2219"/>
  </r>
  <r>
    <x v="7"/>
    <m/>
    <s v="ruli"/>
    <x v="1"/>
    <n v="23"/>
    <m/>
    <s v="NAKN_1"/>
    <s v="Giswi/Agatobwe sub catchment (NAKN_1)"/>
    <n v="1902"/>
  </r>
  <r>
    <x v="7"/>
    <m/>
    <s v="Rwasama"/>
    <x v="3"/>
    <n v="53"/>
    <m/>
    <s v="NAKN_1"/>
    <s v="Giswi/Agatobwe sub catchment (NAKN_1)"/>
    <n v="2711301"/>
  </r>
  <r>
    <x v="7"/>
    <m/>
    <s v="rwezamenyo"/>
    <x v="1"/>
    <n v="24"/>
    <m/>
    <s v="NAKN_1"/>
    <s v="Giswi/Agatobwe sub catchment (NAKN_1)"/>
    <n v="1902"/>
  </r>
  <r>
    <x v="7"/>
    <m/>
    <s v="Tumba-Cyarwa"/>
    <x v="1"/>
    <n v="24"/>
    <m/>
    <s v="NAKN_2"/>
    <s v="Gishara/Mukunguri sub catchment (NAKN_2)"/>
    <n v="5389"/>
  </r>
  <r>
    <x v="8"/>
    <s v="Murunda"/>
    <s v="REG"/>
    <x v="0"/>
    <s v="Rutsiro"/>
    <s v="Gihango"/>
    <s v="NNYU_3"/>
    <s v="Nyabarongo Upstream Sub-Catchment"/>
    <n v="315360"/>
  </r>
  <r>
    <x v="8"/>
    <s v="Mazimeru"/>
    <s v="REG"/>
    <x v="0"/>
    <s v="Nyamagabe"/>
    <s v="Muganza"/>
    <s v="NAKN_1"/>
    <s v="Giswi/Agatobwe Sub-Catchment"/>
    <n v="346896"/>
  </r>
  <r>
    <x v="8"/>
    <s v="Gashashi"/>
    <s v="REG"/>
    <x v="0"/>
    <s v="Rutsiro"/>
    <s v="Kigeyo"/>
    <s v="CKIV_2"/>
    <s v="Koko/Muregeya Sub-Catchment"/>
    <n v="441504"/>
  </r>
  <r>
    <x v="8"/>
    <s v="Janja"/>
    <s v="REG"/>
    <x v="0"/>
    <s v="Gakenke"/>
    <s v="Mugunga"/>
    <s v="NMUK_2"/>
    <s v="Giciye/Mukungwa Sub-Catchment"/>
    <n v="591300"/>
  </r>
  <r>
    <x v="8"/>
    <s v="Nyabahanga"/>
    <s v="REG"/>
    <x v="0"/>
    <s v="Karongi"/>
    <s v="Gitesi"/>
    <s v="NNYU_3"/>
    <s v="Nyabarongo Upstream Sub-Catchment"/>
    <n v="1103760"/>
  </r>
  <r>
    <x v="8"/>
    <s v="Gisenyi"/>
    <s v="REG"/>
    <x v="0"/>
    <s v="Rubavu"/>
    <s v="Rugerero"/>
    <s v="CKIV_2"/>
    <s v="Koko/Muregeya Sub-Catchment"/>
    <n v="1340280"/>
  </r>
  <r>
    <x v="8"/>
    <s v="Nyirabuhombohombo"/>
    <s v="REG"/>
    <x v="0"/>
    <s v="Nyamasheke"/>
    <s v="Kirimbi"/>
    <s v="CKIV_3"/>
    <s v="Kamiranzovu Sub-Catchment"/>
    <n v="1419120"/>
  </r>
  <r>
    <x v="8"/>
    <s v="Rugezi"/>
    <s v="REG"/>
    <x v="0"/>
    <s v="Burera"/>
    <s v="Rusarabuye"/>
    <s v="NMUK_1"/>
    <s v="Burera/Ruhondo Sub-Catchment"/>
    <n v="1419120"/>
  </r>
  <r>
    <x v="8"/>
    <s v="Nshili1"/>
    <s v="REG"/>
    <x v="0"/>
    <s v="Nyaruguru"/>
    <s v="Busanze"/>
    <s v="NAKN_1"/>
    <s v="Giswi/Agatobwe Sub-Catchment"/>
    <n v="1734480"/>
  </r>
  <r>
    <x v="8"/>
    <s v="Agatobwe"/>
    <s v="REG"/>
    <x v="0"/>
    <s v="Nyaruguru"/>
    <s v="Ngoma"/>
    <s v="NAKN_1"/>
    <s v="Giswi/Agatobwe Sub-Catchment"/>
    <n v="2365200"/>
  </r>
  <r>
    <x v="8"/>
    <s v="Musarara"/>
    <s v="REG"/>
    <x v="0"/>
    <s v="Nyabihu"/>
    <s v="Rugera"/>
    <s v="NMUK_2"/>
    <s v="Giciye/Mukungwa Sub-Catchment"/>
    <n v="2522880"/>
  </r>
  <r>
    <x v="8"/>
    <s v="Rukarara 1"/>
    <s v="REG"/>
    <x v="0"/>
    <s v="Nyamagabe"/>
    <s v="Kibirizi"/>
    <s v="NNYU_2"/>
    <s v="Mwogo Sub-Catchment"/>
    <n v="4205325.5999999996"/>
  </r>
  <r>
    <x v="8"/>
    <s v="Cyimbili"/>
    <s v="REG"/>
    <x v="0"/>
    <s v="Rutsiro"/>
    <s v="Kigeyo"/>
    <s v="CKIV_2"/>
    <s v="Koko/Muregeya Sub-Catchment"/>
    <n v="4730400"/>
  </r>
  <r>
    <x v="8"/>
    <s v="Keya"/>
    <s v="REG"/>
    <x v="0"/>
    <s v="Rubavu"/>
    <s v="Nyundo"/>
    <s v="CKIV_1"/>
    <s v="Sebeya Sub-Catchment"/>
    <n v="4730400"/>
  </r>
  <r>
    <x v="8"/>
    <s v="Nkora"/>
    <s v="REG"/>
    <x v="0"/>
    <s v="Rutsiro"/>
    <s v="Mushonyi"/>
    <s v="CKIV_2"/>
    <s v="Koko/Muregeya Sub-Catchment"/>
    <n v="4730400"/>
  </r>
  <r>
    <x v="8"/>
    <s v="Rukarara 2"/>
    <s v="REG"/>
    <x v="0"/>
    <s v="Nyamagabe"/>
    <s v="Buruhukiro"/>
    <s v="CKIV_3"/>
    <s v="Kamiranzovu Sub-Catchment"/>
    <n v="5439960"/>
  </r>
  <r>
    <x v="8"/>
    <s v="Ntaruka"/>
    <s v="REG"/>
    <x v="0"/>
    <s v="Burera"/>
    <s v="Kinoni"/>
    <s v="NMUK_1"/>
    <s v="Burera/Ruhondo Sub-Catchment"/>
    <n v="6307200"/>
  </r>
  <r>
    <x v="8"/>
    <s v="Mukungwa"/>
    <s v="REG"/>
    <x v="0"/>
    <s v="Musanze"/>
    <s v="Gacaca"/>
    <s v="NMUK_2"/>
    <s v="Giciye/Mukungwa Sub-Catchment"/>
    <n v="11037600"/>
  </r>
  <r>
    <x v="8"/>
    <s v="Mukungwa 2"/>
    <s v="REG"/>
    <x v="0"/>
    <s v="Musanze"/>
    <s v="Rwaza"/>
    <s v="NMUK_2"/>
    <s v="Giciye/Mukungwa Sub-Catchment"/>
    <n v="16871760"/>
  </r>
  <r>
    <x v="8"/>
    <s v="Nyabarongo 1"/>
    <s v="REG"/>
    <x v="0"/>
    <s v="Ngororero"/>
    <s v="Ndaro"/>
    <s v="NNYU_3"/>
    <s v="Nyabarongo Upstream Sub-Catchment"/>
    <n v="86329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Data" updatedVersion="6" showMemberPropertyTips="0" useAutoFormatting="1" itemPrintTitles="1" createdVersion="1" indent="0" compact="0" compactData="0" gridDropZones="1">
  <location ref="H11:O22" firstHeaderRow="1" firstDataRow="2" firstDataCol="1"/>
  <pivotFields count="9">
    <pivotField axis="axisRow" compact="0" outline="0" subtotalTop="0" showAll="0" includeNewItemsInFilter="1">
      <items count="10">
        <item x="0"/>
        <item x="1"/>
        <item x="8"/>
        <item x="5"/>
        <item x="7"/>
        <item x="2"/>
        <item x="3"/>
        <item x="6"/>
        <item x="4"/>
        <item t="default"/>
      </items>
    </pivotField>
    <pivotField compact="0" outline="0" subtotalTop="0" showAll="0" includeNewItemsInFilter="1"/>
    <pivotField compact="0" outline="0" subtotalTop="0" showAll="0" includeNewItemsInFilter="1"/>
    <pivotField axis="axisCol" compact="0" outline="0" subtotalTop="0" showAll="0" includeNewItemsInFilter="1">
      <items count="7">
        <item x="5"/>
        <item x="3"/>
        <item x="2"/>
        <item x="1"/>
        <item x="4"/>
        <item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s>
  <rowFields count="1">
    <field x="0"/>
  </rowFields>
  <rowItems count="10">
    <i>
      <x/>
    </i>
    <i>
      <x v="1"/>
    </i>
    <i>
      <x v="2"/>
    </i>
    <i>
      <x v="3"/>
    </i>
    <i>
      <x v="4"/>
    </i>
    <i>
      <x v="5"/>
    </i>
    <i>
      <x v="6"/>
    </i>
    <i>
      <x v="7"/>
    </i>
    <i>
      <x v="8"/>
    </i>
    <i t="grand">
      <x/>
    </i>
  </rowItems>
  <colFields count="1">
    <field x="3"/>
  </colFields>
  <colItems count="7">
    <i>
      <x/>
    </i>
    <i>
      <x v="1"/>
    </i>
    <i>
      <x v="2"/>
    </i>
    <i>
      <x v="3"/>
    </i>
    <i>
      <x v="4"/>
    </i>
    <i>
      <x v="5"/>
    </i>
    <i t="grand">
      <x/>
    </i>
  </colItems>
  <dataFields count="1">
    <dataField name="Sum of wateruse(m3)" fld="8" baseField="0" baseItem="0" numFmtId="167"/>
  </dataFields>
  <formats count="19">
    <format dxfId="129">
      <pivotArea outline="0" fieldPosition="0"/>
    </format>
    <format dxfId="128">
      <pivotArea outline="0" fieldPosition="0"/>
    </format>
    <format dxfId="127">
      <pivotArea outline="0" fieldPosition="0"/>
    </format>
    <format dxfId="126">
      <pivotArea type="all" dataOnly="0" outline="0" fieldPosition="0"/>
    </format>
    <format dxfId="125">
      <pivotArea outline="0" fieldPosition="0"/>
    </format>
    <format dxfId="124">
      <pivotArea type="origin" dataOnly="0" labelOnly="1" outline="0" fieldPosition="0"/>
    </format>
    <format dxfId="123">
      <pivotArea field="3" type="button" dataOnly="0" labelOnly="1" outline="0" axis="axisCol" fieldPosition="0"/>
    </format>
    <format dxfId="122">
      <pivotArea type="topRight" dataOnly="0" labelOnly="1" outline="0" fieldPosition="0"/>
    </format>
    <format dxfId="121">
      <pivotArea field="0" type="button" dataOnly="0" labelOnly="1" outline="0" axis="axisRow" fieldPosition="0"/>
    </format>
    <format dxfId="120">
      <pivotArea dataOnly="0" labelOnly="1" outline="0" fieldPosition="0">
        <references count="1">
          <reference field="0" count="0"/>
        </references>
      </pivotArea>
    </format>
    <format dxfId="119">
      <pivotArea dataOnly="0" labelOnly="1" grandRow="1" outline="0" fieldPosition="0"/>
    </format>
    <format dxfId="118">
      <pivotArea dataOnly="0" labelOnly="1" outline="0" fieldPosition="0">
        <references count="1">
          <reference field="3" count="0"/>
        </references>
      </pivotArea>
    </format>
    <format dxfId="117">
      <pivotArea dataOnly="0" labelOnly="1" grandCol="1" outline="0" fieldPosition="0"/>
    </format>
    <format dxfId="116">
      <pivotArea field="0" type="button" dataOnly="0" labelOnly="1" outline="0" axis="axisRow" fieldPosition="0"/>
    </format>
    <format dxfId="115">
      <pivotArea dataOnly="0" labelOnly="1" outline="0" fieldPosition="0">
        <references count="1">
          <reference field="3" count="0"/>
        </references>
      </pivotArea>
    </format>
    <format dxfId="114">
      <pivotArea dataOnly="0" labelOnly="1" grandCol="1" outline="0" fieldPosition="0"/>
    </format>
    <format dxfId="113">
      <pivotArea field="0" type="button" dataOnly="0" labelOnly="1" outline="0" axis="axisRow" fieldPosition="0"/>
    </format>
    <format dxfId="112">
      <pivotArea dataOnly="0" labelOnly="1" outline="0" fieldPosition="0">
        <references count="1">
          <reference field="3" count="0"/>
        </references>
      </pivotArea>
    </format>
    <format dxfId="111">
      <pivotArea dataOnly="0" labelOnly="1" grandCol="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 dT="2019-03-15T12:07:30.51" personId="{76B39166-C224-4A7C-8671-DCF641C31C97}" id="{A1BACAD5-EBA1-4DC3-80AE-7B2701669933}">
    <text>(Water Stress %: TWW / (TRWR-Env.) * 100).</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XXXX@NISR.R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7.bin"/><Relationship Id="rId1" Type="http://schemas.openxmlformats.org/officeDocument/2006/relationships/pivotTable" Target="../pivotTables/pivotTable1.xml"/><Relationship Id="rId4" Type="http://schemas.openxmlformats.org/officeDocument/2006/relationships/comments" Target="../comments10.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xml"/><Relationship Id="rId1" Type="http://schemas.openxmlformats.org/officeDocument/2006/relationships/printerSettings" Target="../printerSettings/printerSettings19.bin"/><Relationship Id="rId4" Type="http://schemas.openxmlformats.org/officeDocument/2006/relationships/comments" Target="../comments1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xml"/><Relationship Id="rId1" Type="http://schemas.openxmlformats.org/officeDocument/2006/relationships/printerSettings" Target="../printerSettings/printerSettings24.bin"/><Relationship Id="rId4" Type="http://schemas.openxmlformats.org/officeDocument/2006/relationships/comments" Target="../comments15.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5.xml"/><Relationship Id="rId1" Type="http://schemas.openxmlformats.org/officeDocument/2006/relationships/printerSettings" Target="../printerSettings/printerSettings29.bin"/><Relationship Id="rId4" Type="http://schemas.openxmlformats.org/officeDocument/2006/relationships/comments" Target="../comments18.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6.xml"/><Relationship Id="rId1" Type="http://schemas.openxmlformats.org/officeDocument/2006/relationships/printerSettings" Target="../printerSettings/printerSettings33.bin"/><Relationship Id="rId4" Type="http://schemas.openxmlformats.org/officeDocument/2006/relationships/comments" Target="../comments20.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7.xml"/><Relationship Id="rId1" Type="http://schemas.openxmlformats.org/officeDocument/2006/relationships/printerSettings" Target="../printerSettings/printerSettings34.bin"/><Relationship Id="rId4" Type="http://schemas.openxmlformats.org/officeDocument/2006/relationships/comments" Target="../comments21.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8.xml"/><Relationship Id="rId1" Type="http://schemas.openxmlformats.org/officeDocument/2006/relationships/printerSettings" Target="../printerSettings/printerSettings35.bin"/><Relationship Id="rId4" Type="http://schemas.openxmlformats.org/officeDocument/2006/relationships/comments" Target="../comments22.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10.xml"/><Relationship Id="rId1" Type="http://schemas.openxmlformats.org/officeDocument/2006/relationships/printerSettings" Target="../printerSettings/printerSettings37.bin"/><Relationship Id="rId4" Type="http://schemas.openxmlformats.org/officeDocument/2006/relationships/comments" Target="../comments23.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13.xml"/><Relationship Id="rId1" Type="http://schemas.openxmlformats.org/officeDocument/2006/relationships/printerSettings" Target="../printerSettings/printerSettings41.bin"/><Relationship Id="rId5" Type="http://schemas.microsoft.com/office/2017/10/relationships/threadedComment" Target="../threadedComments/threadedComment1.xml"/><Relationship Id="rId4" Type="http://schemas.openxmlformats.org/officeDocument/2006/relationships/comments" Target="../comments24.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14.xml"/><Relationship Id="rId1" Type="http://schemas.openxmlformats.org/officeDocument/2006/relationships/printerSettings" Target="../printerSettings/printerSettings43.bin"/><Relationship Id="rId4" Type="http://schemas.openxmlformats.org/officeDocument/2006/relationships/comments" Target="../comments25.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5.xml"/><Relationship Id="rId1" Type="http://schemas.openxmlformats.org/officeDocument/2006/relationships/printerSettings" Target="../printerSettings/printerSettings44.bin"/><Relationship Id="rId4" Type="http://schemas.openxmlformats.org/officeDocument/2006/relationships/comments" Target="../comments26.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7.xml"/><Relationship Id="rId1" Type="http://schemas.openxmlformats.org/officeDocument/2006/relationships/printerSettings" Target="../printerSettings/printerSettings47.bin"/><Relationship Id="rId4" Type="http://schemas.openxmlformats.org/officeDocument/2006/relationships/comments" Target="../comments28.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8.xml"/><Relationship Id="rId1" Type="http://schemas.openxmlformats.org/officeDocument/2006/relationships/printerSettings" Target="../printerSettings/printerSettings48.bin"/><Relationship Id="rId4" Type="http://schemas.openxmlformats.org/officeDocument/2006/relationships/comments" Target="../comments29.xml"/></Relationships>
</file>

<file path=xl/worksheets/_rels/sheet5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19.xml"/><Relationship Id="rId1" Type="http://schemas.openxmlformats.org/officeDocument/2006/relationships/printerSettings" Target="../printerSettings/printerSettings53.bin"/><Relationship Id="rId4" Type="http://schemas.openxmlformats.org/officeDocument/2006/relationships/comments" Target="../comments32.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pageSetUpPr fitToPage="1"/>
  </sheetPr>
  <dimension ref="A1:C77"/>
  <sheetViews>
    <sheetView zoomScale="90" zoomScaleNormal="90" workbookViewId="0">
      <pane ySplit="3" topLeftCell="A4" activePane="bottomLeft" state="frozen"/>
      <selection pane="bottomLeft" activeCell="C38" sqref="C38"/>
    </sheetView>
  </sheetViews>
  <sheetFormatPr defaultRowHeight="15" x14ac:dyDescent="0.25"/>
  <cols>
    <col min="1" max="1" width="21.140625" customWidth="1"/>
    <col min="2" max="2" width="61.140625" customWidth="1"/>
    <col min="3" max="3" width="14.7109375" customWidth="1"/>
  </cols>
  <sheetData>
    <row r="1" spans="1:3" ht="21" x14ac:dyDescent="0.35">
      <c r="A1" s="318" t="s">
        <v>561</v>
      </c>
    </row>
    <row r="2" spans="1:3" ht="15.75" x14ac:dyDescent="0.25">
      <c r="A2" s="317"/>
      <c r="B2" s="317"/>
      <c r="C2" s="317"/>
    </row>
    <row r="3" spans="1:3" ht="15.75" x14ac:dyDescent="0.25">
      <c r="A3" s="250" t="s">
        <v>581</v>
      </c>
      <c r="B3" s="250" t="s">
        <v>561</v>
      </c>
      <c r="C3" s="317"/>
    </row>
    <row r="4" spans="1:3" ht="15.75" x14ac:dyDescent="0.25">
      <c r="A4" s="317"/>
      <c r="B4" s="317"/>
      <c r="C4" s="317"/>
    </row>
    <row r="5" spans="1:3" ht="15.75" x14ac:dyDescent="0.25">
      <c r="A5" s="323">
        <v>2012</v>
      </c>
      <c r="B5" s="317"/>
      <c r="C5" s="317"/>
    </row>
    <row r="6" spans="1:3" ht="15.75" x14ac:dyDescent="0.25">
      <c r="A6" s="317" t="s">
        <v>597</v>
      </c>
      <c r="B6" s="1033" t="s">
        <v>593</v>
      </c>
      <c r="C6" s="317"/>
    </row>
    <row r="7" spans="1:3" ht="15.75" x14ac:dyDescent="0.25">
      <c r="A7" s="317" t="s">
        <v>598</v>
      </c>
      <c r="B7" s="1033" t="s">
        <v>592</v>
      </c>
      <c r="C7" s="317"/>
    </row>
    <row r="8" spans="1:3" ht="15.75" x14ac:dyDescent="0.25">
      <c r="A8" s="317" t="s">
        <v>599</v>
      </c>
      <c r="B8" s="1033" t="s">
        <v>1235</v>
      </c>
      <c r="C8" s="317"/>
    </row>
    <row r="9" spans="1:3" ht="15.75" x14ac:dyDescent="0.25">
      <c r="A9" s="317" t="s">
        <v>600</v>
      </c>
      <c r="B9" s="1033" t="s">
        <v>596</v>
      </c>
      <c r="C9" s="317"/>
    </row>
    <row r="10" spans="1:3" ht="15.75" x14ac:dyDescent="0.25">
      <c r="A10" s="317" t="s">
        <v>601</v>
      </c>
      <c r="B10" s="1033" t="s">
        <v>1284</v>
      </c>
      <c r="C10" s="317"/>
    </row>
    <row r="11" spans="1:3" ht="15.75" x14ac:dyDescent="0.25">
      <c r="A11" s="317" t="s">
        <v>602</v>
      </c>
      <c r="B11" s="1033" t="s">
        <v>1337</v>
      </c>
      <c r="C11" s="317"/>
    </row>
    <row r="12" spans="1:3" ht="15.75" x14ac:dyDescent="0.25">
      <c r="A12" s="317" t="s">
        <v>1051</v>
      </c>
      <c r="B12" s="322" t="s">
        <v>1682</v>
      </c>
      <c r="C12" s="317"/>
    </row>
    <row r="13" spans="1:3" ht="15.75" x14ac:dyDescent="0.25">
      <c r="A13" s="317" t="s">
        <v>1052</v>
      </c>
      <c r="B13" s="322" t="s">
        <v>1053</v>
      </c>
      <c r="C13" s="317"/>
    </row>
    <row r="14" spans="1:3" ht="15.75" x14ac:dyDescent="0.25">
      <c r="A14" s="317" t="s">
        <v>1285</v>
      </c>
      <c r="B14" s="322" t="s">
        <v>1424</v>
      </c>
      <c r="C14" s="317"/>
    </row>
    <row r="15" spans="1:3" ht="15.75" x14ac:dyDescent="0.25">
      <c r="A15" s="317" t="s">
        <v>1340</v>
      </c>
      <c r="B15" s="322" t="s">
        <v>1054</v>
      </c>
      <c r="C15" s="317"/>
    </row>
    <row r="16" spans="1:3" ht="15.75" x14ac:dyDescent="0.25">
      <c r="A16" s="317" t="s">
        <v>1671</v>
      </c>
      <c r="B16" s="322" t="s">
        <v>1480</v>
      </c>
      <c r="C16" s="317"/>
    </row>
    <row r="17" spans="1:3" ht="15.75" x14ac:dyDescent="0.25">
      <c r="A17" s="317" t="s">
        <v>1672</v>
      </c>
      <c r="B17" s="322" t="s">
        <v>1584</v>
      </c>
      <c r="C17" s="317"/>
    </row>
    <row r="18" spans="1:3" ht="15.75" x14ac:dyDescent="0.25">
      <c r="A18" s="317"/>
      <c r="C18" s="317"/>
    </row>
    <row r="19" spans="1:3" ht="15.75" x14ac:dyDescent="0.25">
      <c r="A19" s="250" t="s">
        <v>1713</v>
      </c>
      <c r="B19" s="317"/>
      <c r="C19" s="317"/>
    </row>
    <row r="20" spans="1:3" ht="15.75" x14ac:dyDescent="0.25">
      <c r="A20" s="317"/>
      <c r="B20" s="322" t="s">
        <v>1393</v>
      </c>
      <c r="C20" s="317"/>
    </row>
    <row r="21" spans="1:3" ht="15.75" x14ac:dyDescent="0.25">
      <c r="A21" s="317"/>
      <c r="B21" s="322" t="s">
        <v>1396</v>
      </c>
      <c r="C21" s="317"/>
    </row>
    <row r="22" spans="1:3" ht="15.75" x14ac:dyDescent="0.25">
      <c r="A22" s="317"/>
      <c r="B22" s="322" t="s">
        <v>1397</v>
      </c>
      <c r="C22" s="317"/>
    </row>
    <row r="23" spans="1:3" ht="15.75" x14ac:dyDescent="0.25">
      <c r="A23" s="317"/>
      <c r="B23" s="322" t="s">
        <v>1714</v>
      </c>
      <c r="C23" s="317"/>
    </row>
    <row r="24" spans="1:3" ht="15.75" x14ac:dyDescent="0.25">
      <c r="A24" s="317"/>
      <c r="B24" s="322" t="s">
        <v>1715</v>
      </c>
      <c r="C24" s="317"/>
    </row>
    <row r="25" spans="1:3" ht="15.75" x14ac:dyDescent="0.25">
      <c r="A25" s="317"/>
      <c r="B25" s="317"/>
      <c r="C25" s="317"/>
    </row>
    <row r="26" spans="1:3" ht="15.75" x14ac:dyDescent="0.25">
      <c r="A26" s="250" t="s">
        <v>1286</v>
      </c>
      <c r="B26" s="250" t="s">
        <v>1234</v>
      </c>
      <c r="C26" s="317"/>
    </row>
    <row r="27" spans="1:3" ht="15.75" x14ac:dyDescent="0.25">
      <c r="A27" s="317"/>
      <c r="B27" s="1033" t="s">
        <v>1234</v>
      </c>
      <c r="C27" s="317"/>
    </row>
    <row r="28" spans="1:3" ht="15.75" x14ac:dyDescent="0.25">
      <c r="A28" s="317"/>
      <c r="B28" s="1033" t="s">
        <v>607</v>
      </c>
      <c r="C28" s="317"/>
    </row>
    <row r="29" spans="1:3" ht="15.75" x14ac:dyDescent="0.25">
      <c r="A29" s="317"/>
      <c r="B29" s="1033" t="s">
        <v>608</v>
      </c>
      <c r="C29" s="317"/>
    </row>
    <row r="30" spans="1:3" ht="15.75" x14ac:dyDescent="0.25">
      <c r="A30" s="317"/>
      <c r="B30" s="1033" t="s">
        <v>1063</v>
      </c>
    </row>
    <row r="31" spans="1:3" ht="15.75" x14ac:dyDescent="0.25">
      <c r="A31" s="317"/>
      <c r="B31" s="322" t="s">
        <v>1274</v>
      </c>
      <c r="C31" s="317"/>
    </row>
    <row r="32" spans="1:3" ht="15.75" x14ac:dyDescent="0.25">
      <c r="A32" s="317"/>
      <c r="B32" s="322" t="s">
        <v>1479</v>
      </c>
      <c r="C32" s="317"/>
    </row>
    <row r="33" spans="1:3" ht="15.75" x14ac:dyDescent="0.25">
      <c r="A33" s="317"/>
      <c r="B33" s="1033" t="s">
        <v>1272</v>
      </c>
      <c r="C33" s="317"/>
    </row>
    <row r="34" spans="1:3" ht="15.75" x14ac:dyDescent="0.25">
      <c r="A34" s="317"/>
      <c r="B34" s="322" t="s">
        <v>1273</v>
      </c>
      <c r="C34" s="317"/>
    </row>
    <row r="35" spans="1:3" ht="15.75" x14ac:dyDescent="0.25">
      <c r="A35" s="317"/>
      <c r="B35" s="317"/>
      <c r="C35" s="317"/>
    </row>
    <row r="36" spans="1:3" ht="15.75" x14ac:dyDescent="0.25">
      <c r="A36" s="317"/>
      <c r="B36" s="317"/>
      <c r="C36" s="317"/>
    </row>
    <row r="37" spans="1:3" ht="15.75" x14ac:dyDescent="0.25">
      <c r="A37" s="323">
        <v>2013</v>
      </c>
      <c r="B37" s="317"/>
      <c r="C37" s="317"/>
    </row>
    <row r="38" spans="1:3" ht="15.75" x14ac:dyDescent="0.25">
      <c r="A38" s="317" t="s">
        <v>1481</v>
      </c>
      <c r="B38" s="322" t="s">
        <v>1350</v>
      </c>
      <c r="C38" s="317"/>
    </row>
    <row r="39" spans="1:3" ht="15.75" x14ac:dyDescent="0.25">
      <c r="A39" s="317" t="s">
        <v>1482</v>
      </c>
      <c r="B39" s="1033" t="s">
        <v>1349</v>
      </c>
      <c r="C39" s="317"/>
    </row>
    <row r="40" spans="1:3" ht="15.75" x14ac:dyDescent="0.25">
      <c r="A40" s="317" t="s">
        <v>1483</v>
      </c>
      <c r="B40" s="1033" t="s">
        <v>1343</v>
      </c>
      <c r="C40" s="317"/>
    </row>
    <row r="41" spans="1:3" ht="15.75" x14ac:dyDescent="0.25">
      <c r="A41" s="317" t="s">
        <v>1484</v>
      </c>
      <c r="B41" s="1033" t="s">
        <v>1344</v>
      </c>
      <c r="C41" s="317"/>
    </row>
    <row r="42" spans="1:3" ht="15.75" x14ac:dyDescent="0.25">
      <c r="A42" s="317" t="s">
        <v>1485</v>
      </c>
      <c r="B42" s="1033" t="s">
        <v>1348</v>
      </c>
      <c r="C42" s="317"/>
    </row>
    <row r="43" spans="1:3" ht="15.75" x14ac:dyDescent="0.25">
      <c r="A43" s="317"/>
      <c r="B43" s="1033"/>
      <c r="C43" s="317"/>
    </row>
    <row r="44" spans="1:3" ht="15.75" x14ac:dyDescent="0.25">
      <c r="A44" s="323">
        <v>2014</v>
      </c>
      <c r="B44" s="1033"/>
      <c r="C44" s="317"/>
    </row>
    <row r="45" spans="1:3" ht="15.75" x14ac:dyDescent="0.25">
      <c r="A45" s="317" t="s">
        <v>1486</v>
      </c>
      <c r="B45" s="322" t="s">
        <v>1341</v>
      </c>
      <c r="C45" s="317"/>
    </row>
    <row r="46" spans="1:3" ht="15.75" x14ac:dyDescent="0.25">
      <c r="A46" s="317" t="s">
        <v>1487</v>
      </c>
      <c r="B46" s="1033" t="s">
        <v>1342</v>
      </c>
      <c r="C46" s="317"/>
    </row>
    <row r="47" spans="1:3" ht="15.75" x14ac:dyDescent="0.25">
      <c r="A47" s="317" t="s">
        <v>1488</v>
      </c>
      <c r="B47" s="1033" t="s">
        <v>1347</v>
      </c>
      <c r="C47" s="317"/>
    </row>
    <row r="48" spans="1:3" ht="15.75" x14ac:dyDescent="0.25">
      <c r="A48" s="317" t="s">
        <v>1490</v>
      </c>
      <c r="B48" s="1033" t="s">
        <v>1346</v>
      </c>
      <c r="C48" s="317"/>
    </row>
    <row r="49" spans="1:3" ht="15.75" x14ac:dyDescent="0.25">
      <c r="A49" s="317" t="s">
        <v>1489</v>
      </c>
      <c r="B49" s="1033" t="s">
        <v>1345</v>
      </c>
      <c r="C49" s="317"/>
    </row>
    <row r="50" spans="1:3" ht="15.75" x14ac:dyDescent="0.25">
      <c r="A50" s="317"/>
      <c r="B50" s="1033"/>
      <c r="C50" s="317"/>
    </row>
    <row r="51" spans="1:3" ht="15.75" x14ac:dyDescent="0.25">
      <c r="A51" s="323">
        <v>2015</v>
      </c>
      <c r="B51" s="1033"/>
      <c r="C51" s="317"/>
    </row>
    <row r="52" spans="1:3" ht="15.75" x14ac:dyDescent="0.25">
      <c r="A52" s="317" t="s">
        <v>1568</v>
      </c>
      <c r="B52" s="322" t="s">
        <v>1351</v>
      </c>
      <c r="C52" s="317"/>
    </row>
    <row r="53" spans="1:3" ht="15.75" x14ac:dyDescent="0.25">
      <c r="A53" s="317" t="s">
        <v>1569</v>
      </c>
      <c r="B53" s="1033" t="s">
        <v>1352</v>
      </c>
      <c r="C53" s="317"/>
    </row>
    <row r="54" spans="1:3" ht="15.75" x14ac:dyDescent="0.25">
      <c r="A54" s="317" t="s">
        <v>1570</v>
      </c>
      <c r="B54" s="1033" t="s">
        <v>1353</v>
      </c>
      <c r="C54" s="317"/>
    </row>
    <row r="55" spans="1:3" ht="15.75" x14ac:dyDescent="0.25">
      <c r="A55" s="317" t="s">
        <v>1571</v>
      </c>
      <c r="B55" s="1033" t="s">
        <v>1354</v>
      </c>
      <c r="C55" s="317"/>
    </row>
    <row r="56" spans="1:3" ht="15.75" x14ac:dyDescent="0.25">
      <c r="A56" s="317" t="s">
        <v>1572</v>
      </c>
      <c r="B56" s="1033" t="s">
        <v>1355</v>
      </c>
      <c r="C56" s="317"/>
    </row>
    <row r="57" spans="1:3" ht="15.75" x14ac:dyDescent="0.25">
      <c r="A57" s="317"/>
      <c r="B57" s="317"/>
      <c r="C57" s="317"/>
    </row>
    <row r="58" spans="1:3" ht="15.75" x14ac:dyDescent="0.25">
      <c r="C58" s="317"/>
    </row>
    <row r="59" spans="1:3" ht="15.75" x14ac:dyDescent="0.25">
      <c r="C59" s="317"/>
    </row>
    <row r="60" spans="1:3" ht="15.75" x14ac:dyDescent="0.25">
      <c r="A60" s="317" t="s">
        <v>603</v>
      </c>
      <c r="B60" s="317" t="s">
        <v>582</v>
      </c>
      <c r="C60" s="317"/>
    </row>
    <row r="61" spans="1:3" ht="15.75" x14ac:dyDescent="0.25">
      <c r="C61" s="317"/>
    </row>
    <row r="62" spans="1:3" ht="15.75" x14ac:dyDescent="0.25">
      <c r="A62" s="317"/>
      <c r="B62" s="317"/>
      <c r="C62" s="317"/>
    </row>
    <row r="63" spans="1:3" ht="15.75" x14ac:dyDescent="0.25">
      <c r="A63" s="317"/>
      <c r="B63" s="317"/>
      <c r="C63" s="317"/>
    </row>
    <row r="64" spans="1:3" ht="15.75" x14ac:dyDescent="0.25">
      <c r="A64" s="317"/>
      <c r="B64" s="317"/>
      <c r="C64" s="317"/>
    </row>
    <row r="65" spans="1:2" ht="15.75" x14ac:dyDescent="0.25">
      <c r="A65" s="317" t="s">
        <v>589</v>
      </c>
      <c r="B65" s="317"/>
    </row>
    <row r="66" spans="1:2" x14ac:dyDescent="0.25">
      <c r="A66" t="s">
        <v>591</v>
      </c>
      <c r="B66" s="322" t="s">
        <v>590</v>
      </c>
    </row>
    <row r="69" spans="1:2" ht="15.75" x14ac:dyDescent="0.25">
      <c r="A69" s="317"/>
      <c r="B69" s="317"/>
    </row>
    <row r="70" spans="1:2" ht="15.75" x14ac:dyDescent="0.25">
      <c r="A70" s="319" t="s">
        <v>583</v>
      </c>
      <c r="B70" s="317"/>
    </row>
    <row r="71" spans="1:2" x14ac:dyDescent="0.25">
      <c r="A71" s="321" t="s">
        <v>584</v>
      </c>
    </row>
    <row r="72" spans="1:2" x14ac:dyDescent="0.25">
      <c r="A72" s="321" t="s">
        <v>585</v>
      </c>
    </row>
    <row r="73" spans="1:2" x14ac:dyDescent="0.25">
      <c r="A73" t="s">
        <v>594</v>
      </c>
    </row>
    <row r="74" spans="1:2" x14ac:dyDescent="0.25">
      <c r="A74" s="320" t="s">
        <v>586</v>
      </c>
    </row>
    <row r="75" spans="1:2" x14ac:dyDescent="0.25">
      <c r="A75" s="320" t="s">
        <v>587</v>
      </c>
    </row>
    <row r="76" spans="1:2" x14ac:dyDescent="0.25">
      <c r="A76" s="320" t="s">
        <v>588</v>
      </c>
    </row>
    <row r="77" spans="1:2" x14ac:dyDescent="0.25">
      <c r="A77" s="320" t="s">
        <v>595</v>
      </c>
    </row>
  </sheetData>
  <hyperlinks>
    <hyperlink ref="B66" r:id="rId1"/>
    <hyperlink ref="B6" location="Asset_2012_Table!B1" display="Water Asset Table, 2012"/>
    <hyperlink ref="B7" location="'W-Assets_Data&amp;Method_2012'!B1" display="Water_Asset_Table_Data_&amp;_Method, 2012"/>
    <hyperlink ref="B10" location="PSUT_2012!B1" display="PSUT: Physical Supply &amp; Use Table Water (detailed), 2012"/>
    <hyperlink ref="B9" location="'PSUT_Data&amp;Method_2012'!B1" display="Water_PSUT_Table_Data_&amp;_Method, 2012"/>
    <hyperlink ref="B8" location="Asset_Tbl_Balance_2012!B1" display="Water Asset Table, 2012 - Balanced"/>
    <hyperlink ref="B13" location="CYGDP_KP__Transpo__I!F2" display="NA_Economic_data, timeseries"/>
    <hyperlink ref="B15" location="L_Force_Tbl22_Transp__I!B1" display="NA_Labour_Force_Data, timeseries"/>
    <hyperlink ref="B27" location="Indicators!B1" display="  Indicators"/>
    <hyperlink ref="B31" location="SDG_6.4.1!G6" display="SDG 6.4.1 - Water Use Efficiency"/>
    <hyperlink ref="B33" location="SDG_Resources_Sheet!B1" display="SDG - Water Resources"/>
    <hyperlink ref="B34" location="SDG_6.4.2!H6" display="SDG 6.4.2 - Water stress"/>
    <hyperlink ref="B28" location="IRWR!B1" display="IRWR"/>
    <hyperlink ref="B29" location="TRWR!B1" display="TRWR"/>
    <hyperlink ref="B30" location="Water_availability_per_capita!B1" display="Water availability / capita"/>
    <hyperlink ref="B11" location="'RBM&amp;E-2017_S'!Q25" display="RBM&amp;E-2017_Study"/>
    <hyperlink ref="B38" location="Asset_2013_Table!B1" display="Water Asset Table, 2013"/>
    <hyperlink ref="B39" location="'W-Assets_Data&amp;Method_2013'!B1" display="Water_Asset_Table_Data_&amp;_Method, 2013"/>
    <hyperlink ref="B42" location="PSUT_2013!B1" display="PSUT: Physical Supply &amp; Use Table Water (detailed), 2013"/>
    <hyperlink ref="B41" location="'PSUT_Data&amp;Method_2013'!B1" display="Water_PSUT_Table_Data_&amp;_Method, 2013"/>
    <hyperlink ref="B40" location="Asset_Tbl_Balance_2013!B1" display="Water Asset Table, 2013 - Balanced"/>
    <hyperlink ref="B45" location="Asset_2014_Table!B1" display="Water Asset Table, 2014"/>
    <hyperlink ref="B46" location="'W-Assets_Data&amp;Method_2014'!B1" display="Water_Asset_Table_Data_&amp;_Method, 2014"/>
    <hyperlink ref="B49" location="PSUT_2014!B1" display="PSUT: Physical Supply &amp; Use Table Water (detailed), 2014"/>
    <hyperlink ref="B48" location="'PSUT_Data&amp;Method_2014'!B1" display="Water_PSUT_Table_Data_&amp;_Method, 2014"/>
    <hyperlink ref="B47" location="Asset_Tbl_Balance_2014!B1" display="Water Asset Table, 2014 - Balanced"/>
    <hyperlink ref="B52" location="Asset_2015_Table!B1" display="Water Asset Table, 2015"/>
    <hyperlink ref="B53" location="'W-Assets_Data&amp;Method_2015'!B1" display="Water_Asset_Table_Data_&amp;_Method, 2015"/>
    <hyperlink ref="B56" location="PSUT_2015!B1" display="PSUT: Physical Supply &amp; Use Table Water (detailed), 2015"/>
    <hyperlink ref="B55" location="'PSUT_Data&amp;Method_2015'!B1" display="Water_PSUT_Table_Data_&amp;_Method, 2015"/>
    <hyperlink ref="B54" location="Asset_Tbl_Balance_2015!B1" display="Water Asset Table, 2015 - Balanced"/>
    <hyperlink ref="B20" location="Closing_stocks!B3" display="Check by Closing Stocks"/>
    <hyperlink ref="B21" location="Asset_trends_Charts__I!H1" display="Asset trends Charts I"/>
    <hyperlink ref="B22" location="Asset_trends_Charts__II!H1" display="Asset trends Charts II"/>
    <hyperlink ref="B14" location="CYGDP_KP__Transpo__IIB!AY5" display="NA_Economic_data, timeseries - Processed"/>
    <hyperlink ref="B32" location="'SDG_6.4.1__T-Series'!I6" display="SDG 6.4.1 - Water Use Efficiency - Time Series"/>
    <hyperlink ref="B16" location="L_Force_Tbl22_Transp__II!AA20" display="NA_INTEGRATED: Labour - Economic - Water data, timeseries "/>
    <hyperlink ref="B17" location="WASAC_abstraction!K1" display="Water Sector Analysis - Sheets"/>
    <hyperlink ref="B23" location="PSUT_Trends_Charts!C5" display="PSUT trends Charts"/>
    <hyperlink ref="B24" location="'PSUT_2012-20JJ__I'!B99" display="PSUT trends Charts &amp; ISIC breakdown"/>
    <hyperlink ref="B12" location="CYGDP_KP__Transpo__IIA!A3" display="WA_PHYSICAL Water - PSUT, timeseries "/>
  </hyperlinks>
  <pageMargins left="0.51181102362204722" right="0.51181102362204722" top="0.74803149606299213" bottom="0.74803149606299213" header="0.31496062992125984" footer="0.31496062992125984"/>
  <pageSetup paperSize="9" scale="43" orientation="landscape" r:id="rId2"/>
  <headerFooter>
    <oddHeader>&amp;L&amp;F    &amp;&amp;&amp;A&amp;C&amp;D&amp;RPage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8"/>
  <sheetViews>
    <sheetView topLeftCell="A10" zoomScale="80" zoomScaleNormal="80" workbookViewId="0">
      <selection activeCell="G39" sqref="G39"/>
    </sheetView>
  </sheetViews>
  <sheetFormatPr defaultColWidth="8.85546875" defaultRowHeight="12" x14ac:dyDescent="0.2"/>
  <cols>
    <col min="1" max="1" width="25.28515625" style="465" customWidth="1"/>
    <col min="2" max="2" width="8.5703125" style="465" bestFit="1" customWidth="1"/>
    <col min="3" max="3" width="10.85546875" style="465" bestFit="1" customWidth="1"/>
    <col min="4" max="4" width="9.28515625" style="465" bestFit="1" customWidth="1"/>
    <col min="5" max="5" width="8.85546875" style="465" bestFit="1" customWidth="1"/>
    <col min="6" max="6" width="11" style="465" customWidth="1"/>
    <col min="7" max="7" width="23.42578125" style="465" customWidth="1"/>
    <col min="8" max="8" width="10.5703125" style="465" bestFit="1" customWidth="1"/>
    <col min="9" max="9" width="8.85546875" style="465" bestFit="1" customWidth="1"/>
    <col min="10" max="10" width="6.140625" style="465" customWidth="1"/>
    <col min="11" max="12" width="10.140625" style="465" customWidth="1"/>
    <col min="13" max="13" width="15.140625" style="465" customWidth="1"/>
    <col min="14" max="14" width="8" style="465" customWidth="1"/>
    <col min="15" max="15" width="12.28515625" style="465" customWidth="1"/>
    <col min="16" max="16" width="13.140625" style="465" bestFit="1" customWidth="1"/>
    <col min="17" max="17" width="12" style="465" customWidth="1"/>
    <col min="18" max="18" width="15.5703125" style="465" bestFit="1" customWidth="1"/>
    <col min="19" max="19" width="5.85546875" style="465" bestFit="1" customWidth="1"/>
    <col min="20" max="20" width="11.5703125" style="491" customWidth="1"/>
    <col min="21" max="21" width="18.5703125" style="465" customWidth="1"/>
    <col min="22" max="22" width="12.42578125" style="465" bestFit="1" customWidth="1"/>
    <col min="23" max="23" width="17.85546875" style="465" customWidth="1"/>
    <col min="24" max="16384" width="8.85546875" style="465"/>
  </cols>
  <sheetData>
    <row r="1" spans="1:24" ht="32.25" x14ac:dyDescent="0.25">
      <c r="A1" s="463" t="s">
        <v>674</v>
      </c>
      <c r="B1" s="1691" t="s">
        <v>506</v>
      </c>
      <c r="C1" s="1692"/>
      <c r="D1" s="1692"/>
      <c r="E1" s="1692"/>
      <c r="F1" s="1692"/>
      <c r="G1" s="1692"/>
      <c r="H1" s="1693"/>
      <c r="I1" s="1691" t="s">
        <v>675</v>
      </c>
      <c r="J1" s="1692"/>
      <c r="K1" s="1694" t="s">
        <v>676</v>
      </c>
      <c r="L1" s="1695"/>
      <c r="M1" s="1695"/>
      <c r="N1" s="1695"/>
      <c r="O1" s="1696"/>
      <c r="P1" s="1694" t="s">
        <v>677</v>
      </c>
      <c r="Q1" s="1695"/>
      <c r="R1" s="1695"/>
      <c r="S1"/>
      <c r="T1" s="464"/>
    </row>
    <row r="2" spans="1:24" s="473" customFormat="1" ht="39" customHeight="1" x14ac:dyDescent="0.25">
      <c r="A2" s="466" t="s">
        <v>507</v>
      </c>
      <c r="B2" s="467" t="s">
        <v>678</v>
      </c>
      <c r="C2" s="467" t="s">
        <v>679</v>
      </c>
      <c r="D2" s="467" t="s">
        <v>680</v>
      </c>
      <c r="E2" s="467" t="s">
        <v>681</v>
      </c>
      <c r="F2" s="467" t="s">
        <v>682</v>
      </c>
      <c r="G2" s="467" t="s">
        <v>683</v>
      </c>
      <c r="H2" s="468" t="s">
        <v>203</v>
      </c>
      <c r="I2" s="469" t="s">
        <v>684</v>
      </c>
      <c r="J2" s="469"/>
      <c r="K2" s="470" t="s">
        <v>685</v>
      </c>
      <c r="L2" s="470"/>
      <c r="M2" s="470" t="s">
        <v>686</v>
      </c>
      <c r="N2" s="470"/>
      <c r="O2" s="470" t="s">
        <v>687</v>
      </c>
      <c r="P2" s="468" t="s">
        <v>688</v>
      </c>
      <c r="Q2" s="471" t="s">
        <v>689</v>
      </c>
      <c r="R2" s="468" t="s">
        <v>690</v>
      </c>
      <c r="S2" s="468"/>
      <c r="T2" s="472" t="s">
        <v>691</v>
      </c>
      <c r="V2" s="474" t="s">
        <v>692</v>
      </c>
      <c r="W2" s="471"/>
      <c r="X2" s="475"/>
    </row>
    <row r="3" spans="1:24" ht="15.75" x14ac:dyDescent="0.25">
      <c r="A3" s="476" t="s">
        <v>520</v>
      </c>
      <c r="B3" s="477">
        <v>135</v>
      </c>
      <c r="C3" s="477">
        <v>0</v>
      </c>
      <c r="D3" s="477">
        <v>440</v>
      </c>
      <c r="E3" s="477">
        <v>0</v>
      </c>
      <c r="F3" s="477">
        <v>0</v>
      </c>
      <c r="G3" s="477">
        <v>0</v>
      </c>
      <c r="H3" s="477">
        <v>2597</v>
      </c>
      <c r="I3" s="478">
        <v>562</v>
      </c>
      <c r="J3" s="478"/>
      <c r="K3" s="479">
        <v>27</v>
      </c>
      <c r="L3" s="479"/>
      <c r="M3" s="479">
        <v>1123</v>
      </c>
      <c r="N3" s="479"/>
      <c r="O3" s="479"/>
      <c r="P3" s="479">
        <v>56</v>
      </c>
      <c r="Q3" s="480">
        <v>2359</v>
      </c>
      <c r="R3" s="479">
        <v>20891</v>
      </c>
      <c r="S3" s="476"/>
      <c r="T3" s="481">
        <f>SUM(B3:S3)</f>
        <v>28190</v>
      </c>
      <c r="V3" s="482">
        <v>1415418</v>
      </c>
      <c r="W3" s="483"/>
      <c r="X3" s="484"/>
    </row>
    <row r="4" spans="1:24" ht="15.75" x14ac:dyDescent="0.25">
      <c r="A4" s="485" t="s">
        <v>521</v>
      </c>
      <c r="B4" s="479">
        <v>60</v>
      </c>
      <c r="C4" s="479">
        <v>0</v>
      </c>
      <c r="D4" s="479">
        <v>890</v>
      </c>
      <c r="E4" s="479">
        <v>0</v>
      </c>
      <c r="F4" s="479">
        <v>0</v>
      </c>
      <c r="G4" s="479">
        <v>0</v>
      </c>
      <c r="H4" s="479">
        <v>585</v>
      </c>
      <c r="I4" s="478">
        <v>127</v>
      </c>
      <c r="J4" s="478"/>
      <c r="K4" s="486">
        <v>11</v>
      </c>
      <c r="L4" s="486"/>
      <c r="M4" s="486">
        <v>253</v>
      </c>
      <c r="N4" s="486"/>
      <c r="O4" s="486"/>
      <c r="P4" s="479">
        <v>0</v>
      </c>
      <c r="Q4" s="486">
        <v>435</v>
      </c>
      <c r="R4" s="479">
        <v>4774</v>
      </c>
      <c r="S4" s="476"/>
      <c r="T4" s="481">
        <f t="shared" ref="T4:T11" si="0">SUM(B4:S4)</f>
        <v>7135</v>
      </c>
      <c r="V4" s="482">
        <v>318048</v>
      </c>
      <c r="X4" s="484"/>
    </row>
    <row r="5" spans="1:24" ht="15.75" x14ac:dyDescent="0.25">
      <c r="A5" s="485" t="s">
        <v>522</v>
      </c>
      <c r="B5" s="486">
        <v>225</v>
      </c>
      <c r="C5" s="486">
        <v>44</v>
      </c>
      <c r="D5" s="486">
        <v>629</v>
      </c>
      <c r="E5" s="486">
        <v>0</v>
      </c>
      <c r="F5" s="486">
        <v>520</v>
      </c>
      <c r="G5" s="486">
        <v>0</v>
      </c>
      <c r="H5" s="486">
        <v>3775</v>
      </c>
      <c r="I5" s="486">
        <v>579</v>
      </c>
      <c r="J5" s="486"/>
      <c r="K5" s="486">
        <v>4</v>
      </c>
      <c r="L5" s="486"/>
      <c r="M5" s="486">
        <v>1157</v>
      </c>
      <c r="N5" s="486"/>
      <c r="O5" s="486"/>
      <c r="P5" s="486">
        <v>0</v>
      </c>
      <c r="Q5" s="486">
        <v>3606</v>
      </c>
      <c r="R5" s="486">
        <v>20746</v>
      </c>
      <c r="S5" s="487"/>
      <c r="T5" s="481">
        <f t="shared" si="0"/>
        <v>31285</v>
      </c>
      <c r="V5" s="482">
        <v>1425492</v>
      </c>
    </row>
    <row r="6" spans="1:24" ht="15.75" x14ac:dyDescent="0.25">
      <c r="A6" s="485" t="s">
        <v>523</v>
      </c>
      <c r="B6" s="486">
        <v>30</v>
      </c>
      <c r="C6" s="486">
        <v>0</v>
      </c>
      <c r="D6" s="486">
        <v>0</v>
      </c>
      <c r="E6" s="486">
        <v>0</v>
      </c>
      <c r="F6" s="486">
        <v>0</v>
      </c>
      <c r="G6" s="486">
        <v>0</v>
      </c>
      <c r="H6" s="486">
        <v>2501</v>
      </c>
      <c r="I6" s="486">
        <v>490</v>
      </c>
      <c r="J6" s="486"/>
      <c r="K6" s="486">
        <v>0</v>
      </c>
      <c r="L6" s="486"/>
      <c r="M6" s="486">
        <v>981</v>
      </c>
      <c r="N6" s="486"/>
      <c r="O6" s="486"/>
      <c r="P6" s="486">
        <v>158</v>
      </c>
      <c r="Q6" s="486">
        <v>5443</v>
      </c>
      <c r="R6" s="486">
        <v>15987</v>
      </c>
      <c r="S6" s="487"/>
      <c r="T6" s="481">
        <f t="shared" si="0"/>
        <v>25590</v>
      </c>
      <c r="V6" s="482">
        <v>1048631</v>
      </c>
    </row>
    <row r="7" spans="1:24" ht="15.75" x14ac:dyDescent="0.25">
      <c r="A7" s="485" t="s">
        <v>524</v>
      </c>
      <c r="B7" s="486">
        <v>420</v>
      </c>
      <c r="C7" s="486">
        <v>73</v>
      </c>
      <c r="D7" s="486">
        <v>1973</v>
      </c>
      <c r="E7" s="486">
        <v>0</v>
      </c>
      <c r="F7" s="486">
        <v>5938</v>
      </c>
      <c r="G7" s="486">
        <v>0</v>
      </c>
      <c r="H7" s="486">
        <v>4310</v>
      </c>
      <c r="I7" s="486">
        <v>840</v>
      </c>
      <c r="J7" s="486"/>
      <c r="K7" s="486">
        <v>11</v>
      </c>
      <c r="L7" s="486"/>
      <c r="M7" s="486">
        <v>1680</v>
      </c>
      <c r="N7" s="486"/>
      <c r="O7" s="486"/>
      <c r="P7" s="486">
        <v>570</v>
      </c>
      <c r="Q7" s="486">
        <v>19302</v>
      </c>
      <c r="R7" s="486">
        <v>20728</v>
      </c>
      <c r="S7" s="487"/>
      <c r="T7" s="481">
        <f t="shared" si="0"/>
        <v>55845</v>
      </c>
      <c r="V7" s="482">
        <v>2181940</v>
      </c>
    </row>
    <row r="8" spans="1:24" ht="15.75" x14ac:dyDescent="0.25">
      <c r="A8" s="485" t="s">
        <v>525</v>
      </c>
      <c r="B8" s="486">
        <v>270</v>
      </c>
      <c r="C8" s="486">
        <v>157</v>
      </c>
      <c r="D8" s="486">
        <v>2804</v>
      </c>
      <c r="E8" s="486">
        <v>342</v>
      </c>
      <c r="F8" s="486">
        <v>17891</v>
      </c>
      <c r="G8" s="486">
        <v>0</v>
      </c>
      <c r="H8" s="486">
        <v>3766</v>
      </c>
      <c r="I8" s="486">
        <v>544</v>
      </c>
      <c r="J8" s="486"/>
      <c r="K8" s="486">
        <v>5</v>
      </c>
      <c r="L8" s="486"/>
      <c r="M8" s="486">
        <v>1088</v>
      </c>
      <c r="N8" s="486"/>
      <c r="O8" s="486"/>
      <c r="P8" s="486">
        <v>0</v>
      </c>
      <c r="Q8" s="486">
        <v>6771</v>
      </c>
      <c r="R8" s="486">
        <v>17245</v>
      </c>
      <c r="S8" s="487"/>
      <c r="T8" s="481">
        <f t="shared" si="0"/>
        <v>50883</v>
      </c>
      <c r="V8" s="482">
        <v>1447480</v>
      </c>
    </row>
    <row r="9" spans="1:24" ht="15.75" x14ac:dyDescent="0.25">
      <c r="A9" s="485" t="s">
        <v>526</v>
      </c>
      <c r="B9" s="486">
        <v>210</v>
      </c>
      <c r="C9" s="486">
        <v>208</v>
      </c>
      <c r="D9" s="486">
        <v>850</v>
      </c>
      <c r="E9" s="486">
        <v>13780</v>
      </c>
      <c r="F9" s="486">
        <v>1196</v>
      </c>
      <c r="G9" s="486">
        <v>0</v>
      </c>
      <c r="H9" s="486">
        <v>2460</v>
      </c>
      <c r="I9" s="486">
        <v>432</v>
      </c>
      <c r="J9" s="486"/>
      <c r="K9" s="486">
        <v>7</v>
      </c>
      <c r="L9" s="486"/>
      <c r="M9" s="486">
        <v>865</v>
      </c>
      <c r="N9" s="486"/>
      <c r="O9" s="486"/>
      <c r="P9" s="486">
        <v>0</v>
      </c>
      <c r="Q9" s="486">
        <v>7000</v>
      </c>
      <c r="R9" s="486">
        <v>12624</v>
      </c>
      <c r="S9" s="487"/>
      <c r="T9" s="481">
        <f t="shared" si="0"/>
        <v>39632</v>
      </c>
      <c r="V9" s="482">
        <v>1318379</v>
      </c>
    </row>
    <row r="10" spans="1:24" ht="15.75" x14ac:dyDescent="0.25">
      <c r="A10" s="485" t="s">
        <v>527</v>
      </c>
      <c r="B10" s="486">
        <v>105</v>
      </c>
      <c r="C10" s="486">
        <v>204</v>
      </c>
      <c r="D10" s="486">
        <v>1200</v>
      </c>
      <c r="E10" s="486">
        <v>4800</v>
      </c>
      <c r="F10" s="486">
        <v>2200</v>
      </c>
      <c r="G10" s="486">
        <v>0</v>
      </c>
      <c r="H10" s="486">
        <v>2165</v>
      </c>
      <c r="I10" s="486">
        <v>202</v>
      </c>
      <c r="J10" s="486"/>
      <c r="K10" s="486">
        <v>1</v>
      </c>
      <c r="L10" s="486"/>
      <c r="M10" s="486">
        <v>403</v>
      </c>
      <c r="N10" s="486"/>
      <c r="O10" s="486"/>
      <c r="P10" s="486">
        <v>0</v>
      </c>
      <c r="Q10" s="486">
        <v>847</v>
      </c>
      <c r="R10" s="486">
        <v>7498</v>
      </c>
      <c r="S10" s="487"/>
      <c r="T10" s="488">
        <f t="shared" si="0"/>
        <v>19625</v>
      </c>
      <c r="V10" s="482">
        <v>725068</v>
      </c>
    </row>
    <row r="11" spans="1:24" ht="15.75" x14ac:dyDescent="0.25">
      <c r="A11" s="485" t="s">
        <v>528</v>
      </c>
      <c r="B11" s="486">
        <v>105</v>
      </c>
      <c r="C11" s="486">
        <v>121</v>
      </c>
      <c r="D11" s="486">
        <v>3940</v>
      </c>
      <c r="E11" s="486">
        <v>3200</v>
      </c>
      <c r="F11" s="486">
        <v>2481</v>
      </c>
      <c r="G11" s="486">
        <v>0</v>
      </c>
      <c r="H11" s="486">
        <v>1457</v>
      </c>
      <c r="I11" s="486">
        <v>231</v>
      </c>
      <c r="J11" s="486"/>
      <c r="K11" s="486">
        <v>0</v>
      </c>
      <c r="L11" s="486"/>
      <c r="M11" s="486">
        <v>462</v>
      </c>
      <c r="N11" s="486"/>
      <c r="O11" s="486"/>
      <c r="P11" s="486">
        <v>0</v>
      </c>
      <c r="Q11" s="486">
        <v>1688</v>
      </c>
      <c r="R11" s="486">
        <v>8117</v>
      </c>
      <c r="S11" s="487"/>
      <c r="T11" s="488">
        <f t="shared" si="0"/>
        <v>21802</v>
      </c>
      <c r="V11" s="482">
        <v>725068</v>
      </c>
    </row>
    <row r="12" spans="1:24" ht="15.75" x14ac:dyDescent="0.25">
      <c r="A12" s="487"/>
      <c r="B12" s="486"/>
      <c r="C12" s="486"/>
      <c r="D12" s="486"/>
      <c r="E12" s="486"/>
      <c r="F12" s="486"/>
      <c r="G12" s="486"/>
      <c r="H12" s="486"/>
      <c r="I12" s="486"/>
      <c r="J12" s="486"/>
      <c r="K12" s="486"/>
      <c r="L12" s="486"/>
      <c r="M12" s="486"/>
      <c r="N12" s="486"/>
      <c r="O12" s="486"/>
      <c r="P12" s="486"/>
      <c r="Q12" s="486"/>
      <c r="R12" s="486"/>
      <c r="S12" s="487"/>
      <c r="T12" s="489"/>
    </row>
    <row r="13" spans="1:24" x14ac:dyDescent="0.2">
      <c r="B13" s="490"/>
      <c r="C13" s="490"/>
      <c r="D13" s="490"/>
      <c r="E13" s="490"/>
      <c r="F13" s="490"/>
      <c r="G13" s="490"/>
      <c r="H13" s="490"/>
      <c r="I13" s="490"/>
      <c r="J13" s="490"/>
      <c r="K13" s="490"/>
      <c r="L13" s="490"/>
      <c r="M13" s="490"/>
      <c r="N13" s="490"/>
      <c r="O13" s="490"/>
      <c r="P13" s="490"/>
      <c r="Q13" s="490"/>
      <c r="R13" s="490"/>
    </row>
    <row r="14" spans="1:24" ht="17.25" x14ac:dyDescent="0.25">
      <c r="A14" s="492" t="s">
        <v>693</v>
      </c>
      <c r="B14" s="488">
        <f>SUM(B3:B13)</f>
        <v>1560</v>
      </c>
      <c r="C14" s="488">
        <f t="shared" ref="C14:T14" si="1">SUM(C3:C13)</f>
        <v>807</v>
      </c>
      <c r="D14" s="488">
        <f t="shared" si="1"/>
        <v>12726</v>
      </c>
      <c r="E14" s="488">
        <f t="shared" si="1"/>
        <v>22122</v>
      </c>
      <c r="F14" s="488">
        <f t="shared" si="1"/>
        <v>30226</v>
      </c>
      <c r="G14" s="488">
        <f t="shared" si="1"/>
        <v>0</v>
      </c>
      <c r="H14" s="488">
        <f t="shared" si="1"/>
        <v>23616</v>
      </c>
      <c r="I14" s="488">
        <f t="shared" si="1"/>
        <v>4007</v>
      </c>
      <c r="J14" s="488">
        <f t="shared" si="1"/>
        <v>0</v>
      </c>
      <c r="K14" s="488">
        <f t="shared" si="1"/>
        <v>66</v>
      </c>
      <c r="L14" s="488"/>
      <c r="M14" s="488">
        <f t="shared" si="1"/>
        <v>8012</v>
      </c>
      <c r="N14" s="488">
        <f t="shared" si="1"/>
        <v>0</v>
      </c>
      <c r="O14" s="488">
        <f t="shared" si="1"/>
        <v>0</v>
      </c>
      <c r="P14" s="488">
        <f t="shared" si="1"/>
        <v>784</v>
      </c>
      <c r="Q14" s="488">
        <f t="shared" si="1"/>
        <v>47451</v>
      </c>
      <c r="R14" s="488">
        <f t="shared" si="1"/>
        <v>128610</v>
      </c>
      <c r="S14" s="493">
        <f t="shared" si="1"/>
        <v>0</v>
      </c>
      <c r="T14" s="494">
        <f t="shared" si="1"/>
        <v>279987</v>
      </c>
      <c r="U14" s="483" t="s">
        <v>694</v>
      </c>
      <c r="V14" s="484">
        <f>SUM(V3:V13)</f>
        <v>10605524</v>
      </c>
    </row>
    <row r="16" spans="1:24" s="495" customFormat="1" ht="12.75" x14ac:dyDescent="0.2">
      <c r="A16" s="495" t="s">
        <v>695</v>
      </c>
      <c r="B16" s="495" t="s">
        <v>217</v>
      </c>
      <c r="D16" s="496">
        <f>B14+C14+D14+E14+F14+G14+H14</f>
        <v>91057</v>
      </c>
      <c r="H16" s="495" t="s">
        <v>696</v>
      </c>
      <c r="I16" s="496">
        <f>I14+J14</f>
        <v>4007</v>
      </c>
      <c r="K16" s="495" t="s">
        <v>697</v>
      </c>
      <c r="M16" s="496">
        <f>K14+M14</f>
        <v>8078</v>
      </c>
      <c r="O16" s="495" t="s">
        <v>698</v>
      </c>
      <c r="P16" s="496">
        <f>P14</f>
        <v>784</v>
      </c>
      <c r="Q16" s="495" t="s">
        <v>699</v>
      </c>
      <c r="R16" s="496">
        <f>Q14+R14</f>
        <v>176061</v>
      </c>
      <c r="T16" s="496">
        <f>R16+P16+M16+I16+D16</f>
        <v>279987</v>
      </c>
    </row>
    <row r="18" spans="1:20" ht="18.75" x14ac:dyDescent="0.3">
      <c r="A18" s="497" t="s">
        <v>538</v>
      </c>
      <c r="D18" s="491">
        <f>D16-C14</f>
        <v>90250</v>
      </c>
      <c r="R18" s="465">
        <f>R16*0.85</f>
        <v>149651.85</v>
      </c>
    </row>
    <row r="20" spans="1:20" ht="30" x14ac:dyDescent="0.25">
      <c r="A20" s="463" t="s">
        <v>505</v>
      </c>
      <c r="B20" s="1697" t="s">
        <v>506</v>
      </c>
      <c r="C20" s="1697"/>
      <c r="D20" s="1697"/>
      <c r="E20" s="1697"/>
      <c r="F20" s="1697"/>
      <c r="G20" s="1697"/>
      <c r="H20" s="1697"/>
      <c r="I20" s="1697"/>
      <c r="J20" s="1697"/>
      <c r="K20" s="1697"/>
      <c r="L20" s="1697"/>
      <c r="M20" s="1697"/>
      <c r="N20" s="1697"/>
      <c r="O20" s="1697"/>
      <c r="P20" s="1697"/>
    </row>
    <row r="21" spans="1:20" ht="48" x14ac:dyDescent="0.25">
      <c r="A21" s="466" t="s">
        <v>507</v>
      </c>
      <c r="B21" s="1689" t="s">
        <v>508</v>
      </c>
      <c r="C21" s="1690"/>
      <c r="D21" s="1689" t="s">
        <v>509</v>
      </c>
      <c r="E21" s="1690"/>
      <c r="F21" s="1698" t="s">
        <v>700</v>
      </c>
      <c r="G21" s="1699"/>
      <c r="H21" s="498" t="s">
        <v>510</v>
      </c>
      <c r="I21" s="1689" t="s">
        <v>701</v>
      </c>
      <c r="J21" s="1690"/>
      <c r="K21" s="498" t="s">
        <v>511</v>
      </c>
      <c r="L21" s="498"/>
      <c r="M21" s="499" t="s">
        <v>512</v>
      </c>
      <c r="N21" s="499" t="s">
        <v>513</v>
      </c>
      <c r="O21" s="500" t="s">
        <v>514</v>
      </c>
    </row>
    <row r="22" spans="1:20" ht="15.75" x14ac:dyDescent="0.25">
      <c r="A22" s="466"/>
      <c r="B22" s="501" t="s">
        <v>515</v>
      </c>
      <c r="C22" s="501" t="s">
        <v>516</v>
      </c>
      <c r="D22" s="501" t="s">
        <v>515</v>
      </c>
      <c r="E22" s="501" t="s">
        <v>516</v>
      </c>
      <c r="F22" s="501" t="s">
        <v>515</v>
      </c>
      <c r="G22" s="501" t="s">
        <v>516</v>
      </c>
      <c r="H22" s="501" t="s">
        <v>516</v>
      </c>
      <c r="I22" s="501" t="s">
        <v>515</v>
      </c>
      <c r="J22" s="501" t="s">
        <v>516</v>
      </c>
      <c r="K22" s="501" t="s">
        <v>516</v>
      </c>
      <c r="L22" s="501"/>
      <c r="M22" s="501" t="s">
        <v>517</v>
      </c>
      <c r="N22" s="487"/>
      <c r="O22" s="487"/>
      <c r="Q22" s="465" t="s">
        <v>518</v>
      </c>
      <c r="R22" s="465" t="s">
        <v>519</v>
      </c>
    </row>
    <row r="23" spans="1:20" ht="12.75" x14ac:dyDescent="0.2">
      <c r="A23" s="476" t="s">
        <v>520</v>
      </c>
      <c r="B23" s="477">
        <v>1240</v>
      </c>
      <c r="C23" s="477">
        <f>B23*N23*1000000/1000/1000000</f>
        <v>3007</v>
      </c>
      <c r="D23" s="477">
        <v>870</v>
      </c>
      <c r="E23" s="477">
        <v>2109</v>
      </c>
      <c r="F23" s="477">
        <v>370</v>
      </c>
      <c r="G23" s="477">
        <v>898</v>
      </c>
      <c r="H23" s="477">
        <v>550000</v>
      </c>
      <c r="I23" s="477">
        <v>250</v>
      </c>
      <c r="J23" s="477">
        <v>606</v>
      </c>
      <c r="K23" s="477">
        <v>2400</v>
      </c>
      <c r="L23" s="477">
        <f>K23+J23+H23+G23+E23+C23</f>
        <v>559020</v>
      </c>
      <c r="M23" s="477">
        <v>898000</v>
      </c>
      <c r="N23" s="477">
        <v>2425</v>
      </c>
      <c r="O23" s="482">
        <v>1415418</v>
      </c>
      <c r="P23" s="502">
        <f>+I23*N23/1000</f>
        <v>606.25</v>
      </c>
      <c r="Q23" s="491">
        <f>B23-D23</f>
        <v>370</v>
      </c>
      <c r="R23" s="491">
        <f>+F23*N23</f>
        <v>897250</v>
      </c>
      <c r="S23" s="503"/>
      <c r="T23" s="504" t="s">
        <v>702</v>
      </c>
    </row>
    <row r="24" spans="1:20" ht="12.75" x14ac:dyDescent="0.2">
      <c r="A24" s="485" t="s">
        <v>521</v>
      </c>
      <c r="B24" s="479">
        <v>1295</v>
      </c>
      <c r="C24" s="479">
        <v>1301</v>
      </c>
      <c r="D24" s="479">
        <v>865</v>
      </c>
      <c r="E24" s="479">
        <v>869</v>
      </c>
      <c r="F24" s="479">
        <v>430</v>
      </c>
      <c r="G24" s="479">
        <v>432</v>
      </c>
      <c r="H24" s="479"/>
      <c r="I24" s="479">
        <v>268</v>
      </c>
      <c r="J24" s="479">
        <v>269</v>
      </c>
      <c r="K24" s="479">
        <v>5000</v>
      </c>
      <c r="L24" s="477">
        <f t="shared" ref="L24:L31" si="2">K24+J24+H24+G24+E24+C24</f>
        <v>7871</v>
      </c>
      <c r="M24" s="479">
        <v>432000</v>
      </c>
      <c r="N24" s="479">
        <v>1005</v>
      </c>
      <c r="O24" s="482">
        <v>318048</v>
      </c>
      <c r="P24" s="502">
        <f t="shared" ref="P24:P31" si="3">+I24*N24/1000</f>
        <v>269.33999999999997</v>
      </c>
      <c r="Q24" s="491">
        <f t="shared" ref="Q24:Q31" si="4">B24-D24</f>
        <v>430</v>
      </c>
      <c r="R24" s="491">
        <f t="shared" ref="R24:R31" si="5">+F24*N24</f>
        <v>432150</v>
      </c>
      <c r="S24" s="483"/>
      <c r="T24" s="504"/>
    </row>
    <row r="25" spans="1:20" ht="12.75" x14ac:dyDescent="0.2">
      <c r="A25" s="485" t="s">
        <v>522</v>
      </c>
      <c r="B25" s="486">
        <v>1365</v>
      </c>
      <c r="C25" s="486">
        <v>4570</v>
      </c>
      <c r="D25" s="486">
        <v>980</v>
      </c>
      <c r="E25" s="486">
        <v>3281</v>
      </c>
      <c r="F25" s="486">
        <v>385</v>
      </c>
      <c r="G25" s="486">
        <v>1289</v>
      </c>
      <c r="H25" s="486"/>
      <c r="I25" s="486">
        <v>292</v>
      </c>
      <c r="J25" s="486">
        <v>978</v>
      </c>
      <c r="K25" s="486">
        <v>25110</v>
      </c>
      <c r="L25" s="477">
        <f t="shared" si="2"/>
        <v>35228</v>
      </c>
      <c r="M25" s="486">
        <v>1290000</v>
      </c>
      <c r="N25" s="486">
        <v>3348</v>
      </c>
      <c r="O25" s="482">
        <v>1425492</v>
      </c>
      <c r="P25" s="502">
        <f t="shared" si="3"/>
        <v>977.61599999999999</v>
      </c>
      <c r="Q25" s="491">
        <f t="shared" si="4"/>
        <v>385</v>
      </c>
      <c r="R25" s="491">
        <f t="shared" si="5"/>
        <v>1288980</v>
      </c>
      <c r="S25" s="483"/>
      <c r="T25" s="504"/>
    </row>
    <row r="26" spans="1:20" ht="12.75" x14ac:dyDescent="0.2">
      <c r="A26" s="485" t="s">
        <v>523</v>
      </c>
      <c r="B26" s="486">
        <v>1315</v>
      </c>
      <c r="C26" s="486">
        <v>2563</v>
      </c>
      <c r="D26" s="486">
        <v>851</v>
      </c>
      <c r="E26" s="486">
        <v>1659</v>
      </c>
      <c r="F26" s="486">
        <v>464</v>
      </c>
      <c r="G26" s="486">
        <v>904</v>
      </c>
      <c r="H26" s="486">
        <v>3508</v>
      </c>
      <c r="I26" s="486">
        <v>322</v>
      </c>
      <c r="J26" s="486">
        <v>628</v>
      </c>
      <c r="K26" s="486">
        <v>4872</v>
      </c>
      <c r="L26" s="477">
        <f t="shared" si="2"/>
        <v>14134</v>
      </c>
      <c r="M26" s="486">
        <v>905000</v>
      </c>
      <c r="N26" s="486">
        <v>1949</v>
      </c>
      <c r="O26" s="482">
        <v>1048631</v>
      </c>
      <c r="P26" s="502">
        <f t="shared" si="3"/>
        <v>627.57799999999997</v>
      </c>
      <c r="Q26" s="491">
        <f t="shared" si="4"/>
        <v>464</v>
      </c>
      <c r="R26" s="491">
        <f t="shared" si="5"/>
        <v>904336</v>
      </c>
      <c r="S26" s="483"/>
      <c r="T26" s="504"/>
    </row>
    <row r="27" spans="1:20" ht="12.75" x14ac:dyDescent="0.2">
      <c r="A27" s="485" t="s">
        <v>524</v>
      </c>
      <c r="B27" s="486">
        <v>1191</v>
      </c>
      <c r="C27" s="486">
        <v>3935</v>
      </c>
      <c r="D27" s="486">
        <v>919</v>
      </c>
      <c r="E27" s="486">
        <v>3036</v>
      </c>
      <c r="F27" s="486">
        <v>272</v>
      </c>
      <c r="G27" s="486">
        <v>899</v>
      </c>
      <c r="H27" s="486">
        <v>330</v>
      </c>
      <c r="I27" s="486">
        <v>165</v>
      </c>
      <c r="J27" s="486">
        <v>545</v>
      </c>
      <c r="K27" s="486">
        <v>8673</v>
      </c>
      <c r="L27" s="477">
        <f t="shared" si="2"/>
        <v>17418</v>
      </c>
      <c r="M27" s="486">
        <v>899000</v>
      </c>
      <c r="N27" s="486">
        <v>3304</v>
      </c>
      <c r="O27" s="482">
        <v>2181940</v>
      </c>
      <c r="P27" s="502">
        <f t="shared" si="3"/>
        <v>545.16</v>
      </c>
      <c r="Q27" s="491">
        <f t="shared" si="4"/>
        <v>272</v>
      </c>
      <c r="R27" s="491">
        <f t="shared" si="5"/>
        <v>898688</v>
      </c>
      <c r="S27" s="483"/>
      <c r="T27" s="504"/>
    </row>
    <row r="28" spans="1:20" ht="12.75" x14ac:dyDescent="0.2">
      <c r="A28" s="485" t="s">
        <v>525</v>
      </c>
      <c r="B28" s="486">
        <v>1225</v>
      </c>
      <c r="C28" s="486">
        <v>4167</v>
      </c>
      <c r="D28" s="486">
        <v>990</v>
      </c>
      <c r="E28" s="486">
        <v>3369</v>
      </c>
      <c r="F28" s="486">
        <v>235</v>
      </c>
      <c r="G28" s="486">
        <v>798</v>
      </c>
      <c r="H28" s="486"/>
      <c r="I28" s="486">
        <v>156</v>
      </c>
      <c r="J28" s="486">
        <v>531</v>
      </c>
      <c r="K28" s="486">
        <v>5103</v>
      </c>
      <c r="L28" s="477">
        <f t="shared" si="2"/>
        <v>13968</v>
      </c>
      <c r="M28" s="486">
        <v>798000</v>
      </c>
      <c r="N28" s="486">
        <v>3402</v>
      </c>
      <c r="O28" s="482">
        <v>1447480</v>
      </c>
      <c r="P28" s="502">
        <f t="shared" si="3"/>
        <v>530.71199999999999</v>
      </c>
      <c r="Q28" s="491">
        <f t="shared" si="4"/>
        <v>235</v>
      </c>
      <c r="R28" s="491">
        <f t="shared" si="5"/>
        <v>799470</v>
      </c>
      <c r="S28" s="483"/>
      <c r="T28" s="504"/>
    </row>
    <row r="29" spans="1:20" ht="12.75" x14ac:dyDescent="0.2">
      <c r="A29" s="485" t="s">
        <v>526</v>
      </c>
      <c r="B29" s="486">
        <v>925</v>
      </c>
      <c r="C29" s="486">
        <v>2824</v>
      </c>
      <c r="D29" s="486">
        <v>760</v>
      </c>
      <c r="E29" s="486">
        <v>2320</v>
      </c>
      <c r="F29" s="486">
        <v>165</v>
      </c>
      <c r="G29" s="486">
        <v>504</v>
      </c>
      <c r="H29" s="486"/>
      <c r="I29" s="486">
        <v>115</v>
      </c>
      <c r="J29" s="486">
        <v>351</v>
      </c>
      <c r="K29" s="486">
        <v>4580</v>
      </c>
      <c r="L29" s="477">
        <f t="shared" si="2"/>
        <v>10579</v>
      </c>
      <c r="M29" s="486">
        <v>504000</v>
      </c>
      <c r="N29" s="486">
        <v>3053</v>
      </c>
      <c r="O29" s="482">
        <v>1318379</v>
      </c>
      <c r="P29" s="502">
        <f t="shared" si="3"/>
        <v>351.09500000000003</v>
      </c>
      <c r="Q29" s="491">
        <f t="shared" si="4"/>
        <v>165</v>
      </c>
      <c r="R29" s="491">
        <f t="shared" si="5"/>
        <v>503745</v>
      </c>
      <c r="S29" s="483"/>
      <c r="T29" s="504"/>
    </row>
    <row r="30" spans="1:20" ht="12.75" x14ac:dyDescent="0.2">
      <c r="A30" s="485" t="s">
        <v>527</v>
      </c>
      <c r="B30" s="486">
        <v>835</v>
      </c>
      <c r="C30" s="486">
        <v>3580</v>
      </c>
      <c r="D30" s="486">
        <v>624</v>
      </c>
      <c r="E30" s="486">
        <v>2676</v>
      </c>
      <c r="F30" s="486">
        <v>211</v>
      </c>
      <c r="G30" s="486">
        <v>905</v>
      </c>
      <c r="H30" s="486"/>
      <c r="I30" s="486">
        <v>125</v>
      </c>
      <c r="J30" s="486">
        <v>536</v>
      </c>
      <c r="K30" s="486">
        <v>4824</v>
      </c>
      <c r="L30" s="477">
        <f t="shared" si="2"/>
        <v>12521</v>
      </c>
      <c r="M30" s="486">
        <v>907000</v>
      </c>
      <c r="N30" s="486">
        <v>4288</v>
      </c>
      <c r="O30" s="482">
        <v>725068</v>
      </c>
      <c r="P30" s="502">
        <f t="shared" si="3"/>
        <v>536</v>
      </c>
      <c r="Q30" s="491">
        <f t="shared" si="4"/>
        <v>211</v>
      </c>
      <c r="R30" s="491">
        <f t="shared" si="5"/>
        <v>904768</v>
      </c>
      <c r="S30" s="483"/>
      <c r="T30" s="504"/>
    </row>
    <row r="31" spans="1:20" ht="12.75" x14ac:dyDescent="0.2">
      <c r="A31" s="485" t="s">
        <v>528</v>
      </c>
      <c r="B31" s="486">
        <v>995</v>
      </c>
      <c r="C31" s="486">
        <v>1560</v>
      </c>
      <c r="D31" s="486">
        <v>872</v>
      </c>
      <c r="E31" s="486">
        <v>1367</v>
      </c>
      <c r="F31" s="486">
        <v>123</v>
      </c>
      <c r="G31" s="486">
        <v>193</v>
      </c>
      <c r="H31" s="486"/>
      <c r="I31" s="486">
        <v>71</v>
      </c>
      <c r="J31" s="486">
        <v>111.6</v>
      </c>
      <c r="K31" s="486">
        <v>1565</v>
      </c>
      <c r="L31" s="477">
        <f t="shared" si="2"/>
        <v>4796.6000000000004</v>
      </c>
      <c r="M31" s="486">
        <v>193000</v>
      </c>
      <c r="N31" s="486">
        <v>1568</v>
      </c>
      <c r="O31" s="482">
        <v>725068</v>
      </c>
      <c r="P31" s="502">
        <f t="shared" si="3"/>
        <v>111.328</v>
      </c>
      <c r="Q31" s="491">
        <f t="shared" si="4"/>
        <v>123</v>
      </c>
      <c r="R31" s="491">
        <f t="shared" si="5"/>
        <v>192864</v>
      </c>
      <c r="S31" s="483"/>
      <c r="T31" s="504"/>
    </row>
    <row r="32" spans="1:20" x14ac:dyDescent="0.2">
      <c r="A32" s="487"/>
      <c r="B32" s="486"/>
      <c r="C32" s="486"/>
      <c r="D32" s="486"/>
      <c r="E32" s="486"/>
      <c r="F32" s="486"/>
      <c r="G32" s="486"/>
      <c r="H32" s="486"/>
      <c r="I32" s="486"/>
      <c r="J32" s="486"/>
      <c r="K32" s="486"/>
      <c r="L32" s="486"/>
      <c r="M32" s="486"/>
      <c r="N32" s="486"/>
      <c r="O32" s="487"/>
    </row>
    <row r="33" spans="1:20" x14ac:dyDescent="0.2">
      <c r="B33" s="490"/>
      <c r="C33" s="490"/>
      <c r="D33" s="490"/>
      <c r="E33" s="490"/>
      <c r="F33" s="490"/>
      <c r="G33" s="490"/>
      <c r="H33" s="490"/>
      <c r="I33" s="490"/>
      <c r="J33" s="490"/>
      <c r="K33" s="490"/>
      <c r="L33" s="490"/>
      <c r="M33" s="490"/>
      <c r="N33" s="490"/>
      <c r="R33" s="491">
        <f>SUM(R23:R32)</f>
        <v>6822251</v>
      </c>
    </row>
    <row r="34" spans="1:20" s="510" customFormat="1" ht="18.75" x14ac:dyDescent="0.3">
      <c r="A34" s="505" t="s">
        <v>703</v>
      </c>
      <c r="B34" s="506">
        <f>AVERAGE(B23:B31)</f>
        <v>1154</v>
      </c>
      <c r="C34" s="507">
        <f t="shared" ref="C34:O34" si="6">SUM(C23:C33)</f>
        <v>27507</v>
      </c>
      <c r="D34" s="506">
        <f>AVERAGE(D23:D31)</f>
        <v>859</v>
      </c>
      <c r="E34" s="507">
        <f t="shared" si="6"/>
        <v>20686</v>
      </c>
      <c r="F34" s="506">
        <f>AVERAGE(F23:F31)</f>
        <v>295</v>
      </c>
      <c r="G34" s="507">
        <f>SUM(G23:G33)</f>
        <v>6822</v>
      </c>
      <c r="H34" s="508">
        <f t="shared" si="6"/>
        <v>553838</v>
      </c>
      <c r="I34" s="506">
        <f t="shared" si="6"/>
        <v>1764</v>
      </c>
      <c r="J34" s="507">
        <f>SUM(J23:J33)</f>
        <v>4555.6000000000004</v>
      </c>
      <c r="K34" s="506">
        <f t="shared" si="6"/>
        <v>62127</v>
      </c>
      <c r="L34" s="506">
        <f>SUM(L23:L33)</f>
        <v>675535.6</v>
      </c>
      <c r="M34" s="506">
        <f t="shared" si="6"/>
        <v>6826000</v>
      </c>
      <c r="N34" s="506">
        <f t="shared" si="6"/>
        <v>24342</v>
      </c>
      <c r="O34" s="506">
        <f t="shared" si="6"/>
        <v>10605524</v>
      </c>
      <c r="P34" s="509">
        <v>10192072</v>
      </c>
      <c r="Q34" s="510" t="s">
        <v>530</v>
      </c>
      <c r="T34" s="511"/>
    </row>
    <row r="35" spans="1:20" x14ac:dyDescent="0.2">
      <c r="J35" s="491"/>
      <c r="M35" s="491">
        <f>+M34*1000</f>
        <v>6826000000</v>
      </c>
      <c r="N35" s="491"/>
      <c r="O35" s="491"/>
    </row>
    <row r="36" spans="1:20" ht="15" x14ac:dyDescent="0.2">
      <c r="J36" s="491"/>
      <c r="M36" s="491"/>
      <c r="N36" s="512">
        <f>M35/P34</f>
        <v>669.73624205166527</v>
      </c>
      <c r="O36" s="496" t="s">
        <v>704</v>
      </c>
    </row>
    <row r="37" spans="1:20" ht="15" x14ac:dyDescent="0.2">
      <c r="M37" s="491"/>
      <c r="N37" s="513">
        <f>+N36/365</f>
        <v>1.8348938138401789</v>
      </c>
      <c r="O37" s="496" t="s">
        <v>705</v>
      </c>
    </row>
    <row r="38" spans="1:20" ht="15.75" x14ac:dyDescent="0.25">
      <c r="A38" s="466" t="s">
        <v>507</v>
      </c>
      <c r="B38" s="1689" t="s">
        <v>534</v>
      </c>
      <c r="C38" s="1690"/>
      <c r="D38" s="487"/>
      <c r="N38" s="491">
        <f>+N36*1000/365</f>
        <v>1834.8938138401791</v>
      </c>
      <c r="O38" s="496" t="s">
        <v>535</v>
      </c>
    </row>
    <row r="39" spans="1:20" ht="15.75" x14ac:dyDescent="0.25">
      <c r="A39" s="466"/>
      <c r="B39" s="501" t="s">
        <v>515</v>
      </c>
      <c r="C39" s="487"/>
      <c r="D39" s="501" t="s">
        <v>516</v>
      </c>
      <c r="I39" s="250" t="s">
        <v>536</v>
      </c>
      <c r="L39" s="514"/>
      <c r="M39" s="515">
        <f>(I34/1000)*N34</f>
        <v>42939.288</v>
      </c>
      <c r="N39" s="496" t="s">
        <v>704</v>
      </c>
    </row>
    <row r="40" spans="1:20" ht="15.75" x14ac:dyDescent="0.25">
      <c r="A40" s="476" t="s">
        <v>520</v>
      </c>
      <c r="B40" s="477">
        <f>+B23-D23</f>
        <v>370</v>
      </c>
      <c r="C40" s="516">
        <f>+B40/B23</f>
        <v>0.29838709677419356</v>
      </c>
      <c r="D40" s="517">
        <f t="shared" ref="D40:D48" si="7">+C23-E23</f>
        <v>898</v>
      </c>
      <c r="E40" s="518">
        <f>+I23/F23</f>
        <v>0.67567567567567566</v>
      </c>
      <c r="I40" s="250" t="s">
        <v>536</v>
      </c>
      <c r="L40" s="514"/>
      <c r="M40" s="515">
        <f>(J36*1000000)/O34</f>
        <v>0</v>
      </c>
      <c r="N40" s="496" t="s">
        <v>704</v>
      </c>
    </row>
    <row r="41" spans="1:20" ht="15.75" x14ac:dyDescent="0.25">
      <c r="A41" s="485" t="s">
        <v>521</v>
      </c>
      <c r="B41" s="477">
        <f t="shared" ref="B41:B48" si="8">+B24-D24</f>
        <v>430</v>
      </c>
      <c r="C41" s="519">
        <f t="shared" ref="C41:C48" si="9">+B41/B24</f>
        <v>0.33204633204633205</v>
      </c>
      <c r="D41" s="477">
        <f t="shared" si="7"/>
        <v>432</v>
      </c>
      <c r="E41" s="518">
        <f t="shared" ref="E41:E48" si="10">+I24/F24</f>
        <v>0.62325581395348839</v>
      </c>
      <c r="I41" s="250" t="s">
        <v>536</v>
      </c>
      <c r="L41" s="514"/>
      <c r="M41" s="515">
        <f>(J36*1000000)/(N34*100)</f>
        <v>0</v>
      </c>
      <c r="N41" s="496" t="s">
        <v>706</v>
      </c>
    </row>
    <row r="42" spans="1:20" x14ac:dyDescent="0.2">
      <c r="A42" s="485" t="s">
        <v>522</v>
      </c>
      <c r="B42" s="477">
        <f t="shared" si="8"/>
        <v>385</v>
      </c>
      <c r="C42" s="519">
        <f t="shared" si="9"/>
        <v>0.28205128205128205</v>
      </c>
      <c r="D42" s="477">
        <f t="shared" si="7"/>
        <v>1289</v>
      </c>
      <c r="E42" s="518">
        <f t="shared" si="10"/>
        <v>0.75844155844155847</v>
      </c>
    </row>
    <row r="43" spans="1:20" x14ac:dyDescent="0.2">
      <c r="A43" s="485" t="s">
        <v>523</v>
      </c>
      <c r="B43" s="477">
        <f t="shared" si="8"/>
        <v>464</v>
      </c>
      <c r="C43" s="519">
        <f t="shared" si="9"/>
        <v>0.35285171102661594</v>
      </c>
      <c r="D43" s="477">
        <f t="shared" si="7"/>
        <v>904</v>
      </c>
      <c r="E43" s="518">
        <f t="shared" si="10"/>
        <v>0.69396551724137934</v>
      </c>
      <c r="I43" s="465">
        <f>(I28/1000)*(N28)</f>
        <v>530.71199999999999</v>
      </c>
    </row>
    <row r="44" spans="1:20" x14ac:dyDescent="0.2">
      <c r="A44" s="485" t="s">
        <v>524</v>
      </c>
      <c r="B44" s="477">
        <f t="shared" si="8"/>
        <v>272</v>
      </c>
      <c r="C44" s="519">
        <f t="shared" si="9"/>
        <v>0.22837951301427373</v>
      </c>
      <c r="D44" s="477">
        <f t="shared" si="7"/>
        <v>899</v>
      </c>
      <c r="E44" s="518">
        <f t="shared" si="10"/>
        <v>0.60661764705882348</v>
      </c>
    </row>
    <row r="45" spans="1:20" x14ac:dyDescent="0.2">
      <c r="A45" s="485" t="s">
        <v>525</v>
      </c>
      <c r="B45" s="477">
        <f t="shared" si="8"/>
        <v>235</v>
      </c>
      <c r="C45" s="519">
        <f t="shared" si="9"/>
        <v>0.19183673469387755</v>
      </c>
      <c r="D45" s="477">
        <f t="shared" si="7"/>
        <v>798</v>
      </c>
      <c r="E45" s="518">
        <f t="shared" si="10"/>
        <v>0.66382978723404251</v>
      </c>
    </row>
    <row r="46" spans="1:20" x14ac:dyDescent="0.2">
      <c r="A46" s="485" t="s">
        <v>526</v>
      </c>
      <c r="B46" s="477">
        <f t="shared" si="8"/>
        <v>165</v>
      </c>
      <c r="C46" s="519">
        <f t="shared" si="9"/>
        <v>0.17837837837837839</v>
      </c>
      <c r="D46" s="477">
        <f t="shared" si="7"/>
        <v>504</v>
      </c>
      <c r="E46" s="518">
        <f t="shared" si="10"/>
        <v>0.69696969696969702</v>
      </c>
    </row>
    <row r="47" spans="1:20" x14ac:dyDescent="0.2">
      <c r="A47" s="485" t="s">
        <v>527</v>
      </c>
      <c r="B47" s="477">
        <f t="shared" si="8"/>
        <v>211</v>
      </c>
      <c r="C47" s="519">
        <f t="shared" si="9"/>
        <v>0.25269461077844313</v>
      </c>
      <c r="D47" s="477">
        <f t="shared" si="7"/>
        <v>904</v>
      </c>
      <c r="E47" s="518">
        <f t="shared" si="10"/>
        <v>0.59241706161137442</v>
      </c>
    </row>
    <row r="48" spans="1:20" x14ac:dyDescent="0.2">
      <c r="A48" s="485" t="s">
        <v>528</v>
      </c>
      <c r="B48" s="477">
        <f t="shared" si="8"/>
        <v>123</v>
      </c>
      <c r="C48" s="520">
        <f t="shared" si="9"/>
        <v>0.12361809045226131</v>
      </c>
      <c r="D48" s="477">
        <f t="shared" si="7"/>
        <v>193</v>
      </c>
      <c r="E48" s="518">
        <f t="shared" si="10"/>
        <v>0.57723577235772361</v>
      </c>
    </row>
  </sheetData>
  <mergeCells count="11">
    <mergeCell ref="B38:C38"/>
    <mergeCell ref="B1:H1"/>
    <mergeCell ref="I1:J1"/>
    <mergeCell ref="K1:O1"/>
    <mergeCell ref="P1:R1"/>
    <mergeCell ref="B20:H20"/>
    <mergeCell ref="I20:P20"/>
    <mergeCell ref="B21:C21"/>
    <mergeCell ref="D21:E21"/>
    <mergeCell ref="F21:G21"/>
    <mergeCell ref="I21:J21"/>
  </mergeCells>
  <conditionalFormatting sqref="C40:C48">
    <cfRule type="colorScale" priority="1">
      <colorScale>
        <cfvo type="min"/>
        <cfvo type="percentile" val="50"/>
        <cfvo type="max"/>
        <color rgb="FFF8696B"/>
        <color rgb="FFFFEB84"/>
        <color rgb="FF63BE7B"/>
      </colorScale>
    </cfRule>
  </conditionalFormatting>
  <pageMargins left="0.51181102362204722" right="0.51181102362204722" top="0.74803149606299213" bottom="0.74803149606299213" header="0.31496062992125984" footer="0.31496062992125984"/>
  <pageSetup paperSize="9" scale="47" orientation="landscape" r:id="rId1"/>
  <headerFooter>
    <oddHeader>&amp;L&amp;F    &amp;&amp;&amp;A&amp;C&amp;D&amp;RPage &amp;P of &amp;N</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81"/>
  <sheetViews>
    <sheetView topLeftCell="A28" zoomScale="90" zoomScaleNormal="90" workbookViewId="0">
      <selection activeCell="F68" sqref="F68"/>
    </sheetView>
  </sheetViews>
  <sheetFormatPr defaultRowHeight="15" x14ac:dyDescent="0.25"/>
  <cols>
    <col min="1" max="1" width="14.42578125" bestFit="1" customWidth="1"/>
    <col min="3" max="3" width="14.5703125" customWidth="1"/>
    <col min="4" max="4" width="15.85546875" bestFit="1" customWidth="1"/>
    <col min="5" max="5" width="28.5703125" customWidth="1"/>
    <col min="6" max="6" width="19.85546875" bestFit="1" customWidth="1"/>
    <col min="7" max="8" width="20.85546875" bestFit="1" customWidth="1"/>
    <col min="9" max="9" width="34.28515625" bestFit="1" customWidth="1"/>
    <col min="10" max="10" width="31.28515625" customWidth="1"/>
    <col min="11" max="11" width="27" customWidth="1"/>
    <col min="13" max="13" width="35.140625" customWidth="1"/>
    <col min="14" max="14" width="25.7109375" customWidth="1"/>
  </cols>
  <sheetData>
    <row r="1" spans="1:10" x14ac:dyDescent="0.25">
      <c r="A1" s="187" t="s">
        <v>383</v>
      </c>
    </row>
    <row r="2" spans="1:10" x14ac:dyDescent="0.25">
      <c r="B2" s="187" t="s">
        <v>263</v>
      </c>
    </row>
    <row r="3" spans="1:10" x14ac:dyDescent="0.25">
      <c r="B3" s="237" t="s">
        <v>822</v>
      </c>
    </row>
    <row r="4" spans="1:10" x14ac:dyDescent="0.25">
      <c r="B4" t="s">
        <v>821</v>
      </c>
    </row>
    <row r="5" spans="1:10" x14ac:dyDescent="0.25">
      <c r="B5" t="s">
        <v>823</v>
      </c>
    </row>
    <row r="7" spans="1:10" x14ac:dyDescent="0.25">
      <c r="I7" s="238" t="s">
        <v>264</v>
      </c>
    </row>
    <row r="9" spans="1:10" x14ac:dyDescent="0.25">
      <c r="B9" s="187" t="s">
        <v>265</v>
      </c>
      <c r="C9" s="187" t="s">
        <v>266</v>
      </c>
      <c r="D9" s="187" t="s">
        <v>267</v>
      </c>
      <c r="E9" s="187" t="s">
        <v>268</v>
      </c>
      <c r="F9" s="239" t="s">
        <v>269</v>
      </c>
      <c r="G9" s="187" t="s">
        <v>270</v>
      </c>
      <c r="H9" s="239" t="s">
        <v>270</v>
      </c>
      <c r="I9" s="239" t="s">
        <v>271</v>
      </c>
      <c r="J9" s="187" t="s">
        <v>272</v>
      </c>
    </row>
    <row r="10" spans="1:10" x14ac:dyDescent="0.25">
      <c r="B10">
        <v>1</v>
      </c>
      <c r="C10" t="s">
        <v>273</v>
      </c>
      <c r="D10" t="s">
        <v>274</v>
      </c>
      <c r="E10" s="4">
        <v>5985696259</v>
      </c>
      <c r="F10" s="240">
        <v>598569.62589999998</v>
      </c>
      <c r="G10" t="s">
        <v>275</v>
      </c>
      <c r="H10" s="241">
        <v>2478078.25</v>
      </c>
      <c r="I10" s="241">
        <f>+H10/F10</f>
        <v>4.1399999979517839</v>
      </c>
      <c r="J10" t="s">
        <v>276</v>
      </c>
    </row>
    <row r="11" spans="1:10" x14ac:dyDescent="0.25">
      <c r="B11">
        <v>2</v>
      </c>
      <c r="C11" t="s">
        <v>273</v>
      </c>
      <c r="D11" t="s">
        <v>277</v>
      </c>
      <c r="E11" s="4">
        <v>8461370451</v>
      </c>
      <c r="F11" s="240">
        <v>846137.04509999999</v>
      </c>
      <c r="G11" t="s">
        <v>278</v>
      </c>
      <c r="H11" s="241">
        <v>3503007.37</v>
      </c>
      <c r="I11" s="241">
        <f t="shared" ref="I11:I39" si="0">+H11/F11</f>
        <v>4.1400000038835323</v>
      </c>
      <c r="J11" t="s">
        <v>276</v>
      </c>
    </row>
    <row r="12" spans="1:10" x14ac:dyDescent="0.25">
      <c r="B12">
        <v>3</v>
      </c>
      <c r="C12" t="s">
        <v>273</v>
      </c>
      <c r="D12" t="s">
        <v>279</v>
      </c>
      <c r="E12" s="4">
        <v>6713741109</v>
      </c>
      <c r="F12" s="240">
        <v>671374.11089999997</v>
      </c>
      <c r="G12" t="s">
        <v>280</v>
      </c>
      <c r="H12" s="241">
        <v>2779488.82</v>
      </c>
      <c r="I12" s="241">
        <f t="shared" si="0"/>
        <v>4.1400000013018072</v>
      </c>
      <c r="J12" t="s">
        <v>276</v>
      </c>
    </row>
    <row r="13" spans="1:10" x14ac:dyDescent="0.25">
      <c r="B13">
        <v>4</v>
      </c>
      <c r="C13" t="s">
        <v>273</v>
      </c>
      <c r="D13" t="s">
        <v>279</v>
      </c>
      <c r="E13" s="4">
        <v>1240145434</v>
      </c>
      <c r="F13" s="240">
        <v>1240145.4339999999</v>
      </c>
      <c r="G13" t="s">
        <v>281</v>
      </c>
      <c r="H13" s="241">
        <v>5134202.0999999996</v>
      </c>
      <c r="I13" s="241">
        <f t="shared" si="0"/>
        <v>4.1400000026125969</v>
      </c>
      <c r="J13" t="s">
        <v>276</v>
      </c>
    </row>
    <row r="14" spans="1:10" x14ac:dyDescent="0.25">
      <c r="B14">
        <v>5</v>
      </c>
      <c r="C14" t="s">
        <v>273</v>
      </c>
      <c r="D14" t="s">
        <v>279</v>
      </c>
      <c r="E14" s="4">
        <v>5240879242</v>
      </c>
      <c r="F14" s="240">
        <v>524087.92420000001</v>
      </c>
      <c r="G14" t="s">
        <v>282</v>
      </c>
      <c r="H14" s="241">
        <v>2169724.0099999998</v>
      </c>
      <c r="I14" s="241">
        <f t="shared" si="0"/>
        <v>4.1400000072735885</v>
      </c>
      <c r="J14" t="s">
        <v>276</v>
      </c>
    </row>
    <row r="15" spans="1:10" x14ac:dyDescent="0.25">
      <c r="B15">
        <v>6</v>
      </c>
      <c r="C15" t="s">
        <v>273</v>
      </c>
      <c r="D15" t="s">
        <v>283</v>
      </c>
      <c r="E15" t="s">
        <v>284</v>
      </c>
      <c r="F15" s="240">
        <v>11202626.619999999</v>
      </c>
      <c r="G15" t="s">
        <v>285</v>
      </c>
      <c r="H15" s="241">
        <v>46378874.229999997</v>
      </c>
      <c r="I15" s="241">
        <f t="shared" si="0"/>
        <v>4.1400000020709431</v>
      </c>
      <c r="J15" t="s">
        <v>276</v>
      </c>
    </row>
    <row r="16" spans="1:10" x14ac:dyDescent="0.25">
      <c r="B16">
        <v>7</v>
      </c>
      <c r="C16" t="s">
        <v>273</v>
      </c>
      <c r="D16" t="s">
        <v>286</v>
      </c>
      <c r="E16" t="s">
        <v>287</v>
      </c>
      <c r="F16" s="240">
        <v>17871953.050000001</v>
      </c>
      <c r="G16" t="s">
        <v>288</v>
      </c>
      <c r="H16" s="241">
        <v>73989885.640000001</v>
      </c>
      <c r="I16" s="241">
        <f t="shared" si="0"/>
        <v>4.1400000007273965</v>
      </c>
      <c r="J16" t="s">
        <v>276</v>
      </c>
    </row>
    <row r="17" spans="2:11" x14ac:dyDescent="0.25">
      <c r="B17">
        <v>8</v>
      </c>
      <c r="C17" t="s">
        <v>273</v>
      </c>
      <c r="D17" t="s">
        <v>289</v>
      </c>
      <c r="E17" t="s">
        <v>290</v>
      </c>
      <c r="F17" s="240">
        <v>22759797.77</v>
      </c>
      <c r="G17" t="s">
        <v>291</v>
      </c>
      <c r="H17" s="241">
        <v>94225562.780000001</v>
      </c>
      <c r="I17" s="241">
        <f t="shared" si="0"/>
        <v>4.1400000005360331</v>
      </c>
      <c r="J17" t="s">
        <v>276</v>
      </c>
    </row>
    <row r="18" spans="2:11" x14ac:dyDescent="0.25">
      <c r="B18">
        <v>9</v>
      </c>
      <c r="C18" t="s">
        <v>273</v>
      </c>
      <c r="D18" t="s">
        <v>292</v>
      </c>
      <c r="E18" t="s">
        <v>293</v>
      </c>
      <c r="F18" s="240">
        <v>10476026.539999999</v>
      </c>
      <c r="G18" t="s">
        <v>294</v>
      </c>
      <c r="H18" s="241">
        <v>43370749.890000001</v>
      </c>
      <c r="I18" s="241">
        <f t="shared" si="0"/>
        <v>4.1400000013745677</v>
      </c>
      <c r="J18" t="s">
        <v>276</v>
      </c>
    </row>
    <row r="19" spans="2:11" x14ac:dyDescent="0.25">
      <c r="B19">
        <v>10</v>
      </c>
      <c r="C19" t="s">
        <v>273</v>
      </c>
      <c r="D19" t="s">
        <v>295</v>
      </c>
      <c r="E19" s="4">
        <v>2926052741</v>
      </c>
      <c r="F19" s="240">
        <v>292605.27409999998</v>
      </c>
      <c r="G19" t="s">
        <v>296</v>
      </c>
      <c r="H19" s="241">
        <v>1211385.8400000001</v>
      </c>
      <c r="I19" s="241">
        <f t="shared" si="0"/>
        <v>4.1400000178602392</v>
      </c>
      <c r="J19" t="s">
        <v>276</v>
      </c>
    </row>
    <row r="20" spans="2:11" x14ac:dyDescent="0.25">
      <c r="B20">
        <v>11</v>
      </c>
      <c r="C20" t="s">
        <v>273</v>
      </c>
      <c r="D20" t="s">
        <v>297</v>
      </c>
      <c r="E20" s="4">
        <v>3406910728</v>
      </c>
      <c r="F20" s="240">
        <v>3406910.7280000001</v>
      </c>
      <c r="G20" t="s">
        <v>298</v>
      </c>
      <c r="H20" s="241">
        <v>14104610.41</v>
      </c>
      <c r="I20" s="241">
        <f t="shared" si="0"/>
        <v>4.1399999988493974</v>
      </c>
      <c r="J20" s="4" t="s">
        <v>276</v>
      </c>
    </row>
    <row r="21" spans="2:11" x14ac:dyDescent="0.25">
      <c r="B21">
        <v>12</v>
      </c>
      <c r="C21" t="s">
        <v>273</v>
      </c>
      <c r="D21" t="s">
        <v>279</v>
      </c>
      <c r="E21" s="4">
        <v>2045633791</v>
      </c>
      <c r="F21" s="240">
        <v>2045633.791</v>
      </c>
      <c r="G21" t="s">
        <v>299</v>
      </c>
      <c r="H21" s="241">
        <v>8468923.8900000006</v>
      </c>
      <c r="I21" s="241">
        <f t="shared" si="0"/>
        <v>4.1399999976828701</v>
      </c>
      <c r="J21" s="4" t="s">
        <v>276</v>
      </c>
    </row>
    <row r="22" spans="2:11" x14ac:dyDescent="0.25">
      <c r="B22">
        <v>13</v>
      </c>
      <c r="C22" t="s">
        <v>273</v>
      </c>
      <c r="D22" t="s">
        <v>300</v>
      </c>
      <c r="E22" t="s">
        <v>301</v>
      </c>
      <c r="F22" s="240">
        <v>12723775.17</v>
      </c>
      <c r="G22" t="s">
        <v>302</v>
      </c>
      <c r="H22" s="241">
        <v>52676429.189999998</v>
      </c>
      <c r="I22" s="241">
        <f t="shared" si="0"/>
        <v>4.1399999989154157</v>
      </c>
      <c r="J22" s="4" t="s">
        <v>276</v>
      </c>
    </row>
    <row r="23" spans="2:11" x14ac:dyDescent="0.25">
      <c r="B23">
        <v>14</v>
      </c>
      <c r="C23" t="s">
        <v>273</v>
      </c>
      <c r="D23" t="s">
        <v>303</v>
      </c>
      <c r="E23" t="s">
        <v>304</v>
      </c>
      <c r="F23" s="240">
        <v>10142174.6</v>
      </c>
      <c r="G23" t="s">
        <v>305</v>
      </c>
      <c r="H23" s="241">
        <v>41988602.840000004</v>
      </c>
      <c r="I23" s="241">
        <f t="shared" si="0"/>
        <v>4.1399999996056076</v>
      </c>
      <c r="J23" t="s">
        <v>276</v>
      </c>
    </row>
    <row r="24" spans="2:11" x14ac:dyDescent="0.25">
      <c r="B24">
        <v>15</v>
      </c>
      <c r="C24" t="s">
        <v>273</v>
      </c>
      <c r="D24" t="s">
        <v>306</v>
      </c>
      <c r="E24" t="s">
        <v>307</v>
      </c>
      <c r="F24" s="240">
        <v>22617508.52</v>
      </c>
      <c r="G24" t="s">
        <v>308</v>
      </c>
      <c r="H24" s="241">
        <v>93636485.290000007</v>
      </c>
      <c r="I24" s="241">
        <f t="shared" si="0"/>
        <v>4.1400000007604731</v>
      </c>
      <c r="J24" t="s">
        <v>276</v>
      </c>
    </row>
    <row r="25" spans="2:11" x14ac:dyDescent="0.25">
      <c r="B25">
        <v>16</v>
      </c>
      <c r="C25" t="s">
        <v>273</v>
      </c>
      <c r="D25" t="s">
        <v>309</v>
      </c>
      <c r="E25" s="4">
        <v>4355688614</v>
      </c>
      <c r="F25" s="240">
        <v>435568.86139999999</v>
      </c>
      <c r="G25" t="s">
        <v>310</v>
      </c>
      <c r="H25" s="241">
        <v>1803255.09</v>
      </c>
      <c r="I25" s="241">
        <f t="shared" si="0"/>
        <v>4.1400000087334066</v>
      </c>
      <c r="J25" t="s">
        <v>276</v>
      </c>
    </row>
    <row r="26" spans="2:11" x14ac:dyDescent="0.25">
      <c r="B26" s="4">
        <v>17</v>
      </c>
      <c r="C26" t="s">
        <v>273</v>
      </c>
      <c r="D26" t="s">
        <v>311</v>
      </c>
      <c r="E26" t="s">
        <v>312</v>
      </c>
      <c r="F26" s="240">
        <v>44325011.450000003</v>
      </c>
      <c r="G26" t="s">
        <v>313</v>
      </c>
      <c r="H26" s="241">
        <v>183505547.40000001</v>
      </c>
      <c r="I26" s="241">
        <f t="shared" si="0"/>
        <v>4.1399999999323178</v>
      </c>
      <c r="J26" t="s">
        <v>314</v>
      </c>
    </row>
    <row r="27" spans="2:11" x14ac:dyDescent="0.25">
      <c r="B27" s="4">
        <v>18</v>
      </c>
      <c r="C27" t="s">
        <v>273</v>
      </c>
      <c r="D27" t="s">
        <v>315</v>
      </c>
      <c r="E27" t="s">
        <v>316</v>
      </c>
      <c r="F27" s="240">
        <v>1772827.23</v>
      </c>
      <c r="G27" t="s">
        <v>317</v>
      </c>
      <c r="H27" s="241">
        <v>7339504.7300000004</v>
      </c>
      <c r="I27" s="241">
        <f t="shared" si="0"/>
        <v>4.1399999987590448</v>
      </c>
      <c r="J27" t="s">
        <v>314</v>
      </c>
    </row>
    <row r="28" spans="2:11" x14ac:dyDescent="0.25">
      <c r="B28" s="4">
        <v>19</v>
      </c>
      <c r="C28" t="s">
        <v>273</v>
      </c>
      <c r="D28" t="s">
        <v>318</v>
      </c>
      <c r="E28" s="4">
        <v>5473955696</v>
      </c>
      <c r="F28" s="240">
        <v>5473955.6960000005</v>
      </c>
      <c r="G28" t="s">
        <v>319</v>
      </c>
      <c r="H28" s="241">
        <v>22662176.579999998</v>
      </c>
      <c r="I28" s="241">
        <f t="shared" si="0"/>
        <v>4.1399999997369354</v>
      </c>
      <c r="J28" t="s">
        <v>314</v>
      </c>
    </row>
    <row r="29" spans="2:11" x14ac:dyDescent="0.25">
      <c r="B29">
        <v>20</v>
      </c>
      <c r="C29" t="s">
        <v>273</v>
      </c>
      <c r="D29" t="s">
        <v>320</v>
      </c>
      <c r="E29">
        <v>16311884.369999999</v>
      </c>
      <c r="F29" s="240">
        <v>16311884.369999999</v>
      </c>
      <c r="G29" t="s">
        <v>321</v>
      </c>
      <c r="H29" s="241">
        <v>67531201.290000007</v>
      </c>
      <c r="I29" s="241">
        <f t="shared" si="0"/>
        <v>4.1399999998896515</v>
      </c>
      <c r="J29" t="s">
        <v>314</v>
      </c>
    </row>
    <row r="30" spans="2:11" x14ac:dyDescent="0.25">
      <c r="B30">
        <v>21</v>
      </c>
      <c r="C30" t="s">
        <v>273</v>
      </c>
      <c r="D30" t="s">
        <v>322</v>
      </c>
      <c r="E30" s="4">
        <v>2692706497</v>
      </c>
      <c r="F30" s="240">
        <v>2692706.497</v>
      </c>
      <c r="G30" t="s">
        <v>323</v>
      </c>
      <c r="H30" s="241">
        <v>11147804.9</v>
      </c>
      <c r="I30" s="241">
        <f t="shared" si="0"/>
        <v>4.1400000008987243</v>
      </c>
      <c r="J30" t="s">
        <v>314</v>
      </c>
      <c r="K30" s="4"/>
    </row>
    <row r="31" spans="2:11" x14ac:dyDescent="0.25">
      <c r="B31">
        <v>22</v>
      </c>
      <c r="C31" t="s">
        <v>273</v>
      </c>
      <c r="D31" t="s">
        <v>324</v>
      </c>
      <c r="E31" s="4">
        <v>3230302142</v>
      </c>
      <c r="F31" s="240">
        <v>323030.21419999999</v>
      </c>
      <c r="G31" t="s">
        <v>325</v>
      </c>
      <c r="H31" s="241">
        <v>1337345.0900000001</v>
      </c>
      <c r="I31" s="241">
        <f t="shared" si="0"/>
        <v>4.1400000099433427</v>
      </c>
      <c r="J31" t="s">
        <v>314</v>
      </c>
    </row>
    <row r="32" spans="2:11" x14ac:dyDescent="0.25">
      <c r="B32">
        <v>23</v>
      </c>
      <c r="C32" t="s">
        <v>273</v>
      </c>
      <c r="D32" t="s">
        <v>326</v>
      </c>
      <c r="E32" s="4">
        <v>1352628823</v>
      </c>
      <c r="F32" s="240">
        <v>135262.8823</v>
      </c>
      <c r="G32" t="s">
        <v>327</v>
      </c>
      <c r="H32" s="241">
        <v>559988.32999999996</v>
      </c>
      <c r="I32" s="241">
        <f t="shared" si="0"/>
        <v>4.1399999798762233</v>
      </c>
      <c r="J32" t="s">
        <v>314</v>
      </c>
    </row>
    <row r="33" spans="2:14" x14ac:dyDescent="0.25">
      <c r="B33">
        <v>24</v>
      </c>
      <c r="C33" t="s">
        <v>273</v>
      </c>
      <c r="D33" t="s">
        <v>326</v>
      </c>
      <c r="E33" s="4">
        <v>2527406657</v>
      </c>
      <c r="F33" s="240">
        <v>252740.66570000001</v>
      </c>
      <c r="G33" t="s">
        <v>328</v>
      </c>
      <c r="H33" s="241">
        <v>1046346.36</v>
      </c>
      <c r="I33" s="241">
        <f t="shared" si="0"/>
        <v>4.1400000158344126</v>
      </c>
      <c r="J33" t="s">
        <v>314</v>
      </c>
    </row>
    <row r="34" spans="2:14" x14ac:dyDescent="0.25">
      <c r="B34">
        <v>25</v>
      </c>
      <c r="C34" t="s">
        <v>273</v>
      </c>
      <c r="D34" t="s">
        <v>329</v>
      </c>
      <c r="E34" s="4">
        <v>1879638967</v>
      </c>
      <c r="F34" s="240">
        <v>1879638.9669999999</v>
      </c>
      <c r="G34" t="s">
        <v>330</v>
      </c>
      <c r="H34" s="241">
        <v>7781705.3200000003</v>
      </c>
      <c r="I34" s="241">
        <f t="shared" si="0"/>
        <v>4.139999998201783</v>
      </c>
      <c r="J34" t="s">
        <v>331</v>
      </c>
    </row>
    <row r="35" spans="2:14" x14ac:dyDescent="0.25">
      <c r="B35">
        <v>26</v>
      </c>
      <c r="C35" t="s">
        <v>273</v>
      </c>
      <c r="D35" t="s">
        <v>332</v>
      </c>
      <c r="E35" t="s">
        <v>333</v>
      </c>
      <c r="F35" s="240">
        <v>1003163.93</v>
      </c>
      <c r="G35" t="s">
        <v>334</v>
      </c>
      <c r="H35" s="241">
        <v>4153098.67</v>
      </c>
      <c r="I35" s="241">
        <f t="shared" si="0"/>
        <v>4.1399999998006303</v>
      </c>
      <c r="J35" t="s">
        <v>335</v>
      </c>
    </row>
    <row r="36" spans="2:14" x14ac:dyDescent="0.25">
      <c r="B36">
        <v>27</v>
      </c>
      <c r="C36" t="s">
        <v>273</v>
      </c>
      <c r="D36" t="s">
        <v>336</v>
      </c>
      <c r="E36" s="4">
        <v>2353036096</v>
      </c>
      <c r="F36" s="240">
        <v>235303.6096</v>
      </c>
      <c r="G36" t="s">
        <v>337</v>
      </c>
      <c r="H36" s="241">
        <v>974156.94</v>
      </c>
      <c r="I36" s="241">
        <f t="shared" si="0"/>
        <v>4.1399999840886421</v>
      </c>
      <c r="J36" t="s">
        <v>335</v>
      </c>
    </row>
    <row r="37" spans="2:14" x14ac:dyDescent="0.25">
      <c r="B37">
        <v>28</v>
      </c>
      <c r="C37" t="s">
        <v>273</v>
      </c>
      <c r="D37" t="s">
        <v>338</v>
      </c>
      <c r="E37" s="4">
        <v>2043391163</v>
      </c>
      <c r="F37" s="240">
        <v>204339.11629999999</v>
      </c>
      <c r="G37" t="s">
        <v>339</v>
      </c>
      <c r="H37" s="241">
        <v>845963.94</v>
      </c>
      <c r="I37" s="241">
        <f t="shared" si="0"/>
        <v>4.1399999927473505</v>
      </c>
      <c r="J37" t="s">
        <v>335</v>
      </c>
    </row>
    <row r="38" spans="2:14" x14ac:dyDescent="0.25">
      <c r="B38">
        <v>29</v>
      </c>
      <c r="C38" t="s">
        <v>273</v>
      </c>
      <c r="D38" t="s">
        <v>340</v>
      </c>
      <c r="E38" s="4">
        <v>1550853432</v>
      </c>
      <c r="F38" s="240">
        <v>155085.3432</v>
      </c>
      <c r="G38" t="s">
        <v>341</v>
      </c>
      <c r="H38" s="241">
        <v>642053.31999999995</v>
      </c>
      <c r="I38" s="241">
        <f t="shared" si="0"/>
        <v>4.1399999945320429</v>
      </c>
      <c r="J38" t="s">
        <v>335</v>
      </c>
    </row>
    <row r="39" spans="2:14" x14ac:dyDescent="0.25">
      <c r="B39">
        <v>30</v>
      </c>
      <c r="C39" t="s">
        <v>273</v>
      </c>
      <c r="D39" t="s">
        <v>342</v>
      </c>
      <c r="E39" t="s">
        <v>343</v>
      </c>
      <c r="F39" s="240">
        <v>35439908.560000002</v>
      </c>
      <c r="G39" t="s">
        <v>344</v>
      </c>
      <c r="H39" s="241">
        <v>146721221.40000001</v>
      </c>
      <c r="I39" s="241">
        <f t="shared" si="0"/>
        <v>4.1399999989164753</v>
      </c>
      <c r="J39" t="s">
        <v>345</v>
      </c>
    </row>
    <row r="41" spans="2:14" x14ac:dyDescent="0.25">
      <c r="F41" s="230">
        <f>SUM(F10:F40)</f>
        <v>228059753.59589997</v>
      </c>
      <c r="H41" s="242">
        <f>SUM(H10:H39)</f>
        <v>944167379.91000021</v>
      </c>
    </row>
    <row r="44" spans="2:14" x14ac:dyDescent="0.25">
      <c r="C44" t="s">
        <v>346</v>
      </c>
      <c r="N44" t="s">
        <v>347</v>
      </c>
    </row>
    <row r="45" spans="2:14" x14ac:dyDescent="0.25">
      <c r="B45">
        <v>1</v>
      </c>
      <c r="C45" t="s">
        <v>273</v>
      </c>
      <c r="D45" t="s">
        <v>255</v>
      </c>
      <c r="E45" s="4">
        <v>101059567533697</v>
      </c>
      <c r="F45" s="4">
        <v>101059567533697</v>
      </c>
      <c r="G45" t="s">
        <v>348</v>
      </c>
      <c r="H45" t="s">
        <v>348</v>
      </c>
      <c r="I45" t="s">
        <v>255</v>
      </c>
      <c r="J45" s="240">
        <v>101059567533697</v>
      </c>
      <c r="K45" s="240">
        <f>J45/10</f>
        <v>10105956753369.699</v>
      </c>
      <c r="N45" s="230">
        <v>247595940457.56</v>
      </c>
    </row>
    <row r="46" spans="2:14" x14ac:dyDescent="0.25">
      <c r="B46">
        <v>2</v>
      </c>
      <c r="C46" t="s">
        <v>273</v>
      </c>
      <c r="D46" t="s">
        <v>258</v>
      </c>
      <c r="E46" s="4">
        <v>55939618817885</v>
      </c>
      <c r="F46" s="4">
        <v>55939618817885</v>
      </c>
      <c r="G46" t="s">
        <v>349</v>
      </c>
      <c r="H46" t="s">
        <v>349</v>
      </c>
      <c r="I46" t="s">
        <v>331</v>
      </c>
      <c r="J46" s="240">
        <v>55939618817885</v>
      </c>
      <c r="K46" s="240">
        <f>J46/10</f>
        <v>5593961881788.5</v>
      </c>
      <c r="N46" s="230">
        <v>231590021.91</v>
      </c>
    </row>
    <row r="47" spans="2:14" x14ac:dyDescent="0.25">
      <c r="B47">
        <v>3</v>
      </c>
      <c r="C47" t="s">
        <v>273</v>
      </c>
      <c r="D47" t="s">
        <v>260</v>
      </c>
      <c r="E47" s="4">
        <v>126158712774633</v>
      </c>
      <c r="F47" s="4">
        <v>126158712774633</v>
      </c>
      <c r="G47" t="s">
        <v>350</v>
      </c>
      <c r="H47" t="s">
        <v>350</v>
      </c>
      <c r="I47" t="s">
        <v>351</v>
      </c>
      <c r="J47" s="240">
        <v>126158712774633</v>
      </c>
      <c r="K47" s="240">
        <f>J47/10</f>
        <v>12615871277463.301</v>
      </c>
      <c r="N47" s="230">
        <v>522297070.88999999</v>
      </c>
    </row>
    <row r="49" spans="1:15" x14ac:dyDescent="0.25">
      <c r="N49" s="243">
        <f>SUM(N45:N47)</f>
        <v>248349827550.36002</v>
      </c>
    </row>
    <row r="50" spans="1:15" x14ac:dyDescent="0.25">
      <c r="E50" s="244" t="s">
        <v>177</v>
      </c>
    </row>
    <row r="51" spans="1:15" x14ac:dyDescent="0.25">
      <c r="C51" s="232" t="s">
        <v>352</v>
      </c>
      <c r="D51" s="232"/>
      <c r="E51" s="231">
        <v>228059753.59589997</v>
      </c>
      <c r="F51" s="232" t="s">
        <v>353</v>
      </c>
    </row>
    <row r="52" spans="1:15" x14ac:dyDescent="0.25">
      <c r="C52" s="232"/>
      <c r="D52" s="232"/>
      <c r="E52" s="231">
        <v>80238900</v>
      </c>
      <c r="F52" s="232" t="s">
        <v>250</v>
      </c>
      <c r="N52" s="4">
        <v>8080471791</v>
      </c>
    </row>
    <row r="53" spans="1:15" x14ac:dyDescent="0.25">
      <c r="C53" s="232"/>
      <c r="D53" s="232"/>
      <c r="E53" s="231">
        <v>88172100</v>
      </c>
      <c r="F53" s="232" t="s">
        <v>251</v>
      </c>
      <c r="N53" s="230">
        <v>125277403.3</v>
      </c>
    </row>
    <row r="54" spans="1:15" x14ac:dyDescent="0.25">
      <c r="C54" s="232"/>
      <c r="D54" s="232"/>
      <c r="E54" s="231">
        <v>26064900</v>
      </c>
      <c r="F54" s="232" t="s">
        <v>252</v>
      </c>
      <c r="N54" s="230">
        <v>627428541.39999998</v>
      </c>
    </row>
    <row r="55" spans="1:15" x14ac:dyDescent="0.25">
      <c r="C55" s="232"/>
      <c r="D55" s="232"/>
      <c r="E55" s="231">
        <v>3960200</v>
      </c>
      <c r="F55" s="232" t="s">
        <v>253</v>
      </c>
      <c r="N55" s="230">
        <v>1742259.81</v>
      </c>
    </row>
    <row r="56" spans="1:15" x14ac:dyDescent="0.25">
      <c r="C56" s="232"/>
      <c r="D56" s="232"/>
      <c r="E56" s="231">
        <v>2642200</v>
      </c>
      <c r="F56" s="232" t="s">
        <v>254</v>
      </c>
      <c r="N56" s="230">
        <v>2778705.44</v>
      </c>
    </row>
    <row r="57" spans="1:15" x14ac:dyDescent="0.25">
      <c r="C57" s="232"/>
      <c r="D57" s="232"/>
      <c r="E57" s="231">
        <v>1010595675.33697</v>
      </c>
      <c r="F57" s="232" t="s">
        <v>255</v>
      </c>
      <c r="G57">
        <f>E57/1000000</f>
        <v>1010.59567533697</v>
      </c>
      <c r="H57" t="s">
        <v>354</v>
      </c>
    </row>
    <row r="58" spans="1:15" x14ac:dyDescent="0.25">
      <c r="C58" s="232"/>
      <c r="D58" s="232"/>
      <c r="E58" s="231">
        <v>55939618.817884997</v>
      </c>
      <c r="F58" s="232" t="s">
        <v>258</v>
      </c>
      <c r="G58">
        <f>E58/1000000</f>
        <v>55.939618817884998</v>
      </c>
      <c r="N58" s="245">
        <f>SUM(N52:N56)</f>
        <v>8837698700.9500008</v>
      </c>
    </row>
    <row r="59" spans="1:15" x14ac:dyDescent="0.25">
      <c r="C59" s="232"/>
      <c r="D59" s="232"/>
      <c r="E59" s="231">
        <v>126158712.77463301</v>
      </c>
      <c r="F59" s="232" t="s">
        <v>260</v>
      </c>
      <c r="G59">
        <f>E59/1000000</f>
        <v>126.158712774633</v>
      </c>
    </row>
    <row r="60" spans="1:15" x14ac:dyDescent="0.25">
      <c r="C60" s="232"/>
      <c r="D60" s="232"/>
      <c r="E60" s="246">
        <f>SUM(E51:E59)</f>
        <v>1621832060.5253878</v>
      </c>
      <c r="F60" s="247" t="s">
        <v>3</v>
      </c>
    </row>
    <row r="61" spans="1:15" ht="15.75" x14ac:dyDescent="0.25">
      <c r="M61" s="248" t="s">
        <v>355</v>
      </c>
      <c r="N61" s="249">
        <f>SUM(H41,N49,N58)</f>
        <v>258131693631.22003</v>
      </c>
    </row>
    <row r="63" spans="1:15" x14ac:dyDescent="0.25">
      <c r="A63" s="295"/>
      <c r="B63" s="295"/>
      <c r="C63" s="295"/>
      <c r="D63" s="295"/>
      <c r="E63" s="295"/>
      <c r="F63" s="295"/>
      <c r="G63" s="295"/>
      <c r="H63" s="295"/>
      <c r="I63" s="295"/>
      <c r="J63" s="295"/>
      <c r="K63" s="295"/>
      <c r="L63" s="295"/>
      <c r="M63" s="295"/>
      <c r="N63" s="295"/>
      <c r="O63" s="295"/>
    </row>
    <row r="65" spans="1:14" x14ac:dyDescent="0.25">
      <c r="A65" s="187" t="s">
        <v>928</v>
      </c>
    </row>
    <row r="66" spans="1:14" x14ac:dyDescent="0.25">
      <c r="A66" t="s">
        <v>929</v>
      </c>
      <c r="B66" t="s">
        <v>930</v>
      </c>
      <c r="C66" t="s">
        <v>931</v>
      </c>
      <c r="D66" t="s">
        <v>932</v>
      </c>
      <c r="E66" t="s">
        <v>933</v>
      </c>
      <c r="F66" t="s">
        <v>934</v>
      </c>
      <c r="N66" s="521"/>
    </row>
    <row r="67" spans="1:14" x14ac:dyDescent="0.25">
      <c r="A67" s="643" t="s">
        <v>935</v>
      </c>
      <c r="B67" s="281" t="s">
        <v>936</v>
      </c>
      <c r="C67" s="281"/>
      <c r="D67" s="644">
        <v>1292388526.1166027</v>
      </c>
      <c r="E67" s="644">
        <v>2359916924.418972</v>
      </c>
      <c r="F67" s="644">
        <v>0</v>
      </c>
    </row>
    <row r="68" spans="1:14" x14ac:dyDescent="0.25">
      <c r="A68" s="643" t="s">
        <v>937</v>
      </c>
      <c r="B68" s="281" t="s">
        <v>938</v>
      </c>
      <c r="C68" s="281"/>
      <c r="D68" s="644">
        <v>1288428326.1166027</v>
      </c>
      <c r="E68" s="644">
        <v>1904680081.3752644</v>
      </c>
      <c r="F68" s="648">
        <v>-441692959.04370803</v>
      </c>
    </row>
    <row r="69" spans="1:14" x14ac:dyDescent="0.25">
      <c r="A69" s="643" t="s">
        <v>939</v>
      </c>
      <c r="B69" s="281" t="s">
        <v>940</v>
      </c>
      <c r="C69" s="281"/>
      <c r="D69" s="644">
        <v>1292388526.1166027</v>
      </c>
      <c r="E69" s="644">
        <v>1934097738.0495389</v>
      </c>
      <c r="F69" s="648">
        <v>15873772.67427445</v>
      </c>
    </row>
    <row r="70" spans="1:14" x14ac:dyDescent="0.25">
      <c r="A70" s="643" t="s">
        <v>941</v>
      </c>
      <c r="B70" s="281" t="s">
        <v>942</v>
      </c>
      <c r="C70" s="281"/>
      <c r="D70" s="644">
        <v>281792850.77963299</v>
      </c>
      <c r="E70" s="644">
        <v>439591557.72888714</v>
      </c>
      <c r="F70" s="648">
        <v>-120096061.86237246</v>
      </c>
    </row>
    <row r="71" spans="1:14" x14ac:dyDescent="0.25">
      <c r="A71" s="281"/>
      <c r="B71" s="281"/>
      <c r="C71" s="281"/>
      <c r="D71" s="281"/>
      <c r="E71" s="644"/>
      <c r="F71" s="644"/>
    </row>
    <row r="72" spans="1:14" x14ac:dyDescent="0.25">
      <c r="A72" s="281"/>
      <c r="B72" s="281"/>
      <c r="C72" s="281"/>
      <c r="D72" s="281"/>
      <c r="E72" s="644"/>
      <c r="F72" s="644"/>
    </row>
    <row r="73" spans="1:14" x14ac:dyDescent="0.25">
      <c r="A73" s="281"/>
      <c r="B73" s="281"/>
      <c r="C73" s="644"/>
      <c r="D73" s="644"/>
      <c r="E73" s="644"/>
      <c r="F73" s="644"/>
    </row>
    <row r="74" spans="1:14" x14ac:dyDescent="0.25">
      <c r="B74" s="281"/>
      <c r="D74" s="644">
        <f>D67</f>
        <v>1292388526.1166027</v>
      </c>
      <c r="E74" s="644">
        <f>E67</f>
        <v>2359916924.418972</v>
      </c>
    </row>
    <row r="75" spans="1:14" x14ac:dyDescent="0.25">
      <c r="B75" s="281" t="s">
        <v>352</v>
      </c>
      <c r="C75" s="644" t="s">
        <v>3</v>
      </c>
      <c r="D75" s="644">
        <v>1621832060.5253878</v>
      </c>
      <c r="E75" s="644">
        <v>258131693631.22003</v>
      </c>
      <c r="F75" s="644"/>
    </row>
    <row r="76" spans="1:14" x14ac:dyDescent="0.25">
      <c r="D76" s="645">
        <f>+D74/D$75</f>
        <v>0.79686951415791918</v>
      </c>
      <c r="E76" s="646">
        <f>+E74/E$75</f>
        <v>9.1422982246824307E-3</v>
      </c>
      <c r="F76" s="644"/>
    </row>
    <row r="77" spans="1:14" x14ac:dyDescent="0.25">
      <c r="D77" s="647">
        <f>+D75/D$75</f>
        <v>1</v>
      </c>
      <c r="E77" s="647"/>
      <c r="F77" s="644"/>
    </row>
    <row r="78" spans="1:14" x14ac:dyDescent="0.25">
      <c r="E78" s="281"/>
      <c r="F78" s="644"/>
    </row>
    <row r="79" spans="1:14" x14ac:dyDescent="0.25">
      <c r="E79" s="281" t="s">
        <v>355</v>
      </c>
      <c r="F79" s="644"/>
    </row>
    <row r="80" spans="1:14" x14ac:dyDescent="0.25">
      <c r="E80" s="644">
        <v>258131693631.22003</v>
      </c>
      <c r="F80" s="644"/>
    </row>
    <row r="81" spans="6:6" x14ac:dyDescent="0.25">
      <c r="F81" s="644"/>
    </row>
  </sheetData>
  <pageMargins left="0.51181102362204722" right="0.51181102362204722" top="0.74803149606299213" bottom="0.74803149606299213" header="0.31496062992125984" footer="0.31496062992125984"/>
  <pageSetup paperSize="9" scale="42" orientation="landscape" r:id="rId1"/>
  <headerFooter>
    <oddHeader>&amp;L&amp;F    &amp;&amp;&amp;A&amp;C&amp;D&amp;RPage &amp;P of &amp;N</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77"/>
  <sheetViews>
    <sheetView zoomScale="90" zoomScaleNormal="90" workbookViewId="0">
      <selection activeCell="D4" sqref="D4"/>
    </sheetView>
  </sheetViews>
  <sheetFormatPr defaultRowHeight="15" x14ac:dyDescent="0.25"/>
  <cols>
    <col min="2" max="2" width="94.5703125" customWidth="1"/>
    <col min="8" max="8" width="15.85546875" customWidth="1"/>
    <col min="9" max="9" width="18.85546875" customWidth="1"/>
    <col min="10" max="10" width="14.7109375" customWidth="1"/>
    <col min="13" max="13" width="12.140625" bestFit="1" customWidth="1"/>
    <col min="14" max="14" width="14.5703125" bestFit="1" customWidth="1"/>
  </cols>
  <sheetData>
    <row r="1" spans="1:11" ht="15.75" x14ac:dyDescent="0.25">
      <c r="A1" s="275"/>
      <c r="B1" s="1020" t="s">
        <v>452</v>
      </c>
      <c r="C1" s="275"/>
      <c r="D1" s="275"/>
      <c r="E1" s="275"/>
      <c r="F1" s="275"/>
      <c r="G1" s="275"/>
      <c r="H1" s="275"/>
      <c r="I1" s="275"/>
      <c r="J1" s="275"/>
      <c r="K1" s="275"/>
    </row>
    <row r="3" spans="1:11" x14ac:dyDescent="0.25">
      <c r="B3" s="187" t="s">
        <v>445</v>
      </c>
    </row>
    <row r="4" spans="1:11" x14ac:dyDescent="0.25">
      <c r="B4" s="266" t="s">
        <v>450</v>
      </c>
      <c r="D4">
        <v>1264</v>
      </c>
      <c r="E4" t="s">
        <v>451</v>
      </c>
    </row>
    <row r="5" spans="1:11" x14ac:dyDescent="0.25">
      <c r="B5" s="187"/>
    </row>
    <row r="6" spans="1:11" x14ac:dyDescent="0.25">
      <c r="B6" s="187"/>
    </row>
    <row r="7" spans="1:11" x14ac:dyDescent="0.25">
      <c r="B7" s="187"/>
    </row>
    <row r="8" spans="1:11" ht="30" x14ac:dyDescent="0.25">
      <c r="B8" s="266" t="s">
        <v>444</v>
      </c>
      <c r="D8" t="s">
        <v>449</v>
      </c>
    </row>
    <row r="9" spans="1:11" x14ac:dyDescent="0.25">
      <c r="D9" t="s">
        <v>448</v>
      </c>
    </row>
    <row r="12" spans="1:11" ht="60" x14ac:dyDescent="0.25">
      <c r="B12" s="266" t="s">
        <v>441</v>
      </c>
      <c r="D12" t="s">
        <v>447</v>
      </c>
    </row>
    <row r="13" spans="1:11" x14ac:dyDescent="0.25">
      <c r="D13" t="s">
        <v>446</v>
      </c>
    </row>
    <row r="16" spans="1:11" ht="30" x14ac:dyDescent="0.25">
      <c r="B16" s="266" t="s">
        <v>442</v>
      </c>
    </row>
    <row r="17" spans="1:11" x14ac:dyDescent="0.25">
      <c r="B17" s="266"/>
    </row>
    <row r="18" spans="1:11" x14ac:dyDescent="0.25">
      <c r="B18" s="266"/>
    </row>
    <row r="20" spans="1:11" x14ac:dyDescent="0.25">
      <c r="B20" t="s">
        <v>443</v>
      </c>
    </row>
    <row r="22" spans="1:11" ht="15.75" x14ac:dyDescent="0.25">
      <c r="A22" s="267"/>
      <c r="B22" s="248" t="s">
        <v>453</v>
      </c>
      <c r="C22" s="267"/>
      <c r="D22" s="267"/>
      <c r="E22" s="267"/>
      <c r="F22" s="267"/>
      <c r="G22" s="267"/>
      <c r="H22" s="267"/>
      <c r="I22" s="267"/>
      <c r="J22" s="267"/>
      <c r="K22" s="267"/>
    </row>
    <row r="24" spans="1:11" ht="75" x14ac:dyDescent="0.25">
      <c r="B24" s="266" t="s">
        <v>454</v>
      </c>
      <c r="D24" s="268" t="s">
        <v>455</v>
      </c>
    </row>
    <row r="25" spans="1:11" x14ac:dyDescent="0.25">
      <c r="D25" t="s">
        <v>457</v>
      </c>
    </row>
    <row r="26" spans="1:11" x14ac:dyDescent="0.25">
      <c r="D26">
        <v>42.088999999999999</v>
      </c>
      <c r="E26" t="s">
        <v>458</v>
      </c>
    </row>
    <row r="27" spans="1:11" x14ac:dyDescent="0.25">
      <c r="E27" t="s">
        <v>459</v>
      </c>
    </row>
    <row r="28" spans="1:11" ht="30" x14ac:dyDescent="0.25">
      <c r="B28" s="266" t="s">
        <v>456</v>
      </c>
    </row>
    <row r="30" spans="1:11" ht="31.5" x14ac:dyDescent="0.5">
      <c r="B30" s="547"/>
    </row>
    <row r="31" spans="1:11" s="523" customFormat="1" ht="18" x14ac:dyDescent="0.25">
      <c r="A31" s="522" t="s">
        <v>710</v>
      </c>
    </row>
    <row r="32" spans="1:11" s="523" customFormat="1" ht="12.75" x14ac:dyDescent="0.2">
      <c r="A32" s="523" t="s">
        <v>711</v>
      </c>
    </row>
    <row r="33" spans="1:14" s="523" customFormat="1" ht="12.75" x14ac:dyDescent="0.2"/>
    <row r="34" spans="1:14" s="523" customFormat="1" ht="12.75" x14ac:dyDescent="0.2">
      <c r="A34" s="523" t="s">
        <v>712</v>
      </c>
      <c r="E34" s="524" t="s">
        <v>713</v>
      </c>
      <c r="F34" s="524"/>
      <c r="G34" s="524"/>
      <c r="H34" s="524"/>
      <c r="I34" s="525">
        <v>25.708682009444999</v>
      </c>
      <c r="J34" s="526" t="s">
        <v>484</v>
      </c>
      <c r="K34" s="524"/>
    </row>
    <row r="35" spans="1:14" s="523" customFormat="1" ht="12.75" x14ac:dyDescent="0.2">
      <c r="A35" s="523" t="s">
        <v>714</v>
      </c>
      <c r="E35" s="524"/>
      <c r="F35" s="526" t="s">
        <v>715</v>
      </c>
      <c r="G35" s="526"/>
      <c r="H35" s="526"/>
      <c r="I35" s="525">
        <v>8.0849032258064533</v>
      </c>
      <c r="J35" s="526" t="s">
        <v>484</v>
      </c>
      <c r="K35" s="524"/>
    </row>
    <row r="36" spans="1:14" s="523" customFormat="1" ht="12.75" x14ac:dyDescent="0.2">
      <c r="A36" s="523" t="s">
        <v>735</v>
      </c>
      <c r="D36" s="523" t="s">
        <v>716</v>
      </c>
      <c r="E36" s="524"/>
      <c r="F36" s="524"/>
      <c r="G36" s="524"/>
      <c r="H36" s="524"/>
      <c r="I36" s="525">
        <v>1.3606322511072535</v>
      </c>
      <c r="J36" s="526" t="s">
        <v>484</v>
      </c>
      <c r="K36" s="524"/>
    </row>
    <row r="37" spans="1:14" s="523" customFormat="1" ht="12.75" x14ac:dyDescent="0.2">
      <c r="A37" s="523" t="s">
        <v>717</v>
      </c>
      <c r="G37" s="527"/>
      <c r="H37" s="527"/>
    </row>
    <row r="38" spans="1:14" s="523" customFormat="1" ht="18" x14ac:dyDescent="0.25">
      <c r="G38" s="528" t="s">
        <v>718</v>
      </c>
      <c r="H38" s="528"/>
      <c r="I38" s="552">
        <f>SUM(I34:I37)</f>
        <v>35.154217486358711</v>
      </c>
      <c r="J38" s="528" t="s">
        <v>484</v>
      </c>
    </row>
    <row r="39" spans="1:14" s="523" customFormat="1" ht="18" x14ac:dyDescent="0.25">
      <c r="G39" s="528"/>
      <c r="H39" s="528"/>
      <c r="I39" s="528"/>
      <c r="J39" s="528"/>
      <c r="N39" s="530" t="s">
        <v>731</v>
      </c>
    </row>
    <row r="40" spans="1:14" s="523" customFormat="1" ht="18" x14ac:dyDescent="0.25">
      <c r="G40" s="528"/>
      <c r="H40" s="528"/>
      <c r="I40" s="529">
        <f>I38*3600*24*30*12</f>
        <v>1093436780.6957014</v>
      </c>
      <c r="J40" s="529" t="s">
        <v>488</v>
      </c>
      <c r="L40" s="530">
        <f>30*12</f>
        <v>360</v>
      </c>
      <c r="M40" s="530" t="s">
        <v>489</v>
      </c>
      <c r="N40" s="553">
        <f>(60*60)*24*30*12</f>
        <v>31104000</v>
      </c>
    </row>
    <row r="41" spans="1:14" s="523" customFormat="1" ht="18" x14ac:dyDescent="0.25">
      <c r="G41" s="528"/>
      <c r="H41" s="528"/>
      <c r="I41" s="529"/>
      <c r="J41" s="529"/>
    </row>
    <row r="42" spans="1:14" s="523" customFormat="1" ht="18" x14ac:dyDescent="0.25">
      <c r="I42" s="529">
        <f>I40/1000000</f>
        <v>1093.4367806957014</v>
      </c>
      <c r="J42" s="531" t="s">
        <v>490</v>
      </c>
    </row>
    <row r="43" spans="1:14" s="523" customFormat="1" ht="18" x14ac:dyDescent="0.25">
      <c r="I43" s="532"/>
      <c r="J43" s="532"/>
    </row>
    <row r="44" spans="1:14" s="523" customFormat="1" ht="12.75" x14ac:dyDescent="0.2"/>
    <row r="45" spans="1:14" s="523" customFormat="1" ht="15.75" x14ac:dyDescent="0.25">
      <c r="I45" s="533">
        <f>I38*3600*24*365</f>
        <v>1108623402.6498084</v>
      </c>
      <c r="J45" s="533" t="s">
        <v>488</v>
      </c>
      <c r="K45" s="530"/>
      <c r="L45" s="530">
        <f>365</f>
        <v>365</v>
      </c>
      <c r="M45" s="530" t="s">
        <v>489</v>
      </c>
      <c r="N45" s="553">
        <f>(3600)*24*365</f>
        <v>31536000</v>
      </c>
    </row>
    <row r="46" spans="1:14" s="523" customFormat="1" ht="12.75" x14ac:dyDescent="0.2">
      <c r="I46" s="534"/>
      <c r="J46" s="534"/>
      <c r="K46" s="530"/>
      <c r="L46" s="530"/>
      <c r="M46" s="530"/>
    </row>
    <row r="47" spans="1:14" s="523" customFormat="1" ht="18" x14ac:dyDescent="0.25">
      <c r="I47" s="535">
        <f>I45/1000000</f>
        <v>1108.6234026498084</v>
      </c>
      <c r="J47" s="533" t="s">
        <v>490</v>
      </c>
      <c r="K47" s="530"/>
      <c r="L47" s="530"/>
      <c r="M47" s="530"/>
    </row>
    <row r="48" spans="1:14" s="523" customFormat="1" ht="18" x14ac:dyDescent="0.25">
      <c r="I48" s="536">
        <f>I47/1000</f>
        <v>1.1086234026498085</v>
      </c>
      <c r="J48" s="533" t="s">
        <v>190</v>
      </c>
    </row>
    <row r="49" spans="1:12" s="523" customFormat="1" ht="12.75" x14ac:dyDescent="0.2"/>
    <row r="50" spans="1:12" s="523" customFormat="1" ht="12.75" x14ac:dyDescent="0.2">
      <c r="H50" s="537" t="s">
        <v>719</v>
      </c>
      <c r="I50" s="538"/>
    </row>
    <row r="51" spans="1:12" s="523" customFormat="1" ht="12.75" x14ac:dyDescent="0.2">
      <c r="H51" s="537">
        <v>2012</v>
      </c>
      <c r="I51" s="537">
        <v>33.6</v>
      </c>
      <c r="J51" s="538" t="s">
        <v>190</v>
      </c>
    </row>
    <row r="52" spans="1:12" s="523" customFormat="1" ht="12.75" x14ac:dyDescent="0.2">
      <c r="H52" s="537">
        <v>2013</v>
      </c>
      <c r="I52" s="539">
        <v>31.934824999999996</v>
      </c>
      <c r="J52" s="538" t="s">
        <v>190</v>
      </c>
    </row>
    <row r="53" spans="1:12" s="523" customFormat="1" ht="12.75" x14ac:dyDescent="0.2">
      <c r="H53" s="537">
        <v>2014</v>
      </c>
      <c r="I53" s="539">
        <v>31.966430599999999</v>
      </c>
      <c r="J53" s="538" t="s">
        <v>190</v>
      </c>
    </row>
    <row r="54" spans="1:12" s="523" customFormat="1" ht="12.75" x14ac:dyDescent="0.2">
      <c r="H54" s="537">
        <v>2015</v>
      </c>
      <c r="I54" s="539">
        <v>32.027008000000002</v>
      </c>
      <c r="J54" s="538" t="s">
        <v>190</v>
      </c>
    </row>
    <row r="55" spans="1:12" s="523" customFormat="1" ht="12.75" x14ac:dyDescent="0.2"/>
    <row r="56" spans="1:12" s="523" customFormat="1" ht="12.75" x14ac:dyDescent="0.2">
      <c r="H56" s="537">
        <v>2012</v>
      </c>
      <c r="I56" s="540">
        <f>+I$18/I51</f>
        <v>0</v>
      </c>
      <c r="J56" s="537" t="s">
        <v>720</v>
      </c>
    </row>
    <row r="57" spans="1:12" s="523" customFormat="1" ht="12.75" x14ac:dyDescent="0.2">
      <c r="H57" s="537">
        <v>2015</v>
      </c>
      <c r="I57" s="540">
        <f>+I$18/I54</f>
        <v>0</v>
      </c>
    </row>
    <row r="58" spans="1:12" s="523" customFormat="1" ht="20.25" x14ac:dyDescent="0.3">
      <c r="B58" s="546" t="s">
        <v>729</v>
      </c>
    </row>
    <row r="59" spans="1:12" s="523" customFormat="1" ht="12.75" x14ac:dyDescent="0.2">
      <c r="A59" s="523" t="s">
        <v>721</v>
      </c>
      <c r="D59" s="527" t="s">
        <v>722</v>
      </c>
      <c r="E59" s="527"/>
      <c r="H59" s="541">
        <v>13.149402040358686</v>
      </c>
      <c r="I59" s="527" t="s">
        <v>484</v>
      </c>
    </row>
    <row r="60" spans="1:12" s="523" customFormat="1" ht="12.75" x14ac:dyDescent="0.2">
      <c r="A60" s="523" t="s">
        <v>483</v>
      </c>
      <c r="H60" s="542">
        <v>2.7163967865446548</v>
      </c>
      <c r="I60" s="527" t="s">
        <v>484</v>
      </c>
    </row>
    <row r="61" spans="1:12" s="523" customFormat="1" ht="12.75" x14ac:dyDescent="0.2">
      <c r="A61" s="523" t="s">
        <v>723</v>
      </c>
      <c r="H61" s="542"/>
      <c r="I61" s="527"/>
    </row>
    <row r="62" spans="1:12" s="523" customFormat="1" x14ac:dyDescent="0.25">
      <c r="A62" s="523" t="s">
        <v>724</v>
      </c>
      <c r="E62" s="527" t="s">
        <v>725</v>
      </c>
      <c r="H62" s="541">
        <v>2.424083305714289</v>
      </c>
      <c r="I62" s="527" t="s">
        <v>484</v>
      </c>
      <c r="J62" s="554">
        <f>H62*3600*24*365</f>
        <v>76445891.12900582</v>
      </c>
      <c r="K62" s="551">
        <f>J62/1000000</f>
        <v>76.445891129005815</v>
      </c>
      <c r="L62" s="548" t="s">
        <v>730</v>
      </c>
    </row>
    <row r="63" spans="1:12" s="523" customFormat="1" ht="12.75" x14ac:dyDescent="0.2">
      <c r="H63" s="542"/>
    </row>
    <row r="64" spans="1:12" s="523" customFormat="1" ht="12.75" x14ac:dyDescent="0.2">
      <c r="A64" s="523" t="s">
        <v>726</v>
      </c>
      <c r="D64" s="527" t="s">
        <v>486</v>
      </c>
      <c r="G64" s="527"/>
      <c r="H64" s="541">
        <v>13.67193129007074</v>
      </c>
      <c r="I64" s="527" t="s">
        <v>484</v>
      </c>
    </row>
    <row r="65" spans="1:14" s="523" customFormat="1" ht="12.75" x14ac:dyDescent="0.2">
      <c r="A65" s="523" t="s">
        <v>727</v>
      </c>
      <c r="D65" s="527" t="s">
        <v>728</v>
      </c>
      <c r="F65" s="527"/>
      <c r="G65" s="527"/>
      <c r="H65" s="541">
        <v>225.708682009445</v>
      </c>
      <c r="I65" s="527" t="s">
        <v>484</v>
      </c>
      <c r="K65" s="523">
        <f>H65-150</f>
        <v>75.708682009444999</v>
      </c>
    </row>
    <row r="66" spans="1:14" s="523" customFormat="1" ht="12.75" x14ac:dyDescent="0.2">
      <c r="H66" s="542"/>
    </row>
    <row r="67" spans="1:14" s="523" customFormat="1" ht="15.75" x14ac:dyDescent="0.25">
      <c r="F67" s="543" t="s">
        <v>487</v>
      </c>
      <c r="G67" s="543"/>
      <c r="H67" s="544">
        <f>SUM(H59:H66)</f>
        <v>257.67049543213335</v>
      </c>
      <c r="I67" s="543" t="s">
        <v>484</v>
      </c>
    </row>
    <row r="68" spans="1:14" s="523" customFormat="1" ht="12.75" x14ac:dyDescent="0.2">
      <c r="N68" s="530" t="s">
        <v>731</v>
      </c>
    </row>
    <row r="69" spans="1:14" s="523" customFormat="1" ht="15.75" x14ac:dyDescent="0.25">
      <c r="H69" s="531">
        <f>H67*3600*24*30*12</f>
        <v>8014583089.9210768</v>
      </c>
      <c r="I69" s="531" t="s">
        <v>488</v>
      </c>
      <c r="K69" s="530">
        <f>30*12</f>
        <v>360</v>
      </c>
      <c r="L69" s="530" t="s">
        <v>489</v>
      </c>
      <c r="N69" s="553">
        <f>(60*60)*24*30*12</f>
        <v>31104000</v>
      </c>
    </row>
    <row r="70" spans="1:14" s="523" customFormat="1" ht="12.75" x14ac:dyDescent="0.2">
      <c r="H70" s="545"/>
      <c r="I70" s="545"/>
    </row>
    <row r="71" spans="1:14" s="523" customFormat="1" ht="18" x14ac:dyDescent="0.25">
      <c r="H71" s="529">
        <f>H69/1000000</f>
        <v>8014.5830899210769</v>
      </c>
      <c r="I71" s="531" t="s">
        <v>490</v>
      </c>
    </row>
    <row r="72" spans="1:14" s="523" customFormat="1" ht="12.75" x14ac:dyDescent="0.2"/>
    <row r="73" spans="1:14" s="523" customFormat="1" ht="12.75" x14ac:dyDescent="0.2"/>
    <row r="74" spans="1:14" s="523" customFormat="1" ht="15.75" x14ac:dyDescent="0.25">
      <c r="H74" s="533">
        <f>H67*3600*24*365</f>
        <v>8125896743.9477577</v>
      </c>
      <c r="I74" s="533" t="s">
        <v>488</v>
      </c>
      <c r="J74" s="530"/>
      <c r="K74" s="530">
        <f>365</f>
        <v>365</v>
      </c>
      <c r="L74" s="530" t="s">
        <v>489</v>
      </c>
      <c r="N74" s="553">
        <f>(3600)*24*365</f>
        <v>31536000</v>
      </c>
    </row>
    <row r="75" spans="1:14" s="523" customFormat="1" ht="12.75" x14ac:dyDescent="0.2">
      <c r="H75" s="534"/>
      <c r="I75" s="534"/>
      <c r="J75" s="530"/>
      <c r="K75" s="530"/>
      <c r="L75" s="530"/>
    </row>
    <row r="76" spans="1:14" s="523" customFormat="1" ht="18" x14ac:dyDescent="0.25">
      <c r="H76" s="535">
        <f>H74/1000000</f>
        <v>8125.8967439477574</v>
      </c>
      <c r="I76" s="533" t="s">
        <v>490</v>
      </c>
      <c r="J76" s="530"/>
      <c r="K76" s="530"/>
      <c r="L76" s="530"/>
    </row>
    <row r="77" spans="1:14" s="523" customFormat="1" ht="18" x14ac:dyDescent="0.25">
      <c r="H77" s="536">
        <f>H76/1000</f>
        <v>8.1258967439477576</v>
      </c>
      <c r="I77" s="533" t="s">
        <v>190</v>
      </c>
    </row>
  </sheetData>
  <pageMargins left="0.51181102362204722" right="0.51181102362204722" top="0.74803149606299213" bottom="0.74803149606299213" header="0.31496062992125984" footer="0.31496062992125984"/>
  <pageSetup paperSize="9" scale="38" orientation="landscape" r:id="rId1"/>
  <headerFooter>
    <oddHeader>&amp;L&amp;F    &amp;&amp;&amp;A&amp;C&amp;D&amp;RPage &amp;P of &amp;N</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X158"/>
  <sheetViews>
    <sheetView topLeftCell="N1" zoomScale="80" zoomScaleNormal="80" workbookViewId="0">
      <pane ySplit="7" topLeftCell="A76" activePane="bottomLeft" state="frozen"/>
      <selection activeCell="J1" sqref="J1"/>
      <selection pane="bottomLeft" activeCell="U103" sqref="U103"/>
    </sheetView>
  </sheetViews>
  <sheetFormatPr defaultRowHeight="15" x14ac:dyDescent="0.25"/>
  <cols>
    <col min="3" max="3" width="24.42578125" customWidth="1"/>
    <col min="4" max="4" width="25.42578125" customWidth="1"/>
    <col min="5" max="5" width="24.85546875" customWidth="1"/>
    <col min="6" max="6" width="24.42578125" customWidth="1"/>
    <col min="7" max="7" width="20.85546875" bestFit="1" customWidth="1"/>
    <col min="8" max="8" width="37.5703125" customWidth="1"/>
    <col min="9" max="9" width="34.28515625" bestFit="1" customWidth="1"/>
    <col min="10" max="10" width="36.140625" bestFit="1" customWidth="1"/>
    <col min="11" max="11" width="23" customWidth="1"/>
    <col min="12" max="12" width="12.140625" customWidth="1"/>
    <col min="13" max="13" width="15.42578125" bestFit="1" customWidth="1"/>
    <col min="14" max="15" width="16.28515625" customWidth="1"/>
    <col min="16" max="17" width="14.7109375" customWidth="1"/>
    <col min="18" max="19" width="13" customWidth="1"/>
    <col min="20" max="21" width="14.28515625" customWidth="1"/>
    <col min="22" max="22" width="14.140625" customWidth="1"/>
    <col min="23" max="24" width="13" customWidth="1"/>
    <col min="25" max="25" width="9.28515625" customWidth="1"/>
  </cols>
  <sheetData>
    <row r="1" spans="2:24" x14ac:dyDescent="0.25">
      <c r="B1" s="187" t="s">
        <v>383</v>
      </c>
    </row>
    <row r="2" spans="2:24" x14ac:dyDescent="0.25">
      <c r="B2" s="187" t="s">
        <v>824</v>
      </c>
    </row>
    <row r="4" spans="2:24" ht="15.75" x14ac:dyDescent="0.25">
      <c r="E4" s="250" t="s">
        <v>356</v>
      </c>
    </row>
    <row r="5" spans="2:24" x14ac:dyDescent="0.25">
      <c r="H5" t="s">
        <v>470</v>
      </c>
      <c r="R5" s="281" t="s">
        <v>921</v>
      </c>
    </row>
    <row r="6" spans="2:24" ht="15.75" x14ac:dyDescent="0.25">
      <c r="D6" s="250" t="s">
        <v>357</v>
      </c>
      <c r="E6" s="250"/>
      <c r="F6" s="250"/>
      <c r="G6" s="250"/>
      <c r="H6" s="250" t="s">
        <v>469</v>
      </c>
    </row>
    <row r="7" spans="2:24" ht="16.5" thickBot="1" x14ac:dyDescent="0.3">
      <c r="C7" s="250"/>
      <c r="D7" s="250"/>
      <c r="E7" s="251" t="s">
        <v>943</v>
      </c>
      <c r="F7" s="250"/>
      <c r="G7" s="250"/>
      <c r="I7" s="281" t="s">
        <v>820</v>
      </c>
      <c r="P7" s="281" t="s">
        <v>825</v>
      </c>
      <c r="Q7" s="239">
        <v>2011</v>
      </c>
      <c r="R7" s="239">
        <v>2012</v>
      </c>
      <c r="S7" s="239">
        <v>2013</v>
      </c>
      <c r="T7" s="239">
        <v>2014</v>
      </c>
      <c r="U7" s="239">
        <v>2015</v>
      </c>
      <c r="V7" s="239">
        <v>2016</v>
      </c>
      <c r="W7" s="239">
        <v>2017</v>
      </c>
      <c r="X7" s="239">
        <v>2018</v>
      </c>
    </row>
    <row r="8" spans="2:24" ht="33.75" customHeight="1" thickBot="1" x14ac:dyDescent="0.3">
      <c r="C8" s="250"/>
      <c r="D8" s="251" t="s">
        <v>358</v>
      </c>
      <c r="E8" s="251" t="s">
        <v>359</v>
      </c>
      <c r="G8" s="282" t="s">
        <v>471</v>
      </c>
      <c r="H8" s="274" t="s">
        <v>267</v>
      </c>
      <c r="I8" s="274" t="s">
        <v>270</v>
      </c>
      <c r="P8" s="281" t="s">
        <v>826</v>
      </c>
      <c r="Q8" s="281"/>
    </row>
    <row r="9" spans="2:24" ht="16.5" thickBot="1" x14ac:dyDescent="0.3">
      <c r="C9" s="250"/>
      <c r="F9" s="250"/>
      <c r="G9" s="250"/>
      <c r="H9" s="273"/>
      <c r="I9" s="273"/>
      <c r="P9" s="633" t="s">
        <v>919</v>
      </c>
      <c r="Q9" s="633" t="s">
        <v>920</v>
      </c>
      <c r="R9" s="232"/>
      <c r="S9" s="232"/>
      <c r="T9" s="232"/>
      <c r="U9" s="232"/>
    </row>
    <row r="10" spans="2:24" ht="15" customHeight="1" thickBot="1" x14ac:dyDescent="0.3">
      <c r="C10" s="250"/>
      <c r="D10" s="251" t="s">
        <v>360</v>
      </c>
      <c r="E10" s="252">
        <v>2040</v>
      </c>
      <c r="G10" s="283" t="s">
        <v>264</v>
      </c>
      <c r="H10" s="257" t="s">
        <v>404</v>
      </c>
      <c r="I10" s="258">
        <v>70000</v>
      </c>
      <c r="J10" s="281" t="s">
        <v>476</v>
      </c>
      <c r="P10" s="633">
        <v>2010</v>
      </c>
      <c r="Q10" s="607">
        <f t="shared" ref="Q10:U25" si="0">$I10</f>
        <v>70000</v>
      </c>
      <c r="R10" s="607">
        <f t="shared" si="0"/>
        <v>70000</v>
      </c>
      <c r="S10" s="607">
        <f t="shared" si="0"/>
        <v>70000</v>
      </c>
      <c r="T10" s="607">
        <f t="shared" si="0"/>
        <v>70000</v>
      </c>
      <c r="U10" s="607">
        <f t="shared" si="0"/>
        <v>70000</v>
      </c>
      <c r="V10" s="606">
        <f>$I10</f>
        <v>70000</v>
      </c>
      <c r="W10" s="606"/>
      <c r="X10" s="606"/>
    </row>
    <row r="11" spans="2:24" ht="16.5" thickBot="1" x14ac:dyDescent="0.3">
      <c r="C11" s="250"/>
      <c r="D11" s="251" t="s">
        <v>361</v>
      </c>
      <c r="E11" s="252">
        <v>7320</v>
      </c>
      <c r="G11" s="283" t="s">
        <v>264</v>
      </c>
      <c r="H11" s="269" t="s">
        <v>405</v>
      </c>
      <c r="I11" s="270">
        <v>2500000</v>
      </c>
      <c r="J11" s="281" t="s">
        <v>476</v>
      </c>
      <c r="P11" s="633"/>
      <c r="Q11" s="607">
        <f t="shared" si="0"/>
        <v>2500000</v>
      </c>
      <c r="R11" s="607">
        <f t="shared" si="0"/>
        <v>2500000</v>
      </c>
      <c r="S11" s="607">
        <f t="shared" si="0"/>
        <v>2500000</v>
      </c>
      <c r="T11" s="607">
        <f t="shared" si="0"/>
        <v>2500000</v>
      </c>
      <c r="U11" s="607">
        <f t="shared" si="0"/>
        <v>2500000</v>
      </c>
      <c r="V11" s="606">
        <f t="shared" ref="V11:V53" si="1">$I11</f>
        <v>2500000</v>
      </c>
      <c r="W11" s="606"/>
      <c r="X11" s="606"/>
    </row>
    <row r="12" spans="2:24" ht="16.5" thickBot="1" x14ac:dyDescent="0.3">
      <c r="C12" s="250"/>
      <c r="D12" s="251" t="s">
        <v>362</v>
      </c>
      <c r="E12" s="251">
        <v>250</v>
      </c>
      <c r="G12" s="283" t="s">
        <v>264</v>
      </c>
      <c r="H12" s="259" t="s">
        <v>406</v>
      </c>
      <c r="I12" s="260">
        <v>1600000</v>
      </c>
      <c r="J12" s="281" t="s">
        <v>476</v>
      </c>
      <c r="P12" s="633"/>
      <c r="Q12" s="607">
        <f t="shared" si="0"/>
        <v>1600000</v>
      </c>
      <c r="R12" s="607">
        <f t="shared" si="0"/>
        <v>1600000</v>
      </c>
      <c r="S12" s="607">
        <f t="shared" si="0"/>
        <v>1600000</v>
      </c>
      <c r="T12" s="607">
        <f t="shared" si="0"/>
        <v>1600000</v>
      </c>
      <c r="U12" s="607">
        <f t="shared" si="0"/>
        <v>1600000</v>
      </c>
      <c r="V12" s="606">
        <f t="shared" si="1"/>
        <v>1600000</v>
      </c>
      <c r="W12" s="606"/>
      <c r="X12" s="606"/>
    </row>
    <row r="13" spans="2:24" ht="16.5" thickBot="1" x14ac:dyDescent="0.3">
      <c r="C13" s="250"/>
      <c r="D13" s="251" t="s">
        <v>363</v>
      </c>
      <c r="E13" s="252">
        <v>1080</v>
      </c>
      <c r="G13" s="283" t="s">
        <v>264</v>
      </c>
      <c r="H13" s="257" t="s">
        <v>407</v>
      </c>
      <c r="I13" s="258">
        <v>1000000</v>
      </c>
      <c r="J13" s="281" t="s">
        <v>476</v>
      </c>
      <c r="P13" s="633"/>
      <c r="Q13" s="607">
        <f t="shared" si="0"/>
        <v>1000000</v>
      </c>
      <c r="R13" s="607">
        <f t="shared" si="0"/>
        <v>1000000</v>
      </c>
      <c r="S13" s="607">
        <f t="shared" si="0"/>
        <v>1000000</v>
      </c>
      <c r="T13" s="607">
        <f t="shared" si="0"/>
        <v>1000000</v>
      </c>
      <c r="U13" s="607">
        <f t="shared" si="0"/>
        <v>1000000</v>
      </c>
      <c r="V13" s="606">
        <f t="shared" si="1"/>
        <v>1000000</v>
      </c>
      <c r="W13" s="606"/>
      <c r="X13" s="606"/>
    </row>
    <row r="14" spans="2:24" ht="16.5" thickBot="1" x14ac:dyDescent="0.3">
      <c r="C14" s="250"/>
      <c r="D14" s="251" t="s">
        <v>364</v>
      </c>
      <c r="E14" s="252">
        <v>1560</v>
      </c>
      <c r="G14" s="283" t="s">
        <v>264</v>
      </c>
      <c r="H14" s="269" t="s">
        <v>408</v>
      </c>
      <c r="I14" s="270">
        <v>700000</v>
      </c>
      <c r="J14" s="281" t="s">
        <v>476</v>
      </c>
      <c r="P14" s="633"/>
      <c r="Q14" s="607">
        <f t="shared" si="0"/>
        <v>700000</v>
      </c>
      <c r="R14" s="607">
        <f t="shared" si="0"/>
        <v>700000</v>
      </c>
      <c r="S14" s="607">
        <f t="shared" si="0"/>
        <v>700000</v>
      </c>
      <c r="T14" s="607">
        <f t="shared" si="0"/>
        <v>700000</v>
      </c>
      <c r="U14" s="607">
        <f t="shared" si="0"/>
        <v>700000</v>
      </c>
      <c r="V14" s="606">
        <f t="shared" si="1"/>
        <v>700000</v>
      </c>
      <c r="W14" s="606"/>
      <c r="X14" s="606"/>
    </row>
    <row r="15" spans="2:24" ht="16.5" thickBot="1" x14ac:dyDescent="0.3">
      <c r="C15" s="250"/>
      <c r="D15" s="251" t="s">
        <v>365</v>
      </c>
      <c r="E15" s="252">
        <v>1440</v>
      </c>
      <c r="G15" s="283" t="s">
        <v>264</v>
      </c>
      <c r="H15" s="269" t="s">
        <v>409</v>
      </c>
      <c r="I15" s="270">
        <v>1500000</v>
      </c>
      <c r="J15" s="281" t="s">
        <v>476</v>
      </c>
      <c r="P15" s="633"/>
      <c r="Q15" s="607">
        <f t="shared" si="0"/>
        <v>1500000</v>
      </c>
      <c r="R15" s="607">
        <f t="shared" si="0"/>
        <v>1500000</v>
      </c>
      <c r="S15" s="607">
        <f t="shared" si="0"/>
        <v>1500000</v>
      </c>
      <c r="T15" s="607">
        <f t="shared" si="0"/>
        <v>1500000</v>
      </c>
      <c r="U15" s="607">
        <f t="shared" si="0"/>
        <v>1500000</v>
      </c>
      <c r="V15" s="606">
        <f t="shared" si="1"/>
        <v>1500000</v>
      </c>
      <c r="W15" s="606"/>
      <c r="X15" s="606"/>
    </row>
    <row r="16" spans="2:24" ht="16.5" thickBot="1" x14ac:dyDescent="0.3">
      <c r="C16" s="250"/>
      <c r="D16" s="251" t="s">
        <v>366</v>
      </c>
      <c r="E16" s="251">
        <v>120</v>
      </c>
      <c r="G16" s="283" t="s">
        <v>264</v>
      </c>
      <c r="H16" s="269" t="s">
        <v>410</v>
      </c>
      <c r="I16" s="270">
        <v>2450000</v>
      </c>
      <c r="J16" s="281" t="s">
        <v>476</v>
      </c>
      <c r="P16" s="633"/>
      <c r="Q16" s="607">
        <f t="shared" si="0"/>
        <v>2450000</v>
      </c>
      <c r="R16" s="607">
        <f t="shared" si="0"/>
        <v>2450000</v>
      </c>
      <c r="S16" s="607">
        <f t="shared" si="0"/>
        <v>2450000</v>
      </c>
      <c r="T16" s="607">
        <f t="shared" si="0"/>
        <v>2450000</v>
      </c>
      <c r="U16" s="607">
        <f t="shared" si="0"/>
        <v>2450000</v>
      </c>
      <c r="V16" s="606">
        <f t="shared" si="1"/>
        <v>2450000</v>
      </c>
      <c r="W16" s="606"/>
      <c r="X16" s="606"/>
    </row>
    <row r="17" spans="2:24" ht="16.5" thickBot="1" x14ac:dyDescent="0.3">
      <c r="C17" s="250"/>
      <c r="D17" s="251" t="s">
        <v>367</v>
      </c>
      <c r="E17" s="252">
        <v>1320</v>
      </c>
      <c r="G17" s="283" t="s">
        <v>264</v>
      </c>
      <c r="H17" s="269" t="s">
        <v>411</v>
      </c>
      <c r="I17" s="258">
        <v>700000</v>
      </c>
      <c r="J17" s="281" t="s">
        <v>476</v>
      </c>
      <c r="P17" s="633"/>
      <c r="Q17" s="607">
        <f t="shared" si="0"/>
        <v>700000</v>
      </c>
      <c r="R17" s="607">
        <f t="shared" si="0"/>
        <v>700000</v>
      </c>
      <c r="S17" s="607">
        <f t="shared" si="0"/>
        <v>700000</v>
      </c>
      <c r="T17" s="607">
        <f t="shared" si="0"/>
        <v>700000</v>
      </c>
      <c r="U17" s="607">
        <f t="shared" si="0"/>
        <v>700000</v>
      </c>
      <c r="V17" s="606">
        <f t="shared" si="1"/>
        <v>700000</v>
      </c>
      <c r="W17" s="606"/>
      <c r="X17" s="606"/>
    </row>
    <row r="18" spans="2:24" ht="16.5" thickBot="1" x14ac:dyDescent="0.3">
      <c r="C18" s="250"/>
      <c r="D18" s="251" t="s">
        <v>368</v>
      </c>
      <c r="E18" s="251">
        <v>600</v>
      </c>
      <c r="G18" s="283" t="s">
        <v>264</v>
      </c>
      <c r="H18" s="257" t="s">
        <v>464</v>
      </c>
      <c r="I18" s="261">
        <v>3500000</v>
      </c>
      <c r="J18" s="281" t="s">
        <v>476</v>
      </c>
      <c r="P18" s="633"/>
      <c r="Q18" s="607"/>
      <c r="R18" s="607"/>
      <c r="S18" s="607"/>
      <c r="T18" s="607">
        <f t="shared" si="0"/>
        <v>3500000</v>
      </c>
      <c r="U18" s="607">
        <f t="shared" si="0"/>
        <v>3500000</v>
      </c>
      <c r="V18" s="606">
        <f t="shared" si="1"/>
        <v>3500000</v>
      </c>
      <c r="W18" s="606"/>
      <c r="X18" s="606"/>
    </row>
    <row r="19" spans="2:24" ht="16.5" thickBot="1" x14ac:dyDescent="0.3">
      <c r="C19" s="250"/>
      <c r="D19" s="251" t="s">
        <v>369</v>
      </c>
      <c r="E19" s="252">
        <v>2400</v>
      </c>
      <c r="G19" s="283" t="s">
        <v>264</v>
      </c>
      <c r="H19" s="269" t="s">
        <v>412</v>
      </c>
      <c r="I19" s="271">
        <v>1800000</v>
      </c>
      <c r="J19" s="281" t="s">
        <v>476</v>
      </c>
      <c r="P19" s="633"/>
      <c r="Q19" s="607">
        <f t="shared" si="0"/>
        <v>1800000</v>
      </c>
      <c r="R19" s="607">
        <f t="shared" si="0"/>
        <v>1800000</v>
      </c>
      <c r="S19" s="607">
        <f t="shared" si="0"/>
        <v>1800000</v>
      </c>
      <c r="T19" s="607">
        <f t="shared" si="0"/>
        <v>1800000</v>
      </c>
      <c r="U19" s="607">
        <f t="shared" si="0"/>
        <v>1800000</v>
      </c>
      <c r="V19" s="606">
        <f t="shared" si="1"/>
        <v>1800000</v>
      </c>
      <c r="W19" s="606"/>
      <c r="X19" s="606"/>
    </row>
    <row r="20" spans="2:24" ht="16.5" thickBot="1" x14ac:dyDescent="0.3">
      <c r="C20" s="250"/>
      <c r="D20" s="251" t="s">
        <v>370</v>
      </c>
      <c r="E20" s="251">
        <v>960</v>
      </c>
      <c r="G20" s="283" t="s">
        <v>264</v>
      </c>
      <c r="H20" s="269" t="s">
        <v>412</v>
      </c>
      <c r="I20" s="271">
        <v>4200000</v>
      </c>
      <c r="J20" s="281" t="s">
        <v>476</v>
      </c>
      <c r="P20" s="633"/>
      <c r="Q20" s="607">
        <f t="shared" si="0"/>
        <v>4200000</v>
      </c>
      <c r="R20" s="607">
        <f t="shared" si="0"/>
        <v>4200000</v>
      </c>
      <c r="S20" s="607">
        <f t="shared" si="0"/>
        <v>4200000</v>
      </c>
      <c r="T20" s="607">
        <f t="shared" si="0"/>
        <v>4200000</v>
      </c>
      <c r="U20" s="607">
        <f t="shared" si="0"/>
        <v>4200000</v>
      </c>
      <c r="V20" s="606">
        <f t="shared" si="1"/>
        <v>4200000</v>
      </c>
      <c r="W20" s="606"/>
      <c r="X20" s="606"/>
    </row>
    <row r="21" spans="2:24" ht="16.5" thickBot="1" x14ac:dyDescent="0.3">
      <c r="C21" s="250"/>
      <c r="D21" s="251" t="s">
        <v>371</v>
      </c>
      <c r="E21" s="252">
        <v>2040</v>
      </c>
      <c r="G21" s="283" t="s">
        <v>264</v>
      </c>
      <c r="H21" s="269" t="s">
        <v>413</v>
      </c>
      <c r="I21" s="271">
        <v>500000</v>
      </c>
      <c r="J21" s="281" t="s">
        <v>476</v>
      </c>
      <c r="P21" s="633"/>
      <c r="Q21" s="607">
        <f t="shared" si="0"/>
        <v>500000</v>
      </c>
      <c r="R21" s="607">
        <f t="shared" si="0"/>
        <v>500000</v>
      </c>
      <c r="S21" s="607">
        <f t="shared" si="0"/>
        <v>500000</v>
      </c>
      <c r="T21" s="607">
        <f t="shared" si="0"/>
        <v>500000</v>
      </c>
      <c r="U21" s="607">
        <f t="shared" si="0"/>
        <v>500000</v>
      </c>
      <c r="V21" s="606">
        <f t="shared" si="1"/>
        <v>500000</v>
      </c>
      <c r="W21" s="606"/>
      <c r="X21" s="606"/>
    </row>
    <row r="22" spans="2:24" ht="16.5" thickBot="1" x14ac:dyDescent="0.3">
      <c r="C22" s="250"/>
      <c r="D22" s="251" t="s">
        <v>372</v>
      </c>
      <c r="E22" s="252">
        <v>43520</v>
      </c>
      <c r="G22" s="283" t="s">
        <v>264</v>
      </c>
      <c r="H22" s="269" t="s">
        <v>414</v>
      </c>
      <c r="I22" s="271">
        <v>318000</v>
      </c>
      <c r="J22" s="281" t="s">
        <v>476</v>
      </c>
      <c r="P22" s="633"/>
      <c r="Q22" s="607">
        <f t="shared" si="0"/>
        <v>318000</v>
      </c>
      <c r="R22" s="607">
        <f t="shared" si="0"/>
        <v>318000</v>
      </c>
      <c r="S22" s="607">
        <f t="shared" si="0"/>
        <v>318000</v>
      </c>
      <c r="T22" s="607">
        <f t="shared" si="0"/>
        <v>318000</v>
      </c>
      <c r="U22" s="607">
        <f t="shared" si="0"/>
        <v>318000</v>
      </c>
      <c r="V22" s="606">
        <f t="shared" si="1"/>
        <v>318000</v>
      </c>
      <c r="W22" s="606"/>
      <c r="X22" s="606"/>
    </row>
    <row r="23" spans="2:24" ht="16.5" thickBot="1" x14ac:dyDescent="0.3">
      <c r="C23" s="250"/>
      <c r="D23" s="251" t="s">
        <v>373</v>
      </c>
      <c r="E23" s="252">
        <v>78880</v>
      </c>
      <c r="G23" s="283" t="s">
        <v>264</v>
      </c>
      <c r="H23" s="269" t="s">
        <v>415</v>
      </c>
      <c r="I23" s="271">
        <v>800000</v>
      </c>
      <c r="J23" s="281" t="s">
        <v>476</v>
      </c>
      <c r="P23" s="633"/>
      <c r="Q23" s="607">
        <f t="shared" si="0"/>
        <v>800000</v>
      </c>
      <c r="R23" s="607">
        <f t="shared" si="0"/>
        <v>800000</v>
      </c>
      <c r="S23" s="607">
        <f t="shared" si="0"/>
        <v>800000</v>
      </c>
      <c r="T23" s="607">
        <f t="shared" si="0"/>
        <v>800000</v>
      </c>
      <c r="U23" s="607">
        <f t="shared" si="0"/>
        <v>800000</v>
      </c>
      <c r="V23" s="606">
        <f t="shared" si="1"/>
        <v>800000</v>
      </c>
      <c r="W23" s="606"/>
      <c r="X23" s="606"/>
    </row>
    <row r="24" spans="2:24" ht="16.5" thickBot="1" x14ac:dyDescent="0.3">
      <c r="C24" s="250"/>
      <c r="D24" s="251" t="s">
        <v>374</v>
      </c>
      <c r="E24" s="252">
        <v>3960</v>
      </c>
      <c r="G24" s="283" t="s">
        <v>264</v>
      </c>
      <c r="H24" s="269" t="s">
        <v>416</v>
      </c>
      <c r="I24" s="271">
        <v>500000</v>
      </c>
      <c r="J24" s="281" t="s">
        <v>476</v>
      </c>
      <c r="P24" s="633"/>
      <c r="Q24" s="607">
        <f t="shared" si="0"/>
        <v>500000</v>
      </c>
      <c r="R24" s="607">
        <f t="shared" si="0"/>
        <v>500000</v>
      </c>
      <c r="S24" s="607">
        <f t="shared" si="0"/>
        <v>500000</v>
      </c>
      <c r="T24" s="607">
        <f t="shared" si="0"/>
        <v>500000</v>
      </c>
      <c r="U24" s="607">
        <f t="shared" si="0"/>
        <v>500000</v>
      </c>
      <c r="V24" s="606">
        <f t="shared" si="1"/>
        <v>500000</v>
      </c>
      <c r="W24" s="606"/>
      <c r="X24" s="606"/>
    </row>
    <row r="25" spans="2:24" ht="16.5" thickBot="1" x14ac:dyDescent="0.3">
      <c r="C25" s="250"/>
      <c r="D25" s="251" t="s">
        <v>375</v>
      </c>
      <c r="E25" s="252">
        <v>6560</v>
      </c>
      <c r="G25" s="283" t="s">
        <v>264</v>
      </c>
      <c r="H25" s="269" t="s">
        <v>417</v>
      </c>
      <c r="I25" s="271">
        <v>360000</v>
      </c>
      <c r="J25" s="281" t="s">
        <v>476</v>
      </c>
      <c r="P25" s="633"/>
      <c r="Q25" s="607">
        <f t="shared" si="0"/>
        <v>360000</v>
      </c>
      <c r="R25" s="607">
        <f t="shared" si="0"/>
        <v>360000</v>
      </c>
      <c r="S25" s="607">
        <f t="shared" si="0"/>
        <v>360000</v>
      </c>
      <c r="T25" s="607">
        <f t="shared" si="0"/>
        <v>360000</v>
      </c>
      <c r="U25" s="607">
        <f t="shared" si="0"/>
        <v>360000</v>
      </c>
      <c r="V25" s="606">
        <f t="shared" si="1"/>
        <v>360000</v>
      </c>
      <c r="W25" s="606"/>
      <c r="X25" s="606"/>
    </row>
    <row r="26" spans="2:24" ht="16.5" thickBot="1" x14ac:dyDescent="0.3">
      <c r="C26" s="250"/>
      <c r="D26" s="251" t="s">
        <v>376</v>
      </c>
      <c r="E26" s="252">
        <v>1930</v>
      </c>
      <c r="G26" s="283" t="s">
        <v>264</v>
      </c>
      <c r="H26" s="269" t="s">
        <v>418</v>
      </c>
      <c r="I26" s="271">
        <v>850000</v>
      </c>
      <c r="J26" s="281" t="s">
        <v>476</v>
      </c>
      <c r="P26" s="633"/>
      <c r="Q26" s="607">
        <f t="shared" ref="Q26:U41" si="2">$I26</f>
        <v>850000</v>
      </c>
      <c r="R26" s="607">
        <f t="shared" si="2"/>
        <v>850000</v>
      </c>
      <c r="S26" s="607">
        <f t="shared" si="2"/>
        <v>850000</v>
      </c>
      <c r="T26" s="607">
        <f t="shared" si="2"/>
        <v>850000</v>
      </c>
      <c r="U26" s="607">
        <f t="shared" si="2"/>
        <v>850000</v>
      </c>
      <c r="V26" s="606">
        <f t="shared" si="1"/>
        <v>850000</v>
      </c>
      <c r="W26" s="606"/>
      <c r="X26" s="606"/>
    </row>
    <row r="27" spans="2:24" ht="16.5" thickBot="1" x14ac:dyDescent="0.3">
      <c r="C27" s="250"/>
      <c r="D27" s="251" t="s">
        <v>377</v>
      </c>
      <c r="E27" s="252">
        <v>1440</v>
      </c>
      <c r="G27" s="283" t="s">
        <v>264</v>
      </c>
      <c r="H27" s="269" t="s">
        <v>419</v>
      </c>
      <c r="I27" s="271">
        <v>850000</v>
      </c>
      <c r="J27" s="281" t="s">
        <v>476</v>
      </c>
      <c r="P27" s="633"/>
      <c r="Q27" s="607">
        <f t="shared" si="2"/>
        <v>850000</v>
      </c>
      <c r="R27" s="607">
        <f t="shared" si="2"/>
        <v>850000</v>
      </c>
      <c r="S27" s="607">
        <f t="shared" si="2"/>
        <v>850000</v>
      </c>
      <c r="T27" s="607">
        <f t="shared" si="2"/>
        <v>850000</v>
      </c>
      <c r="U27" s="607">
        <f t="shared" si="2"/>
        <v>850000</v>
      </c>
      <c r="V27" s="606">
        <f t="shared" si="1"/>
        <v>850000</v>
      </c>
      <c r="W27" s="606"/>
      <c r="X27" s="606"/>
    </row>
    <row r="28" spans="2:24" ht="16.5" thickBot="1" x14ac:dyDescent="0.3">
      <c r="C28" s="250"/>
      <c r="D28" s="251" t="s">
        <v>378</v>
      </c>
      <c r="E28" s="252">
        <v>3240</v>
      </c>
      <c r="G28" s="283" t="s">
        <v>264</v>
      </c>
      <c r="H28" s="269" t="s">
        <v>420</v>
      </c>
      <c r="I28" s="271">
        <v>960000</v>
      </c>
      <c r="J28" s="281" t="s">
        <v>476</v>
      </c>
      <c r="P28" s="633"/>
      <c r="Q28" s="607">
        <f t="shared" si="2"/>
        <v>960000</v>
      </c>
      <c r="R28" s="607">
        <f t="shared" si="2"/>
        <v>960000</v>
      </c>
      <c r="S28" s="607">
        <f t="shared" si="2"/>
        <v>960000</v>
      </c>
      <c r="T28" s="607">
        <f t="shared" si="2"/>
        <v>960000</v>
      </c>
      <c r="U28" s="607">
        <f t="shared" si="2"/>
        <v>960000</v>
      </c>
      <c r="V28" s="606">
        <f t="shared" si="1"/>
        <v>960000</v>
      </c>
      <c r="W28" s="606"/>
      <c r="X28" s="606"/>
    </row>
    <row r="29" spans="2:24" ht="16.5" thickBot="1" x14ac:dyDescent="0.3">
      <c r="C29" s="250"/>
      <c r="D29" s="251" t="s">
        <v>379</v>
      </c>
      <c r="E29" s="251">
        <v>120</v>
      </c>
      <c r="G29" s="283" t="s">
        <v>264</v>
      </c>
      <c r="H29" s="269" t="s">
        <v>421</v>
      </c>
      <c r="I29" s="271">
        <v>550000</v>
      </c>
      <c r="J29" s="281" t="s">
        <v>476</v>
      </c>
      <c r="P29" s="633"/>
      <c r="Q29" s="607">
        <f t="shared" si="2"/>
        <v>550000</v>
      </c>
      <c r="R29" s="607">
        <f t="shared" si="2"/>
        <v>550000</v>
      </c>
      <c r="S29" s="607">
        <f t="shared" si="2"/>
        <v>550000</v>
      </c>
      <c r="T29" s="607">
        <f t="shared" si="2"/>
        <v>550000</v>
      </c>
      <c r="U29" s="607">
        <f t="shared" si="2"/>
        <v>550000</v>
      </c>
      <c r="V29" s="606">
        <f t="shared" si="1"/>
        <v>550000</v>
      </c>
      <c r="W29" s="606"/>
      <c r="X29" s="606"/>
    </row>
    <row r="30" spans="2:24" ht="16.5" thickBot="1" x14ac:dyDescent="0.3">
      <c r="C30" s="250"/>
      <c r="D30" s="250"/>
      <c r="E30" s="250"/>
      <c r="G30" s="283" t="s">
        <v>264</v>
      </c>
      <c r="H30" s="272" t="s">
        <v>465</v>
      </c>
      <c r="I30" s="271">
        <v>530000</v>
      </c>
      <c r="J30" s="281" t="s">
        <v>476</v>
      </c>
      <c r="P30" s="633"/>
      <c r="Q30" s="607">
        <f t="shared" si="2"/>
        <v>530000</v>
      </c>
      <c r="R30" s="607">
        <f t="shared" si="2"/>
        <v>530000</v>
      </c>
      <c r="S30" s="607">
        <f t="shared" si="2"/>
        <v>530000</v>
      </c>
      <c r="T30" s="607">
        <f t="shared" si="2"/>
        <v>530000</v>
      </c>
      <c r="U30" s="607">
        <f t="shared" si="2"/>
        <v>530000</v>
      </c>
      <c r="V30" s="606">
        <f t="shared" si="1"/>
        <v>530000</v>
      </c>
      <c r="W30" s="606"/>
      <c r="X30" s="606"/>
    </row>
    <row r="31" spans="2:24" ht="16.5" thickBot="1" x14ac:dyDescent="0.3">
      <c r="B31" s="262" t="s">
        <v>3</v>
      </c>
      <c r="C31" s="262"/>
      <c r="D31" s="262"/>
      <c r="E31" s="263">
        <f>SUM(E10:E29)</f>
        <v>160780</v>
      </c>
      <c r="G31" s="283" t="s">
        <v>264</v>
      </c>
      <c r="H31" s="269" t="s">
        <v>422</v>
      </c>
      <c r="I31" s="271">
        <v>1000000</v>
      </c>
      <c r="J31" s="281" t="s">
        <v>476</v>
      </c>
      <c r="P31" s="633"/>
      <c r="Q31" s="607">
        <f t="shared" si="2"/>
        <v>1000000</v>
      </c>
      <c r="R31" s="607">
        <f t="shared" si="2"/>
        <v>1000000</v>
      </c>
      <c r="S31" s="607">
        <f t="shared" si="2"/>
        <v>1000000</v>
      </c>
      <c r="T31" s="607">
        <f t="shared" si="2"/>
        <v>1000000</v>
      </c>
      <c r="U31" s="607">
        <f t="shared" si="2"/>
        <v>1000000</v>
      </c>
      <c r="V31" s="606">
        <f t="shared" si="1"/>
        <v>1000000</v>
      </c>
      <c r="W31" s="606"/>
      <c r="X31" s="606"/>
    </row>
    <row r="32" spans="2:24" ht="16.5" thickBot="1" x14ac:dyDescent="0.3">
      <c r="C32" s="250"/>
      <c r="D32" s="250"/>
      <c r="E32" s="250"/>
      <c r="G32" s="283" t="s">
        <v>264</v>
      </c>
      <c r="H32" s="269" t="s">
        <v>423</v>
      </c>
      <c r="I32" s="271">
        <v>280000</v>
      </c>
      <c r="J32" s="281" t="s">
        <v>476</v>
      </c>
      <c r="P32" s="633"/>
      <c r="Q32" s="607">
        <f t="shared" si="2"/>
        <v>280000</v>
      </c>
      <c r="R32" s="607">
        <f t="shared" si="2"/>
        <v>280000</v>
      </c>
      <c r="S32" s="607">
        <f t="shared" si="2"/>
        <v>280000</v>
      </c>
      <c r="T32" s="607">
        <f t="shared" si="2"/>
        <v>280000</v>
      </c>
      <c r="U32" s="607">
        <f t="shared" si="2"/>
        <v>280000</v>
      </c>
      <c r="V32" s="606">
        <f t="shared" si="1"/>
        <v>280000</v>
      </c>
      <c r="W32" s="606"/>
      <c r="X32" s="606"/>
    </row>
    <row r="33" spans="2:24" ht="15.75" thickBot="1" x14ac:dyDescent="0.3">
      <c r="B33" s="290" t="s">
        <v>482</v>
      </c>
      <c r="C33" s="289"/>
      <c r="D33" s="289"/>
      <c r="E33" s="284">
        <v>0.9</v>
      </c>
      <c r="G33" s="283" t="s">
        <v>264</v>
      </c>
      <c r="H33" s="269" t="s">
        <v>424</v>
      </c>
      <c r="I33" s="271">
        <v>374000</v>
      </c>
      <c r="J33" s="281" t="s">
        <v>476</v>
      </c>
      <c r="P33" s="633"/>
      <c r="Q33" s="607">
        <f t="shared" si="2"/>
        <v>374000</v>
      </c>
      <c r="R33" s="607">
        <f t="shared" si="2"/>
        <v>374000</v>
      </c>
      <c r="S33" s="607">
        <f t="shared" si="2"/>
        <v>374000</v>
      </c>
      <c r="T33" s="607">
        <f t="shared" si="2"/>
        <v>374000</v>
      </c>
      <c r="U33" s="607">
        <f t="shared" si="2"/>
        <v>374000</v>
      </c>
      <c r="V33" s="606">
        <f t="shared" si="1"/>
        <v>374000</v>
      </c>
      <c r="W33" s="606"/>
      <c r="X33" s="606"/>
    </row>
    <row r="34" spans="2:24" ht="16.5" thickBot="1" x14ac:dyDescent="0.3">
      <c r="C34" s="250"/>
      <c r="G34" s="283" t="s">
        <v>264</v>
      </c>
      <c r="H34" s="269" t="s">
        <v>425</v>
      </c>
      <c r="I34" s="271">
        <v>950000</v>
      </c>
      <c r="J34" s="281" t="s">
        <v>476</v>
      </c>
      <c r="P34" s="633"/>
      <c r="Q34" s="607">
        <f t="shared" si="2"/>
        <v>950000</v>
      </c>
      <c r="R34" s="607">
        <f t="shared" si="2"/>
        <v>950000</v>
      </c>
      <c r="S34" s="607">
        <f t="shared" si="2"/>
        <v>950000</v>
      </c>
      <c r="T34" s="607">
        <f t="shared" si="2"/>
        <v>950000</v>
      </c>
      <c r="U34" s="607">
        <f t="shared" si="2"/>
        <v>950000</v>
      </c>
      <c r="V34" s="606">
        <f t="shared" si="1"/>
        <v>950000</v>
      </c>
      <c r="W34" s="606"/>
      <c r="X34" s="606"/>
    </row>
    <row r="35" spans="2:24" ht="19.5" thickBot="1" x14ac:dyDescent="0.35">
      <c r="B35" s="287" t="s">
        <v>472</v>
      </c>
      <c r="C35" s="287"/>
      <c r="D35" s="287"/>
      <c r="E35" s="286">
        <f>+E31*E33</f>
        <v>144702</v>
      </c>
      <c r="G35" s="283" t="s">
        <v>264</v>
      </c>
      <c r="H35" s="269" t="s">
        <v>426</v>
      </c>
      <c r="I35" s="271">
        <v>60000</v>
      </c>
      <c r="J35" s="281" t="s">
        <v>476</v>
      </c>
      <c r="P35" s="633"/>
      <c r="Q35" s="607">
        <f t="shared" si="2"/>
        <v>60000</v>
      </c>
      <c r="R35" s="607">
        <f t="shared" si="2"/>
        <v>60000</v>
      </c>
      <c r="S35" s="607">
        <f t="shared" si="2"/>
        <v>60000</v>
      </c>
      <c r="T35" s="607">
        <f t="shared" si="2"/>
        <v>60000</v>
      </c>
      <c r="U35" s="607">
        <f t="shared" si="2"/>
        <v>60000</v>
      </c>
      <c r="V35" s="606">
        <f t="shared" si="1"/>
        <v>60000</v>
      </c>
      <c r="W35" s="606"/>
      <c r="X35" s="606"/>
    </row>
    <row r="36" spans="2:24" ht="16.5" thickBot="1" x14ac:dyDescent="0.3">
      <c r="C36" s="250"/>
      <c r="D36" s="250"/>
      <c r="E36" s="250"/>
      <c r="G36" s="283" t="s">
        <v>264</v>
      </c>
      <c r="H36" s="269" t="s">
        <v>427</v>
      </c>
      <c r="I36" s="271">
        <v>450000</v>
      </c>
      <c r="J36" s="281" t="s">
        <v>476</v>
      </c>
      <c r="P36" s="633"/>
      <c r="Q36" s="607">
        <f t="shared" si="2"/>
        <v>450000</v>
      </c>
      <c r="R36" s="607">
        <f t="shared" si="2"/>
        <v>450000</v>
      </c>
      <c r="S36" s="607">
        <f t="shared" si="2"/>
        <v>450000</v>
      </c>
      <c r="T36" s="607">
        <f t="shared" si="2"/>
        <v>450000</v>
      </c>
      <c r="U36" s="607">
        <f t="shared" si="2"/>
        <v>450000</v>
      </c>
      <c r="V36" s="606">
        <f t="shared" si="1"/>
        <v>450000</v>
      </c>
      <c r="W36" s="606"/>
      <c r="X36" s="606"/>
    </row>
    <row r="37" spans="2:24" ht="15.75" thickBot="1" x14ac:dyDescent="0.3">
      <c r="G37" s="283" t="s">
        <v>264</v>
      </c>
      <c r="H37" s="269" t="s">
        <v>428</v>
      </c>
      <c r="I37" s="271">
        <v>150000</v>
      </c>
      <c r="J37" s="281" t="s">
        <v>476</v>
      </c>
      <c r="P37" s="633"/>
      <c r="Q37" s="607">
        <f t="shared" si="2"/>
        <v>150000</v>
      </c>
      <c r="R37" s="607">
        <f t="shared" si="2"/>
        <v>150000</v>
      </c>
      <c r="S37" s="607">
        <f t="shared" si="2"/>
        <v>150000</v>
      </c>
      <c r="T37" s="607">
        <f t="shared" si="2"/>
        <v>150000</v>
      </c>
      <c r="U37" s="607">
        <f t="shared" si="2"/>
        <v>150000</v>
      </c>
      <c r="V37" s="606">
        <f t="shared" si="1"/>
        <v>150000</v>
      </c>
      <c r="W37" s="606"/>
      <c r="X37" s="606"/>
    </row>
    <row r="38" spans="2:24" ht="15.75" thickBot="1" x14ac:dyDescent="0.3">
      <c r="G38" s="283" t="s">
        <v>264</v>
      </c>
      <c r="H38" s="269" t="s">
        <v>429</v>
      </c>
      <c r="I38" s="271">
        <v>120000</v>
      </c>
      <c r="J38" s="281" t="s">
        <v>476</v>
      </c>
      <c r="P38" s="633"/>
      <c r="Q38" s="607">
        <f t="shared" si="2"/>
        <v>120000</v>
      </c>
      <c r="R38" s="607">
        <f t="shared" si="2"/>
        <v>120000</v>
      </c>
      <c r="S38" s="607">
        <f t="shared" si="2"/>
        <v>120000</v>
      </c>
      <c r="T38" s="607">
        <f t="shared" si="2"/>
        <v>120000</v>
      </c>
      <c r="U38" s="607">
        <f t="shared" si="2"/>
        <v>120000</v>
      </c>
      <c r="V38" s="606">
        <f t="shared" si="1"/>
        <v>120000</v>
      </c>
      <c r="W38" s="606"/>
      <c r="X38" s="606"/>
    </row>
    <row r="39" spans="2:24" ht="15.75" thickBot="1" x14ac:dyDescent="0.3">
      <c r="G39" s="283" t="s">
        <v>264</v>
      </c>
      <c r="H39" s="272" t="s">
        <v>430</v>
      </c>
      <c r="I39" s="271">
        <v>500000</v>
      </c>
      <c r="J39" s="281" t="s">
        <v>476</v>
      </c>
      <c r="P39" s="633"/>
      <c r="Q39" s="607">
        <f t="shared" si="2"/>
        <v>500000</v>
      </c>
      <c r="R39" s="607">
        <f t="shared" si="2"/>
        <v>500000</v>
      </c>
      <c r="S39" s="607">
        <f t="shared" si="2"/>
        <v>500000</v>
      </c>
      <c r="T39" s="607">
        <f t="shared" si="2"/>
        <v>500000</v>
      </c>
      <c r="U39" s="607">
        <f t="shared" si="2"/>
        <v>500000</v>
      </c>
      <c r="V39" s="606">
        <f t="shared" si="1"/>
        <v>500000</v>
      </c>
      <c r="W39" s="606"/>
      <c r="X39" s="606"/>
    </row>
    <row r="40" spans="2:24" ht="15.75" thickBot="1" x14ac:dyDescent="0.3">
      <c r="G40" s="283" t="s">
        <v>264</v>
      </c>
      <c r="H40" s="269" t="s">
        <v>431</v>
      </c>
      <c r="I40" s="271">
        <v>250000</v>
      </c>
      <c r="J40" s="281" t="s">
        <v>476</v>
      </c>
      <c r="P40" s="633"/>
      <c r="Q40" s="607">
        <f t="shared" si="2"/>
        <v>250000</v>
      </c>
      <c r="R40" s="607">
        <f t="shared" si="2"/>
        <v>250000</v>
      </c>
      <c r="S40" s="607">
        <f t="shared" si="2"/>
        <v>250000</v>
      </c>
      <c r="T40" s="607">
        <f t="shared" si="2"/>
        <v>250000</v>
      </c>
      <c r="U40" s="607">
        <f t="shared" si="2"/>
        <v>250000</v>
      </c>
      <c r="V40" s="606">
        <f t="shared" si="1"/>
        <v>250000</v>
      </c>
      <c r="W40" s="606"/>
      <c r="X40" s="606"/>
    </row>
    <row r="41" spans="2:24" ht="15.75" thickBot="1" x14ac:dyDescent="0.3">
      <c r="G41" s="283" t="s">
        <v>264</v>
      </c>
      <c r="H41" s="269" t="s">
        <v>432</v>
      </c>
      <c r="I41" s="271">
        <v>300000</v>
      </c>
      <c r="J41" s="281" t="s">
        <v>476</v>
      </c>
      <c r="P41" s="633"/>
      <c r="Q41" s="607">
        <f t="shared" si="2"/>
        <v>300000</v>
      </c>
      <c r="R41" s="607">
        <f t="shared" si="2"/>
        <v>300000</v>
      </c>
      <c r="S41" s="607">
        <f t="shared" si="2"/>
        <v>300000</v>
      </c>
      <c r="T41" s="607">
        <f t="shared" si="2"/>
        <v>300000</v>
      </c>
      <c r="U41" s="607">
        <f t="shared" si="2"/>
        <v>300000</v>
      </c>
      <c r="V41" s="606">
        <f t="shared" si="1"/>
        <v>300000</v>
      </c>
      <c r="W41" s="606"/>
      <c r="X41" s="606"/>
    </row>
    <row r="42" spans="2:24" ht="15.75" thickBot="1" x14ac:dyDescent="0.3">
      <c r="G42" s="283" t="s">
        <v>264</v>
      </c>
      <c r="H42" s="269" t="s">
        <v>433</v>
      </c>
      <c r="I42" s="271">
        <v>400000</v>
      </c>
      <c r="J42" s="281" t="s">
        <v>476</v>
      </c>
      <c r="P42" s="633"/>
      <c r="Q42" s="607">
        <f t="shared" ref="Q42:U45" si="3">$I42</f>
        <v>400000</v>
      </c>
      <c r="R42" s="607">
        <f t="shared" si="3"/>
        <v>400000</v>
      </c>
      <c r="S42" s="607">
        <f t="shared" si="3"/>
        <v>400000</v>
      </c>
      <c r="T42" s="607">
        <f t="shared" si="3"/>
        <v>400000</v>
      </c>
      <c r="U42" s="607">
        <f t="shared" si="3"/>
        <v>400000</v>
      </c>
      <c r="V42" s="606">
        <f t="shared" si="1"/>
        <v>400000</v>
      </c>
      <c r="W42" s="606"/>
      <c r="X42" s="606"/>
    </row>
    <row r="43" spans="2:24" ht="15.75" thickBot="1" x14ac:dyDescent="0.3">
      <c r="G43" s="283" t="s">
        <v>264</v>
      </c>
      <c r="H43" s="269" t="s">
        <v>434</v>
      </c>
      <c r="I43" s="271">
        <v>100000</v>
      </c>
      <c r="J43" s="281" t="s">
        <v>476</v>
      </c>
      <c r="P43" s="633"/>
      <c r="Q43" s="607">
        <f t="shared" si="3"/>
        <v>100000</v>
      </c>
      <c r="R43" s="607">
        <f t="shared" si="3"/>
        <v>100000</v>
      </c>
      <c r="S43" s="607">
        <f t="shared" si="3"/>
        <v>100000</v>
      </c>
      <c r="T43" s="607">
        <f t="shared" si="3"/>
        <v>100000</v>
      </c>
      <c r="U43" s="607">
        <f t="shared" si="3"/>
        <v>100000</v>
      </c>
      <c r="V43" s="606">
        <f t="shared" si="1"/>
        <v>100000</v>
      </c>
      <c r="W43" s="606"/>
      <c r="X43" s="606"/>
    </row>
    <row r="44" spans="2:24" ht="15.75" thickBot="1" x14ac:dyDescent="0.3">
      <c r="G44" s="283" t="s">
        <v>264</v>
      </c>
      <c r="H44" s="269" t="s">
        <v>435</v>
      </c>
      <c r="I44" s="271">
        <v>500000</v>
      </c>
      <c r="J44" s="281" t="s">
        <v>476</v>
      </c>
      <c r="P44" s="633"/>
      <c r="Q44" s="607">
        <f t="shared" si="3"/>
        <v>500000</v>
      </c>
      <c r="R44" s="607">
        <f t="shared" si="3"/>
        <v>500000</v>
      </c>
      <c r="S44" s="607">
        <f t="shared" si="3"/>
        <v>500000</v>
      </c>
      <c r="T44" s="607">
        <f t="shared" si="3"/>
        <v>500000</v>
      </c>
      <c r="U44" s="607">
        <f t="shared" si="3"/>
        <v>500000</v>
      </c>
      <c r="V44" s="606">
        <f t="shared" si="1"/>
        <v>500000</v>
      </c>
      <c r="W44" s="606"/>
      <c r="X44" s="606"/>
    </row>
    <row r="45" spans="2:24" ht="15.75" thickBot="1" x14ac:dyDescent="0.3">
      <c r="G45" s="283" t="s">
        <v>264</v>
      </c>
      <c r="H45" s="269" t="s">
        <v>436</v>
      </c>
      <c r="I45" s="271">
        <v>30000</v>
      </c>
      <c r="J45" s="281" t="s">
        <v>476</v>
      </c>
      <c r="P45" s="633"/>
      <c r="Q45" s="607">
        <f t="shared" si="3"/>
        <v>30000</v>
      </c>
      <c r="R45" s="607">
        <f t="shared" si="3"/>
        <v>30000</v>
      </c>
      <c r="S45" s="607">
        <f t="shared" si="3"/>
        <v>30000</v>
      </c>
      <c r="T45" s="607">
        <f t="shared" si="3"/>
        <v>30000</v>
      </c>
      <c r="U45" s="607">
        <f t="shared" si="3"/>
        <v>30000</v>
      </c>
      <c r="V45" s="606">
        <f t="shared" si="1"/>
        <v>30000</v>
      </c>
      <c r="W45" s="606"/>
      <c r="X45" s="606"/>
    </row>
    <row r="46" spans="2:24" ht="15" customHeight="1" thickBot="1" x14ac:dyDescent="0.3">
      <c r="G46" s="283" t="s">
        <v>264</v>
      </c>
      <c r="H46" s="269" t="s">
        <v>438</v>
      </c>
      <c r="I46" s="271">
        <v>1820000</v>
      </c>
      <c r="J46" s="281" t="s">
        <v>476</v>
      </c>
      <c r="P46" s="633"/>
      <c r="Q46" s="607">
        <f t="shared" ref="Q46:V49" si="4">$I46</f>
        <v>1820000</v>
      </c>
      <c r="R46" s="607">
        <f t="shared" si="4"/>
        <v>1820000</v>
      </c>
      <c r="S46" s="607">
        <f t="shared" si="4"/>
        <v>1820000</v>
      </c>
      <c r="T46" s="607">
        <f t="shared" si="4"/>
        <v>1820000</v>
      </c>
      <c r="U46" s="607">
        <f t="shared" si="4"/>
        <v>1820000</v>
      </c>
      <c r="V46" s="606">
        <f t="shared" si="4"/>
        <v>1820000</v>
      </c>
      <c r="W46" s="606"/>
      <c r="X46" s="606"/>
    </row>
    <row r="47" spans="2:24" ht="15" customHeight="1" thickBot="1" x14ac:dyDescent="0.3">
      <c r="G47" s="283" t="s">
        <v>264</v>
      </c>
      <c r="H47" s="269" t="s">
        <v>466</v>
      </c>
      <c r="I47" s="271">
        <v>180000</v>
      </c>
      <c r="J47" s="281" t="s">
        <v>476</v>
      </c>
      <c r="P47" s="633"/>
      <c r="Q47" s="607">
        <f t="shared" si="4"/>
        <v>180000</v>
      </c>
      <c r="R47" s="607">
        <f t="shared" si="4"/>
        <v>180000</v>
      </c>
      <c r="S47" s="607">
        <f t="shared" si="4"/>
        <v>180000</v>
      </c>
      <c r="T47" s="607">
        <f t="shared" si="4"/>
        <v>180000</v>
      </c>
      <c r="U47" s="607">
        <f t="shared" si="4"/>
        <v>180000</v>
      </c>
      <c r="V47" s="606">
        <f t="shared" si="4"/>
        <v>180000</v>
      </c>
      <c r="W47" s="606"/>
      <c r="X47" s="606"/>
    </row>
    <row r="48" spans="2:24" ht="15.75" thickBot="1" x14ac:dyDescent="0.3">
      <c r="F48" t="s">
        <v>668</v>
      </c>
      <c r="G48" s="283" t="s">
        <v>926</v>
      </c>
      <c r="H48" s="291" t="s">
        <v>480</v>
      </c>
      <c r="I48" s="292" t="s">
        <v>264</v>
      </c>
      <c r="J48" s="281"/>
      <c r="P48" s="633"/>
      <c r="Q48" s="607" t="str">
        <f t="shared" si="4"/>
        <v>?</v>
      </c>
      <c r="R48" s="607" t="str">
        <f t="shared" si="4"/>
        <v>?</v>
      </c>
      <c r="S48" s="607" t="str">
        <f t="shared" si="4"/>
        <v>?</v>
      </c>
      <c r="T48" s="607" t="str">
        <f t="shared" si="4"/>
        <v>?</v>
      </c>
      <c r="U48" s="607" t="str">
        <f t="shared" si="4"/>
        <v>?</v>
      </c>
      <c r="V48" s="606" t="str">
        <f t="shared" si="4"/>
        <v>?</v>
      </c>
      <c r="W48" s="606"/>
      <c r="X48" s="606"/>
    </row>
    <row r="49" spans="2:24" ht="15.75" thickBot="1" x14ac:dyDescent="0.3">
      <c r="G49" s="283">
        <v>2018</v>
      </c>
      <c r="H49" s="269" t="s">
        <v>439</v>
      </c>
      <c r="I49" s="271">
        <v>2660000</v>
      </c>
      <c r="J49" s="281" t="s">
        <v>477</v>
      </c>
      <c r="P49" s="633">
        <v>2010</v>
      </c>
      <c r="Q49" s="607">
        <f t="shared" si="4"/>
        <v>2660000</v>
      </c>
      <c r="R49" s="607">
        <f t="shared" si="4"/>
        <v>2660000</v>
      </c>
      <c r="S49" s="607">
        <f t="shared" si="4"/>
        <v>2660000</v>
      </c>
      <c r="T49" s="607">
        <f t="shared" si="4"/>
        <v>2660000</v>
      </c>
      <c r="U49" s="607">
        <f t="shared" si="4"/>
        <v>2660000</v>
      </c>
      <c r="V49" s="606">
        <f t="shared" si="4"/>
        <v>2660000</v>
      </c>
      <c r="W49" s="606"/>
      <c r="X49" s="606"/>
    </row>
    <row r="50" spans="2:24" ht="15.75" thickBot="1" x14ac:dyDescent="0.3">
      <c r="G50" s="283"/>
      <c r="H50" s="269"/>
      <c r="I50" s="271"/>
      <c r="J50" s="281"/>
      <c r="P50" s="633"/>
      <c r="Q50" s="607"/>
      <c r="R50" s="607"/>
      <c r="S50" s="607"/>
      <c r="T50" s="607"/>
      <c r="U50" s="607"/>
      <c r="V50" s="606"/>
      <c r="W50" s="606"/>
      <c r="X50" s="606"/>
    </row>
    <row r="51" spans="2:24" ht="15.75" thickBot="1" x14ac:dyDescent="0.3">
      <c r="G51" s="283" t="s">
        <v>264</v>
      </c>
      <c r="H51" s="269" t="s">
        <v>479</v>
      </c>
      <c r="I51" s="271">
        <v>270000</v>
      </c>
      <c r="J51" s="281" t="s">
        <v>478</v>
      </c>
      <c r="P51" s="633"/>
      <c r="Q51" s="607">
        <f t="shared" ref="Q51:V51" si="5">$I51</f>
        <v>270000</v>
      </c>
      <c r="R51" s="607">
        <f t="shared" si="5"/>
        <v>270000</v>
      </c>
      <c r="S51" s="607">
        <f t="shared" si="5"/>
        <v>270000</v>
      </c>
      <c r="T51" s="607">
        <f t="shared" si="5"/>
        <v>270000</v>
      </c>
      <c r="U51" s="607">
        <f t="shared" si="5"/>
        <v>270000</v>
      </c>
      <c r="V51" s="606">
        <f t="shared" si="5"/>
        <v>270000</v>
      </c>
      <c r="W51" s="606"/>
      <c r="X51" s="606"/>
    </row>
    <row r="52" spans="2:24" ht="15.75" thickBot="1" x14ac:dyDescent="0.3">
      <c r="G52" s="283"/>
      <c r="H52" s="269"/>
      <c r="I52" s="271"/>
      <c r="J52" s="281"/>
      <c r="P52" s="633"/>
      <c r="Q52" s="607"/>
      <c r="R52" s="607"/>
      <c r="S52" s="607"/>
      <c r="T52" s="607"/>
      <c r="U52" s="607"/>
      <c r="V52" s="606"/>
      <c r="W52" s="606"/>
      <c r="X52" s="606"/>
    </row>
    <row r="53" spans="2:24" ht="15.75" thickBot="1" x14ac:dyDescent="0.3">
      <c r="G53" s="283" t="s">
        <v>475</v>
      </c>
      <c r="H53" s="269" t="s">
        <v>437</v>
      </c>
      <c r="I53" s="280">
        <v>35673400</v>
      </c>
      <c r="J53" s="281" t="s">
        <v>474</v>
      </c>
      <c r="P53" s="633"/>
      <c r="Q53" s="607"/>
      <c r="R53" s="607"/>
      <c r="S53" s="607"/>
      <c r="T53" s="607">
        <f>$I53*(1/12)</f>
        <v>2972783.333333333</v>
      </c>
      <c r="U53" s="607">
        <f>$I53</f>
        <v>35673400</v>
      </c>
      <c r="V53" s="606">
        <f t="shared" si="1"/>
        <v>35673400</v>
      </c>
      <c r="W53" s="606"/>
      <c r="X53" s="606"/>
    </row>
    <row r="54" spans="2:24" ht="15.75" thickBot="1" x14ac:dyDescent="0.3">
      <c r="G54" s="283"/>
      <c r="H54" s="269"/>
      <c r="I54" s="271"/>
      <c r="J54" s="281"/>
      <c r="P54" s="633"/>
      <c r="Q54" s="607"/>
      <c r="R54" s="607"/>
      <c r="S54" s="607"/>
      <c r="T54" s="607"/>
      <c r="U54" s="607"/>
      <c r="V54" s="606"/>
      <c r="W54" s="606"/>
      <c r="X54" s="606"/>
    </row>
    <row r="55" spans="2:24" x14ac:dyDescent="0.25">
      <c r="B55" t="s">
        <v>827</v>
      </c>
      <c r="C55" t="s">
        <v>828</v>
      </c>
    </row>
    <row r="56" spans="2:24" ht="15.75" thickBot="1" x14ac:dyDescent="0.3">
      <c r="B56">
        <v>1</v>
      </c>
      <c r="C56" t="s">
        <v>829</v>
      </c>
    </row>
    <row r="57" spans="2:24" ht="60" customHeight="1" thickBot="1" x14ac:dyDescent="0.3">
      <c r="B57" s="1704" t="s">
        <v>73</v>
      </c>
      <c r="C57" s="1704" t="s">
        <v>830</v>
      </c>
      <c r="D57" s="1706" t="s">
        <v>831</v>
      </c>
      <c r="E57" s="1707"/>
      <c r="F57" s="1708" t="s">
        <v>832</v>
      </c>
      <c r="G57" s="1708" t="s">
        <v>833</v>
      </c>
      <c r="H57" s="1702" t="s">
        <v>267</v>
      </c>
      <c r="I57" s="1710" t="s">
        <v>270</v>
      </c>
      <c r="J57" s="1708" t="s">
        <v>834</v>
      </c>
      <c r="K57" s="1704" t="s">
        <v>835</v>
      </c>
      <c r="L57" s="1704" t="s">
        <v>836</v>
      </c>
      <c r="M57" s="640" t="s">
        <v>922</v>
      </c>
      <c r="N57" s="640" t="s">
        <v>923</v>
      </c>
      <c r="P57" s="281" t="s">
        <v>825</v>
      </c>
      <c r="Q57" s="239">
        <v>2011</v>
      </c>
      <c r="R57" s="239">
        <v>2012</v>
      </c>
      <c r="S57" s="239">
        <v>2013</v>
      </c>
      <c r="T57" s="239">
        <v>2014</v>
      </c>
      <c r="U57" s="239">
        <v>2015</v>
      </c>
      <c r="V57" s="239">
        <v>2016</v>
      </c>
      <c r="W57" s="239">
        <v>2017</v>
      </c>
      <c r="X57" s="239">
        <v>2018</v>
      </c>
    </row>
    <row r="58" spans="2:24" ht="15.75" thickBot="1" x14ac:dyDescent="0.3">
      <c r="B58" s="1705"/>
      <c r="C58" s="1705"/>
      <c r="D58" s="608" t="s">
        <v>837</v>
      </c>
      <c r="E58" s="608" t="s">
        <v>838</v>
      </c>
      <c r="F58" s="1709"/>
      <c r="G58" s="1709"/>
      <c r="H58" s="1703"/>
      <c r="I58" s="1711"/>
      <c r="J58" s="1709"/>
      <c r="K58" s="1705"/>
      <c r="L58" s="1705"/>
      <c r="M58" s="640"/>
      <c r="N58" s="640"/>
    </row>
    <row r="59" spans="2:24" ht="17.25" thickBot="1" x14ac:dyDescent="0.3">
      <c r="B59" s="609">
        <v>1</v>
      </c>
      <c r="C59" s="610" t="s">
        <v>335</v>
      </c>
      <c r="D59" s="610" t="s">
        <v>839</v>
      </c>
      <c r="E59" s="610" t="s">
        <v>840</v>
      </c>
      <c r="F59" s="1712" t="s">
        <v>841</v>
      </c>
      <c r="G59" s="610">
        <v>1982</v>
      </c>
      <c r="H59" s="610"/>
      <c r="I59" s="641">
        <f>N59</f>
        <v>9792698.0392156858</v>
      </c>
      <c r="J59" s="611">
        <v>12</v>
      </c>
      <c r="K59" s="612">
        <v>102</v>
      </c>
      <c r="L59" s="612">
        <v>14</v>
      </c>
      <c r="M59" s="636">
        <f t="shared" ref="M59:M74" si="6">+L59*(3600*24*365)</f>
        <v>441504000</v>
      </c>
      <c r="N59" s="636">
        <f>M59/N$76</f>
        <v>9792698.0392156858</v>
      </c>
      <c r="O59" s="637"/>
      <c r="P59" s="637"/>
      <c r="Q59" s="606">
        <f t="shared" ref="Q59:U74" si="7">$I59</f>
        <v>9792698.0392156858</v>
      </c>
      <c r="R59" s="606">
        <f t="shared" si="7"/>
        <v>9792698.0392156858</v>
      </c>
      <c r="S59" s="606">
        <f t="shared" si="7"/>
        <v>9792698.0392156858</v>
      </c>
      <c r="T59" s="606">
        <f t="shared" si="7"/>
        <v>9792698.0392156858</v>
      </c>
      <c r="U59" s="606">
        <f t="shared" si="7"/>
        <v>9792698.0392156858</v>
      </c>
      <c r="V59" s="606">
        <f t="shared" ref="V59:V75" si="8">$I59</f>
        <v>9792698.0392156858</v>
      </c>
    </row>
    <row r="60" spans="2:24" ht="17.25" thickBot="1" x14ac:dyDescent="0.3">
      <c r="B60" s="609">
        <v>2</v>
      </c>
      <c r="C60" s="610" t="s">
        <v>842</v>
      </c>
      <c r="D60" s="610" t="s">
        <v>843</v>
      </c>
      <c r="E60" s="610" t="s">
        <v>844</v>
      </c>
      <c r="F60" s="1713"/>
      <c r="G60" s="610">
        <v>1959</v>
      </c>
      <c r="H60" s="610"/>
      <c r="I60" s="641">
        <f t="shared" ref="I60:I74" si="9">N60</f>
        <v>8393741.1764705889</v>
      </c>
      <c r="J60" s="611">
        <v>11.25</v>
      </c>
      <c r="K60" s="612">
        <v>112</v>
      </c>
      <c r="L60" s="612">
        <v>12</v>
      </c>
      <c r="M60" s="636">
        <f t="shared" si="6"/>
        <v>378432000</v>
      </c>
      <c r="N60" s="636">
        <f>M60/N$76</f>
        <v>8393741.1764705889</v>
      </c>
      <c r="O60" s="637"/>
      <c r="P60" s="637"/>
      <c r="Q60" s="606">
        <f t="shared" si="7"/>
        <v>8393741.1764705889</v>
      </c>
      <c r="R60" s="606">
        <f t="shared" si="7"/>
        <v>8393741.1764705889</v>
      </c>
      <c r="S60" s="606">
        <f t="shared" si="7"/>
        <v>8393741.1764705889</v>
      </c>
      <c r="T60" s="606">
        <f t="shared" si="7"/>
        <v>8393741.1764705889</v>
      </c>
      <c r="U60" s="606">
        <f t="shared" si="7"/>
        <v>8393741.1764705889</v>
      </c>
      <c r="V60" s="606">
        <f t="shared" si="8"/>
        <v>8393741.1764705889</v>
      </c>
    </row>
    <row r="61" spans="2:24" ht="17.25" thickBot="1" x14ac:dyDescent="0.3">
      <c r="B61" s="609">
        <v>3</v>
      </c>
      <c r="C61" s="610" t="s">
        <v>845</v>
      </c>
      <c r="D61" s="610" t="s">
        <v>846</v>
      </c>
      <c r="E61" s="610" t="s">
        <v>847</v>
      </c>
      <c r="F61" s="1713"/>
      <c r="G61" s="610">
        <v>1957</v>
      </c>
      <c r="H61" s="610"/>
      <c r="I61" s="641">
        <f t="shared" si="9"/>
        <v>1528860</v>
      </c>
      <c r="J61" s="611">
        <v>1.2</v>
      </c>
      <c r="K61" s="612"/>
      <c r="L61" s="612"/>
      <c r="M61" s="636">
        <f t="shared" si="6"/>
        <v>0</v>
      </c>
      <c r="N61" s="639">
        <f>+N$75*(J61/J$75)</f>
        <v>1528860</v>
      </c>
      <c r="O61" s="637"/>
      <c r="P61" s="637"/>
      <c r="Q61" s="606">
        <f t="shared" si="7"/>
        <v>1528860</v>
      </c>
      <c r="R61" s="606">
        <f t="shared" si="7"/>
        <v>1528860</v>
      </c>
      <c r="S61" s="606">
        <f t="shared" si="7"/>
        <v>1528860</v>
      </c>
      <c r="T61" s="606">
        <f t="shared" si="7"/>
        <v>1528860</v>
      </c>
      <c r="U61" s="606">
        <f t="shared" si="7"/>
        <v>1528860</v>
      </c>
      <c r="V61" s="606">
        <f t="shared" si="8"/>
        <v>1528860</v>
      </c>
    </row>
    <row r="62" spans="2:24" ht="17.25" thickBot="1" x14ac:dyDescent="0.3">
      <c r="B62" s="609">
        <v>4</v>
      </c>
      <c r="C62" s="610" t="s">
        <v>848</v>
      </c>
      <c r="D62" s="610" t="s">
        <v>849</v>
      </c>
      <c r="E62" s="610" t="s">
        <v>847</v>
      </c>
      <c r="F62" s="1714"/>
      <c r="G62" s="610">
        <v>1984</v>
      </c>
      <c r="H62" s="610"/>
      <c r="I62" s="641">
        <f t="shared" si="9"/>
        <v>2293290.0000000005</v>
      </c>
      <c r="J62" s="611">
        <v>1.8</v>
      </c>
      <c r="K62" s="612"/>
      <c r="L62" s="612"/>
      <c r="M62" s="636">
        <f t="shared" si="6"/>
        <v>0</v>
      </c>
      <c r="N62" s="639">
        <f>+N$75*(J62/J$75)</f>
        <v>2293290.0000000005</v>
      </c>
      <c r="O62" s="637"/>
      <c r="P62" s="637"/>
      <c r="Q62" s="606">
        <f t="shared" si="7"/>
        <v>2293290.0000000005</v>
      </c>
      <c r="R62" s="606">
        <f t="shared" si="7"/>
        <v>2293290.0000000005</v>
      </c>
      <c r="S62" s="606">
        <f t="shared" si="7"/>
        <v>2293290.0000000005</v>
      </c>
      <c r="T62" s="606">
        <f t="shared" si="7"/>
        <v>2293290.0000000005</v>
      </c>
      <c r="U62" s="606">
        <f t="shared" si="7"/>
        <v>2293290.0000000005</v>
      </c>
      <c r="V62" s="606">
        <f t="shared" si="8"/>
        <v>2293290.0000000005</v>
      </c>
    </row>
    <row r="63" spans="2:24" ht="17.25" thickBot="1" x14ac:dyDescent="0.3">
      <c r="B63" s="609">
        <v>5</v>
      </c>
      <c r="C63" s="610" t="s">
        <v>850</v>
      </c>
      <c r="D63" s="610" t="s">
        <v>851</v>
      </c>
      <c r="E63" s="610" t="s">
        <v>847</v>
      </c>
      <c r="F63" s="610" t="s">
        <v>852</v>
      </c>
      <c r="G63" s="610" t="s">
        <v>853</v>
      </c>
      <c r="H63" s="610"/>
      <c r="I63" s="641">
        <f t="shared" si="9"/>
        <v>127405.00000000001</v>
      </c>
      <c r="J63" s="611">
        <v>0.1</v>
      </c>
      <c r="K63" s="612"/>
      <c r="L63" s="612"/>
      <c r="M63" s="636">
        <f t="shared" si="6"/>
        <v>0</v>
      </c>
      <c r="N63" s="639">
        <f>+N$75*(J63/J$75)</f>
        <v>127405.00000000001</v>
      </c>
      <c r="O63" s="637"/>
      <c r="P63" s="637"/>
      <c r="Q63" s="606">
        <f t="shared" si="7"/>
        <v>127405.00000000001</v>
      </c>
      <c r="R63" s="606">
        <f t="shared" si="7"/>
        <v>127405.00000000001</v>
      </c>
      <c r="S63" s="606">
        <f t="shared" si="7"/>
        <v>127405.00000000001</v>
      </c>
      <c r="T63" s="606">
        <f t="shared" si="7"/>
        <v>127405.00000000001</v>
      </c>
      <c r="U63" s="606">
        <f t="shared" si="7"/>
        <v>127405.00000000001</v>
      </c>
      <c r="V63" s="606">
        <f t="shared" si="8"/>
        <v>127405.00000000001</v>
      </c>
    </row>
    <row r="64" spans="2:24" ht="17.25" thickBot="1" x14ac:dyDescent="0.3">
      <c r="B64" s="609">
        <v>6</v>
      </c>
      <c r="C64" s="610" t="s">
        <v>854</v>
      </c>
      <c r="D64" s="610" t="s">
        <v>855</v>
      </c>
      <c r="E64" s="610" t="s">
        <v>856</v>
      </c>
      <c r="F64" s="610" t="s">
        <v>857</v>
      </c>
      <c r="G64" s="610" t="s">
        <v>858</v>
      </c>
      <c r="H64" s="610"/>
      <c r="I64" s="641">
        <f t="shared" si="9"/>
        <v>5595827.4509803923</v>
      </c>
      <c r="J64" s="611">
        <v>9</v>
      </c>
      <c r="K64" s="612">
        <v>137</v>
      </c>
      <c r="L64" s="612">
        <v>8</v>
      </c>
      <c r="M64" s="636">
        <f t="shared" si="6"/>
        <v>252288000</v>
      </c>
      <c r="N64" s="636">
        <f>M64/N$76</f>
        <v>5595827.4509803923</v>
      </c>
      <c r="O64" s="637"/>
      <c r="P64" s="637"/>
      <c r="Q64" s="606">
        <f t="shared" si="7"/>
        <v>5595827.4509803923</v>
      </c>
      <c r="R64" s="606">
        <f t="shared" si="7"/>
        <v>5595827.4509803923</v>
      </c>
      <c r="S64" s="606">
        <f t="shared" si="7"/>
        <v>5595827.4509803923</v>
      </c>
      <c r="T64" s="606">
        <f t="shared" si="7"/>
        <v>5595827.4509803923</v>
      </c>
      <c r="U64" s="606">
        <f t="shared" si="7"/>
        <v>5595827.4509803923</v>
      </c>
      <c r="V64" s="606">
        <f t="shared" si="8"/>
        <v>5595827.4509803923</v>
      </c>
    </row>
    <row r="65" spans="2:22" ht="17.25" thickBot="1" x14ac:dyDescent="0.3">
      <c r="B65" s="609">
        <v>7</v>
      </c>
      <c r="C65" s="610" t="s">
        <v>859</v>
      </c>
      <c r="D65" s="610" t="s">
        <v>860</v>
      </c>
      <c r="E65" s="610" t="s">
        <v>844</v>
      </c>
      <c r="F65" s="610" t="s">
        <v>841</v>
      </c>
      <c r="G65" s="610" t="s">
        <v>861</v>
      </c>
      <c r="H65" s="610"/>
      <c r="I65" s="641">
        <f t="shared" si="9"/>
        <v>1608800.3921568627</v>
      </c>
      <c r="J65" s="611">
        <v>2.2000000000000002</v>
      </c>
      <c r="K65" s="612">
        <v>135</v>
      </c>
      <c r="L65" s="612">
        <v>2.2999999999999998</v>
      </c>
      <c r="M65" s="636">
        <f t="shared" si="6"/>
        <v>72532800</v>
      </c>
      <c r="N65" s="636">
        <f>M65/N$76</f>
        <v>1608800.3921568627</v>
      </c>
      <c r="O65" s="637"/>
      <c r="P65" s="637"/>
      <c r="Q65" s="607">
        <f>$I65*(6/12)</f>
        <v>804400.19607843133</v>
      </c>
      <c r="R65" s="606">
        <f t="shared" si="7"/>
        <v>1608800.3921568627</v>
      </c>
      <c r="S65" s="606">
        <f t="shared" si="7"/>
        <v>1608800.3921568627</v>
      </c>
      <c r="T65" s="606">
        <f t="shared" si="7"/>
        <v>1608800.3921568627</v>
      </c>
      <c r="U65" s="606">
        <f t="shared" si="7"/>
        <v>1608800.3921568627</v>
      </c>
      <c r="V65" s="606">
        <f t="shared" si="8"/>
        <v>1608800.3921568627</v>
      </c>
    </row>
    <row r="66" spans="2:22" ht="17.25" thickBot="1" x14ac:dyDescent="0.3">
      <c r="B66" s="609">
        <v>8</v>
      </c>
      <c r="C66" s="610" t="s">
        <v>862</v>
      </c>
      <c r="D66" s="610" t="s">
        <v>863</v>
      </c>
      <c r="E66" s="610" t="s">
        <v>847</v>
      </c>
      <c r="F66" s="613"/>
      <c r="G66" s="610" t="s">
        <v>864</v>
      </c>
      <c r="H66" s="610"/>
      <c r="I66" s="641">
        <f t="shared" si="9"/>
        <v>2098435.2941176472</v>
      </c>
      <c r="J66" s="611">
        <v>2.2000000000000002</v>
      </c>
      <c r="K66" s="612">
        <v>88</v>
      </c>
      <c r="L66" s="612">
        <v>3</v>
      </c>
      <c r="M66" s="636">
        <f t="shared" si="6"/>
        <v>94608000</v>
      </c>
      <c r="N66" s="636">
        <f>M66/N$76</f>
        <v>2098435.2941176472</v>
      </c>
      <c r="O66" s="637"/>
      <c r="P66" s="637"/>
      <c r="Q66" s="607">
        <f>$I66*(6/12)</f>
        <v>1049217.6470588236</v>
      </c>
      <c r="R66" s="606">
        <f t="shared" si="7"/>
        <v>2098435.2941176472</v>
      </c>
      <c r="S66" s="606">
        <f t="shared" si="7"/>
        <v>2098435.2941176472</v>
      </c>
      <c r="T66" s="606">
        <f t="shared" si="7"/>
        <v>2098435.2941176472</v>
      </c>
      <c r="U66" s="606">
        <f t="shared" si="7"/>
        <v>2098435.2941176472</v>
      </c>
      <c r="V66" s="606">
        <f t="shared" si="8"/>
        <v>2098435.2941176472</v>
      </c>
    </row>
    <row r="67" spans="2:22" ht="17.25" thickBot="1" x14ac:dyDescent="0.3">
      <c r="B67" s="609">
        <v>9</v>
      </c>
      <c r="C67" s="610" t="s">
        <v>865</v>
      </c>
      <c r="D67" s="610" t="s">
        <v>866</v>
      </c>
      <c r="E67" s="610" t="s">
        <v>847</v>
      </c>
      <c r="F67" s="613" t="s">
        <v>867</v>
      </c>
      <c r="G67" s="610" t="s">
        <v>864</v>
      </c>
      <c r="H67" s="610"/>
      <c r="I67" s="641">
        <f t="shared" si="9"/>
        <v>866354.00000000012</v>
      </c>
      <c r="J67" s="611">
        <v>0.68</v>
      </c>
      <c r="K67" s="612"/>
      <c r="L67" s="612"/>
      <c r="M67" s="636">
        <f t="shared" si="6"/>
        <v>0</v>
      </c>
      <c r="N67" s="639">
        <f>+N$75*(J67/J$75)</f>
        <v>866354.00000000012</v>
      </c>
      <c r="O67" s="637"/>
      <c r="P67" s="637"/>
      <c r="Q67" s="607">
        <f>$I67*(6/12)</f>
        <v>433177.00000000006</v>
      </c>
      <c r="R67" s="606">
        <f t="shared" si="7"/>
        <v>866354.00000000012</v>
      </c>
      <c r="S67" s="606">
        <f t="shared" si="7"/>
        <v>866354.00000000012</v>
      </c>
      <c r="T67" s="606">
        <f t="shared" si="7"/>
        <v>866354.00000000012</v>
      </c>
      <c r="U67" s="606">
        <f t="shared" si="7"/>
        <v>866354.00000000012</v>
      </c>
      <c r="V67" s="606">
        <f t="shared" si="8"/>
        <v>866354.00000000012</v>
      </c>
    </row>
    <row r="68" spans="2:22" ht="17.25" thickBot="1" x14ac:dyDescent="0.3">
      <c r="B68" s="609">
        <v>10</v>
      </c>
      <c r="C68" s="610" t="s">
        <v>868</v>
      </c>
      <c r="D68" s="610" t="s">
        <v>866</v>
      </c>
      <c r="E68" s="610" t="s">
        <v>847</v>
      </c>
      <c r="F68" s="614"/>
      <c r="G68" s="610" t="s">
        <v>864</v>
      </c>
      <c r="H68" s="610"/>
      <c r="I68" s="641">
        <f t="shared" si="9"/>
        <v>153885.25490196078</v>
      </c>
      <c r="J68" s="611">
        <v>0.3</v>
      </c>
      <c r="K68" s="612"/>
      <c r="L68" s="612">
        <v>0.22</v>
      </c>
      <c r="M68" s="636">
        <f t="shared" si="6"/>
        <v>6937920</v>
      </c>
      <c r="N68" s="636">
        <f>M68/N$76</f>
        <v>153885.25490196078</v>
      </c>
      <c r="O68" s="637"/>
      <c r="P68" s="637"/>
      <c r="Q68" s="607">
        <f>$I68*(6/12)</f>
        <v>76942.627450980392</v>
      </c>
      <c r="R68" s="606">
        <f t="shared" si="7"/>
        <v>153885.25490196078</v>
      </c>
      <c r="S68" s="606">
        <f t="shared" si="7"/>
        <v>153885.25490196078</v>
      </c>
      <c r="T68" s="606">
        <f t="shared" si="7"/>
        <v>153885.25490196078</v>
      </c>
      <c r="U68" s="606">
        <f t="shared" si="7"/>
        <v>153885.25490196078</v>
      </c>
      <c r="V68" s="606">
        <f t="shared" si="8"/>
        <v>153885.25490196078</v>
      </c>
    </row>
    <row r="69" spans="2:22" ht="17.25" thickBot="1" x14ac:dyDescent="0.3">
      <c r="B69" s="609">
        <v>11</v>
      </c>
      <c r="C69" s="610" t="s">
        <v>869</v>
      </c>
      <c r="D69" s="610" t="s">
        <v>870</v>
      </c>
      <c r="E69" s="610" t="s">
        <v>856</v>
      </c>
      <c r="F69" s="615"/>
      <c r="G69" s="616" t="s">
        <v>871</v>
      </c>
      <c r="H69" s="616"/>
      <c r="I69" s="641">
        <f t="shared" si="9"/>
        <v>637025</v>
      </c>
      <c r="J69" s="611">
        <v>0.5</v>
      </c>
      <c r="K69" s="612"/>
      <c r="L69" s="612"/>
      <c r="M69" s="636">
        <f t="shared" si="6"/>
        <v>0</v>
      </c>
      <c r="N69" s="639">
        <f>+N$75*(J69/J$75)</f>
        <v>637025</v>
      </c>
      <c r="O69" s="637"/>
      <c r="P69" s="637"/>
      <c r="Q69" s="606"/>
      <c r="R69" s="607">
        <f>$I69*(8/12)</f>
        <v>424683.33333333331</v>
      </c>
      <c r="S69" s="606">
        <f t="shared" si="7"/>
        <v>637025</v>
      </c>
      <c r="T69" s="606">
        <f t="shared" si="7"/>
        <v>637025</v>
      </c>
      <c r="U69" s="606">
        <f t="shared" si="7"/>
        <v>637025</v>
      </c>
      <c r="V69" s="606">
        <f t="shared" si="8"/>
        <v>637025</v>
      </c>
    </row>
    <row r="70" spans="2:22" ht="17.25" thickBot="1" x14ac:dyDescent="0.3">
      <c r="B70" s="609">
        <v>12</v>
      </c>
      <c r="C70" s="610" t="s">
        <v>872</v>
      </c>
      <c r="D70" s="610" t="s">
        <v>873</v>
      </c>
      <c r="E70" s="610" t="s">
        <v>856</v>
      </c>
      <c r="F70" s="610" t="s">
        <v>841</v>
      </c>
      <c r="G70" s="617">
        <v>41244</v>
      </c>
      <c r="H70" s="617"/>
      <c r="I70" s="641">
        <f t="shared" si="9"/>
        <v>769426.27450980397</v>
      </c>
      <c r="J70" s="611">
        <v>0.4</v>
      </c>
      <c r="K70" s="612" t="s">
        <v>874</v>
      </c>
      <c r="L70" s="612">
        <v>1.1000000000000001</v>
      </c>
      <c r="M70" s="636">
        <f t="shared" si="6"/>
        <v>34689600</v>
      </c>
      <c r="N70" s="636">
        <f>M70/N$76</f>
        <v>769426.27450980397</v>
      </c>
      <c r="O70" s="637"/>
      <c r="P70" s="637"/>
      <c r="Q70" s="606"/>
      <c r="R70" s="607">
        <f>$I70*(1/12)</f>
        <v>64118.856209150326</v>
      </c>
      <c r="S70" s="606">
        <f t="shared" si="7"/>
        <v>769426.27450980397</v>
      </c>
      <c r="T70" s="606">
        <f t="shared" si="7"/>
        <v>769426.27450980397</v>
      </c>
      <c r="U70" s="606">
        <f t="shared" si="7"/>
        <v>769426.27450980397</v>
      </c>
      <c r="V70" s="606">
        <f t="shared" si="8"/>
        <v>769426.27450980397</v>
      </c>
    </row>
    <row r="71" spans="2:22" ht="17.25" thickBot="1" x14ac:dyDescent="0.3">
      <c r="B71" s="609">
        <v>13</v>
      </c>
      <c r="C71" s="610" t="s">
        <v>875</v>
      </c>
      <c r="D71" s="610" t="s">
        <v>876</v>
      </c>
      <c r="E71" s="610" t="s">
        <v>844</v>
      </c>
      <c r="F71" s="610" t="s">
        <v>877</v>
      </c>
      <c r="G71" s="616" t="s">
        <v>878</v>
      </c>
      <c r="H71" s="616"/>
      <c r="I71" s="641">
        <f t="shared" si="9"/>
        <v>509620.00000000006</v>
      </c>
      <c r="J71" s="611">
        <v>0.4</v>
      </c>
      <c r="K71" s="612"/>
      <c r="L71" s="612"/>
      <c r="M71" s="636">
        <f t="shared" si="6"/>
        <v>0</v>
      </c>
      <c r="N71" s="639">
        <f>+N$75*(J71/J$75)</f>
        <v>509620.00000000006</v>
      </c>
      <c r="O71" s="637"/>
      <c r="P71" s="637"/>
      <c r="Q71" s="637"/>
      <c r="R71" s="637"/>
      <c r="S71" s="607">
        <f>$I71*(11/12)</f>
        <v>467151.66666666669</v>
      </c>
      <c r="T71" s="606">
        <f t="shared" si="7"/>
        <v>509620.00000000006</v>
      </c>
      <c r="U71" s="606">
        <f t="shared" si="7"/>
        <v>509620.00000000006</v>
      </c>
      <c r="V71" s="606">
        <f t="shared" si="8"/>
        <v>509620.00000000006</v>
      </c>
    </row>
    <row r="72" spans="2:22" ht="17.25" thickBot="1" x14ac:dyDescent="0.3">
      <c r="B72" s="609">
        <v>14</v>
      </c>
      <c r="C72" s="610" t="s">
        <v>879</v>
      </c>
      <c r="D72" s="610" t="s">
        <v>880</v>
      </c>
      <c r="E72" s="610" t="s">
        <v>844</v>
      </c>
      <c r="F72" s="610" t="s">
        <v>841</v>
      </c>
      <c r="G72" s="616" t="s">
        <v>881</v>
      </c>
      <c r="H72" s="616"/>
      <c r="I72" s="641">
        <f t="shared" si="9"/>
        <v>7484419.2156862747</v>
      </c>
      <c r="J72" s="611">
        <v>2.5</v>
      </c>
      <c r="K72" s="612">
        <v>32</v>
      </c>
      <c r="L72" s="612">
        <v>10.7</v>
      </c>
      <c r="M72" s="636">
        <f t="shared" si="6"/>
        <v>337435200</v>
      </c>
      <c r="N72" s="636">
        <f>M72/N$76</f>
        <v>7484419.2156862747</v>
      </c>
      <c r="O72" s="637"/>
      <c r="P72" s="637"/>
      <c r="Q72" s="637"/>
      <c r="R72" s="637"/>
      <c r="S72" s="607">
        <f>$I72*(8/12)</f>
        <v>4989612.8104575165</v>
      </c>
      <c r="T72" s="606">
        <f t="shared" si="7"/>
        <v>7484419.2156862747</v>
      </c>
      <c r="U72" s="606">
        <f t="shared" si="7"/>
        <v>7484419.2156862747</v>
      </c>
      <c r="V72" s="606">
        <f t="shared" si="8"/>
        <v>7484419.2156862747</v>
      </c>
    </row>
    <row r="73" spans="2:22" ht="17.25" thickBot="1" x14ac:dyDescent="0.3">
      <c r="B73" s="609">
        <v>15</v>
      </c>
      <c r="C73" s="610" t="s">
        <v>882</v>
      </c>
      <c r="D73" s="610" t="s">
        <v>883</v>
      </c>
      <c r="E73" s="610" t="s">
        <v>856</v>
      </c>
      <c r="F73" s="610" t="s">
        <v>884</v>
      </c>
      <c r="G73" s="617">
        <v>41730</v>
      </c>
      <c r="H73" s="617"/>
      <c r="I73" s="641">
        <f t="shared" si="9"/>
        <v>3917079.2156862747</v>
      </c>
      <c r="J73" s="611">
        <v>2.2000000000000002</v>
      </c>
      <c r="K73" s="612">
        <v>50.74</v>
      </c>
      <c r="L73" s="612">
        <v>5.6</v>
      </c>
      <c r="M73" s="636">
        <f t="shared" si="6"/>
        <v>176601600</v>
      </c>
      <c r="N73" s="636">
        <f>M73/N$76</f>
        <v>3917079.2156862747</v>
      </c>
      <c r="O73" s="637"/>
      <c r="P73" s="637"/>
      <c r="Q73" s="637"/>
      <c r="R73" s="637"/>
      <c r="S73" s="637"/>
      <c r="T73" s="607">
        <f>$I73*(9/12)</f>
        <v>2937809.411764706</v>
      </c>
      <c r="U73" s="606">
        <f t="shared" si="7"/>
        <v>3917079.2156862747</v>
      </c>
      <c r="V73" s="606">
        <f t="shared" si="8"/>
        <v>3917079.2156862747</v>
      </c>
    </row>
    <row r="74" spans="2:22" ht="17.25" thickBot="1" x14ac:dyDescent="0.3">
      <c r="B74" s="609">
        <v>16</v>
      </c>
      <c r="C74" s="610" t="s">
        <v>885</v>
      </c>
      <c r="D74" s="610" t="s">
        <v>886</v>
      </c>
      <c r="E74" s="610" t="s">
        <v>847</v>
      </c>
      <c r="F74" s="610" t="s">
        <v>887</v>
      </c>
      <c r="G74" s="616" t="s">
        <v>888</v>
      </c>
      <c r="H74" s="616"/>
      <c r="I74" s="641">
        <f t="shared" si="9"/>
        <v>1678748.2352941176</v>
      </c>
      <c r="J74" s="611">
        <v>4</v>
      </c>
      <c r="K74" s="612">
        <v>114</v>
      </c>
      <c r="L74" s="612">
        <v>2.4</v>
      </c>
      <c r="M74" s="636">
        <f t="shared" si="6"/>
        <v>75686400</v>
      </c>
      <c r="N74" s="636">
        <f>M74/N$76</f>
        <v>1678748.2352941176</v>
      </c>
      <c r="O74" s="637"/>
      <c r="P74" s="637"/>
      <c r="Q74" s="637"/>
      <c r="R74" s="637"/>
      <c r="S74" s="637"/>
      <c r="T74" s="607">
        <f>$I74*(7/12)</f>
        <v>979269.80392156867</v>
      </c>
      <c r="U74" s="606">
        <f t="shared" si="7"/>
        <v>1678748.2352941176</v>
      </c>
      <c r="V74" s="606">
        <f t="shared" si="8"/>
        <v>1678748.2352941176</v>
      </c>
    </row>
    <row r="75" spans="2:22" ht="17.25" thickBot="1" x14ac:dyDescent="0.3">
      <c r="B75" s="609">
        <v>17</v>
      </c>
      <c r="C75" s="616" t="s">
        <v>437</v>
      </c>
      <c r="D75" s="610" t="s">
        <v>889</v>
      </c>
      <c r="E75" s="610" t="s">
        <v>856</v>
      </c>
      <c r="F75" s="610" t="s">
        <v>841</v>
      </c>
      <c r="G75" s="617">
        <v>41974</v>
      </c>
      <c r="H75" s="617"/>
      <c r="I75" s="641"/>
      <c r="J75" s="611">
        <v>28</v>
      </c>
      <c r="K75" s="612">
        <v>63</v>
      </c>
      <c r="L75" s="612">
        <v>51</v>
      </c>
      <c r="M75" s="636">
        <f>+L75*(3600*24*365)</f>
        <v>1608336000</v>
      </c>
      <c r="N75" s="638">
        <f>I53</f>
        <v>35673400</v>
      </c>
      <c r="T75" s="607">
        <f>$I75*(1/12)</f>
        <v>0</v>
      </c>
      <c r="U75" s="606">
        <f>$I75</f>
        <v>0</v>
      </c>
      <c r="V75" s="606">
        <f t="shared" si="8"/>
        <v>0</v>
      </c>
    </row>
    <row r="76" spans="2:22" ht="17.25" thickBot="1" x14ac:dyDescent="0.3">
      <c r="B76">
        <v>3</v>
      </c>
      <c r="C76" t="s">
        <v>890</v>
      </c>
      <c r="M76" s="637" t="s">
        <v>924</v>
      </c>
      <c r="N76" s="637">
        <f>+M75/N75</f>
        <v>45.085021332421356</v>
      </c>
    </row>
    <row r="77" spans="2:22" ht="60.75" thickBot="1" x14ac:dyDescent="0.3">
      <c r="B77" s="618" t="s">
        <v>73</v>
      </c>
      <c r="C77" s="619" t="s">
        <v>830</v>
      </c>
      <c r="D77" s="1700" t="s">
        <v>831</v>
      </c>
      <c r="E77" s="1701"/>
      <c r="F77" s="620"/>
      <c r="G77" s="619" t="s">
        <v>891</v>
      </c>
      <c r="H77" s="619" t="s">
        <v>267</v>
      </c>
      <c r="I77" s="619" t="s">
        <v>270</v>
      </c>
      <c r="J77" s="621" t="s">
        <v>834</v>
      </c>
      <c r="K77" s="619" t="s">
        <v>835</v>
      </c>
      <c r="L77" s="620" t="s">
        <v>836</v>
      </c>
      <c r="M77" s="640" t="s">
        <v>922</v>
      </c>
      <c r="N77" s="640" t="s">
        <v>923</v>
      </c>
      <c r="O77" s="634"/>
      <c r="P77" s="634"/>
    </row>
    <row r="78" spans="2:22" ht="17.25" thickBot="1" x14ac:dyDescent="0.3">
      <c r="B78" s="622">
        <v>1</v>
      </c>
      <c r="C78" s="623" t="s">
        <v>892</v>
      </c>
      <c r="D78" s="623" t="s">
        <v>893</v>
      </c>
      <c r="E78" s="623" t="s">
        <v>847</v>
      </c>
      <c r="F78" s="624"/>
      <c r="G78" s="623">
        <v>2007</v>
      </c>
      <c r="H78" s="623"/>
      <c r="I78" s="641">
        <f t="shared" ref="I78:I85" si="10">N78</f>
        <v>127405.00000000001</v>
      </c>
      <c r="J78" s="625">
        <v>0.1</v>
      </c>
      <c r="K78" s="625"/>
      <c r="L78" s="623"/>
      <c r="M78" s="635"/>
      <c r="N78" s="639">
        <f>+N$75*(J78/J$75)</f>
        <v>127405.00000000001</v>
      </c>
      <c r="O78" s="635"/>
      <c r="P78" s="635"/>
      <c r="Q78" s="606">
        <f t="shared" ref="Q78:U85" si="11">$I78</f>
        <v>127405.00000000001</v>
      </c>
      <c r="R78" s="606">
        <f t="shared" si="11"/>
        <v>127405.00000000001</v>
      </c>
      <c r="S78" s="606">
        <f t="shared" si="11"/>
        <v>127405.00000000001</v>
      </c>
      <c r="T78" s="606">
        <f t="shared" si="11"/>
        <v>127405.00000000001</v>
      </c>
      <c r="U78" s="606">
        <f t="shared" si="11"/>
        <v>127405.00000000001</v>
      </c>
      <c r="V78" s="606">
        <f t="shared" ref="V78:V85" si="12">$I78</f>
        <v>127405.00000000001</v>
      </c>
    </row>
    <row r="79" spans="2:22" ht="17.25" thickBot="1" x14ac:dyDescent="0.3">
      <c r="B79" s="622">
        <v>2</v>
      </c>
      <c r="C79" s="623" t="s">
        <v>894</v>
      </c>
      <c r="D79" s="623" t="s">
        <v>880</v>
      </c>
      <c r="E79" s="623" t="s">
        <v>844</v>
      </c>
      <c r="F79" s="624"/>
      <c r="G79" s="623">
        <v>2009</v>
      </c>
      <c r="H79" s="623"/>
      <c r="I79" s="641">
        <f t="shared" si="10"/>
        <v>254810.00000000003</v>
      </c>
      <c r="J79" s="625">
        <v>0.2</v>
      </c>
      <c r="K79" s="625"/>
      <c r="L79" s="623"/>
      <c r="M79" s="635"/>
      <c r="N79" s="639">
        <f t="shared" ref="N79:N85" si="13">+N$75*(J79/J$75)</f>
        <v>254810.00000000003</v>
      </c>
      <c r="O79" s="635"/>
      <c r="P79" s="635"/>
      <c r="Q79" s="606">
        <f t="shared" si="11"/>
        <v>254810.00000000003</v>
      </c>
      <c r="R79" s="606">
        <f t="shared" si="11"/>
        <v>254810.00000000003</v>
      </c>
      <c r="S79" s="606">
        <f t="shared" si="11"/>
        <v>254810.00000000003</v>
      </c>
      <c r="T79" s="606">
        <f t="shared" si="11"/>
        <v>254810.00000000003</v>
      </c>
      <c r="U79" s="606">
        <f t="shared" si="11"/>
        <v>254810.00000000003</v>
      </c>
      <c r="V79" s="606">
        <f t="shared" si="12"/>
        <v>254810.00000000003</v>
      </c>
    </row>
    <row r="80" spans="2:22" ht="17.25" thickBot="1" x14ac:dyDescent="0.3">
      <c r="B80" s="622">
        <v>3</v>
      </c>
      <c r="C80" s="623" t="s">
        <v>895</v>
      </c>
      <c r="D80" s="623" t="s">
        <v>896</v>
      </c>
      <c r="E80" s="623" t="s">
        <v>856</v>
      </c>
      <c r="F80" s="624"/>
      <c r="G80" s="623">
        <v>2010</v>
      </c>
      <c r="H80" s="623"/>
      <c r="I80" s="641">
        <f t="shared" si="10"/>
        <v>254810.00000000003</v>
      </c>
      <c r="J80" s="625">
        <v>0.2</v>
      </c>
      <c r="K80" s="625"/>
      <c r="L80" s="623"/>
      <c r="M80" s="635"/>
      <c r="N80" s="639">
        <f t="shared" si="13"/>
        <v>254810.00000000003</v>
      </c>
      <c r="O80" s="635"/>
      <c r="P80" s="635"/>
      <c r="Q80" s="606">
        <f t="shared" si="11"/>
        <v>254810.00000000003</v>
      </c>
      <c r="R80" s="606">
        <f t="shared" si="11"/>
        <v>254810.00000000003</v>
      </c>
      <c r="S80" s="606">
        <f t="shared" si="11"/>
        <v>254810.00000000003</v>
      </c>
      <c r="T80" s="606">
        <f t="shared" si="11"/>
        <v>254810.00000000003</v>
      </c>
      <c r="U80" s="606">
        <f t="shared" si="11"/>
        <v>254810.00000000003</v>
      </c>
      <c r="V80" s="606">
        <f t="shared" si="12"/>
        <v>254810.00000000003</v>
      </c>
    </row>
    <row r="81" spans="2:24" ht="17.25" thickBot="1" x14ac:dyDescent="0.3">
      <c r="B81" s="622">
        <v>4</v>
      </c>
      <c r="C81" s="623" t="s">
        <v>897</v>
      </c>
      <c r="D81" s="623" t="s">
        <v>893</v>
      </c>
      <c r="E81" s="623" t="s">
        <v>847</v>
      </c>
      <c r="F81" s="626" t="s">
        <v>898</v>
      </c>
      <c r="G81" s="623">
        <v>2011</v>
      </c>
      <c r="H81" s="623"/>
      <c r="I81" s="641">
        <f t="shared" si="10"/>
        <v>127405.00000000001</v>
      </c>
      <c r="J81" s="625">
        <v>0.1</v>
      </c>
      <c r="K81" s="625"/>
      <c r="L81" s="623"/>
      <c r="M81" s="635"/>
      <c r="N81" s="639">
        <f t="shared" si="13"/>
        <v>127405.00000000001</v>
      </c>
      <c r="O81" s="635"/>
      <c r="P81" s="635"/>
      <c r="Q81" s="607">
        <f>$I81*(6/12)</f>
        <v>63702.500000000007</v>
      </c>
      <c r="R81" s="606">
        <f t="shared" si="11"/>
        <v>127405.00000000001</v>
      </c>
      <c r="S81" s="606">
        <f t="shared" si="11"/>
        <v>127405.00000000001</v>
      </c>
      <c r="T81" s="606">
        <f t="shared" si="11"/>
        <v>127405.00000000001</v>
      </c>
      <c r="U81" s="606">
        <f t="shared" si="11"/>
        <v>127405.00000000001</v>
      </c>
      <c r="V81" s="606">
        <f t="shared" si="12"/>
        <v>127405.00000000001</v>
      </c>
    </row>
    <row r="82" spans="2:24" ht="17.25" thickBot="1" x14ac:dyDescent="0.3">
      <c r="B82" s="622">
        <v>5</v>
      </c>
      <c r="C82" s="623" t="s">
        <v>899</v>
      </c>
      <c r="D82" s="623" t="s">
        <v>900</v>
      </c>
      <c r="E82" s="623" t="s">
        <v>844</v>
      </c>
      <c r="F82" s="627"/>
      <c r="G82" s="628">
        <v>41153</v>
      </c>
      <c r="H82" s="628"/>
      <c r="I82" s="641">
        <f t="shared" si="10"/>
        <v>254810.00000000003</v>
      </c>
      <c r="J82" s="625">
        <v>0.2</v>
      </c>
      <c r="K82" s="625">
        <v>78</v>
      </c>
      <c r="L82" s="623">
        <v>0.375</v>
      </c>
      <c r="M82" s="635"/>
      <c r="N82" s="639">
        <f t="shared" si="13"/>
        <v>254810.00000000003</v>
      </c>
      <c r="O82" s="635"/>
      <c r="P82" s="635"/>
      <c r="Q82" s="606"/>
      <c r="R82" s="607">
        <f>$I82*(4/12)</f>
        <v>84936.666666666672</v>
      </c>
      <c r="S82" s="606">
        <f t="shared" si="11"/>
        <v>254810.00000000003</v>
      </c>
      <c r="T82" s="606">
        <f t="shared" si="11"/>
        <v>254810.00000000003</v>
      </c>
      <c r="U82" s="606">
        <f t="shared" si="11"/>
        <v>254810.00000000003</v>
      </c>
      <c r="V82" s="606">
        <f t="shared" si="12"/>
        <v>254810.00000000003</v>
      </c>
    </row>
    <row r="83" spans="2:24" ht="17.25" thickBot="1" x14ac:dyDescent="0.3">
      <c r="B83" s="622">
        <v>6</v>
      </c>
      <c r="C83" s="623" t="s">
        <v>901</v>
      </c>
      <c r="D83" s="623" t="s">
        <v>902</v>
      </c>
      <c r="E83" s="623" t="s">
        <v>847</v>
      </c>
      <c r="F83" s="614"/>
      <c r="G83" s="628">
        <v>41153</v>
      </c>
      <c r="H83" s="628"/>
      <c r="I83" s="641">
        <f t="shared" si="10"/>
        <v>254810.00000000003</v>
      </c>
      <c r="J83" s="625">
        <v>0.2</v>
      </c>
      <c r="K83" s="625" t="s">
        <v>903</v>
      </c>
      <c r="L83" s="623">
        <v>0.7</v>
      </c>
      <c r="M83" s="635"/>
      <c r="N83" s="639">
        <f t="shared" si="13"/>
        <v>254810.00000000003</v>
      </c>
      <c r="O83" s="635"/>
      <c r="P83" s="635"/>
      <c r="Q83" s="606"/>
      <c r="R83" s="607">
        <f>$I83*(4/12)</f>
        <v>84936.666666666672</v>
      </c>
      <c r="S83" s="606">
        <f t="shared" si="11"/>
        <v>254810.00000000003</v>
      </c>
      <c r="T83" s="606">
        <f t="shared" si="11"/>
        <v>254810.00000000003</v>
      </c>
      <c r="U83" s="606">
        <f t="shared" si="11"/>
        <v>254810.00000000003</v>
      </c>
      <c r="V83" s="606">
        <f t="shared" si="12"/>
        <v>254810.00000000003</v>
      </c>
    </row>
    <row r="84" spans="2:24" ht="17.25" thickBot="1" x14ac:dyDescent="0.3">
      <c r="B84" s="622">
        <v>7</v>
      </c>
      <c r="C84" s="623" t="s">
        <v>904</v>
      </c>
      <c r="D84" s="623" t="s">
        <v>905</v>
      </c>
      <c r="E84" s="623" t="s">
        <v>847</v>
      </c>
      <c r="F84" s="614"/>
      <c r="G84" s="629" t="s">
        <v>906</v>
      </c>
      <c r="H84" s="629"/>
      <c r="I84" s="641">
        <f t="shared" si="10"/>
        <v>637025</v>
      </c>
      <c r="J84" s="625">
        <v>0.5</v>
      </c>
      <c r="K84" s="625">
        <v>81</v>
      </c>
      <c r="L84" s="623">
        <v>0.9</v>
      </c>
      <c r="M84" s="635"/>
      <c r="N84" s="639">
        <f t="shared" si="13"/>
        <v>637025</v>
      </c>
      <c r="O84" s="635"/>
      <c r="P84" s="635"/>
      <c r="Q84" s="635"/>
      <c r="R84" s="635"/>
      <c r="S84" s="607">
        <f>$I84*(12/12)</f>
        <v>637025</v>
      </c>
      <c r="T84" s="606">
        <f t="shared" si="11"/>
        <v>637025</v>
      </c>
      <c r="U84" s="606">
        <f t="shared" si="11"/>
        <v>637025</v>
      </c>
      <c r="V84" s="606">
        <f t="shared" si="12"/>
        <v>637025</v>
      </c>
    </row>
    <row r="85" spans="2:24" ht="17.25" thickBot="1" x14ac:dyDescent="0.3">
      <c r="B85" s="622">
        <v>8</v>
      </c>
      <c r="C85" s="623" t="s">
        <v>907</v>
      </c>
      <c r="D85" s="623" t="s">
        <v>866</v>
      </c>
      <c r="E85" s="623" t="s">
        <v>847</v>
      </c>
      <c r="F85" s="615"/>
      <c r="G85" s="629" t="s">
        <v>908</v>
      </c>
      <c r="H85" s="629"/>
      <c r="I85" s="641">
        <f t="shared" si="10"/>
        <v>254810.00000000003</v>
      </c>
      <c r="J85" s="625">
        <v>0.2</v>
      </c>
      <c r="K85" s="625" t="s">
        <v>909</v>
      </c>
      <c r="L85" s="623">
        <v>0.28999999999999998</v>
      </c>
      <c r="M85" s="635"/>
      <c r="N85" s="639">
        <f t="shared" si="13"/>
        <v>254810.00000000003</v>
      </c>
      <c r="O85" s="635"/>
      <c r="P85" s="635"/>
      <c r="Q85" s="635"/>
      <c r="R85" s="635"/>
      <c r="S85" s="607">
        <f>$I85*(10/12)</f>
        <v>212341.66666666669</v>
      </c>
      <c r="T85" s="606">
        <f t="shared" si="11"/>
        <v>254810.00000000003</v>
      </c>
      <c r="U85" s="606">
        <f t="shared" si="11"/>
        <v>254810.00000000003</v>
      </c>
      <c r="V85" s="606">
        <f t="shared" si="12"/>
        <v>254810.00000000003</v>
      </c>
    </row>
    <row r="86" spans="2:24" ht="15.75" thickBot="1" x14ac:dyDescent="0.3">
      <c r="B86">
        <v>2</v>
      </c>
      <c r="C86" t="s">
        <v>910</v>
      </c>
    </row>
    <row r="87" spans="2:24" ht="17.25" thickBot="1" x14ac:dyDescent="0.3">
      <c r="B87" s="618" t="s">
        <v>73</v>
      </c>
      <c r="C87" s="619" t="s">
        <v>911</v>
      </c>
      <c r="D87" s="1700" t="s">
        <v>831</v>
      </c>
      <c r="E87" s="1701"/>
      <c r="F87" s="620" t="s">
        <v>832</v>
      </c>
      <c r="G87" s="621" t="s">
        <v>891</v>
      </c>
      <c r="H87" s="621"/>
      <c r="I87" s="632"/>
      <c r="J87" s="621" t="s">
        <v>912</v>
      </c>
      <c r="K87" s="621"/>
      <c r="L87" s="619"/>
      <c r="M87" s="619" t="s">
        <v>266</v>
      </c>
    </row>
    <row r="88" spans="2:24" ht="17.25" thickBot="1" x14ac:dyDescent="0.3">
      <c r="B88" s="630">
        <v>1</v>
      </c>
      <c r="C88" s="623" t="s">
        <v>913</v>
      </c>
      <c r="D88" s="623" t="s">
        <v>914</v>
      </c>
      <c r="E88" s="623" t="s">
        <v>847</v>
      </c>
      <c r="F88" s="623" t="s">
        <v>915</v>
      </c>
      <c r="G88" s="631">
        <v>1957</v>
      </c>
      <c r="H88" s="631"/>
      <c r="I88" s="641">
        <f>N88</f>
        <v>4459175</v>
      </c>
      <c r="J88" s="625">
        <v>3.5</v>
      </c>
      <c r="K88" s="623"/>
      <c r="L88" s="623"/>
      <c r="M88" s="623" t="s">
        <v>916</v>
      </c>
      <c r="N88" s="639">
        <f>+N$75*(J88/J$75)</f>
        <v>4459175</v>
      </c>
      <c r="Q88" s="606">
        <f t="shared" ref="Q88:U89" si="14">$I88</f>
        <v>4459175</v>
      </c>
      <c r="R88" s="606">
        <f t="shared" si="14"/>
        <v>4459175</v>
      </c>
      <c r="S88" s="606">
        <f t="shared" si="14"/>
        <v>4459175</v>
      </c>
      <c r="T88" s="606">
        <f t="shared" si="14"/>
        <v>4459175</v>
      </c>
      <c r="U88" s="606">
        <f t="shared" si="14"/>
        <v>4459175</v>
      </c>
      <c r="V88" s="606">
        <f>$I88</f>
        <v>4459175</v>
      </c>
    </row>
    <row r="89" spans="2:24" ht="17.25" thickBot="1" x14ac:dyDescent="0.3">
      <c r="B89" s="630">
        <v>2</v>
      </c>
      <c r="C89" s="623" t="s">
        <v>917</v>
      </c>
      <c r="D89" s="623" t="s">
        <v>914</v>
      </c>
      <c r="E89" s="623" t="s">
        <v>847</v>
      </c>
      <c r="F89" s="623" t="s">
        <v>918</v>
      </c>
      <c r="G89" s="631">
        <v>1989</v>
      </c>
      <c r="H89" s="631"/>
      <c r="I89" s="641">
        <f>N89</f>
        <v>15288600</v>
      </c>
      <c r="J89" s="625">
        <v>12</v>
      </c>
      <c r="K89" s="623"/>
      <c r="L89" s="623"/>
      <c r="M89" s="623" t="s">
        <v>916</v>
      </c>
      <c r="N89" s="639">
        <f>+N$75*(J89/J$75)</f>
        <v>15288600</v>
      </c>
      <c r="Q89" s="606">
        <f t="shared" si="14"/>
        <v>15288600</v>
      </c>
      <c r="R89" s="606">
        <f t="shared" si="14"/>
        <v>15288600</v>
      </c>
      <c r="S89" s="606">
        <f t="shared" si="14"/>
        <v>15288600</v>
      </c>
      <c r="T89" s="606">
        <f t="shared" si="14"/>
        <v>15288600</v>
      </c>
      <c r="U89" s="606">
        <f t="shared" si="14"/>
        <v>15288600</v>
      </c>
      <c r="V89" s="606">
        <f>$I89</f>
        <v>15288600</v>
      </c>
    </row>
    <row r="90" spans="2:24" ht="15.75" thickBot="1" x14ac:dyDescent="0.3">
      <c r="G90" s="283"/>
      <c r="H90" s="269"/>
      <c r="I90" s="642"/>
      <c r="J90" s="281"/>
      <c r="K90" s="281"/>
      <c r="Q90" s="607"/>
      <c r="R90" s="607"/>
      <c r="S90" s="607"/>
      <c r="T90" s="607"/>
      <c r="U90" s="607"/>
      <c r="V90" s="606"/>
      <c r="W90" s="606"/>
      <c r="X90" s="606"/>
    </row>
    <row r="91" spans="2:24" ht="15.75" thickBot="1" x14ac:dyDescent="0.3">
      <c r="G91" s="283"/>
      <c r="H91" s="269"/>
      <c r="I91" s="642"/>
      <c r="J91" s="281"/>
      <c r="K91" s="281"/>
      <c r="Q91" s="607"/>
      <c r="R91" s="607"/>
      <c r="S91" s="607"/>
      <c r="T91" s="607"/>
      <c r="U91" s="607"/>
      <c r="V91" s="606"/>
      <c r="W91" s="606"/>
      <c r="X91" s="606"/>
    </row>
    <row r="92" spans="2:24" ht="15" customHeight="1" x14ac:dyDescent="0.25">
      <c r="F92" s="264"/>
    </row>
    <row r="93" spans="2:24" x14ac:dyDescent="0.25">
      <c r="F93" s="723" t="s">
        <v>551</v>
      </c>
      <c r="G93" s="729"/>
      <c r="H93" s="729"/>
      <c r="I93" s="724">
        <f>SUM(I10:I91)</f>
        <v>141674674.54901963</v>
      </c>
      <c r="L93" s="723" t="s">
        <v>551</v>
      </c>
      <c r="M93" s="267"/>
      <c r="N93" s="267"/>
      <c r="O93" s="267"/>
      <c r="P93" s="267"/>
      <c r="Q93" s="724">
        <f>SUM(Q10:Q54,Q59:Q91)</f>
        <v>83676061.637254909</v>
      </c>
      <c r="R93" s="724">
        <f>SUM(R10:R54,R59:R91)</f>
        <v>86762177.130718946</v>
      </c>
      <c r="S93" s="724">
        <f t="shared" ref="S93:X93" si="15">SUM(S10:S54,S59:S91)</f>
        <v>94325704.026143789</v>
      </c>
      <c r="T93" s="724">
        <f t="shared" si="15"/>
        <v>107295309.64705883</v>
      </c>
      <c r="U93" s="724">
        <f t="shared" si="15"/>
        <v>141674674.54901963</v>
      </c>
      <c r="V93" s="724">
        <f t="shared" si="15"/>
        <v>141674674.54901963</v>
      </c>
      <c r="W93" s="724">
        <f t="shared" si="15"/>
        <v>0</v>
      </c>
      <c r="X93" s="724">
        <f t="shared" si="15"/>
        <v>0</v>
      </c>
    </row>
    <row r="94" spans="2:24" ht="15.75" customHeight="1" x14ac:dyDescent="0.25">
      <c r="G94" s="266"/>
      <c r="H94" s="266"/>
    </row>
    <row r="95" spans="2:24" x14ac:dyDescent="0.25">
      <c r="F95" s="723" t="s">
        <v>1040</v>
      </c>
      <c r="G95" s="729"/>
      <c r="H95" s="729"/>
      <c r="I95" s="725">
        <f>+(100%-10%)</f>
        <v>0.9</v>
      </c>
      <c r="L95" s="723" t="s">
        <v>1040</v>
      </c>
      <c r="M95" s="267"/>
      <c r="N95" s="267"/>
      <c r="O95" s="267"/>
      <c r="P95" s="267"/>
      <c r="Q95" s="725">
        <f>+(100%-10%)</f>
        <v>0.9</v>
      </c>
      <c r="R95" s="725">
        <f>+(100%-10%)</f>
        <v>0.9</v>
      </c>
      <c r="S95" s="725">
        <f t="shared" ref="S95:X95" si="16">+(100%-10%)</f>
        <v>0.9</v>
      </c>
      <c r="T95" s="725">
        <f t="shared" si="16"/>
        <v>0.9</v>
      </c>
      <c r="U95" s="725">
        <f t="shared" si="16"/>
        <v>0.9</v>
      </c>
      <c r="V95" s="725">
        <f t="shared" si="16"/>
        <v>0.9</v>
      </c>
      <c r="W95" s="725">
        <f t="shared" si="16"/>
        <v>0.9</v>
      </c>
      <c r="X95" s="725">
        <f t="shared" si="16"/>
        <v>0.9</v>
      </c>
    </row>
    <row r="96" spans="2:24" x14ac:dyDescent="0.25">
      <c r="G96" s="266"/>
      <c r="H96" s="266"/>
    </row>
    <row r="97" spans="6:24" x14ac:dyDescent="0.25">
      <c r="F97" s="723" t="s">
        <v>552</v>
      </c>
      <c r="G97" s="729"/>
      <c r="H97" s="729"/>
      <c r="I97" s="726">
        <f>+(I93*I95)</f>
        <v>127507207.09411767</v>
      </c>
      <c r="L97" s="723" t="s">
        <v>552</v>
      </c>
      <c r="M97" s="267"/>
      <c r="N97" s="267"/>
      <c r="O97" s="267"/>
      <c r="P97" s="267"/>
      <c r="Q97" s="726">
        <f>+(Q93*Q95)</f>
        <v>75308455.473529413</v>
      </c>
      <c r="R97" s="726">
        <f>+(R93*R95)</f>
        <v>78085959.417647049</v>
      </c>
      <c r="S97" s="726">
        <f t="shared" ref="S97:X97" si="17">+(S93*S95)</f>
        <v>84893133.623529419</v>
      </c>
      <c r="T97" s="726">
        <f t="shared" si="17"/>
        <v>96565778.682352945</v>
      </c>
      <c r="U97" s="726">
        <f t="shared" si="17"/>
        <v>127507207.09411767</v>
      </c>
      <c r="V97" s="726">
        <f t="shared" si="17"/>
        <v>127507207.09411767</v>
      </c>
      <c r="W97" s="726">
        <f t="shared" si="17"/>
        <v>0</v>
      </c>
      <c r="X97" s="726">
        <f t="shared" si="17"/>
        <v>0</v>
      </c>
    </row>
    <row r="98" spans="6:24" x14ac:dyDescent="0.25">
      <c r="G98" s="266"/>
      <c r="H98" s="266"/>
    </row>
    <row r="99" spans="6:24" x14ac:dyDescent="0.25">
      <c r="F99" s="723" t="s">
        <v>1041</v>
      </c>
      <c r="G99" s="729"/>
      <c r="H99" s="729"/>
      <c r="I99" s="725">
        <f>+(80%)</f>
        <v>0.8</v>
      </c>
      <c r="J99" s="309"/>
      <c r="L99" s="723" t="s">
        <v>1041</v>
      </c>
      <c r="M99" s="267"/>
      <c r="N99" s="267"/>
      <c r="O99" s="267"/>
      <c r="P99" s="267"/>
      <c r="Q99" s="725">
        <f>+(80%)</f>
        <v>0.8</v>
      </c>
      <c r="R99" s="725">
        <f>+(80%)</f>
        <v>0.8</v>
      </c>
      <c r="S99" s="725">
        <f t="shared" ref="S99:X99" si="18">+(80%)</f>
        <v>0.8</v>
      </c>
      <c r="T99" s="725">
        <f t="shared" si="18"/>
        <v>0.8</v>
      </c>
      <c r="U99" s="725">
        <f t="shared" si="18"/>
        <v>0.8</v>
      </c>
      <c r="V99" s="725">
        <f t="shared" si="18"/>
        <v>0.8</v>
      </c>
      <c r="W99" s="725">
        <f t="shared" si="18"/>
        <v>0.8</v>
      </c>
      <c r="X99" s="725">
        <f t="shared" si="18"/>
        <v>0.8</v>
      </c>
    </row>
    <row r="101" spans="6:24" x14ac:dyDescent="0.25">
      <c r="F101" s="723" t="s">
        <v>553</v>
      </c>
      <c r="G101" s="729"/>
      <c r="H101" s="729"/>
      <c r="I101" s="725">
        <f>+I95*I99</f>
        <v>0.72000000000000008</v>
      </c>
      <c r="L101" s="723" t="s">
        <v>553</v>
      </c>
      <c r="M101" s="267"/>
      <c r="N101" s="267"/>
      <c r="O101" s="267"/>
      <c r="P101" s="267"/>
      <c r="Q101" s="725">
        <f>+Q95*Q99</f>
        <v>0.72000000000000008</v>
      </c>
      <c r="R101" s="725">
        <f>+R95*R99</f>
        <v>0.72000000000000008</v>
      </c>
      <c r="S101" s="725">
        <f t="shared" ref="S101:X101" si="19">+S95*S99</f>
        <v>0.72000000000000008</v>
      </c>
      <c r="T101" s="725">
        <f t="shared" si="19"/>
        <v>0.72000000000000008</v>
      </c>
      <c r="U101" s="725">
        <f t="shared" si="19"/>
        <v>0.72000000000000008</v>
      </c>
      <c r="V101" s="725">
        <f t="shared" si="19"/>
        <v>0.72000000000000008</v>
      </c>
      <c r="W101" s="725">
        <f t="shared" si="19"/>
        <v>0.72000000000000008</v>
      </c>
      <c r="X101" s="725">
        <f t="shared" si="19"/>
        <v>0.72000000000000008</v>
      </c>
    </row>
    <row r="102" spans="6:24" ht="15" customHeight="1" x14ac:dyDescent="0.25"/>
    <row r="103" spans="6:24" x14ac:dyDescent="0.25">
      <c r="F103" s="285"/>
      <c r="G103" s="285"/>
      <c r="H103" s="285" t="s">
        <v>481</v>
      </c>
      <c r="I103" s="286">
        <f>+(I97*I99)</f>
        <v>102005765.67529415</v>
      </c>
      <c r="L103" s="285"/>
      <c r="M103" s="722" t="s">
        <v>481</v>
      </c>
      <c r="N103" s="275"/>
      <c r="O103" s="275"/>
      <c r="P103" s="275"/>
      <c r="Q103" s="286">
        <f>+(Q97*Q99)</f>
        <v>60246764.378823534</v>
      </c>
      <c r="R103" s="286">
        <f>+(R97*R99)</f>
        <v>62468767.534117639</v>
      </c>
      <c r="S103" s="286">
        <f t="shared" ref="S103:X103" si="20">+(S97*S99)</f>
        <v>67914506.898823544</v>
      </c>
      <c r="T103" s="286">
        <f t="shared" si="20"/>
        <v>77252622.945882365</v>
      </c>
      <c r="U103" s="286">
        <f t="shared" si="20"/>
        <v>102005765.67529415</v>
      </c>
      <c r="V103" s="286">
        <f t="shared" si="20"/>
        <v>102005765.67529415</v>
      </c>
      <c r="W103" s="286">
        <f t="shared" si="20"/>
        <v>0</v>
      </c>
      <c r="X103" s="286">
        <f t="shared" si="20"/>
        <v>0</v>
      </c>
    </row>
    <row r="104" spans="6:24" ht="15" customHeight="1" x14ac:dyDescent="0.25">
      <c r="Q104" s="730">
        <f>+Q103/Q93</f>
        <v>0.72</v>
      </c>
      <c r="R104" s="730">
        <f>+R103/R93</f>
        <v>0.72</v>
      </c>
    </row>
    <row r="107" spans="6:24" ht="18.75" x14ac:dyDescent="0.3">
      <c r="F107" s="727" t="s">
        <v>473</v>
      </c>
      <c r="G107" s="727"/>
      <c r="H107" s="267" t="s">
        <v>182</v>
      </c>
      <c r="I107" s="728">
        <f>SUM($E31,I93)</f>
        <v>141835454.54901963</v>
      </c>
      <c r="J107" s="267"/>
      <c r="L107" s="267"/>
      <c r="M107" s="267"/>
      <c r="N107" s="727" t="s">
        <v>473</v>
      </c>
      <c r="O107" s="727"/>
      <c r="P107" s="267" t="s">
        <v>182</v>
      </c>
      <c r="Q107" s="728">
        <f>SUM($E31,Q93)</f>
        <v>83836841.637254909</v>
      </c>
      <c r="R107" s="728">
        <f>SUM($E31,R93)</f>
        <v>86922957.130718946</v>
      </c>
      <c r="S107" s="728">
        <f t="shared" ref="S107:X107" si="21">SUM($E31,S93)</f>
        <v>94486484.026143789</v>
      </c>
      <c r="T107" s="728">
        <f t="shared" si="21"/>
        <v>107456089.64705883</v>
      </c>
      <c r="U107" s="728">
        <f t="shared" si="21"/>
        <v>141835454.54901963</v>
      </c>
      <c r="V107" s="728">
        <f t="shared" si="21"/>
        <v>141835454.54901963</v>
      </c>
      <c r="W107" s="728">
        <f t="shared" si="21"/>
        <v>160780</v>
      </c>
      <c r="X107" s="728">
        <f t="shared" si="21"/>
        <v>160780</v>
      </c>
    </row>
    <row r="108" spans="6:24" ht="18.75" x14ac:dyDescent="0.3">
      <c r="G108" s="264"/>
      <c r="H108" t="s">
        <v>380</v>
      </c>
      <c r="I108" s="265">
        <f>I107/1000000</f>
        <v>141.83545454901963</v>
      </c>
      <c r="O108" s="264"/>
      <c r="P108" t="s">
        <v>380</v>
      </c>
      <c r="Q108" s="265">
        <f>Q107/1000000</f>
        <v>83.836841637254906</v>
      </c>
      <c r="R108" s="265">
        <f>R107/1000000</f>
        <v>86.922957130718942</v>
      </c>
      <c r="S108" s="265">
        <f t="shared" ref="S108:X108" si="22">S107/1000000</f>
        <v>94.486484026143785</v>
      </c>
      <c r="T108" s="265">
        <f t="shared" si="22"/>
        <v>107.45608964705883</v>
      </c>
      <c r="U108" s="265">
        <f t="shared" si="22"/>
        <v>141.83545454901963</v>
      </c>
      <c r="V108" s="265">
        <f t="shared" si="22"/>
        <v>141.83545454901963</v>
      </c>
      <c r="W108" s="265">
        <f t="shared" si="22"/>
        <v>0.16078000000000001</v>
      </c>
      <c r="X108" s="265">
        <f t="shared" si="22"/>
        <v>0.16078000000000001</v>
      </c>
    </row>
    <row r="109" spans="6:24" x14ac:dyDescent="0.25">
      <c r="I109" s="264"/>
      <c r="Q109" s="264"/>
      <c r="R109" s="264"/>
      <c r="S109" s="264"/>
      <c r="T109" s="264"/>
      <c r="U109" s="264"/>
      <c r="V109" s="264"/>
      <c r="W109" s="264"/>
      <c r="X109" s="264"/>
    </row>
    <row r="110" spans="6:24" x14ac:dyDescent="0.25">
      <c r="I110" s="264"/>
      <c r="Q110" s="264"/>
      <c r="R110" s="264"/>
      <c r="S110" s="264"/>
      <c r="T110" s="264"/>
      <c r="U110" s="264"/>
      <c r="V110" s="264"/>
      <c r="W110" s="264"/>
      <c r="X110" s="264"/>
    </row>
    <row r="111" spans="6:24" ht="18.75" x14ac:dyDescent="0.3">
      <c r="F111" s="287" t="s">
        <v>472</v>
      </c>
      <c r="G111" s="287"/>
      <c r="H111" s="275" t="s">
        <v>182</v>
      </c>
      <c r="I111" s="288">
        <f>SUM($E35,I103)</f>
        <v>102150467.67529415</v>
      </c>
      <c r="J111" s="275"/>
      <c r="N111" s="287" t="s">
        <v>472</v>
      </c>
      <c r="O111" s="287"/>
      <c r="P111" s="275" t="s">
        <v>182</v>
      </c>
      <c r="Q111" s="288">
        <f>SUM($E35,Q103)</f>
        <v>60391466.378823534</v>
      </c>
      <c r="R111" s="288">
        <f>SUM($E35,R103)</f>
        <v>62613469.534117639</v>
      </c>
      <c r="S111" s="288">
        <f t="shared" ref="S111:X111" si="23">SUM($E35,S103)</f>
        <v>68059208.898823544</v>
      </c>
      <c r="T111" s="288">
        <f t="shared" si="23"/>
        <v>77397324.945882365</v>
      </c>
      <c r="U111" s="288">
        <f t="shared" si="23"/>
        <v>102150467.67529415</v>
      </c>
      <c r="V111" s="288">
        <f t="shared" si="23"/>
        <v>102150467.67529415</v>
      </c>
      <c r="W111" s="288">
        <f t="shared" si="23"/>
        <v>144702</v>
      </c>
      <c r="X111" s="288">
        <f t="shared" si="23"/>
        <v>144702</v>
      </c>
    </row>
    <row r="112" spans="6:24" ht="18.75" x14ac:dyDescent="0.3">
      <c r="H112" t="s">
        <v>380</v>
      </c>
      <c r="I112" s="555">
        <f>I111/1000000</f>
        <v>102.15046767529415</v>
      </c>
      <c r="P112" t="s">
        <v>380</v>
      </c>
      <c r="Q112" s="555">
        <f>Q111/1000000</f>
        <v>60.39146637882353</v>
      </c>
      <c r="R112" s="555">
        <f>R111/1000000</f>
        <v>62.613469534117641</v>
      </c>
      <c r="S112" s="555">
        <f t="shared" ref="S112:X112" si="24">S111/1000000</f>
        <v>68.059208898823542</v>
      </c>
      <c r="T112" s="555">
        <f t="shared" si="24"/>
        <v>77.39732494588236</v>
      </c>
      <c r="U112" s="555">
        <f t="shared" si="24"/>
        <v>102.15046767529415</v>
      </c>
      <c r="V112" s="555">
        <f t="shared" si="24"/>
        <v>102.15046767529415</v>
      </c>
      <c r="W112" s="555">
        <f t="shared" si="24"/>
        <v>0.144702</v>
      </c>
      <c r="X112" s="555">
        <f t="shared" si="24"/>
        <v>0.144702</v>
      </c>
    </row>
    <row r="115" spans="6:6" x14ac:dyDescent="0.25">
      <c r="F115" s="264"/>
    </row>
    <row r="116" spans="6:6" x14ac:dyDescent="0.25">
      <c r="F116" s="264"/>
    </row>
    <row r="117" spans="6:6" ht="15" customHeight="1" x14ac:dyDescent="0.25">
      <c r="F117" s="264"/>
    </row>
    <row r="118" spans="6:6" x14ac:dyDescent="0.25">
      <c r="F118" s="264"/>
    </row>
    <row r="119" spans="6:6" ht="15" customHeight="1" x14ac:dyDescent="0.25">
      <c r="F119" s="264"/>
    </row>
    <row r="120" spans="6:6" x14ac:dyDescent="0.25">
      <c r="F120" s="264"/>
    </row>
    <row r="121" spans="6:6" x14ac:dyDescent="0.25">
      <c r="F121" s="264"/>
    </row>
    <row r="122" spans="6:6" x14ac:dyDescent="0.25">
      <c r="F122" s="264"/>
    </row>
    <row r="129" spans="6:6" x14ac:dyDescent="0.25">
      <c r="F129" s="264"/>
    </row>
    <row r="130" spans="6:6" x14ac:dyDescent="0.25">
      <c r="F130" s="264"/>
    </row>
    <row r="131" spans="6:6" x14ac:dyDescent="0.25">
      <c r="F131" s="264"/>
    </row>
    <row r="132" spans="6:6" x14ac:dyDescent="0.25">
      <c r="F132" s="264"/>
    </row>
    <row r="133" spans="6:6" x14ac:dyDescent="0.25">
      <c r="F133" s="264"/>
    </row>
    <row r="134" spans="6:6" x14ac:dyDescent="0.25">
      <c r="F134" s="264"/>
    </row>
    <row r="135" spans="6:6" x14ac:dyDescent="0.25">
      <c r="F135" s="264"/>
    </row>
    <row r="136" spans="6:6" x14ac:dyDescent="0.25">
      <c r="F136" s="264"/>
    </row>
    <row r="137" spans="6:6" x14ac:dyDescent="0.25">
      <c r="F137" s="264"/>
    </row>
    <row r="138" spans="6:6" x14ac:dyDescent="0.25">
      <c r="F138" s="264"/>
    </row>
    <row r="139" spans="6:6" x14ac:dyDescent="0.25">
      <c r="F139" s="264"/>
    </row>
    <row r="140" spans="6:6" x14ac:dyDescent="0.25">
      <c r="F140" s="264"/>
    </row>
    <row r="141" spans="6:6" x14ac:dyDescent="0.25">
      <c r="F141" s="264"/>
    </row>
    <row r="142" spans="6:6" x14ac:dyDescent="0.25">
      <c r="F142" s="264"/>
    </row>
    <row r="143" spans="6:6" x14ac:dyDescent="0.25">
      <c r="F143" s="264"/>
    </row>
    <row r="144" spans="6:6" x14ac:dyDescent="0.25">
      <c r="F144" s="264"/>
    </row>
    <row r="145" spans="6:6" x14ac:dyDescent="0.25">
      <c r="F145" s="264"/>
    </row>
    <row r="146" spans="6:6" x14ac:dyDescent="0.25">
      <c r="F146" s="264"/>
    </row>
    <row r="147" spans="6:6" x14ac:dyDescent="0.25">
      <c r="F147" s="264"/>
    </row>
    <row r="148" spans="6:6" x14ac:dyDescent="0.25">
      <c r="F148" s="264"/>
    </row>
    <row r="149" spans="6:6" x14ac:dyDescent="0.25">
      <c r="F149" s="264"/>
    </row>
    <row r="150" spans="6:6" x14ac:dyDescent="0.25">
      <c r="F150" s="264"/>
    </row>
    <row r="151" spans="6:6" x14ac:dyDescent="0.25">
      <c r="F151" s="264"/>
    </row>
    <row r="152" spans="6:6" x14ac:dyDescent="0.25">
      <c r="F152" s="264"/>
    </row>
    <row r="153" spans="6:6" x14ac:dyDescent="0.25">
      <c r="F153" s="264"/>
    </row>
    <row r="154" spans="6:6" x14ac:dyDescent="0.25">
      <c r="F154" s="264"/>
    </row>
    <row r="155" spans="6:6" x14ac:dyDescent="0.25">
      <c r="F155" s="264"/>
    </row>
    <row r="156" spans="6:6" x14ac:dyDescent="0.25">
      <c r="F156" s="264"/>
    </row>
    <row r="157" spans="6:6" x14ac:dyDescent="0.25">
      <c r="F157" s="264"/>
    </row>
    <row r="158" spans="6:6" x14ac:dyDescent="0.25">
      <c r="F158" s="264"/>
    </row>
  </sheetData>
  <mergeCells count="13">
    <mergeCell ref="I57:I58"/>
    <mergeCell ref="J57:J58"/>
    <mergeCell ref="K57:K58"/>
    <mergeCell ref="L57:L58"/>
    <mergeCell ref="F59:F62"/>
    <mergeCell ref="D87:E87"/>
    <mergeCell ref="D77:E77"/>
    <mergeCell ref="H57:H58"/>
    <mergeCell ref="B57:B58"/>
    <mergeCell ref="C57:C58"/>
    <mergeCell ref="D57:E57"/>
    <mergeCell ref="F57:F58"/>
    <mergeCell ref="G57:G58"/>
  </mergeCells>
  <pageMargins left="0.51181102362204722" right="0.51181102362204722" top="0.74803149606299213" bottom="0.74803149606299213" header="0.31496062992125984" footer="0.31496062992125984"/>
  <pageSetup paperSize="9" scale="26" orientation="landscape" r:id="rId1"/>
  <headerFooter>
    <oddHeader>&amp;L&amp;F    &amp;&amp;&amp;A&amp;C&amp;D&amp;RPage &amp;P of &amp;N</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N114"/>
  <sheetViews>
    <sheetView topLeftCell="A8" zoomScale="80" zoomScaleNormal="80" workbookViewId="0">
      <selection activeCell="B20" sqref="B20"/>
    </sheetView>
  </sheetViews>
  <sheetFormatPr defaultColWidth="52.5703125" defaultRowHeight="15" x14ac:dyDescent="0.25"/>
  <cols>
    <col min="1" max="1" width="28" style="2" customWidth="1"/>
    <col min="2" max="2" width="18.5703125" style="2" customWidth="1"/>
    <col min="3" max="3" width="17.140625" style="2" customWidth="1"/>
    <col min="4" max="4" width="12.5703125" style="2" customWidth="1"/>
    <col min="5" max="5" width="15" style="2" customWidth="1"/>
    <col min="6" max="6" width="11.85546875" style="2" customWidth="1"/>
    <col min="7" max="7" width="12.5703125" style="2" customWidth="1"/>
    <col min="8" max="8" width="8.7109375" style="2" customWidth="1"/>
    <col min="9" max="9" width="9.42578125" style="2" customWidth="1"/>
    <col min="10" max="10" width="12.7109375" style="2" customWidth="1"/>
    <col min="11" max="11" width="17.42578125" style="2" customWidth="1"/>
    <col min="12" max="12" width="15" style="2" customWidth="1"/>
    <col min="13" max="13" width="41.7109375" style="2" customWidth="1"/>
    <col min="14" max="14" width="17.42578125" style="2" customWidth="1"/>
    <col min="15" max="15" width="13.85546875" style="2" customWidth="1"/>
    <col min="16" max="16" width="11.85546875" style="2" customWidth="1"/>
    <col min="17" max="20" width="9.140625" style="2" customWidth="1"/>
    <col min="21" max="21" width="13" style="2" customWidth="1"/>
    <col min="22" max="22" width="16.85546875" style="2" customWidth="1"/>
    <col min="23" max="23" width="15.5703125" style="2" customWidth="1"/>
    <col min="24" max="24" width="11.28515625" style="2" customWidth="1"/>
    <col min="25" max="25" width="13.28515625" style="2" customWidth="1"/>
    <col min="26" max="30" width="9.140625" style="2" customWidth="1"/>
    <col min="31" max="31" width="12.85546875" style="2" customWidth="1"/>
    <col min="32" max="32" width="14.7109375" style="2" customWidth="1"/>
    <col min="33" max="33" width="16" style="2" customWidth="1"/>
    <col min="34" max="34" width="11.28515625" style="2" customWidth="1"/>
    <col min="35" max="35" width="11.7109375" style="2" customWidth="1"/>
    <col min="36" max="255" width="9.140625" style="2" customWidth="1"/>
    <col min="256" max="16384" width="52.5703125" style="2"/>
  </cols>
  <sheetData>
    <row r="1" spans="1:40" ht="42.75" customHeight="1" x14ac:dyDescent="0.35">
      <c r="A1" s="1715" t="s">
        <v>463</v>
      </c>
      <c r="B1" s="1715"/>
      <c r="C1" s="1715"/>
      <c r="D1" s="1715"/>
      <c r="E1" s="1715"/>
      <c r="F1" s="1715"/>
      <c r="G1" s="1715"/>
      <c r="H1" s="1715"/>
      <c r="I1" s="1715"/>
      <c r="J1" s="1715"/>
    </row>
    <row r="2" spans="1:40" ht="15.75" thickBot="1" x14ac:dyDescent="0.3">
      <c r="B2" s="191"/>
      <c r="E2" s="191"/>
      <c r="F2" s="185"/>
      <c r="H2" s="192"/>
      <c r="I2" s="188"/>
      <c r="J2" s="190"/>
      <c r="K2" s="188"/>
      <c r="L2" s="190"/>
    </row>
    <row r="3" spans="1:40" ht="16.5" thickBot="1" x14ac:dyDescent="0.3">
      <c r="A3" s="278" t="s">
        <v>468</v>
      </c>
      <c r="B3" s="279"/>
      <c r="C3" s="277"/>
      <c r="D3" s="277"/>
      <c r="E3" s="277"/>
      <c r="F3" s="277"/>
      <c r="G3" s="277"/>
      <c r="H3" s="277"/>
      <c r="I3" s="277"/>
      <c r="J3" s="277"/>
      <c r="K3" s="277"/>
      <c r="L3" s="277"/>
      <c r="M3" s="277"/>
      <c r="N3" s="277"/>
      <c r="O3" s="277"/>
    </row>
    <row r="4" spans="1:40" x14ac:dyDescent="0.25">
      <c r="A4" s="7" t="s">
        <v>187</v>
      </c>
      <c r="B4" s="186"/>
      <c r="C4" s="186"/>
      <c r="D4" s="186"/>
      <c r="E4" s="186"/>
      <c r="F4" s="186"/>
      <c r="G4" s="186"/>
      <c r="H4" s="186"/>
      <c r="I4" s="186"/>
      <c r="J4" s="186"/>
      <c r="K4" s="1536" t="s">
        <v>1720</v>
      </c>
      <c r="L4" s="1537"/>
      <c r="M4" s="1537"/>
      <c r="N4" s="1537"/>
      <c r="O4" s="1537"/>
      <c r="P4" s="1537"/>
      <c r="Q4" s="1537"/>
      <c r="R4" s="1537"/>
      <c r="S4" s="1537"/>
      <c r="T4" s="1537"/>
      <c r="U4" s="1612" t="s">
        <v>1721</v>
      </c>
      <c r="V4" s="1546"/>
      <c r="W4" s="1546"/>
      <c r="X4" s="1546"/>
      <c r="Y4" s="1546"/>
      <c r="Z4" s="1546"/>
      <c r="AA4" s="1546"/>
      <c r="AB4" s="1546"/>
      <c r="AC4" s="1546"/>
      <c r="AD4" s="1546"/>
      <c r="AE4" s="1613" t="s">
        <v>1722</v>
      </c>
      <c r="AF4" s="1560"/>
      <c r="AG4" s="1560"/>
      <c r="AH4" s="1560"/>
      <c r="AI4" s="1560"/>
      <c r="AJ4" s="1560"/>
      <c r="AK4" s="1560"/>
      <c r="AL4" s="1560"/>
      <c r="AM4" s="1560"/>
      <c r="AN4" s="1560"/>
    </row>
    <row r="5" spans="1:40" ht="15" hidden="1" customHeight="1" x14ac:dyDescent="0.25">
      <c r="B5" s="191"/>
      <c r="E5" s="191"/>
      <c r="F5" s="185"/>
      <c r="H5" s="192"/>
      <c r="I5" s="188"/>
      <c r="J5" s="190"/>
      <c r="K5" s="188"/>
      <c r="L5" s="190"/>
    </row>
    <row r="6" spans="1:40" x14ac:dyDescent="0.25">
      <c r="B6" s="191"/>
      <c r="E6" s="191"/>
      <c r="F6" s="185"/>
      <c r="H6" s="192"/>
      <c r="I6" s="188"/>
      <c r="J6" s="190"/>
      <c r="K6" s="188"/>
      <c r="L6" s="190"/>
    </row>
    <row r="7" spans="1:40" x14ac:dyDescent="0.25">
      <c r="A7" s="193" t="s">
        <v>191</v>
      </c>
      <c r="B7" s="194"/>
      <c r="C7" s="194"/>
      <c r="D7" s="194"/>
      <c r="E7" s="194"/>
      <c r="F7" s="194"/>
      <c r="G7" s="194"/>
      <c r="H7" s="194"/>
      <c r="I7" s="195"/>
      <c r="K7" s="187" t="s">
        <v>191</v>
      </c>
      <c r="L7"/>
      <c r="M7"/>
      <c r="N7"/>
      <c r="O7"/>
      <c r="P7"/>
      <c r="Q7"/>
      <c r="R7"/>
      <c r="S7"/>
      <c r="U7" s="187" t="s">
        <v>191</v>
      </c>
      <c r="V7"/>
      <c r="W7"/>
      <c r="X7"/>
      <c r="Y7"/>
      <c r="Z7"/>
      <c r="AA7"/>
      <c r="AB7"/>
      <c r="AC7"/>
      <c r="AE7" s="187" t="s">
        <v>191</v>
      </c>
      <c r="AF7"/>
      <c r="AG7"/>
      <c r="AH7"/>
      <c r="AI7"/>
      <c r="AJ7"/>
      <c r="AK7"/>
      <c r="AL7"/>
      <c r="AM7"/>
    </row>
    <row r="8" spans="1:40" x14ac:dyDescent="0.25">
      <c r="A8" s="196"/>
      <c r="B8" s="196"/>
      <c r="C8" s="197">
        <v>26338</v>
      </c>
      <c r="D8" s="197" t="s">
        <v>192</v>
      </c>
      <c r="E8" s="198" t="s">
        <v>193</v>
      </c>
      <c r="F8" s="198"/>
      <c r="G8" s="198"/>
      <c r="H8" s="194"/>
      <c r="I8" s="199"/>
      <c r="J8" s="200"/>
      <c r="K8" s="316"/>
      <c r="L8" s="316"/>
      <c r="M8" s="1508">
        <v>26338</v>
      </c>
      <c r="N8" s="1508" t="s">
        <v>192</v>
      </c>
      <c r="O8" t="s">
        <v>193</v>
      </c>
      <c r="P8"/>
      <c r="Q8"/>
      <c r="R8"/>
      <c r="S8" s="1509"/>
      <c r="T8" s="1510"/>
      <c r="U8" s="316"/>
      <c r="V8" s="316"/>
      <c r="W8" s="1508">
        <v>26338</v>
      </c>
      <c r="X8" s="1508" t="s">
        <v>192</v>
      </c>
      <c r="Y8" t="s">
        <v>193</v>
      </c>
      <c r="Z8"/>
      <c r="AA8"/>
      <c r="AB8"/>
      <c r="AC8" s="1509"/>
      <c r="AD8" s="1510"/>
      <c r="AE8" s="316"/>
      <c r="AF8" s="316"/>
      <c r="AG8" s="1508">
        <v>26338</v>
      </c>
      <c r="AH8" s="1508" t="s">
        <v>192</v>
      </c>
      <c r="AI8" t="s">
        <v>193</v>
      </c>
      <c r="AJ8"/>
      <c r="AK8"/>
      <c r="AL8"/>
      <c r="AM8" s="1509"/>
      <c r="AN8" s="1510"/>
    </row>
    <row r="9" spans="1:40" x14ac:dyDescent="0.25">
      <c r="A9" s="196"/>
      <c r="B9" s="196"/>
      <c r="C9" s="197">
        <f>C15+C16+C17+C18</f>
        <v>1553540.779455954</v>
      </c>
      <c r="D9" s="197" t="s">
        <v>172</v>
      </c>
      <c r="E9" s="198" t="s">
        <v>194</v>
      </c>
      <c r="F9" s="198"/>
      <c r="G9" s="198"/>
      <c r="H9" s="194"/>
      <c r="I9" s="194"/>
      <c r="K9" s="316"/>
      <c r="L9" s="316"/>
      <c r="M9" s="1508">
        <f>M15+M16+M17+M18</f>
        <v>1553540.779455954</v>
      </c>
      <c r="N9" s="1508" t="s">
        <v>172</v>
      </c>
      <c r="O9" t="s">
        <v>194</v>
      </c>
      <c r="P9"/>
      <c r="Q9"/>
      <c r="R9"/>
      <c r="S9"/>
      <c r="U9" s="316"/>
      <c r="V9" s="316"/>
      <c r="W9" s="1508">
        <f>W15+W16+W17+W18</f>
        <v>1563288.2166381169</v>
      </c>
      <c r="X9" s="1508" t="s">
        <v>172</v>
      </c>
      <c r="Y9" t="s">
        <v>194</v>
      </c>
      <c r="Z9"/>
      <c r="AA9"/>
      <c r="AB9"/>
      <c r="AC9"/>
      <c r="AE9" s="316"/>
      <c r="AF9" s="316"/>
      <c r="AG9" s="1508">
        <f>AG15+AG16+AG17+AG18</f>
        <v>1565439.1916048164</v>
      </c>
      <c r="AH9" s="1508" t="s">
        <v>172</v>
      </c>
      <c r="AI9" t="s">
        <v>194</v>
      </c>
      <c r="AJ9"/>
      <c r="AK9"/>
      <c r="AL9"/>
      <c r="AM9"/>
    </row>
    <row r="10" spans="1:40" x14ac:dyDescent="0.25">
      <c r="A10" s="196"/>
      <c r="B10" s="196"/>
      <c r="C10" s="197">
        <v>1274</v>
      </c>
      <c r="D10" s="197" t="s">
        <v>195</v>
      </c>
      <c r="E10" s="198" t="s">
        <v>48</v>
      </c>
      <c r="F10" s="198"/>
      <c r="G10" s="198" t="s">
        <v>196</v>
      </c>
      <c r="H10" s="194"/>
      <c r="I10" s="194"/>
      <c r="K10" s="316"/>
      <c r="L10" s="316"/>
      <c r="M10" s="1508">
        <v>1212</v>
      </c>
      <c r="N10" s="1508" t="s">
        <v>195</v>
      </c>
      <c r="O10" t="s">
        <v>48</v>
      </c>
      <c r="P10"/>
      <c r="Q10" t="s">
        <v>1684</v>
      </c>
      <c r="R10"/>
      <c r="S10"/>
      <c r="U10" s="316"/>
      <c r="V10" s="316"/>
      <c r="W10" s="1508">
        <v>1213.7</v>
      </c>
      <c r="X10" s="1508" t="s">
        <v>195</v>
      </c>
      <c r="Y10" t="s">
        <v>48</v>
      </c>
      <c r="Z10"/>
      <c r="AA10" t="s">
        <v>1690</v>
      </c>
      <c r="AB10"/>
      <c r="AC10"/>
      <c r="AE10" s="316"/>
      <c r="AF10" s="316"/>
      <c r="AG10" s="1508">
        <v>1260.4000000000001</v>
      </c>
      <c r="AH10" s="1508" t="s">
        <v>195</v>
      </c>
      <c r="AI10" t="s">
        <v>48</v>
      </c>
      <c r="AJ10"/>
      <c r="AK10" t="s">
        <v>1693</v>
      </c>
      <c r="AL10"/>
      <c r="AM10"/>
    </row>
    <row r="11" spans="1:40" x14ac:dyDescent="0.25">
      <c r="A11" s="196"/>
      <c r="B11" s="196"/>
      <c r="C11" s="197">
        <v>860</v>
      </c>
      <c r="D11" s="197" t="s">
        <v>195</v>
      </c>
      <c r="E11" s="198" t="s">
        <v>197</v>
      </c>
      <c r="F11" s="198"/>
      <c r="G11" s="198" t="s">
        <v>198</v>
      </c>
      <c r="H11" s="194"/>
      <c r="I11" s="194"/>
      <c r="J11" s="185"/>
      <c r="K11" s="316"/>
      <c r="L11" s="316"/>
      <c r="M11" s="1508">
        <v>824</v>
      </c>
      <c r="N11" s="1508" t="s">
        <v>195</v>
      </c>
      <c r="O11" t="s">
        <v>197</v>
      </c>
      <c r="P11"/>
      <c r="Q11" t="s">
        <v>1685</v>
      </c>
      <c r="R11"/>
      <c r="S11"/>
      <c r="U11" s="316"/>
      <c r="V11" s="316"/>
      <c r="W11" s="1508">
        <v>850</v>
      </c>
      <c r="X11" s="1508" t="s">
        <v>195</v>
      </c>
      <c r="Y11" t="s">
        <v>197</v>
      </c>
      <c r="Z11"/>
      <c r="AA11" t="s">
        <v>1691</v>
      </c>
      <c r="AB11"/>
      <c r="AC11"/>
      <c r="AE11" s="316"/>
      <c r="AF11" s="316"/>
      <c r="AG11" s="1508">
        <v>870</v>
      </c>
      <c r="AH11" s="1508" t="s">
        <v>195</v>
      </c>
      <c r="AI11" t="s">
        <v>197</v>
      </c>
      <c r="AJ11"/>
      <c r="AK11" t="s">
        <v>1694</v>
      </c>
      <c r="AL11"/>
      <c r="AM11"/>
    </row>
    <row r="12" spans="1:40" x14ac:dyDescent="0.25">
      <c r="A12" s="196"/>
      <c r="B12" s="196"/>
      <c r="C12" s="197">
        <f>(C9*10000*C11)/1000</f>
        <v>13360450703.321205</v>
      </c>
      <c r="D12" s="197" t="s">
        <v>182</v>
      </c>
      <c r="E12" s="198"/>
      <c r="F12" s="198"/>
      <c r="G12" s="198"/>
      <c r="H12" s="194"/>
      <c r="I12" s="194"/>
      <c r="J12" s="185"/>
      <c r="K12" s="316"/>
      <c r="L12" s="316"/>
      <c r="M12" s="1508">
        <f>+M9*10000*M11/1000</f>
        <v>12801176022.71706</v>
      </c>
      <c r="N12" s="1508" t="s">
        <v>182</v>
      </c>
      <c r="O12"/>
      <c r="P12"/>
      <c r="Q12"/>
      <c r="R12"/>
      <c r="S12"/>
      <c r="U12" s="316"/>
      <c r="V12" s="316"/>
      <c r="W12" s="1508">
        <f>+W9*10000*W11/1000</f>
        <v>13287949841.423992</v>
      </c>
      <c r="X12" s="1508" t="s">
        <v>182</v>
      </c>
      <c r="Y12"/>
      <c r="Z12"/>
      <c r="AA12"/>
      <c r="AB12"/>
      <c r="AC12"/>
      <c r="AE12" s="316"/>
      <c r="AF12" s="316"/>
      <c r="AG12" s="1508">
        <f>+AG9*10000*AG11/1000</f>
        <v>13619320966.961903</v>
      </c>
      <c r="AH12" s="1508" t="s">
        <v>182</v>
      </c>
      <c r="AI12"/>
      <c r="AJ12"/>
      <c r="AK12"/>
      <c r="AL12"/>
      <c r="AM12"/>
    </row>
    <row r="13" spans="1:40" x14ac:dyDescent="0.25">
      <c r="A13" s="196"/>
      <c r="B13" s="196"/>
      <c r="C13" s="197">
        <f>+C12/1000</f>
        <v>13360450.703321205</v>
      </c>
      <c r="D13" s="201" t="s">
        <v>199</v>
      </c>
      <c r="E13" s="198"/>
      <c r="F13" s="198"/>
      <c r="G13" s="198">
        <f>C11/C10</f>
        <v>0.67503924646781788</v>
      </c>
      <c r="H13" s="194"/>
      <c r="I13" s="194"/>
      <c r="J13" s="185"/>
      <c r="K13" s="316"/>
      <c r="L13" s="316"/>
      <c r="M13" s="1508">
        <f>+M12/1000</f>
        <v>12801176.022717061</v>
      </c>
      <c r="N13" s="1511" t="s">
        <v>199</v>
      </c>
      <c r="O13"/>
      <c r="P13"/>
      <c r="Q13"/>
      <c r="R13"/>
      <c r="S13"/>
      <c r="U13" s="316"/>
      <c r="V13" s="316"/>
      <c r="W13" s="1508">
        <f>+W12/1000</f>
        <v>13287949.841423992</v>
      </c>
      <c r="X13" s="1511" t="s">
        <v>199</v>
      </c>
      <c r="Y13"/>
      <c r="Z13"/>
      <c r="AA13"/>
      <c r="AB13"/>
      <c r="AC13"/>
      <c r="AE13" s="316"/>
      <c r="AF13" s="316"/>
      <c r="AG13" s="1508">
        <f>+AG12/1000</f>
        <v>13619320.966961903</v>
      </c>
      <c r="AH13" s="1511" t="s">
        <v>199</v>
      </c>
      <c r="AI13"/>
      <c r="AJ13"/>
      <c r="AK13"/>
      <c r="AL13"/>
      <c r="AM13"/>
      <c r="AN13" s="1">
        <f>AG10*0.69</f>
        <v>869.67600000000004</v>
      </c>
    </row>
    <row r="14" spans="1:40" x14ac:dyDescent="0.25">
      <c r="A14" s="202"/>
      <c r="B14" s="203" t="s">
        <v>200</v>
      </c>
      <c r="C14" s="204">
        <f>+C13/1000</f>
        <v>13360.450703321205</v>
      </c>
      <c r="D14" s="204" t="s">
        <v>201</v>
      </c>
      <c r="E14" s="198"/>
      <c r="F14" s="198"/>
      <c r="G14" s="198"/>
      <c r="H14" s="194"/>
      <c r="I14" s="194"/>
      <c r="J14" s="185"/>
      <c r="K14" s="1512"/>
      <c r="L14" s="1513" t="s">
        <v>200</v>
      </c>
      <c r="M14" s="1514">
        <f>+M13/1000</f>
        <v>12801.17602271706</v>
      </c>
      <c r="N14" s="1514" t="s">
        <v>201</v>
      </c>
      <c r="O14"/>
      <c r="P14"/>
      <c r="Q14" t="s">
        <v>1686</v>
      </c>
      <c r="R14"/>
      <c r="S14"/>
      <c r="U14" s="1512"/>
      <c r="V14" s="1513" t="s">
        <v>200</v>
      </c>
      <c r="W14" s="1514">
        <f>+W13/1000</f>
        <v>13287.949841423992</v>
      </c>
      <c r="X14" s="1514" t="s">
        <v>201</v>
      </c>
      <c r="Y14"/>
      <c r="Z14"/>
      <c r="AA14"/>
      <c r="AB14"/>
      <c r="AC14"/>
      <c r="AE14" s="1512"/>
      <c r="AF14" s="1513" t="s">
        <v>200</v>
      </c>
      <c r="AG14" s="1514">
        <f>+AG13/1000</f>
        <v>13619.320966961903</v>
      </c>
      <c r="AH14" s="1514" t="s">
        <v>201</v>
      </c>
      <c r="AI14"/>
      <c r="AJ14"/>
      <c r="AK14"/>
      <c r="AL14"/>
      <c r="AM14"/>
    </row>
    <row r="15" spans="1:40" x14ac:dyDescent="0.25">
      <c r="A15" s="205">
        <f>B15*C$13</f>
        <v>10684321.321857791</v>
      </c>
      <c r="B15" s="189">
        <f>C15/C$9</f>
        <v>0.79969767181595386</v>
      </c>
      <c r="C15" s="206">
        <f>B31</f>
        <v>1242362.9444020686</v>
      </c>
      <c r="D15" s="197" t="s">
        <v>202</v>
      </c>
      <c r="E15" s="198"/>
      <c r="F15" s="198"/>
      <c r="G15" s="198"/>
      <c r="H15" s="194"/>
      <c r="I15" s="194"/>
      <c r="K15" s="1515">
        <f>L15*M$13</f>
        <v>10237070.661873044</v>
      </c>
      <c r="L15" s="1516">
        <f>M15/M$9</f>
        <v>0.79969767181595386</v>
      </c>
      <c r="M15" s="1508">
        <f>L31</f>
        <v>1242362.9444020686</v>
      </c>
      <c r="N15" s="1508" t="s">
        <v>202</v>
      </c>
      <c r="O15"/>
      <c r="P15"/>
      <c r="Q15"/>
      <c r="R15"/>
      <c r="S15"/>
      <c r="U15" s="1515">
        <f>V15*W$13</f>
        <v>10635036.463677453</v>
      </c>
      <c r="V15" s="1516">
        <f>W15/W$9</f>
        <v>0.80035194221787931</v>
      </c>
      <c r="W15" s="1508">
        <f>V31</f>
        <v>1251180.7604326417</v>
      </c>
      <c r="X15" s="1508" t="s">
        <v>202</v>
      </c>
      <c r="Y15"/>
      <c r="Z15"/>
      <c r="AA15"/>
      <c r="AB15"/>
      <c r="AC15"/>
      <c r="AE15" s="1515">
        <f>AF15*AG$13</f>
        <v>10903752.395925894</v>
      </c>
      <c r="AF15" s="1516">
        <f>AG15/AG$9</f>
        <v>0.80060910689868425</v>
      </c>
      <c r="AG15" s="1508">
        <f>AF31</f>
        <v>1253304.8730949303</v>
      </c>
      <c r="AH15" s="1508" t="s">
        <v>202</v>
      </c>
      <c r="AI15"/>
      <c r="AJ15"/>
      <c r="AK15"/>
      <c r="AL15"/>
      <c r="AM15"/>
    </row>
    <row r="16" spans="1:40" x14ac:dyDescent="0.25">
      <c r="A16" s="205">
        <f>B16*C$13</f>
        <v>1035825.128573393</v>
      </c>
      <c r="B16" s="189">
        <f>C16/C$9</f>
        <v>7.7529205531659387E-2</v>
      </c>
      <c r="C16" s="206">
        <f>B37</f>
        <v>120444.78239225497</v>
      </c>
      <c r="D16" s="197" t="s">
        <v>203</v>
      </c>
      <c r="E16" s="194"/>
      <c r="F16" s="194"/>
      <c r="G16" s="194"/>
      <c r="H16" s="194"/>
      <c r="I16" s="194"/>
      <c r="K16" s="1515">
        <f>L16*M$13</f>
        <v>992465.00691218104</v>
      </c>
      <c r="L16" s="1516">
        <f>M16/M$9</f>
        <v>7.7529205531659387E-2</v>
      </c>
      <c r="M16" s="1508">
        <f>L37</f>
        <v>120444.78239225497</v>
      </c>
      <c r="N16" s="1508" t="s">
        <v>203</v>
      </c>
      <c r="O16"/>
      <c r="P16"/>
      <c r="Q16"/>
      <c r="R16"/>
      <c r="S16"/>
      <c r="U16" s="1515">
        <f>V16*W$13</f>
        <v>1007952.5342241423</v>
      </c>
      <c r="V16" s="1516">
        <f>W16/W$9</f>
        <v>7.5854631169809256E-2</v>
      </c>
      <c r="W16" s="1508">
        <f>V37</f>
        <v>118582.65108519323</v>
      </c>
      <c r="X16" s="1508" t="s">
        <v>203</v>
      </c>
      <c r="Y16"/>
      <c r="Z16"/>
      <c r="AA16"/>
      <c r="AB16"/>
      <c r="AC16"/>
      <c r="AD16" s="1">
        <f>W10*0.7</f>
        <v>849.59</v>
      </c>
      <c r="AE16" s="1515">
        <f>AF16*AG$13</f>
        <v>1031634.9193337444</v>
      </c>
      <c r="AF16" s="1516">
        <f>AG16/AG$9</f>
        <v>7.5747896817786348E-2</v>
      </c>
      <c r="AG16" s="1508">
        <f>AF37</f>
        <v>118578.7263602005</v>
      </c>
      <c r="AH16" s="1508" t="s">
        <v>203</v>
      </c>
      <c r="AI16"/>
      <c r="AJ16"/>
      <c r="AK16"/>
      <c r="AL16"/>
      <c r="AM16"/>
    </row>
    <row r="17" spans="1:40" x14ac:dyDescent="0.25">
      <c r="A17" s="205">
        <f>B17*C$13</f>
        <v>1639261.6252221344</v>
      </c>
      <c r="B17" s="189">
        <f>C17/C$9</f>
        <v>0.12269508429192728</v>
      </c>
      <c r="C17" s="206">
        <f>B35</f>
        <v>190611.81688629469</v>
      </c>
      <c r="D17" s="197" t="s">
        <v>204</v>
      </c>
      <c r="E17" s="194"/>
      <c r="F17" s="194"/>
      <c r="G17" s="194"/>
      <c r="H17" s="194"/>
      <c r="I17" s="194"/>
      <c r="K17" s="1515">
        <f>L17*M$13</f>
        <v>1570641.3711430682</v>
      </c>
      <c r="L17" s="1516">
        <f>M17/M$9</f>
        <v>0.12269508429192728</v>
      </c>
      <c r="M17" s="1508">
        <f>L35</f>
        <v>190611.81688629469</v>
      </c>
      <c r="N17" s="1508" t="s">
        <v>204</v>
      </c>
      <c r="O17"/>
      <c r="P17"/>
      <c r="Q17"/>
      <c r="R17"/>
      <c r="S17"/>
      <c r="U17" s="1515">
        <f>V17*W$13</f>
        <v>1643947.9555376347</v>
      </c>
      <c r="V17" s="1516">
        <f>W17/W$9</f>
        <v>0.12371720055811576</v>
      </c>
      <c r="W17" s="1508">
        <f>V35</f>
        <v>193405.64182795704</v>
      </c>
      <c r="X17" s="1508" t="s">
        <v>204</v>
      </c>
      <c r="Y17"/>
      <c r="Z17"/>
      <c r="AA17"/>
      <c r="AB17"/>
      <c r="AC17"/>
      <c r="AE17" s="1515">
        <f>AF17*AG$13</f>
        <v>1682829.5031731301</v>
      </c>
      <c r="AF17" s="1516">
        <f>AG17/AG$9</f>
        <v>0.12356192406768156</v>
      </c>
      <c r="AG17" s="1508">
        <f>AF35</f>
        <v>193428.67852564712</v>
      </c>
      <c r="AH17" s="1508" t="s">
        <v>204</v>
      </c>
      <c r="AI17"/>
      <c r="AJ17"/>
      <c r="AK17"/>
      <c r="AL17"/>
      <c r="AM17"/>
    </row>
    <row r="18" spans="1:40" x14ac:dyDescent="0.25">
      <c r="A18" s="205">
        <f>B18*C$13</f>
        <v>1042.6276678873435</v>
      </c>
      <c r="B18" s="189">
        <f>C18/C$9</f>
        <v>7.8038360459513692E-5</v>
      </c>
      <c r="C18" s="206">
        <f>B34</f>
        <v>121.2357753357376</v>
      </c>
      <c r="D18" s="197" t="s">
        <v>205</v>
      </c>
      <c r="E18" s="194"/>
      <c r="F18" s="194"/>
      <c r="G18" s="194"/>
      <c r="H18" s="194"/>
      <c r="I18" s="194"/>
      <c r="K18" s="1515">
        <f>L18*M$13</f>
        <v>998.98278876647782</v>
      </c>
      <c r="L18" s="1516">
        <f>M18/M$9</f>
        <v>7.8038360459513692E-5</v>
      </c>
      <c r="M18" s="1508">
        <f>L34</f>
        <v>121.2357753357376</v>
      </c>
      <c r="N18" s="1508" t="s">
        <v>205</v>
      </c>
      <c r="O18"/>
      <c r="P18"/>
      <c r="Q18"/>
      <c r="R18"/>
      <c r="S18"/>
      <c r="U18" s="1515">
        <f>V18*W$13</f>
        <v>1012.8879847617314</v>
      </c>
      <c r="V18" s="1516">
        <f>W18/W$9</f>
        <v>7.6226054195670126E-5</v>
      </c>
      <c r="W18" s="1508">
        <f>V34</f>
        <v>119.16329232490959</v>
      </c>
      <c r="X18" s="1508" t="s">
        <v>205</v>
      </c>
      <c r="Y18"/>
      <c r="Z18"/>
      <c r="AA18"/>
      <c r="AB18"/>
      <c r="AC18"/>
      <c r="AE18" s="1515">
        <f>AF18*AG$13</f>
        <v>1104.1485291337285</v>
      </c>
      <c r="AF18" s="1516">
        <f>AG18/AG$9</f>
        <v>8.1072215847779794E-5</v>
      </c>
      <c r="AG18" s="1508">
        <f>AF34</f>
        <v>126.91362403835959</v>
      </c>
      <c r="AH18" s="1508" t="s">
        <v>205</v>
      </c>
      <c r="AI18"/>
      <c r="AJ18"/>
      <c r="AK18"/>
      <c r="AL18"/>
      <c r="AM18"/>
    </row>
    <row r="19" spans="1:40" x14ac:dyDescent="0.25">
      <c r="A19" s="196"/>
      <c r="B19" s="196"/>
      <c r="C19" s="196"/>
      <c r="D19" s="196"/>
      <c r="E19" s="194"/>
      <c r="F19" s="194"/>
      <c r="G19" s="194"/>
      <c r="H19" s="194"/>
      <c r="I19" s="194"/>
      <c r="K19" s="316"/>
      <c r="L19" s="316"/>
      <c r="M19" s="316"/>
      <c r="N19" s="316"/>
      <c r="O19"/>
      <c r="P19"/>
      <c r="Q19"/>
      <c r="R19"/>
      <c r="S19"/>
      <c r="U19" s="316"/>
      <c r="V19" s="316"/>
      <c r="W19" s="316"/>
      <c r="X19" s="316"/>
      <c r="Y19"/>
      <c r="Z19"/>
      <c r="AA19"/>
      <c r="AB19"/>
      <c r="AC19"/>
      <c r="AE19" s="316"/>
      <c r="AF19" s="316"/>
      <c r="AG19" s="316"/>
      <c r="AH19" s="316"/>
      <c r="AI19"/>
      <c r="AJ19"/>
      <c r="AK19"/>
      <c r="AL19"/>
      <c r="AM19"/>
    </row>
    <row r="20" spans="1:40" x14ac:dyDescent="0.25">
      <c r="A20" s="196" t="s">
        <v>206</v>
      </c>
      <c r="B20" s="1558">
        <f>A15+A17+A16</f>
        <v>13359408.07565332</v>
      </c>
      <c r="C20" s="1559" t="s">
        <v>207</v>
      </c>
      <c r="D20" s="196"/>
      <c r="E20" s="194"/>
      <c r="F20" s="194"/>
      <c r="G20" s="194"/>
      <c r="H20" s="194"/>
      <c r="I20" s="194"/>
      <c r="K20" s="1517" t="s">
        <v>1687</v>
      </c>
      <c r="L20" s="1564">
        <f>K15+K17+K16</f>
        <v>12800177.039928293</v>
      </c>
      <c r="M20" s="1565" t="s">
        <v>207</v>
      </c>
      <c r="N20" s="316"/>
      <c r="O20"/>
      <c r="P20"/>
      <c r="Q20"/>
      <c r="R20"/>
      <c r="S20"/>
      <c r="U20" s="316" t="s">
        <v>1692</v>
      </c>
      <c r="V20" s="1557">
        <f>U15+U17+U16</f>
        <v>13286936.953439228</v>
      </c>
      <c r="W20" s="1563" t="s">
        <v>207</v>
      </c>
      <c r="X20" s="316"/>
      <c r="Y20"/>
      <c r="Z20"/>
      <c r="AA20"/>
      <c r="AB20"/>
      <c r="AC20"/>
      <c r="AE20" s="1517" t="s">
        <v>1695</v>
      </c>
      <c r="AF20" s="1561">
        <f>AE15+AE17+AE16</f>
        <v>13618216.818432769</v>
      </c>
      <c r="AG20" s="1562" t="s">
        <v>207</v>
      </c>
      <c r="AH20" s="316"/>
      <c r="AI20"/>
      <c r="AJ20"/>
      <c r="AK20"/>
      <c r="AL20"/>
      <c r="AM20"/>
    </row>
    <row r="21" spans="1:40" x14ac:dyDescent="0.25">
      <c r="A21" s="196"/>
      <c r="B21" s="196"/>
      <c r="C21" s="196"/>
      <c r="D21" s="196"/>
      <c r="E21" s="194"/>
      <c r="F21" s="194"/>
      <c r="G21" s="194"/>
      <c r="H21" s="194"/>
      <c r="I21" s="194"/>
      <c r="K21" s="316"/>
      <c r="L21" s="316"/>
      <c r="M21" s="316"/>
      <c r="N21" s="316"/>
      <c r="O21"/>
      <c r="P21"/>
      <c r="Q21"/>
      <c r="R21"/>
      <c r="S21"/>
      <c r="U21" s="316"/>
      <c r="V21" s="316"/>
      <c r="W21" s="316"/>
      <c r="X21" s="316"/>
      <c r="Y21"/>
      <c r="Z21"/>
      <c r="AA21"/>
      <c r="AB21"/>
      <c r="AC21"/>
      <c r="AE21" s="316"/>
      <c r="AF21" s="316"/>
      <c r="AG21" s="316"/>
      <c r="AH21" s="316"/>
      <c r="AI21"/>
      <c r="AJ21"/>
      <c r="AK21"/>
      <c r="AL21"/>
      <c r="AM21"/>
    </row>
    <row r="22" spans="1:40" x14ac:dyDescent="0.25">
      <c r="A22" s="207" t="s">
        <v>208</v>
      </c>
      <c r="B22" s="208"/>
      <c r="C22" s="208" t="s">
        <v>209</v>
      </c>
      <c r="D22" s="208" t="s">
        <v>210</v>
      </c>
      <c r="E22" s="208" t="s">
        <v>211</v>
      </c>
      <c r="F22" s="208" t="s">
        <v>212</v>
      </c>
      <c r="G22" s="208"/>
      <c r="H22" s="208"/>
      <c r="I22" s="208"/>
      <c r="K22" s="1518" t="s">
        <v>1688</v>
      </c>
      <c r="L22" s="1519"/>
      <c r="M22" s="1519" t="s">
        <v>209</v>
      </c>
      <c r="N22" s="1519" t="s">
        <v>210</v>
      </c>
      <c r="O22" s="1519" t="s">
        <v>211</v>
      </c>
      <c r="P22" s="1519" t="s">
        <v>212</v>
      </c>
      <c r="Q22" s="1519"/>
      <c r="R22" s="1519"/>
      <c r="S22" s="1519"/>
      <c r="T22" s="1520"/>
      <c r="U22" s="1518" t="s">
        <v>1696</v>
      </c>
      <c r="V22" s="1519"/>
      <c r="W22" s="1519" t="s">
        <v>209</v>
      </c>
      <c r="X22" s="1519" t="s">
        <v>210</v>
      </c>
      <c r="Y22" s="1519" t="s">
        <v>211</v>
      </c>
      <c r="Z22" s="1519" t="s">
        <v>212</v>
      </c>
      <c r="AA22" s="1519"/>
      <c r="AB22" s="1519"/>
      <c r="AC22" s="1519"/>
      <c r="AD22" s="1520"/>
      <c r="AE22" s="1518" t="s">
        <v>208</v>
      </c>
      <c r="AF22" s="1519"/>
      <c r="AG22" s="1519" t="s">
        <v>209</v>
      </c>
      <c r="AH22" s="1519" t="s">
        <v>210</v>
      </c>
      <c r="AI22" s="1519" t="s">
        <v>211</v>
      </c>
      <c r="AJ22" s="1519" t="s">
        <v>212</v>
      </c>
      <c r="AK22" s="1519"/>
      <c r="AL22" s="1519"/>
      <c r="AM22" s="1519"/>
      <c r="AN22" s="1520"/>
    </row>
    <row r="23" spans="1:40" x14ac:dyDescent="0.25">
      <c r="A23" s="197">
        <f>C15</f>
        <v>1242362.9444020686</v>
      </c>
      <c r="B23" s="197" t="s">
        <v>202</v>
      </c>
      <c r="C23" s="197">
        <v>860</v>
      </c>
      <c r="D23" s="197">
        <f>A23*C23</f>
        <v>1068432132.185779</v>
      </c>
      <c r="E23" s="197">
        <f>D23*10000/1000</f>
        <v>10684321321.85779</v>
      </c>
      <c r="F23" s="197">
        <f>E23/1000</f>
        <v>10684321.32185779</v>
      </c>
      <c r="G23" s="197"/>
      <c r="H23" s="196"/>
      <c r="I23" s="196"/>
      <c r="K23" s="1508">
        <v>1242362.94</v>
      </c>
      <c r="L23" s="1508" t="s">
        <v>202</v>
      </c>
      <c r="M23" s="1508">
        <v>824</v>
      </c>
      <c r="N23" s="1508">
        <f>K23*M23</f>
        <v>1023707062.5599999</v>
      </c>
      <c r="O23" s="1508">
        <f>N23*10000/1000</f>
        <v>10237070625.6</v>
      </c>
      <c r="P23" s="1508">
        <f>O23/1000</f>
        <v>10237070.625600001</v>
      </c>
      <c r="Q23" s="1508"/>
      <c r="R23" s="316"/>
      <c r="S23" s="316"/>
      <c r="T23" s="3"/>
      <c r="U23" s="1508">
        <f>V31</f>
        <v>1251180.7604326417</v>
      </c>
      <c r="V23" s="1508" t="s">
        <v>202</v>
      </c>
      <c r="W23" s="1508">
        <v>850</v>
      </c>
      <c r="X23" s="1508">
        <f>U23*W23</f>
        <v>1063503646.3677455</v>
      </c>
      <c r="Y23" s="1508">
        <f>X23*10000/1000</f>
        <v>10635036463.677456</v>
      </c>
      <c r="Z23" s="1508">
        <f>Y23/1000</f>
        <v>10635036.463677457</v>
      </c>
      <c r="AA23" s="1508"/>
      <c r="AB23" s="316"/>
      <c r="AC23" s="316"/>
      <c r="AD23" s="3"/>
      <c r="AE23" s="1508">
        <f>AF31</f>
        <v>1253304.8730949303</v>
      </c>
      <c r="AF23" s="1508" t="s">
        <v>202</v>
      </c>
      <c r="AG23" s="1508">
        <v>870</v>
      </c>
      <c r="AH23" s="1508">
        <f>AE23*AG23</f>
        <v>1090375239.5925894</v>
      </c>
      <c r="AI23" s="1508">
        <f>AH23*10000/1000</f>
        <v>10903752395.925894</v>
      </c>
      <c r="AJ23" s="1508">
        <f>AI23/1000</f>
        <v>10903752.395925894</v>
      </c>
      <c r="AK23" s="1508"/>
      <c r="AL23" s="316"/>
      <c r="AM23" s="316"/>
      <c r="AN23" s="3"/>
    </row>
    <row r="24" spans="1:40" x14ac:dyDescent="0.25">
      <c r="A24" s="197">
        <f>C16</f>
        <v>120444.78239225497</v>
      </c>
      <c r="B24" s="197" t="s">
        <v>203</v>
      </c>
      <c r="C24" s="197">
        <v>860</v>
      </c>
      <c r="D24" s="197">
        <f>A24*C24</f>
        <v>103582512.85733928</v>
      </c>
      <c r="E24" s="197">
        <f>D24*10000/1000</f>
        <v>1035825128.5733929</v>
      </c>
      <c r="F24" s="197">
        <f>E24/1000</f>
        <v>1035825.1285733929</v>
      </c>
      <c r="G24" s="197"/>
      <c r="H24" s="196"/>
      <c r="I24" s="196"/>
      <c r="K24" s="1508">
        <v>120444.78</v>
      </c>
      <c r="L24" s="1508" t="s">
        <v>203</v>
      </c>
      <c r="M24" s="1508">
        <v>824</v>
      </c>
      <c r="N24" s="1508">
        <f>K24*M24</f>
        <v>99246498.719999999</v>
      </c>
      <c r="O24" s="1508">
        <f>N24*10000/1000</f>
        <v>992464987.20000005</v>
      </c>
      <c r="P24" s="1508">
        <f>O24/1000</f>
        <v>992464.98720000009</v>
      </c>
      <c r="Q24" s="1508"/>
      <c r="R24" s="316"/>
      <c r="S24" s="316"/>
      <c r="T24" s="3"/>
      <c r="U24" s="1508">
        <f>V37</f>
        <v>118582.65108519323</v>
      </c>
      <c r="V24" s="1508" t="s">
        <v>203</v>
      </c>
      <c r="W24" s="1508">
        <v>850</v>
      </c>
      <c r="X24" s="1508">
        <f>U24*W24</f>
        <v>100795253.42241424</v>
      </c>
      <c r="Y24" s="1508">
        <f>X24*10000/1000</f>
        <v>1007952534.2241424</v>
      </c>
      <c r="Z24" s="1508">
        <f>Y24/1000</f>
        <v>1007952.5342241424</v>
      </c>
      <c r="AA24" s="1508"/>
      <c r="AB24" s="316"/>
      <c r="AC24" s="316"/>
      <c r="AD24" s="3"/>
      <c r="AE24" s="1508">
        <f>AF37</f>
        <v>118578.7263602005</v>
      </c>
      <c r="AF24" s="1508" t="s">
        <v>203</v>
      </c>
      <c r="AG24" s="1508">
        <v>870</v>
      </c>
      <c r="AH24" s="1508">
        <f>AE24*AG24</f>
        <v>103163491.93337443</v>
      </c>
      <c r="AI24" s="1508">
        <f>AH24*10000/1000</f>
        <v>1031634919.3337444</v>
      </c>
      <c r="AJ24" s="1508">
        <f>AI24/1000</f>
        <v>1031634.9193337444</v>
      </c>
      <c r="AK24" s="1508"/>
      <c r="AL24" s="316"/>
      <c r="AM24" s="316"/>
      <c r="AN24" s="3"/>
    </row>
    <row r="25" spans="1:40" x14ac:dyDescent="0.25">
      <c r="A25" s="197">
        <f>C17</f>
        <v>190611.81688629469</v>
      </c>
      <c r="B25" s="197" t="s">
        <v>204</v>
      </c>
      <c r="C25" s="197">
        <v>860</v>
      </c>
      <c r="D25" s="197">
        <f>A25*C25</f>
        <v>163926162.52221343</v>
      </c>
      <c r="E25" s="197">
        <f>D25*10000/1000</f>
        <v>1639261625.2221344</v>
      </c>
      <c r="F25" s="197">
        <f>E25/1000</f>
        <v>1639261.6252221344</v>
      </c>
      <c r="G25" s="197"/>
      <c r="H25" s="196"/>
      <c r="I25" s="196"/>
      <c r="K25" s="1508">
        <v>190611.82</v>
      </c>
      <c r="L25" s="1508" t="s">
        <v>204</v>
      </c>
      <c r="M25" s="1508">
        <v>824</v>
      </c>
      <c r="N25" s="1508">
        <f>K25*M25</f>
        <v>157064139.68000001</v>
      </c>
      <c r="O25" s="1508">
        <f>N25*10000/1000</f>
        <v>1570641396.8</v>
      </c>
      <c r="P25" s="1508">
        <f>O25/1000</f>
        <v>1570641.3968</v>
      </c>
      <c r="Q25" s="1508"/>
      <c r="R25" s="316"/>
      <c r="S25" s="316"/>
      <c r="T25" s="3"/>
      <c r="U25" s="1508">
        <f>V35</f>
        <v>193405.64182795704</v>
      </c>
      <c r="V25" s="1508" t="s">
        <v>204</v>
      </c>
      <c r="W25" s="1508">
        <v>850</v>
      </c>
      <c r="X25" s="1508">
        <f>U25*W25</f>
        <v>164394795.55376348</v>
      </c>
      <c r="Y25" s="1508">
        <f>X25*10000/1000</f>
        <v>1643947955.5376348</v>
      </c>
      <c r="Z25" s="1508">
        <f>Y25/1000</f>
        <v>1643947.9555376349</v>
      </c>
      <c r="AA25" s="1508"/>
      <c r="AB25" s="316"/>
      <c r="AC25" s="316"/>
      <c r="AD25" s="3"/>
      <c r="AE25" s="1508">
        <f>AF35</f>
        <v>193428.67852564712</v>
      </c>
      <c r="AF25" s="1508" t="s">
        <v>204</v>
      </c>
      <c r="AG25" s="1508">
        <v>870</v>
      </c>
      <c r="AH25" s="1508">
        <f>AE25*AG25</f>
        <v>168282950.31731299</v>
      </c>
      <c r="AI25" s="1508">
        <f>AH25*10000/1000</f>
        <v>1682829503.1731298</v>
      </c>
      <c r="AJ25" s="1508">
        <f>AI25/1000</f>
        <v>1682829.5031731299</v>
      </c>
      <c r="AK25" s="1508"/>
      <c r="AL25" s="316"/>
      <c r="AM25" s="316"/>
      <c r="AN25" s="3"/>
    </row>
    <row r="26" spans="1:40" x14ac:dyDescent="0.25">
      <c r="A26" s="197">
        <f>C18</f>
        <v>121.2357753357376</v>
      </c>
      <c r="B26" s="197" t="s">
        <v>205</v>
      </c>
      <c r="C26" s="197">
        <v>860</v>
      </c>
      <c r="D26" s="197">
        <f>A26*C26</f>
        <v>104262.76678873434</v>
      </c>
      <c r="E26" s="197">
        <f>D26*10000/1000</f>
        <v>1042627.6678873434</v>
      </c>
      <c r="F26" s="197">
        <f>E26/1000</f>
        <v>1042.6276678873435</v>
      </c>
      <c r="G26" s="197"/>
      <c r="H26" s="196"/>
      <c r="I26" s="196"/>
      <c r="K26" s="1508">
        <v>121.24</v>
      </c>
      <c r="L26" s="1508" t="s">
        <v>205</v>
      </c>
      <c r="M26" s="1508">
        <v>824</v>
      </c>
      <c r="N26" s="1508">
        <f>K26*M26</f>
        <v>99901.759999999995</v>
      </c>
      <c r="O26" s="1508">
        <f>N26*10000/1000</f>
        <v>999017.6</v>
      </c>
      <c r="P26" s="1508">
        <f>O26/1000</f>
        <v>999.01760000000002</v>
      </c>
      <c r="Q26" s="1508"/>
      <c r="R26" s="316"/>
      <c r="S26" s="316"/>
      <c r="T26" s="3"/>
      <c r="U26" s="1508">
        <f>V34</f>
        <v>119.16329232490959</v>
      </c>
      <c r="V26" s="1508" t="s">
        <v>205</v>
      </c>
      <c r="W26" s="1508">
        <v>850</v>
      </c>
      <c r="X26" s="1508">
        <f>U26*W26</f>
        <v>101288.79847617315</v>
      </c>
      <c r="Y26" s="1508">
        <f>X26*10000/1000</f>
        <v>1012887.9847617315</v>
      </c>
      <c r="Z26" s="1508">
        <f>Y26/1000</f>
        <v>1012.8879847617314</v>
      </c>
      <c r="AA26" s="1508"/>
      <c r="AB26" s="316"/>
      <c r="AC26" s="316"/>
      <c r="AD26" s="3"/>
      <c r="AE26" s="1508">
        <f>AF34</f>
        <v>126.91362403835959</v>
      </c>
      <c r="AF26" s="1508" t="s">
        <v>205</v>
      </c>
      <c r="AG26" s="1508">
        <v>870</v>
      </c>
      <c r="AH26" s="1508">
        <f>AE26*AG26</f>
        <v>110414.85291337284</v>
      </c>
      <c r="AI26" s="1508">
        <f>AH26*10000/1000</f>
        <v>1104148.5291337285</v>
      </c>
      <c r="AJ26" s="1508">
        <f>AI26/1000</f>
        <v>1104.1485291337285</v>
      </c>
      <c r="AK26" s="1508"/>
      <c r="AL26" s="316"/>
      <c r="AM26" s="316"/>
      <c r="AN26" s="3"/>
    </row>
    <row r="27" spans="1:40" x14ac:dyDescent="0.25">
      <c r="A27" s="197"/>
      <c r="B27" s="197"/>
      <c r="C27" s="197"/>
      <c r="D27" s="197"/>
      <c r="E27" s="197"/>
      <c r="F27" s="197"/>
      <c r="G27" s="197"/>
      <c r="H27" s="196"/>
      <c r="I27" s="196"/>
      <c r="K27" s="1508"/>
      <c r="L27" s="1508"/>
      <c r="M27" s="1508"/>
      <c r="N27" s="1521"/>
      <c r="O27" s="1521"/>
      <c r="P27" s="1521"/>
      <c r="Q27" s="1508"/>
      <c r="R27" s="316"/>
      <c r="S27" s="316"/>
      <c r="T27" s="3"/>
      <c r="U27" s="187" t="s">
        <v>213</v>
      </c>
      <c r="V27"/>
      <c r="W27"/>
      <c r="X27"/>
      <c r="Y27"/>
      <c r="Z27"/>
      <c r="AA27"/>
      <c r="AB27"/>
      <c r="AC27"/>
      <c r="AE27" s="187" t="s">
        <v>213</v>
      </c>
      <c r="AF27"/>
      <c r="AG27"/>
      <c r="AH27"/>
      <c r="AI27"/>
      <c r="AJ27"/>
      <c r="AK27"/>
      <c r="AL27"/>
      <c r="AM27"/>
    </row>
    <row r="28" spans="1:40" ht="15.75" thickBot="1" x14ac:dyDescent="0.3">
      <c r="A28" s="193" t="s">
        <v>213</v>
      </c>
      <c r="B28" s="194"/>
      <c r="C28" s="194"/>
      <c r="D28" s="194"/>
      <c r="E28" s="194"/>
      <c r="F28" s="194"/>
      <c r="G28" s="194"/>
      <c r="H28" s="194"/>
      <c r="I28" s="194"/>
      <c r="K28" s="187" t="s">
        <v>213</v>
      </c>
      <c r="L28"/>
      <c r="M28"/>
      <c r="N28"/>
      <c r="O28"/>
      <c r="P28"/>
      <c r="Q28"/>
      <c r="R28"/>
      <c r="S28"/>
      <c r="AH28" s="1"/>
      <c r="AI28" s="1"/>
      <c r="AJ28" s="1"/>
      <c r="AK28" s="1"/>
      <c r="AL28" s="1"/>
      <c r="AM28" s="1"/>
      <c r="AN28" s="1"/>
    </row>
    <row r="29" spans="1:40" ht="15.75" thickBot="1" x14ac:dyDescent="0.3">
      <c r="A29" s="209" t="s">
        <v>214</v>
      </c>
      <c r="B29" s="210" t="s">
        <v>215</v>
      </c>
      <c r="C29" s="211" t="s">
        <v>216</v>
      </c>
      <c r="D29" s="194"/>
      <c r="E29" s="194"/>
      <c r="F29" s="194"/>
      <c r="G29" s="194"/>
      <c r="H29" s="194"/>
      <c r="I29" s="194"/>
      <c r="K29" s="1522" t="s">
        <v>214</v>
      </c>
      <c r="L29" s="1367" t="s">
        <v>215</v>
      </c>
      <c r="M29" s="1523" t="s">
        <v>216</v>
      </c>
      <c r="N29" s="1"/>
      <c r="O29" s="1"/>
      <c r="P29" s="1"/>
      <c r="Q29" s="1"/>
      <c r="R29" s="1"/>
      <c r="S29" s="1"/>
      <c r="T29" s="1"/>
      <c r="U29" s="1522" t="s">
        <v>214</v>
      </c>
      <c r="V29" s="1367" t="s">
        <v>215</v>
      </c>
      <c r="W29" s="1523" t="s">
        <v>216</v>
      </c>
      <c r="X29" s="1"/>
      <c r="Y29" s="1"/>
      <c r="Z29" s="1"/>
      <c r="AA29" s="1"/>
      <c r="AB29" s="1"/>
      <c r="AC29" s="1"/>
      <c r="AD29" s="1"/>
      <c r="AE29" s="1522" t="s">
        <v>214</v>
      </c>
      <c r="AF29" s="1367" t="s">
        <v>215</v>
      </c>
      <c r="AG29" s="1523" t="s">
        <v>216</v>
      </c>
      <c r="AH29" s="1"/>
      <c r="AI29" s="1"/>
      <c r="AJ29" s="1"/>
      <c r="AK29" s="1"/>
      <c r="AL29" s="1"/>
      <c r="AM29" s="1"/>
      <c r="AN29" s="1"/>
    </row>
    <row r="30" spans="1:40" x14ac:dyDescent="0.25">
      <c r="A30" s="212"/>
      <c r="B30" s="213"/>
      <c r="C30" s="214"/>
      <c r="D30" s="1"/>
      <c r="K30" s="1524">
        <v>1918</v>
      </c>
      <c r="L30" s="1525">
        <v>6713.8837204796046</v>
      </c>
      <c r="M30" s="1526" t="s">
        <v>1689</v>
      </c>
      <c r="N30" s="1"/>
      <c r="O30" s="1"/>
      <c r="P30" s="1"/>
      <c r="Q30" s="1"/>
      <c r="R30" s="1"/>
      <c r="S30" s="1"/>
      <c r="T30" s="1"/>
      <c r="U30" s="1538">
        <v>1973</v>
      </c>
      <c r="V30" s="1539">
        <v>6908.0849525536851</v>
      </c>
      <c r="W30" s="1526" t="s">
        <v>1689</v>
      </c>
      <c r="X30" s="1"/>
      <c r="Y30" s="1"/>
      <c r="Z30" s="1"/>
      <c r="AA30" s="1"/>
      <c r="AB30" s="1"/>
      <c r="AC30" s="1"/>
      <c r="AD30" s="1"/>
      <c r="AE30" s="1547">
        <v>1784</v>
      </c>
      <c r="AF30" s="1548">
        <v>6519.6726268085804</v>
      </c>
      <c r="AG30" s="1549" t="s">
        <v>1689</v>
      </c>
      <c r="AH30" s="1"/>
      <c r="AI30" s="1"/>
      <c r="AJ30" s="1"/>
      <c r="AK30" s="1"/>
      <c r="AL30" s="1"/>
      <c r="AM30" s="1"/>
      <c r="AN30" s="1"/>
    </row>
    <row r="31" spans="1:40" x14ac:dyDescent="0.25">
      <c r="A31" s="212">
        <v>7107286</v>
      </c>
      <c r="B31" s="213">
        <v>1242362.9444020686</v>
      </c>
      <c r="C31" s="214" t="s">
        <v>217</v>
      </c>
      <c r="D31" s="1"/>
      <c r="K31" s="1527">
        <v>7107286</v>
      </c>
      <c r="L31" s="1528">
        <v>1242362.9444020686</v>
      </c>
      <c r="M31" s="1529" t="s">
        <v>217</v>
      </c>
      <c r="N31" s="1"/>
      <c r="O31" s="1"/>
      <c r="P31" s="1"/>
      <c r="Q31" s="1"/>
      <c r="R31" s="1"/>
      <c r="S31" s="1"/>
      <c r="T31" s="1"/>
      <c r="U31" s="1540">
        <v>7251589</v>
      </c>
      <c r="V31" s="1541">
        <v>1251180.7604326417</v>
      </c>
      <c r="W31" s="1529" t="s">
        <v>217</v>
      </c>
      <c r="X31" s="1"/>
      <c r="Y31" s="1"/>
      <c r="Z31" s="1"/>
      <c r="AA31" s="1"/>
      <c r="AB31" s="1"/>
      <c r="AC31" s="1"/>
      <c r="AD31" s="1"/>
      <c r="AE31" s="1540">
        <v>7300822</v>
      </c>
      <c r="AF31" s="1550">
        <v>1253304.8730949303</v>
      </c>
      <c r="AG31" s="1529" t="s">
        <v>217</v>
      </c>
      <c r="AH31" s="1"/>
      <c r="AI31" s="1"/>
      <c r="AJ31" s="1"/>
      <c r="AK31" s="1"/>
      <c r="AL31" s="1"/>
      <c r="AM31" s="1"/>
      <c r="AN31" s="1"/>
    </row>
    <row r="32" spans="1:40" x14ac:dyDescent="0.25">
      <c r="A32" s="215">
        <v>59629</v>
      </c>
      <c r="B32" s="216">
        <v>8311.5019400974033</v>
      </c>
      <c r="C32" s="217" t="s">
        <v>218</v>
      </c>
      <c r="D32" s="1"/>
      <c r="K32" s="1527">
        <v>59629</v>
      </c>
      <c r="L32" s="1528">
        <v>8311.5019400974033</v>
      </c>
      <c r="M32" s="1529" t="s">
        <v>218</v>
      </c>
      <c r="N32" s="1"/>
      <c r="O32" s="1"/>
      <c r="P32" s="1"/>
      <c r="Q32" s="1"/>
      <c r="R32" s="1"/>
      <c r="S32" s="1"/>
      <c r="T32" s="1"/>
      <c r="U32" s="1540">
        <v>60007</v>
      </c>
      <c r="V32" s="1541">
        <v>8340.4226644066803</v>
      </c>
      <c r="W32" s="1529" t="s">
        <v>218</v>
      </c>
      <c r="X32" s="1"/>
      <c r="Y32" s="1"/>
      <c r="Z32" s="1"/>
      <c r="AA32" s="1"/>
      <c r="AB32" s="1"/>
      <c r="AC32" s="1"/>
      <c r="AD32" s="1"/>
      <c r="AE32" s="1540">
        <v>59890</v>
      </c>
      <c r="AF32" s="1550">
        <v>8364.3322952882609</v>
      </c>
      <c r="AG32" s="1529" t="s">
        <v>218</v>
      </c>
      <c r="AH32" s="1"/>
      <c r="AI32" s="1"/>
      <c r="AJ32" s="1"/>
      <c r="AK32" s="1"/>
      <c r="AL32" s="1"/>
      <c r="AM32" s="1"/>
      <c r="AN32" s="1"/>
    </row>
    <row r="33" spans="1:40" x14ac:dyDescent="0.25">
      <c r="A33" s="215">
        <v>89737</v>
      </c>
      <c r="B33" s="216">
        <v>10754.162665262595</v>
      </c>
      <c r="C33" s="217" t="s">
        <v>219</v>
      </c>
      <c r="D33" s="1"/>
      <c r="K33" s="1527">
        <v>89737</v>
      </c>
      <c r="L33" s="1528">
        <v>10754.162665262595</v>
      </c>
      <c r="M33" s="1529" t="s">
        <v>219</v>
      </c>
      <c r="N33" s="1"/>
      <c r="O33" s="1"/>
      <c r="P33" s="1"/>
      <c r="Q33" s="1"/>
      <c r="R33" s="1"/>
      <c r="S33" s="1"/>
      <c r="T33" s="1"/>
      <c r="U33" s="1540">
        <v>90118</v>
      </c>
      <c r="V33" s="1541">
        <v>10615.16086426963</v>
      </c>
      <c r="W33" s="1529" t="s">
        <v>219</v>
      </c>
      <c r="X33" s="1"/>
      <c r="Y33" s="1"/>
      <c r="Z33" s="1"/>
      <c r="AA33" s="1"/>
      <c r="AB33" s="1"/>
      <c r="AC33" s="1"/>
      <c r="AD33" s="1"/>
      <c r="AE33" s="1540">
        <v>89913</v>
      </c>
      <c r="AF33" s="1550">
        <v>10547.513237215857</v>
      </c>
      <c r="AG33" s="1529" t="s">
        <v>219</v>
      </c>
      <c r="AH33" s="1"/>
      <c r="AI33" s="1"/>
      <c r="AJ33" s="1"/>
      <c r="AK33" s="1"/>
      <c r="AL33" s="1"/>
      <c r="AM33" s="1"/>
      <c r="AN33" s="1"/>
    </row>
    <row r="34" spans="1:40" x14ac:dyDescent="0.25">
      <c r="A34" s="215">
        <v>161</v>
      </c>
      <c r="B34" s="216">
        <v>121.2357753357376</v>
      </c>
      <c r="C34" s="217" t="s">
        <v>205</v>
      </c>
      <c r="D34" s="1"/>
      <c r="K34" s="1527">
        <v>161</v>
      </c>
      <c r="L34" s="1528">
        <v>121.2357753357376</v>
      </c>
      <c r="M34" s="1529" t="s">
        <v>205</v>
      </c>
      <c r="N34" s="1"/>
      <c r="O34" s="1"/>
      <c r="P34" s="1"/>
      <c r="Q34" s="1"/>
      <c r="R34" s="1"/>
      <c r="S34" s="1"/>
      <c r="T34" s="1"/>
      <c r="U34" s="1540">
        <v>180</v>
      </c>
      <c r="V34" s="1541">
        <v>119.16329232490959</v>
      </c>
      <c r="W34" s="1529" t="s">
        <v>205</v>
      </c>
      <c r="X34" s="1"/>
      <c r="Y34" s="1"/>
      <c r="Z34" s="1"/>
      <c r="AA34" s="1"/>
      <c r="AB34" s="1"/>
      <c r="AC34" s="1"/>
      <c r="AD34" s="1"/>
      <c r="AE34" s="1540">
        <v>188</v>
      </c>
      <c r="AF34" s="1550">
        <v>126.91362403835959</v>
      </c>
      <c r="AG34" s="1529" t="s">
        <v>205</v>
      </c>
      <c r="AH34" s="1"/>
      <c r="AI34" s="1"/>
      <c r="AJ34" s="1"/>
      <c r="AK34" s="1"/>
      <c r="AL34" s="1"/>
      <c r="AM34" s="1"/>
      <c r="AN34" s="1"/>
    </row>
    <row r="35" spans="1:40" x14ac:dyDescent="0.25">
      <c r="A35" s="215">
        <v>883327</v>
      </c>
      <c r="B35" s="216">
        <v>190611.81688629469</v>
      </c>
      <c r="C35" s="217" t="s">
        <v>220</v>
      </c>
      <c r="D35" s="1"/>
      <c r="K35" s="1527">
        <v>883327</v>
      </c>
      <c r="L35" s="1528">
        <v>190611.81688629469</v>
      </c>
      <c r="M35" s="1529" t="s">
        <v>220</v>
      </c>
      <c r="N35" s="1"/>
      <c r="O35" s="1"/>
      <c r="P35" s="1"/>
      <c r="Q35" s="1"/>
      <c r="R35" s="1"/>
      <c r="S35" s="1"/>
      <c r="T35" s="1"/>
      <c r="U35" s="1540">
        <v>909044</v>
      </c>
      <c r="V35" s="1541">
        <v>193405.64182795704</v>
      </c>
      <c r="W35" s="1529" t="s">
        <v>220</v>
      </c>
      <c r="X35" s="1"/>
      <c r="Y35" s="1"/>
      <c r="Z35" s="1"/>
      <c r="AA35" s="1"/>
      <c r="AB35" s="1"/>
      <c r="AC35" s="1"/>
      <c r="AD35" s="1"/>
      <c r="AE35" s="1540">
        <v>916305</v>
      </c>
      <c r="AF35" s="1550">
        <v>193428.67852564712</v>
      </c>
      <c r="AG35" s="1529" t="s">
        <v>220</v>
      </c>
      <c r="AH35" s="1"/>
      <c r="AI35" s="1"/>
      <c r="AJ35" s="1"/>
      <c r="AK35" s="1"/>
      <c r="AL35" s="1"/>
      <c r="AM35" s="1"/>
      <c r="AN35" s="1"/>
    </row>
    <row r="36" spans="1:40" x14ac:dyDescent="0.25">
      <c r="A36" s="215">
        <v>19305</v>
      </c>
      <c r="B36" s="216">
        <v>3490.431935545867</v>
      </c>
      <c r="C36" s="217" t="s">
        <v>221</v>
      </c>
      <c r="D36" s="1"/>
      <c r="K36" s="1527">
        <v>19305</v>
      </c>
      <c r="L36" s="1528">
        <v>3490.431935545867</v>
      </c>
      <c r="M36" s="1529" t="s">
        <v>221</v>
      </c>
      <c r="N36" s="1"/>
      <c r="O36" s="1"/>
      <c r="P36" s="1"/>
      <c r="Q36" s="1"/>
      <c r="R36" s="1"/>
      <c r="S36" s="1"/>
      <c r="T36" s="1"/>
      <c r="U36" s="1540">
        <v>19578</v>
      </c>
      <c r="V36" s="1541">
        <v>3370.2322251970008</v>
      </c>
      <c r="W36" s="1529" t="s">
        <v>221</v>
      </c>
      <c r="X36" s="1"/>
      <c r="Y36" s="1"/>
      <c r="Z36" s="1"/>
      <c r="AA36" s="1"/>
      <c r="AB36" s="1"/>
      <c r="AC36" s="1"/>
      <c r="AD36" s="1"/>
      <c r="AE36" s="1540">
        <v>19846</v>
      </c>
      <c r="AF36" s="1550">
        <v>3217.8269631999492</v>
      </c>
      <c r="AG36" s="1529" t="s">
        <v>221</v>
      </c>
      <c r="AH36" s="1"/>
      <c r="AI36" s="1"/>
      <c r="AJ36" s="1"/>
      <c r="AK36" s="1"/>
      <c r="AL36" s="1"/>
      <c r="AM36" s="1"/>
      <c r="AN36" s="1"/>
    </row>
    <row r="37" spans="1:40" x14ac:dyDescent="0.25">
      <c r="A37" s="215">
        <v>40273</v>
      </c>
      <c r="B37" s="216">
        <v>120444.78239225497</v>
      </c>
      <c r="C37" s="217" t="s">
        <v>203</v>
      </c>
      <c r="D37" s="1"/>
      <c r="K37" s="1527">
        <v>40273</v>
      </c>
      <c r="L37" s="1528">
        <v>120444.78239225497</v>
      </c>
      <c r="M37" s="1529" t="s">
        <v>203</v>
      </c>
      <c r="N37" s="1"/>
      <c r="O37" s="1"/>
      <c r="P37" s="1"/>
      <c r="Q37" s="1"/>
      <c r="R37" s="1"/>
      <c r="S37" s="1"/>
      <c r="T37" s="1"/>
      <c r="U37" s="1540">
        <v>40807</v>
      </c>
      <c r="V37" s="1541">
        <v>118582.65108519323</v>
      </c>
      <c r="W37" s="1529" t="s">
        <v>203</v>
      </c>
      <c r="X37" s="1"/>
      <c r="Y37" s="1"/>
      <c r="Z37" s="1"/>
      <c r="AA37" s="1"/>
      <c r="AB37" s="1"/>
      <c r="AC37" s="1"/>
      <c r="AD37" s="1"/>
      <c r="AE37" s="1540">
        <v>43848</v>
      </c>
      <c r="AF37" s="1550">
        <v>118578.7263602005</v>
      </c>
      <c r="AG37" s="1529" t="s">
        <v>203</v>
      </c>
      <c r="AH37" s="1"/>
      <c r="AI37" s="1"/>
      <c r="AJ37" s="1"/>
      <c r="AK37" s="1"/>
      <c r="AL37" s="1"/>
      <c r="AM37" s="1"/>
      <c r="AN37" s="1"/>
    </row>
    <row r="38" spans="1:40" x14ac:dyDescent="0.25">
      <c r="A38" s="215">
        <v>2474</v>
      </c>
      <c r="B38" s="216">
        <v>10689.7969082196</v>
      </c>
      <c r="C38" s="217" t="s">
        <v>222</v>
      </c>
      <c r="D38" s="1"/>
      <c r="E38" s="1"/>
      <c r="F38" s="1"/>
      <c r="G38" s="1"/>
      <c r="H38" s="1"/>
      <c r="I38" s="1"/>
      <c r="K38" s="1527">
        <v>2474</v>
      </c>
      <c r="L38" s="1528">
        <v>10689.7969082196</v>
      </c>
      <c r="M38" s="1529" t="s">
        <v>222</v>
      </c>
      <c r="N38" s="1"/>
      <c r="O38" s="1"/>
      <c r="P38" s="1"/>
      <c r="Q38" s="1"/>
      <c r="R38" s="1"/>
      <c r="S38" s="1"/>
      <c r="T38" s="1"/>
      <c r="U38" s="1540">
        <v>2552</v>
      </c>
      <c r="V38" s="1541">
        <v>10412.552928103418</v>
      </c>
      <c r="W38" s="1529" t="s">
        <v>222</v>
      </c>
      <c r="X38" s="1"/>
      <c r="Y38" s="1"/>
      <c r="Z38" s="1"/>
      <c r="AA38" s="1"/>
      <c r="AB38" s="1"/>
      <c r="AC38" s="1"/>
      <c r="AD38" s="1"/>
      <c r="AE38" s="1540">
        <v>2650</v>
      </c>
      <c r="AF38" s="1550">
        <v>10351.00611345636</v>
      </c>
      <c r="AG38" s="1529" t="s">
        <v>222</v>
      </c>
      <c r="AH38" s="1"/>
      <c r="AI38" s="1"/>
      <c r="AJ38" s="1"/>
      <c r="AK38" s="1"/>
      <c r="AL38" s="1"/>
      <c r="AM38" s="1"/>
      <c r="AN38" s="1"/>
    </row>
    <row r="39" spans="1:40" x14ac:dyDescent="0.25">
      <c r="A39" s="215">
        <v>1189279</v>
      </c>
      <c r="B39" s="216">
        <v>157741.69185853863</v>
      </c>
      <c r="C39" s="217" t="s">
        <v>223</v>
      </c>
      <c r="D39" s="1"/>
      <c r="E39" s="1"/>
      <c r="F39" s="1"/>
      <c r="G39" s="1"/>
      <c r="H39" s="1"/>
      <c r="I39" s="1"/>
      <c r="K39" s="1527">
        <v>1189279</v>
      </c>
      <c r="L39" s="1528">
        <v>157741.69185853863</v>
      </c>
      <c r="M39" s="1529" t="s">
        <v>223</v>
      </c>
      <c r="N39" s="1"/>
      <c r="O39" s="1"/>
      <c r="P39" s="1"/>
      <c r="Q39" s="1"/>
      <c r="R39" s="1"/>
      <c r="S39" s="1"/>
      <c r="T39" s="1"/>
      <c r="U39" s="1540">
        <v>1223911</v>
      </c>
      <c r="V39" s="1541">
        <v>159816.74173267474</v>
      </c>
      <c r="W39" s="1529" t="s">
        <v>223</v>
      </c>
      <c r="X39" s="1"/>
      <c r="Y39" s="1"/>
      <c r="Z39" s="1"/>
      <c r="AA39" s="1"/>
      <c r="AB39" s="1"/>
      <c r="AC39" s="1"/>
      <c r="AD39" s="1"/>
      <c r="AE39" s="1540">
        <v>1340067</v>
      </c>
      <c r="AF39" s="1550">
        <v>176012.64307283305</v>
      </c>
      <c r="AG39" s="1529" t="s">
        <v>223</v>
      </c>
      <c r="AH39" s="1"/>
      <c r="AI39" s="1"/>
      <c r="AJ39" s="1"/>
      <c r="AK39" s="1"/>
      <c r="AL39" s="1"/>
      <c r="AM39" s="1"/>
      <c r="AN39" s="1"/>
    </row>
    <row r="40" spans="1:40" x14ac:dyDescent="0.25">
      <c r="A40" s="215">
        <v>20270</v>
      </c>
      <c r="B40" s="216">
        <v>8190.7458284801241</v>
      </c>
      <c r="C40" s="217" t="s">
        <v>224</v>
      </c>
      <c r="D40" s="1"/>
      <c r="E40" s="1"/>
      <c r="F40" s="1"/>
      <c r="G40" s="1"/>
      <c r="H40" s="1"/>
      <c r="I40" s="1"/>
      <c r="K40" s="1527">
        <v>20270</v>
      </c>
      <c r="L40" s="1528">
        <v>8190.7458284801241</v>
      </c>
      <c r="M40" s="1529" t="s">
        <v>224</v>
      </c>
      <c r="N40" s="1"/>
      <c r="O40" s="1"/>
      <c r="P40" s="1"/>
      <c r="Q40" s="1"/>
      <c r="R40" s="1"/>
      <c r="S40" s="1"/>
      <c r="T40" s="1"/>
      <c r="U40" s="1540">
        <v>20829</v>
      </c>
      <c r="V40" s="1541">
        <v>8360.5773626286773</v>
      </c>
      <c r="W40" s="1529" t="s">
        <v>224</v>
      </c>
      <c r="X40" s="1"/>
      <c r="Y40" s="1"/>
      <c r="Z40" s="1"/>
      <c r="AA40" s="1"/>
      <c r="AB40" s="1"/>
      <c r="AC40" s="1"/>
      <c r="AD40" s="1"/>
      <c r="AE40" s="1540">
        <v>21263</v>
      </c>
      <c r="AF40" s="1550">
        <v>8805.6107829569373</v>
      </c>
      <c r="AG40" s="1529" t="s">
        <v>224</v>
      </c>
      <c r="AH40" s="1"/>
      <c r="AI40" s="1"/>
      <c r="AJ40" s="1"/>
      <c r="AK40" s="1"/>
      <c r="AL40" s="1"/>
      <c r="AM40" s="1"/>
      <c r="AN40" s="1"/>
    </row>
    <row r="41" spans="1:40" ht="15.75" thickBot="1" x14ac:dyDescent="0.3">
      <c r="A41" s="218">
        <v>3908</v>
      </c>
      <c r="B41" s="219">
        <v>852.46117300554602</v>
      </c>
      <c r="C41" s="220" t="s">
        <v>225</v>
      </c>
      <c r="D41" s="1"/>
      <c r="E41" s="1"/>
      <c r="F41" s="1"/>
      <c r="G41" s="1"/>
      <c r="H41" s="1"/>
      <c r="I41" s="1"/>
      <c r="K41" s="1530">
        <v>3908</v>
      </c>
      <c r="L41" s="1531">
        <v>852.46117300554602</v>
      </c>
      <c r="M41" s="1532" t="s">
        <v>225</v>
      </c>
      <c r="N41" s="1"/>
      <c r="O41" s="1"/>
      <c r="P41" s="1"/>
      <c r="Q41" s="1"/>
      <c r="R41" s="1"/>
      <c r="S41" s="1"/>
      <c r="T41" s="1"/>
      <c r="U41" s="1542">
        <v>3998</v>
      </c>
      <c r="V41" s="1543">
        <v>926.59714926047309</v>
      </c>
      <c r="W41" s="1532" t="s">
        <v>225</v>
      </c>
      <c r="X41" s="1"/>
      <c r="Y41" s="1"/>
      <c r="Z41" s="1"/>
      <c r="AA41" s="1"/>
      <c r="AB41" s="1"/>
      <c r="AC41" s="1"/>
      <c r="AD41" s="1"/>
      <c r="AE41" s="1551">
        <v>4021</v>
      </c>
      <c r="AF41" s="1552">
        <v>1004.7988566037477</v>
      </c>
      <c r="AG41" s="1553" t="s">
        <v>225</v>
      </c>
      <c r="AH41" s="1"/>
      <c r="AI41" s="1"/>
      <c r="AJ41" s="1"/>
      <c r="AK41" s="1"/>
      <c r="AL41" s="1"/>
      <c r="AM41" s="1"/>
      <c r="AN41" s="1"/>
    </row>
    <row r="42" spans="1:40" ht="15.75" thickBot="1" x14ac:dyDescent="0.3">
      <c r="A42" s="221">
        <f>SUM(A30:A41)</f>
        <v>9415649</v>
      </c>
      <c r="B42" s="222">
        <f>SUM(B30:B41)</f>
        <v>1753571.5717651038</v>
      </c>
      <c r="C42" s="211"/>
      <c r="D42" s="1"/>
      <c r="E42" s="1"/>
      <c r="F42" s="1"/>
      <c r="G42" s="1"/>
      <c r="H42" s="1"/>
      <c r="I42" s="1"/>
      <c r="K42" s="1533">
        <f>SUM(K30:K41)</f>
        <v>9417567</v>
      </c>
      <c r="L42" s="1534">
        <f>SUM(L30:L41)</f>
        <v>1760285.4554855835</v>
      </c>
      <c r="M42" s="1535"/>
      <c r="N42" s="1"/>
      <c r="O42" s="1"/>
      <c r="P42" s="1"/>
      <c r="Q42" s="1"/>
      <c r="R42" s="1"/>
      <c r="S42" s="1"/>
      <c r="T42" s="1"/>
      <c r="U42" s="1544">
        <f>SUM(U30:U41)</f>
        <v>9624586</v>
      </c>
      <c r="V42" s="1545">
        <f>SUM(V30:V41)</f>
        <v>1772038.586517211</v>
      </c>
      <c r="W42" s="1535"/>
      <c r="X42" s="1"/>
      <c r="Y42" s="1"/>
      <c r="Z42" s="1"/>
      <c r="AA42" s="1"/>
      <c r="AB42" s="1"/>
      <c r="AC42" s="1"/>
      <c r="AD42" s="1"/>
      <c r="AE42" s="1554">
        <f>SUM(AE30:AE41)</f>
        <v>9800597</v>
      </c>
      <c r="AF42" s="1555">
        <f>SUM(AF30:AF41)</f>
        <v>1790262.595553179</v>
      </c>
      <c r="AG42" s="1556"/>
    </row>
    <row r="43" spans="1:40" x14ac:dyDescent="0.25">
      <c r="A43" s="1"/>
      <c r="B43" s="1"/>
      <c r="C43" s="1"/>
      <c r="D43" s="1"/>
      <c r="E43" s="1"/>
      <c r="F43" s="1"/>
      <c r="G43" s="1"/>
      <c r="H43" s="1"/>
      <c r="I43" s="1"/>
    </row>
    <row r="44" spans="1:40" ht="15.75" thickBot="1" x14ac:dyDescent="0.3"/>
    <row r="45" spans="1:40" ht="16.5" thickBot="1" x14ac:dyDescent="0.3">
      <c r="A45" s="278" t="s">
        <v>226</v>
      </c>
      <c r="B45" s="279"/>
      <c r="C45" s="277"/>
      <c r="D45" s="277"/>
      <c r="E45" s="277"/>
      <c r="F45" s="277"/>
      <c r="G45" s="277"/>
      <c r="H45" s="277"/>
      <c r="I45" s="277"/>
      <c r="J45" s="277"/>
      <c r="K45" s="277"/>
      <c r="L45" s="277"/>
      <c r="M45" s="277"/>
      <c r="N45" s="277"/>
      <c r="O45" s="277"/>
    </row>
    <row r="46" spans="1:40" x14ac:dyDescent="0.25">
      <c r="A46" s="178">
        <f>SUM(B31,B34,B35,B37,B41)</f>
        <v>1554393.2406289596</v>
      </c>
      <c r="B46" s="2" t="s">
        <v>172</v>
      </c>
      <c r="C46" s="2" t="s">
        <v>173</v>
      </c>
    </row>
    <row r="47" spans="1:40" x14ac:dyDescent="0.25">
      <c r="A47" s="178">
        <f>SUM(B42)</f>
        <v>1753571.5717651038</v>
      </c>
      <c r="B47" s="2" t="s">
        <v>172</v>
      </c>
      <c r="C47" s="2" t="s">
        <v>174</v>
      </c>
    </row>
    <row r="48" spans="1:40" x14ac:dyDescent="0.25">
      <c r="A48" s="178">
        <f>+(2633800)-(217500)</f>
        <v>2416300</v>
      </c>
      <c r="B48" s="2" t="s">
        <v>172</v>
      </c>
      <c r="C48" s="2" t="s">
        <v>175</v>
      </c>
    </row>
    <row r="49" spans="1:15" x14ac:dyDescent="0.25">
      <c r="A49" s="179">
        <f>+(A48*10000)</f>
        <v>24163000000</v>
      </c>
      <c r="B49" s="2" t="s">
        <v>177</v>
      </c>
      <c r="C49" s="2" t="s">
        <v>178</v>
      </c>
    </row>
    <row r="50" spans="1:15" x14ac:dyDescent="0.25">
      <c r="A50" s="223">
        <v>1.39</v>
      </c>
      <c r="B50" s="2" t="s">
        <v>227</v>
      </c>
    </row>
    <row r="51" spans="1:15" x14ac:dyDescent="0.25">
      <c r="A51" s="312">
        <v>0.5</v>
      </c>
      <c r="B51" s="2" t="s">
        <v>562</v>
      </c>
    </row>
    <row r="52" spans="1:15" x14ac:dyDescent="0.25">
      <c r="A52" s="314">
        <v>0.55000000000000004</v>
      </c>
      <c r="B52" s="2" t="s">
        <v>228</v>
      </c>
    </row>
    <row r="53" spans="1:15" x14ac:dyDescent="0.25">
      <c r="A53" s="314">
        <v>0.51</v>
      </c>
      <c r="B53" s="2" t="s">
        <v>181</v>
      </c>
    </row>
    <row r="54" spans="1:15" x14ac:dyDescent="0.25">
      <c r="A54" s="314">
        <f>+A52*A53</f>
        <v>0.28050000000000003</v>
      </c>
      <c r="B54" s="2" t="s">
        <v>925</v>
      </c>
    </row>
    <row r="55" spans="1:15" x14ac:dyDescent="0.25">
      <c r="A55" s="179">
        <f>+(A49)*A51*A52*A53</f>
        <v>3388860750.0000005</v>
      </c>
      <c r="B55" s="2" t="s">
        <v>182</v>
      </c>
    </row>
    <row r="56" spans="1:15" x14ac:dyDescent="0.25">
      <c r="A56" s="179">
        <f>+(A49)*A51*A54</f>
        <v>3388860750.0000005</v>
      </c>
      <c r="B56" s="2" t="s">
        <v>182</v>
      </c>
      <c r="C56" s="2" t="s">
        <v>229</v>
      </c>
    </row>
    <row r="57" spans="1:15" x14ac:dyDescent="0.25">
      <c r="A57" s="182">
        <f>+A55/1000000000</f>
        <v>3.3888607500000005</v>
      </c>
      <c r="B57" s="2" t="s">
        <v>183</v>
      </c>
    </row>
    <row r="58" spans="1:15" x14ac:dyDescent="0.25">
      <c r="A58" s="179">
        <f>+A55/1000000</f>
        <v>3388.8607500000003</v>
      </c>
      <c r="B58" s="2" t="s">
        <v>184</v>
      </c>
    </row>
    <row r="60" spans="1:15" ht="15.75" thickBot="1" x14ac:dyDescent="0.3"/>
    <row r="61" spans="1:15" ht="16.5" thickBot="1" x14ac:dyDescent="0.3">
      <c r="A61" s="276" t="s">
        <v>171</v>
      </c>
      <c r="B61" s="277"/>
      <c r="C61" s="277"/>
      <c r="D61" s="277"/>
      <c r="E61" s="277"/>
      <c r="F61" s="277"/>
      <c r="G61" s="277"/>
      <c r="H61" s="277"/>
      <c r="I61" s="277"/>
      <c r="J61" s="277"/>
      <c r="K61" s="277"/>
      <c r="L61" s="277"/>
      <c r="M61" s="277"/>
      <c r="N61" s="277"/>
      <c r="O61" s="277"/>
    </row>
    <row r="62" spans="1:15" x14ac:dyDescent="0.25">
      <c r="A62" s="178">
        <f>SUM(B31,B34,B35,B37,B41)</f>
        <v>1554393.2406289596</v>
      </c>
      <c r="B62" s="2" t="s">
        <v>172</v>
      </c>
      <c r="C62" s="2" t="s">
        <v>173</v>
      </c>
    </row>
    <row r="63" spans="1:15" x14ac:dyDescent="0.25">
      <c r="A63" s="178">
        <f>SUM(B42)</f>
        <v>1753571.5717651038</v>
      </c>
      <c r="B63" s="2" t="s">
        <v>172</v>
      </c>
      <c r="C63" s="2" t="s">
        <v>174</v>
      </c>
    </row>
    <row r="64" spans="1:15" x14ac:dyDescent="0.25">
      <c r="A64" s="178">
        <f>+(2633800)-(217500)</f>
        <v>2416300</v>
      </c>
      <c r="B64" s="2" t="s">
        <v>172</v>
      </c>
      <c r="C64" s="2" t="s">
        <v>175</v>
      </c>
    </row>
    <row r="65" spans="1:12" x14ac:dyDescent="0.25">
      <c r="A65" s="178">
        <f>+(2633800)</f>
        <v>2633800</v>
      </c>
      <c r="B65" s="2" t="s">
        <v>172</v>
      </c>
      <c r="C65" s="2" t="s">
        <v>176</v>
      </c>
    </row>
    <row r="66" spans="1:12" x14ac:dyDescent="0.25">
      <c r="A66" s="179">
        <f>+(A65*10000)</f>
        <v>26338000000</v>
      </c>
      <c r="B66" s="2" t="s">
        <v>177</v>
      </c>
      <c r="C66" s="2" t="s">
        <v>178</v>
      </c>
    </row>
    <row r="67" spans="1:12" x14ac:dyDescent="0.25">
      <c r="A67" s="180">
        <v>1.39</v>
      </c>
      <c r="B67" s="2" t="s">
        <v>179</v>
      </c>
    </row>
    <row r="68" spans="1:12" x14ac:dyDescent="0.25">
      <c r="A68" s="180">
        <f>+(A67-A51)</f>
        <v>0.8899999999999999</v>
      </c>
      <c r="B68" s="2" t="s">
        <v>563</v>
      </c>
    </row>
    <row r="69" spans="1:12" x14ac:dyDescent="0.25">
      <c r="A69" s="180">
        <v>0.45</v>
      </c>
      <c r="B69" s="2" t="s">
        <v>180</v>
      </c>
    </row>
    <row r="70" spans="1:12" x14ac:dyDescent="0.25">
      <c r="A70" s="181">
        <v>1</v>
      </c>
      <c r="B70" s="2" t="s">
        <v>181</v>
      </c>
    </row>
    <row r="71" spans="1:12" x14ac:dyDescent="0.25">
      <c r="A71" s="179">
        <f>+(A66)*(A68)*A69*A70</f>
        <v>10548368999.999998</v>
      </c>
      <c r="B71" s="2" t="s">
        <v>182</v>
      </c>
    </row>
    <row r="72" spans="1:12" x14ac:dyDescent="0.25">
      <c r="A72" s="182">
        <f>+A71/1000000000</f>
        <v>10.548368999999997</v>
      </c>
      <c r="B72" s="2" t="s">
        <v>183</v>
      </c>
    </row>
    <row r="73" spans="1:12" x14ac:dyDescent="0.25">
      <c r="A73" s="179">
        <f>+A71/1000000</f>
        <v>10548.368999999999</v>
      </c>
      <c r="B73" s="2" t="s">
        <v>184</v>
      </c>
      <c r="C73" s="2" t="s">
        <v>185</v>
      </c>
    </row>
    <row r="74" spans="1:12" x14ac:dyDescent="0.25">
      <c r="A74" s="183">
        <f>62127-(10548.369)</f>
        <v>51578.631000000001</v>
      </c>
      <c r="B74" s="2" t="s">
        <v>184</v>
      </c>
      <c r="C74" s="2" t="s">
        <v>625</v>
      </c>
    </row>
    <row r="75" spans="1:12" x14ac:dyDescent="0.25">
      <c r="A75" s="184">
        <f>SUM(A73:A74)</f>
        <v>62127</v>
      </c>
      <c r="B75" s="177" t="s">
        <v>184</v>
      </c>
      <c r="C75" s="177" t="s">
        <v>186</v>
      </c>
      <c r="D75" s="177"/>
      <c r="E75" s="177"/>
      <c r="F75" s="177"/>
      <c r="G75" s="177"/>
      <c r="H75" s="177"/>
      <c r="I75" s="177"/>
      <c r="J75" s="177"/>
      <c r="K75" s="177"/>
      <c r="L75" s="177"/>
    </row>
    <row r="78" spans="1:12" x14ac:dyDescent="0.25">
      <c r="A78" s="224" t="s">
        <v>230</v>
      </c>
    </row>
    <row r="79" spans="1:12" x14ac:dyDescent="0.25">
      <c r="A79" s="176" t="s">
        <v>231</v>
      </c>
      <c r="B79" s="177"/>
      <c r="C79" s="177"/>
      <c r="D79" s="177"/>
      <c r="E79" s="177"/>
      <c r="F79" s="177"/>
      <c r="G79" s="177"/>
      <c r="H79" s="177"/>
      <c r="I79" s="177"/>
      <c r="J79" s="177"/>
      <c r="K79" s="177"/>
      <c r="L79" s="177"/>
    </row>
    <row r="80" spans="1:12" x14ac:dyDescent="0.25">
      <c r="A80" s="225">
        <v>152002.94288104901</v>
      </c>
      <c r="B80" s="2" t="s">
        <v>172</v>
      </c>
      <c r="C80" s="2" t="s">
        <v>232</v>
      </c>
    </row>
    <row r="81" spans="1:8" x14ac:dyDescent="0.25">
      <c r="A81" s="225">
        <v>88651.368569261133</v>
      </c>
      <c r="B81" s="2" t="s">
        <v>172</v>
      </c>
      <c r="C81" s="2" t="s">
        <v>233</v>
      </c>
    </row>
    <row r="82" spans="1:8" x14ac:dyDescent="0.25">
      <c r="A82" s="225">
        <f>A80+A81</f>
        <v>240654.31145031014</v>
      </c>
      <c r="B82" s="2" t="s">
        <v>172</v>
      </c>
      <c r="C82" s="2" t="s">
        <v>234</v>
      </c>
    </row>
    <row r="83" spans="1:8" x14ac:dyDescent="0.25">
      <c r="A83" s="226" t="s">
        <v>235</v>
      </c>
    </row>
    <row r="84" spans="1:8" x14ac:dyDescent="0.25">
      <c r="A84" s="227">
        <f>A108</f>
        <v>162183.20605253876</v>
      </c>
      <c r="B84" s="2" t="s">
        <v>172</v>
      </c>
      <c r="C84" s="2" t="s">
        <v>236</v>
      </c>
    </row>
    <row r="85" spans="1:8" x14ac:dyDescent="0.25">
      <c r="A85" s="227"/>
    </row>
    <row r="86" spans="1:8" x14ac:dyDescent="0.25">
      <c r="A86" s="228">
        <v>6462</v>
      </c>
      <c r="B86" s="2" t="s">
        <v>237</v>
      </c>
      <c r="C86" s="2" t="s">
        <v>238</v>
      </c>
    </row>
    <row r="87" spans="1:8" x14ac:dyDescent="0.25">
      <c r="A87" s="228">
        <v>10</v>
      </c>
      <c r="B87" s="229" t="s">
        <v>239</v>
      </c>
      <c r="C87" s="229" t="s">
        <v>240</v>
      </c>
      <c r="D87" s="229"/>
      <c r="E87" s="229"/>
      <c r="F87" s="229"/>
      <c r="G87" s="229"/>
      <c r="H87" s="229"/>
    </row>
    <row r="88" spans="1:8" x14ac:dyDescent="0.25">
      <c r="A88" s="228">
        <f>A86*1000*A87/10000</f>
        <v>6462</v>
      </c>
      <c r="B88" s="2" t="s">
        <v>172</v>
      </c>
      <c r="C88" s="2" t="s">
        <v>241</v>
      </c>
    </row>
    <row r="90" spans="1:8" x14ac:dyDescent="0.25">
      <c r="A90" s="225">
        <v>1942.4934269623275</v>
      </c>
      <c r="B90" s="2" t="s">
        <v>172</v>
      </c>
      <c r="C90" s="2" t="s">
        <v>242</v>
      </c>
    </row>
    <row r="91" spans="1:8" x14ac:dyDescent="0.25">
      <c r="A91" s="225">
        <v>4.1997499999999999</v>
      </c>
      <c r="B91" s="2" t="s">
        <v>172</v>
      </c>
      <c r="C91" s="2" t="s">
        <v>243</v>
      </c>
    </row>
    <row r="92" spans="1:8" x14ac:dyDescent="0.25">
      <c r="A92" s="225">
        <f>A90+A91</f>
        <v>1946.6931769623275</v>
      </c>
      <c r="B92" s="2" t="s">
        <v>172</v>
      </c>
      <c r="C92" s="2" t="s">
        <v>244</v>
      </c>
    </row>
    <row r="94" spans="1:8" x14ac:dyDescent="0.25">
      <c r="A94" s="227">
        <f>A84+A88+A92</f>
        <v>170591.89922950108</v>
      </c>
      <c r="B94" s="2" t="s">
        <v>172</v>
      </c>
      <c r="C94" s="2" t="s">
        <v>245</v>
      </c>
    </row>
    <row r="96" spans="1:8" x14ac:dyDescent="0.25">
      <c r="A96" s="224" t="s">
        <v>246</v>
      </c>
      <c r="C96" s="2" t="s">
        <v>247</v>
      </c>
    </row>
    <row r="97" spans="1:6" x14ac:dyDescent="0.25">
      <c r="A97" s="177" t="s">
        <v>177</v>
      </c>
      <c r="B97" s="177"/>
      <c r="C97" s="177" t="s">
        <v>248</v>
      </c>
      <c r="D97" s="177"/>
      <c r="E97" s="177"/>
      <c r="F97" s="177"/>
    </row>
    <row r="98" spans="1:6" x14ac:dyDescent="0.25">
      <c r="A98" s="230">
        <v>228059753.59589997</v>
      </c>
      <c r="B98" t="s">
        <v>249</v>
      </c>
    </row>
    <row r="99" spans="1:6" x14ac:dyDescent="0.25">
      <c r="A99" s="230">
        <v>80238900</v>
      </c>
      <c r="B99" t="s">
        <v>250</v>
      </c>
    </row>
    <row r="100" spans="1:6" x14ac:dyDescent="0.25">
      <c r="A100" s="230">
        <v>88172100</v>
      </c>
      <c r="B100" t="s">
        <v>251</v>
      </c>
    </row>
    <row r="101" spans="1:6" x14ac:dyDescent="0.25">
      <c r="A101" s="230">
        <v>26064900</v>
      </c>
      <c r="B101" t="s">
        <v>252</v>
      </c>
    </row>
    <row r="102" spans="1:6" x14ac:dyDescent="0.25">
      <c r="A102" s="230">
        <v>3960200</v>
      </c>
      <c r="B102" t="s">
        <v>253</v>
      </c>
    </row>
    <row r="103" spans="1:6" x14ac:dyDescent="0.25">
      <c r="A103" s="230">
        <v>2642200</v>
      </c>
      <c r="B103" t="s">
        <v>254</v>
      </c>
    </row>
    <row r="104" spans="1:6" x14ac:dyDescent="0.25">
      <c r="A104" s="231">
        <v>1010595675.33697</v>
      </c>
      <c r="B104" s="232" t="s">
        <v>255</v>
      </c>
      <c r="C104" s="233" t="s">
        <v>256</v>
      </c>
      <c r="D104" s="233"/>
      <c r="E104" s="2" t="s">
        <v>257</v>
      </c>
    </row>
    <row r="105" spans="1:6" x14ac:dyDescent="0.25">
      <c r="A105" s="231">
        <v>55939618.817884997</v>
      </c>
      <c r="B105" s="232" t="s">
        <v>258</v>
      </c>
      <c r="C105" s="233" t="s">
        <v>259</v>
      </c>
      <c r="D105" s="233"/>
      <c r="E105" s="233"/>
    </row>
    <row r="106" spans="1:6" x14ac:dyDescent="0.25">
      <c r="A106" s="234">
        <v>126158712.77463301</v>
      </c>
      <c r="B106" s="235" t="s">
        <v>260</v>
      </c>
      <c r="C106" s="236" t="s">
        <v>259</v>
      </c>
      <c r="D106" s="236"/>
      <c r="E106" s="236"/>
      <c r="F106" s="177"/>
    </row>
    <row r="107" spans="1:6" x14ac:dyDescent="0.25">
      <c r="A107" s="226">
        <f>SUM(A98:A106)</f>
        <v>1621832060.5253878</v>
      </c>
      <c r="B107" s="224" t="s">
        <v>261</v>
      </c>
    </row>
    <row r="108" spans="1:6" x14ac:dyDescent="0.25">
      <c r="A108" s="225">
        <f>A107/10000</f>
        <v>162183.20605253876</v>
      </c>
      <c r="B108" s="2" t="s">
        <v>172</v>
      </c>
    </row>
    <row r="110" spans="1:6" x14ac:dyDescent="0.25">
      <c r="A110" s="224"/>
    </row>
    <row r="114" spans="1:1" x14ac:dyDescent="0.25">
      <c r="A114" s="2" t="s">
        <v>262</v>
      </c>
    </row>
  </sheetData>
  <mergeCells count="1">
    <mergeCell ref="A1:J1"/>
  </mergeCells>
  <pageMargins left="0.51181102362204722" right="0.51181102362204722" top="0.74803149606299213" bottom="0.74803149606299213" header="0.31496062992125984" footer="0.31496062992125984"/>
  <pageSetup paperSize="9" scale="29" orientation="landscape" r:id="rId1"/>
  <headerFooter>
    <oddHeader>&amp;L&amp;F    &amp;&amp;&amp;A&amp;C&amp;D&amp;RPage &amp;P of &amp;N</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32"/>
  <sheetViews>
    <sheetView topLeftCell="A115" workbookViewId="0">
      <selection activeCell="C35" sqref="C35"/>
    </sheetView>
  </sheetViews>
  <sheetFormatPr defaultRowHeight="15" x14ac:dyDescent="0.25"/>
  <cols>
    <col min="1" max="1" width="35.7109375" customWidth="1"/>
    <col min="2" max="2" width="29.42578125" bestFit="1" customWidth="1"/>
    <col min="3" max="3" width="29.42578125" customWidth="1"/>
    <col min="4" max="4" width="22.7109375" customWidth="1"/>
    <col min="5" max="5" width="50.85546875" bestFit="1" customWidth="1"/>
    <col min="6" max="6" width="9.140625" customWidth="1"/>
  </cols>
  <sheetData>
    <row r="1" spans="1:9" ht="26.25" x14ac:dyDescent="0.4">
      <c r="A1" s="1081">
        <v>2012</v>
      </c>
    </row>
    <row r="2" spans="1:9" x14ac:dyDescent="0.25">
      <c r="A2" t="s">
        <v>193</v>
      </c>
    </row>
    <row r="3" spans="1:9" x14ac:dyDescent="0.25">
      <c r="A3" t="s">
        <v>194</v>
      </c>
    </row>
    <row r="4" spans="1:9" x14ac:dyDescent="0.25">
      <c r="A4" t="s">
        <v>48</v>
      </c>
      <c r="B4" t="s">
        <v>1697</v>
      </c>
    </row>
    <row r="5" spans="1:9" x14ac:dyDescent="0.25">
      <c r="A5" t="s">
        <v>197</v>
      </c>
    </row>
    <row r="7" spans="1:9" x14ac:dyDescent="0.25">
      <c r="A7" t="s">
        <v>196</v>
      </c>
    </row>
    <row r="8" spans="1:9" x14ac:dyDescent="0.25">
      <c r="A8" t="s">
        <v>382</v>
      </c>
    </row>
    <row r="9" spans="1:9" x14ac:dyDescent="0.25">
      <c r="A9" s="295" t="s">
        <v>188</v>
      </c>
      <c r="B9" s="295"/>
      <c r="C9" s="295"/>
      <c r="D9" s="295"/>
      <c r="E9" s="295"/>
      <c r="F9" s="295"/>
      <c r="G9" s="295"/>
      <c r="H9" s="295"/>
      <c r="I9" s="295"/>
    </row>
    <row r="10" spans="1:9" x14ac:dyDescent="0.25">
      <c r="A10" s="225">
        <v>1274.2</v>
      </c>
      <c r="B10" t="s">
        <v>195</v>
      </c>
      <c r="C10" s="179">
        <v>26338</v>
      </c>
      <c r="D10" t="s">
        <v>393</v>
      </c>
    </row>
    <row r="11" spans="1:9" x14ac:dyDescent="0.25">
      <c r="A11" s="303">
        <v>1.2742</v>
      </c>
      <c r="B11" t="s">
        <v>540</v>
      </c>
      <c r="C11" s="179">
        <v>26338000000</v>
      </c>
      <c r="D11" t="s">
        <v>177</v>
      </c>
    </row>
    <row r="12" spans="1:9" x14ac:dyDescent="0.25">
      <c r="D12" s="179">
        <f>A11*C11</f>
        <v>33559879600</v>
      </c>
      <c r="E12" t="s">
        <v>182</v>
      </c>
    </row>
    <row r="13" spans="1:9" x14ac:dyDescent="0.25">
      <c r="D13" s="183">
        <f>+D12/1000000</f>
        <v>33559.8796</v>
      </c>
      <c r="E13" t="s">
        <v>490</v>
      </c>
      <c r="F13" t="s">
        <v>189</v>
      </c>
    </row>
    <row r="14" spans="1:9" x14ac:dyDescent="0.25">
      <c r="D14" s="179"/>
    </row>
    <row r="15" spans="1:9" x14ac:dyDescent="0.25">
      <c r="B15" t="s">
        <v>567</v>
      </c>
      <c r="C15" t="s">
        <v>177</v>
      </c>
      <c r="D15" t="s">
        <v>182</v>
      </c>
      <c r="E15" t="s">
        <v>580</v>
      </c>
    </row>
    <row r="16" spans="1:9" x14ac:dyDescent="0.25">
      <c r="A16" s="303">
        <f>A11</f>
        <v>1.2742</v>
      </c>
      <c r="B16" t="s">
        <v>566</v>
      </c>
      <c r="C16" s="179">
        <f>(A$52)*10000</f>
        <v>1621832060.5253875</v>
      </c>
      <c r="D16" s="179">
        <f>(A$11)*C16</f>
        <v>2066538411.5214489</v>
      </c>
      <c r="E16" s="179">
        <f>SUM(D16,D25)</f>
        <v>2204833334.6716728</v>
      </c>
    </row>
    <row r="17" spans="1:9" x14ac:dyDescent="0.25">
      <c r="B17" t="s">
        <v>565</v>
      </c>
      <c r="C17" s="179">
        <f>(A$56)*10000</f>
        <v>64620000</v>
      </c>
      <c r="D17" s="179">
        <f>(A$11)*C17</f>
        <v>82338804</v>
      </c>
      <c r="E17" s="179">
        <f>SUM(D17,D26)</f>
        <v>2626965389.9641218</v>
      </c>
    </row>
    <row r="18" spans="1:9" x14ac:dyDescent="0.25">
      <c r="B18" s="179" t="s">
        <v>564</v>
      </c>
      <c r="C18" s="179">
        <f>(A$63)*10000</f>
        <v>19466931.769623276</v>
      </c>
      <c r="D18" s="179">
        <f>(A$11)*C18</f>
        <v>24804764.460853979</v>
      </c>
      <c r="E18" s="179">
        <f>SUM(D18,D27)</f>
        <v>107781718.35098837</v>
      </c>
    </row>
    <row r="19" spans="1:9" x14ac:dyDescent="0.25">
      <c r="E19" s="179">
        <f>SUM(E16:E18)</f>
        <v>4939580442.986783</v>
      </c>
    </row>
    <row r="20" spans="1:9" x14ac:dyDescent="0.25">
      <c r="D20" s="179"/>
    </row>
    <row r="21" spans="1:9" x14ac:dyDescent="0.25">
      <c r="D21" s="179"/>
      <c r="E21" t="s">
        <v>604</v>
      </c>
    </row>
    <row r="22" spans="1:9" x14ac:dyDescent="0.25">
      <c r="D22" s="179">
        <f>SUM(Asset_2012_Table!C9:E9)*1000000</f>
        <v>4939580442.986783</v>
      </c>
      <c r="E22" t="s">
        <v>541</v>
      </c>
    </row>
    <row r="23" spans="1:9" x14ac:dyDescent="0.25">
      <c r="D23" s="179">
        <f>SUM(D12)-SUM(E16:E18)</f>
        <v>28620299157.013218</v>
      </c>
      <c r="E23" t="s">
        <v>542</v>
      </c>
    </row>
    <row r="24" spans="1:9" x14ac:dyDescent="0.25">
      <c r="D24" s="179">
        <f>(Runoff!K21)</f>
        <v>2765898463.0044799</v>
      </c>
      <c r="E24" t="s">
        <v>545</v>
      </c>
    </row>
    <row r="25" spans="1:9" x14ac:dyDescent="0.25">
      <c r="D25" s="179">
        <f>+(D$24)*5%</f>
        <v>138294923.150224</v>
      </c>
      <c r="E25" t="s">
        <v>555</v>
      </c>
    </row>
    <row r="26" spans="1:9" x14ac:dyDescent="0.25">
      <c r="D26" s="179">
        <f>+(D$24)*92%</f>
        <v>2544626585.9641218</v>
      </c>
      <c r="E26" t="s">
        <v>557</v>
      </c>
    </row>
    <row r="27" spans="1:9" x14ac:dyDescent="0.25">
      <c r="D27" s="179">
        <f>+(D$24)*3%</f>
        <v>82976953.890134394</v>
      </c>
      <c r="E27" t="s">
        <v>556</v>
      </c>
    </row>
    <row r="28" spans="1:9" x14ac:dyDescent="0.25">
      <c r="A28" s="295"/>
      <c r="B28" s="295"/>
      <c r="C28" s="295"/>
      <c r="D28" s="184"/>
      <c r="E28" s="295"/>
      <c r="F28" s="295"/>
      <c r="G28" s="295"/>
      <c r="H28" s="295"/>
      <c r="I28" s="295"/>
    </row>
    <row r="29" spans="1:9" x14ac:dyDescent="0.25">
      <c r="D29" s="304"/>
    </row>
    <row r="31" spans="1:9" x14ac:dyDescent="0.25">
      <c r="A31" t="s">
        <v>196</v>
      </c>
    </row>
    <row r="32" spans="1:9" x14ac:dyDescent="0.25">
      <c r="A32" t="s">
        <v>382</v>
      </c>
    </row>
    <row r="33" spans="1:12" x14ac:dyDescent="0.25">
      <c r="A33" s="295" t="s">
        <v>559</v>
      </c>
      <c r="B33" s="295"/>
      <c r="C33" s="295"/>
      <c r="D33" s="295"/>
      <c r="E33" s="295"/>
      <c r="F33" s="295"/>
      <c r="G33" s="295"/>
      <c r="H33" s="295"/>
      <c r="I33" s="295"/>
    </row>
    <row r="34" spans="1:12" x14ac:dyDescent="0.25">
      <c r="A34">
        <v>863.8</v>
      </c>
      <c r="B34" t="s">
        <v>195</v>
      </c>
      <c r="C34" s="179">
        <v>26338</v>
      </c>
      <c r="D34" t="s">
        <v>393</v>
      </c>
    </row>
    <row r="35" spans="1:12" x14ac:dyDescent="0.25">
      <c r="A35">
        <v>0.86380000000000001</v>
      </c>
      <c r="B35" t="s">
        <v>540</v>
      </c>
      <c r="C35" s="179">
        <v>26338000000</v>
      </c>
      <c r="D35" t="s">
        <v>177</v>
      </c>
    </row>
    <row r="36" spans="1:12" x14ac:dyDescent="0.25">
      <c r="D36" s="179">
        <f>A35*C35</f>
        <v>22750764400</v>
      </c>
      <c r="E36" t="s">
        <v>182</v>
      </c>
    </row>
    <row r="37" spans="1:12" x14ac:dyDescent="0.25">
      <c r="D37" s="183">
        <f>+D36/1000000</f>
        <v>22750.7644</v>
      </c>
      <c r="E37" t="s">
        <v>490</v>
      </c>
      <c r="F37" t="s">
        <v>189</v>
      </c>
    </row>
    <row r="38" spans="1:12" x14ac:dyDescent="0.25">
      <c r="D38" s="179"/>
    </row>
    <row r="39" spans="1:12" x14ac:dyDescent="0.25">
      <c r="B39" t="s">
        <v>579</v>
      </c>
      <c r="C39" t="s">
        <v>177</v>
      </c>
      <c r="D39" t="s">
        <v>182</v>
      </c>
      <c r="E39" t="s">
        <v>605</v>
      </c>
    </row>
    <row r="40" spans="1:12" x14ac:dyDescent="0.25">
      <c r="A40" s="303">
        <f>A35</f>
        <v>0.86380000000000001</v>
      </c>
      <c r="B40" t="s">
        <v>566</v>
      </c>
      <c r="C40" s="179">
        <f>(A$52)*10000</f>
        <v>1621832060.5253875</v>
      </c>
      <c r="D40" s="315">
        <f>(A$35)*C40</f>
        <v>1400938533.8818297</v>
      </c>
      <c r="E40" s="179">
        <f>SUM(D40)</f>
        <v>1400938533.8818297</v>
      </c>
    </row>
    <row r="41" spans="1:12" x14ac:dyDescent="0.25">
      <c r="B41" t="s">
        <v>565</v>
      </c>
      <c r="C41" s="179">
        <f>(A$56)*10000</f>
        <v>64620000</v>
      </c>
      <c r="D41" s="179">
        <f>(A$35)*C41</f>
        <v>55818756</v>
      </c>
      <c r="E41" s="179">
        <f>SUM(D41)</f>
        <v>55818756</v>
      </c>
    </row>
    <row r="42" spans="1:12" x14ac:dyDescent="0.25">
      <c r="B42" s="179" t="s">
        <v>564</v>
      </c>
      <c r="C42" s="179">
        <f>(A$63)*10000</f>
        <v>19466931.769623276</v>
      </c>
      <c r="D42" s="315">
        <f>(A$35)*C42</f>
        <v>16815535.662600584</v>
      </c>
      <c r="E42" s="179">
        <f>SUM(D42)</f>
        <v>16815535.662600584</v>
      </c>
    </row>
    <row r="43" spans="1:12" x14ac:dyDescent="0.25">
      <c r="E43" s="179">
        <f>SUM(E40:E42)</f>
        <v>1473572825.5444303</v>
      </c>
    </row>
    <row r="44" spans="1:12" x14ac:dyDescent="0.25">
      <c r="E44" s="183">
        <f>SUM(D36)-SUM(E40:E42)</f>
        <v>21277191574.45557</v>
      </c>
      <c r="F44" t="s">
        <v>542</v>
      </c>
    </row>
    <row r="46" spans="1:12" x14ac:dyDescent="0.25">
      <c r="A46" s="297" t="s">
        <v>230</v>
      </c>
      <c r="B46" s="297"/>
      <c r="C46" s="297"/>
      <c r="D46" s="297"/>
      <c r="E46" s="297"/>
      <c r="F46" s="297"/>
      <c r="G46" s="297"/>
      <c r="H46" s="297"/>
      <c r="I46" s="297"/>
      <c r="J46" s="297"/>
      <c r="K46" s="297"/>
      <c r="L46" s="297"/>
    </row>
    <row r="47" spans="1:12" x14ac:dyDescent="0.25">
      <c r="A47" t="s">
        <v>231</v>
      </c>
    </row>
    <row r="48" spans="1:12" x14ac:dyDescent="0.25">
      <c r="A48" s="225">
        <v>152002.94288104901</v>
      </c>
      <c r="B48" t="s">
        <v>172</v>
      </c>
      <c r="C48" t="s">
        <v>232</v>
      </c>
    </row>
    <row r="49" spans="1:3" x14ac:dyDescent="0.25">
      <c r="A49" s="225">
        <v>88651.368569261133</v>
      </c>
      <c r="B49" t="s">
        <v>172</v>
      </c>
      <c r="C49" t="s">
        <v>233</v>
      </c>
    </row>
    <row r="50" spans="1:3" x14ac:dyDescent="0.25">
      <c r="A50" s="225">
        <f>A48+A49</f>
        <v>240654.31145031014</v>
      </c>
      <c r="B50" t="s">
        <v>172</v>
      </c>
      <c r="C50" t="s">
        <v>234</v>
      </c>
    </row>
    <row r="51" spans="1:3" x14ac:dyDescent="0.25">
      <c r="A51" s="225" t="s">
        <v>235</v>
      </c>
    </row>
    <row r="52" spans="1:3" x14ac:dyDescent="0.25">
      <c r="A52" s="312">
        <f>A79</f>
        <v>162183.20605253876</v>
      </c>
      <c r="B52" t="s">
        <v>172</v>
      </c>
      <c r="C52" s="267" t="s">
        <v>236</v>
      </c>
    </row>
    <row r="53" spans="1:3" x14ac:dyDescent="0.25">
      <c r="A53" s="225"/>
    </row>
    <row r="54" spans="1:3" x14ac:dyDescent="0.25">
      <c r="A54" s="225">
        <v>6462</v>
      </c>
      <c r="B54" t="s">
        <v>237</v>
      </c>
      <c r="C54" t="s">
        <v>238</v>
      </c>
    </row>
    <row r="55" spans="1:3" x14ac:dyDescent="0.25">
      <c r="A55" s="225">
        <v>10</v>
      </c>
      <c r="B55" t="s">
        <v>239</v>
      </c>
      <c r="C55" t="s">
        <v>240</v>
      </c>
    </row>
    <row r="56" spans="1:3" x14ac:dyDescent="0.25">
      <c r="A56" s="312">
        <f>A54*1000*A55/10000</f>
        <v>6462</v>
      </c>
      <c r="B56" t="s">
        <v>172</v>
      </c>
      <c r="C56" s="267" t="s">
        <v>241</v>
      </c>
    </row>
    <row r="57" spans="1:3" x14ac:dyDescent="0.25">
      <c r="A57" s="225">
        <f>+A56*10000</f>
        <v>64620000</v>
      </c>
      <c r="B57" t="s">
        <v>177</v>
      </c>
    </row>
    <row r="58" spans="1:3" x14ac:dyDescent="0.25">
      <c r="A58" s="225">
        <v>2</v>
      </c>
      <c r="B58" t="s">
        <v>239</v>
      </c>
      <c r="C58" t="s">
        <v>560</v>
      </c>
    </row>
    <row r="59" spans="1:3" x14ac:dyDescent="0.25">
      <c r="A59" s="225">
        <f>+A57*A58</f>
        <v>129240000</v>
      </c>
      <c r="B59" t="s">
        <v>182</v>
      </c>
      <c r="C59" t="s">
        <v>561</v>
      </c>
    </row>
    <row r="60" spans="1:3" x14ac:dyDescent="0.25">
      <c r="A60" s="225"/>
    </row>
    <row r="61" spans="1:3" x14ac:dyDescent="0.25">
      <c r="A61" s="225">
        <v>1942.4934269623275</v>
      </c>
      <c r="B61" t="s">
        <v>172</v>
      </c>
      <c r="C61" t="s">
        <v>242</v>
      </c>
    </row>
    <row r="62" spans="1:3" x14ac:dyDescent="0.25">
      <c r="A62" s="225">
        <v>4.1997499999999999</v>
      </c>
      <c r="B62" t="s">
        <v>172</v>
      </c>
      <c r="C62" t="s">
        <v>243</v>
      </c>
    </row>
    <row r="63" spans="1:3" x14ac:dyDescent="0.25">
      <c r="A63" s="312">
        <f>A61+A62</f>
        <v>1946.6931769623275</v>
      </c>
      <c r="B63" t="s">
        <v>172</v>
      </c>
      <c r="C63" s="267" t="s">
        <v>244</v>
      </c>
    </row>
    <row r="64" spans="1:3" x14ac:dyDescent="0.25">
      <c r="A64" s="225"/>
    </row>
    <row r="65" spans="1:14" x14ac:dyDescent="0.25">
      <c r="A65" s="225">
        <f>A52+A56+A63</f>
        <v>170591.89922950108</v>
      </c>
      <c r="B65" t="s">
        <v>172</v>
      </c>
      <c r="C65" t="s">
        <v>245</v>
      </c>
    </row>
    <row r="66" spans="1:14" x14ac:dyDescent="0.25">
      <c r="A66" s="295"/>
      <c r="B66" s="295"/>
      <c r="C66" s="295"/>
      <c r="D66" s="295"/>
      <c r="E66" s="295"/>
      <c r="F66" s="295"/>
      <c r="G66" s="295"/>
      <c r="H66" s="295"/>
      <c r="I66" s="295"/>
      <c r="J66" s="295"/>
      <c r="K66" s="295"/>
      <c r="L66" s="295"/>
      <c r="M66" s="295"/>
      <c r="N66" s="295"/>
    </row>
    <row r="67" spans="1:14" x14ac:dyDescent="0.25">
      <c r="A67" t="s">
        <v>246</v>
      </c>
      <c r="C67" t="s">
        <v>247</v>
      </c>
    </row>
    <row r="68" spans="1:14" x14ac:dyDescent="0.25">
      <c r="A68" t="s">
        <v>177</v>
      </c>
      <c r="C68" t="s">
        <v>248</v>
      </c>
    </row>
    <row r="69" spans="1:14" x14ac:dyDescent="0.25">
      <c r="A69" s="179">
        <v>228059753.59589997</v>
      </c>
      <c r="B69" t="s">
        <v>249</v>
      </c>
    </row>
    <row r="70" spans="1:14" x14ac:dyDescent="0.25">
      <c r="A70" s="179">
        <v>80238900</v>
      </c>
      <c r="B70" t="s">
        <v>250</v>
      </c>
    </row>
    <row r="71" spans="1:14" x14ac:dyDescent="0.25">
      <c r="A71" s="179">
        <v>88172100</v>
      </c>
      <c r="B71" t="s">
        <v>251</v>
      </c>
    </row>
    <row r="72" spans="1:14" x14ac:dyDescent="0.25">
      <c r="A72" s="179">
        <v>26064900</v>
      </c>
      <c r="B72" t="s">
        <v>252</v>
      </c>
    </row>
    <row r="73" spans="1:14" x14ac:dyDescent="0.25">
      <c r="A73" s="179">
        <v>3960200</v>
      </c>
      <c r="B73" t="s">
        <v>253</v>
      </c>
    </row>
    <row r="74" spans="1:14" x14ac:dyDescent="0.25">
      <c r="A74" s="179">
        <v>2642200</v>
      </c>
      <c r="B74" t="s">
        <v>254</v>
      </c>
    </row>
    <row r="75" spans="1:14" x14ac:dyDescent="0.25">
      <c r="A75" s="179">
        <v>1010595675.33697</v>
      </c>
      <c r="B75" t="s">
        <v>255</v>
      </c>
      <c r="C75" t="s">
        <v>256</v>
      </c>
      <c r="E75" t="s">
        <v>257</v>
      </c>
    </row>
    <row r="76" spans="1:14" x14ac:dyDescent="0.25">
      <c r="A76" s="179">
        <v>55939618.817884997</v>
      </c>
      <c r="B76" t="s">
        <v>258</v>
      </c>
      <c r="C76" t="s">
        <v>259</v>
      </c>
    </row>
    <row r="77" spans="1:14" x14ac:dyDescent="0.25">
      <c r="A77" s="179">
        <v>126158712.77463301</v>
      </c>
      <c r="B77" t="s">
        <v>260</v>
      </c>
      <c r="C77" t="s">
        <v>259</v>
      </c>
    </row>
    <row r="78" spans="1:14" x14ac:dyDescent="0.25">
      <c r="A78" s="179">
        <f>SUM(A69:A77)</f>
        <v>1621832060.5253878</v>
      </c>
      <c r="B78" t="s">
        <v>261</v>
      </c>
    </row>
    <row r="79" spans="1:14" x14ac:dyDescent="0.25">
      <c r="A79" s="313">
        <f>A78/10000</f>
        <v>162183.20605253876</v>
      </c>
      <c r="B79" s="295" t="s">
        <v>172</v>
      </c>
      <c r="C79" s="295"/>
      <c r="D79" s="295"/>
      <c r="E79" s="295"/>
      <c r="F79" s="295"/>
      <c r="G79" s="295"/>
      <c r="H79" s="295"/>
      <c r="I79" s="295"/>
      <c r="J79" s="295"/>
      <c r="K79" s="295"/>
      <c r="L79" s="295"/>
      <c r="M79" s="295"/>
      <c r="N79" s="295"/>
    </row>
    <row r="82" spans="1:9" x14ac:dyDescent="0.25">
      <c r="A82" t="s">
        <v>262</v>
      </c>
    </row>
    <row r="85" spans="1:9" ht="26.25" x14ac:dyDescent="0.4">
      <c r="A85" s="1081">
        <v>2013</v>
      </c>
    </row>
    <row r="86" spans="1:9" x14ac:dyDescent="0.25">
      <c r="A86" t="s">
        <v>193</v>
      </c>
    </row>
    <row r="87" spans="1:9" x14ac:dyDescent="0.25">
      <c r="A87" t="s">
        <v>194</v>
      </c>
    </row>
    <row r="88" spans="1:9" x14ac:dyDescent="0.25">
      <c r="A88" t="s">
        <v>48</v>
      </c>
    </row>
    <row r="89" spans="1:9" x14ac:dyDescent="0.25">
      <c r="A89" t="s">
        <v>197</v>
      </c>
    </row>
    <row r="91" spans="1:9" x14ac:dyDescent="0.25">
      <c r="A91" t="s">
        <v>196</v>
      </c>
    </row>
    <row r="92" spans="1:9" x14ac:dyDescent="0.25">
      <c r="A92" t="s">
        <v>382</v>
      </c>
    </row>
    <row r="93" spans="1:9" x14ac:dyDescent="0.25">
      <c r="A93" s="295" t="s">
        <v>1369</v>
      </c>
      <c r="B93" s="295"/>
      <c r="C93" s="295"/>
      <c r="D93" s="295"/>
      <c r="E93" s="295"/>
      <c r="F93" s="295"/>
      <c r="G93" s="295"/>
      <c r="H93" s="295"/>
      <c r="I93" s="295"/>
    </row>
    <row r="94" spans="1:9" x14ac:dyDescent="0.25">
      <c r="A94" s="225">
        <v>1212.5</v>
      </c>
      <c r="B94" t="s">
        <v>195</v>
      </c>
      <c r="C94" s="179">
        <v>26338</v>
      </c>
      <c r="D94" t="s">
        <v>393</v>
      </c>
    </row>
    <row r="95" spans="1:9" x14ac:dyDescent="0.25">
      <c r="A95" s="303">
        <v>1.2124999999999999</v>
      </c>
      <c r="B95" t="s">
        <v>540</v>
      </c>
      <c r="C95" s="179">
        <v>26338000000</v>
      </c>
      <c r="D95" t="s">
        <v>177</v>
      </c>
    </row>
    <row r="96" spans="1:9" x14ac:dyDescent="0.25">
      <c r="D96" s="179">
        <f>A95*C95</f>
        <v>31934824999.999996</v>
      </c>
      <c r="E96" t="s">
        <v>182</v>
      </c>
    </row>
    <row r="97" spans="1:9" x14ac:dyDescent="0.25">
      <c r="D97" s="1505">
        <f>+D96/1000000</f>
        <v>31934.824999999997</v>
      </c>
      <c r="E97" t="s">
        <v>490</v>
      </c>
      <c r="F97" t="s">
        <v>189</v>
      </c>
    </row>
    <row r="98" spans="1:9" x14ac:dyDescent="0.25">
      <c r="D98" s="179"/>
    </row>
    <row r="99" spans="1:9" x14ac:dyDescent="0.25">
      <c r="B99" t="s">
        <v>567</v>
      </c>
      <c r="C99" t="s">
        <v>177</v>
      </c>
      <c r="D99" t="s">
        <v>182</v>
      </c>
      <c r="E99" t="s">
        <v>580</v>
      </c>
    </row>
    <row r="100" spans="1:9" x14ac:dyDescent="0.25">
      <c r="A100" s="303">
        <f>A95</f>
        <v>1.2124999999999999</v>
      </c>
      <c r="B100" t="s">
        <v>566</v>
      </c>
      <c r="C100" s="179">
        <f>(A$52)*10000</f>
        <v>1621832060.5253875</v>
      </c>
      <c r="D100" s="179">
        <f>(A$95)*C100</f>
        <v>1966471373.3870323</v>
      </c>
      <c r="E100" s="179">
        <f>SUM(D100,D109)</f>
        <v>2104766296.5372562</v>
      </c>
    </row>
    <row r="101" spans="1:9" x14ac:dyDescent="0.25">
      <c r="B101" t="s">
        <v>565</v>
      </c>
      <c r="C101" s="179">
        <f>(A$56)*10000</f>
        <v>64620000</v>
      </c>
      <c r="D101" s="179">
        <f>(A$95)*C101</f>
        <v>78351750</v>
      </c>
      <c r="E101" s="179">
        <f>SUM(D101,D110)</f>
        <v>2622978335.9641218</v>
      </c>
    </row>
    <row r="102" spans="1:9" x14ac:dyDescent="0.25">
      <c r="B102" s="179" t="s">
        <v>564</v>
      </c>
      <c r="C102" s="179">
        <f>(A$63)*10000</f>
        <v>19466931.769623276</v>
      </c>
      <c r="D102" s="179">
        <f>(A$95)*C102</f>
        <v>23603654.77066822</v>
      </c>
      <c r="E102" s="179">
        <f>SUM(D102,D111)</f>
        <v>106580608.66080262</v>
      </c>
    </row>
    <row r="103" spans="1:9" x14ac:dyDescent="0.25">
      <c r="E103" s="179">
        <f>SUM(E100:E102)</f>
        <v>4834325241.1621809</v>
      </c>
    </row>
    <row r="104" spans="1:9" x14ac:dyDescent="0.25">
      <c r="D104" s="179"/>
    </row>
    <row r="105" spans="1:9" x14ac:dyDescent="0.25">
      <c r="D105" s="179"/>
      <c r="E105" t="s">
        <v>604</v>
      </c>
    </row>
    <row r="106" spans="1:9" x14ac:dyDescent="0.25">
      <c r="D106" s="179">
        <f>SUM(Asset_2013_Table!C9:E9)*1000000</f>
        <v>4834325241.1621809</v>
      </c>
      <c r="E106" t="s">
        <v>541</v>
      </c>
    </row>
    <row r="107" spans="1:9" x14ac:dyDescent="0.25">
      <c r="D107" s="179">
        <f>SUM(D96)-SUM(E100:E102)</f>
        <v>27100499758.837814</v>
      </c>
      <c r="E107" t="s">
        <v>542</v>
      </c>
    </row>
    <row r="108" spans="1:9" x14ac:dyDescent="0.25">
      <c r="D108" s="179">
        <f>(Runoff!K21)</f>
        <v>2765898463.0044799</v>
      </c>
      <c r="E108" t="s">
        <v>545</v>
      </c>
    </row>
    <row r="109" spans="1:9" x14ac:dyDescent="0.25">
      <c r="D109" s="179">
        <f>+(D$108)*5%</f>
        <v>138294923.150224</v>
      </c>
      <c r="E109" t="s">
        <v>555</v>
      </c>
    </row>
    <row r="110" spans="1:9" x14ac:dyDescent="0.25">
      <c r="D110" s="179">
        <f>+(D$108)*92%</f>
        <v>2544626585.9641218</v>
      </c>
      <c r="E110" t="s">
        <v>557</v>
      </c>
    </row>
    <row r="111" spans="1:9" x14ac:dyDescent="0.25">
      <c r="D111" s="179">
        <f>+(D$108)*3%</f>
        <v>82976953.890134394</v>
      </c>
      <c r="E111" t="s">
        <v>556</v>
      </c>
    </row>
    <row r="112" spans="1:9" x14ac:dyDescent="0.25">
      <c r="A112" s="295"/>
      <c r="B112" s="295"/>
      <c r="C112" s="295"/>
      <c r="D112" s="184"/>
      <c r="E112" s="295"/>
      <c r="F112" s="295"/>
      <c r="G112" s="295"/>
      <c r="H112" s="295"/>
      <c r="I112" s="295"/>
    </row>
    <row r="113" spans="1:9" x14ac:dyDescent="0.25">
      <c r="D113" s="304"/>
    </row>
    <row r="115" spans="1:9" x14ac:dyDescent="0.25">
      <c r="A115" t="s">
        <v>196</v>
      </c>
    </row>
    <row r="116" spans="1:9" x14ac:dyDescent="0.25">
      <c r="A116" t="s">
        <v>382</v>
      </c>
    </row>
    <row r="117" spans="1:9" x14ac:dyDescent="0.25">
      <c r="A117" s="295" t="s">
        <v>1381</v>
      </c>
      <c r="B117" s="295"/>
      <c r="C117" s="295"/>
      <c r="D117" s="295"/>
      <c r="E117" s="295"/>
      <c r="F117" s="295"/>
      <c r="G117" s="295"/>
      <c r="H117" s="295"/>
      <c r="I117" s="295"/>
    </row>
    <row r="118" spans="1:9" x14ac:dyDescent="0.25">
      <c r="A118" s="2">
        <v>852.6</v>
      </c>
      <c r="B118" t="s">
        <v>195</v>
      </c>
      <c r="C118" s="179">
        <v>26338</v>
      </c>
      <c r="D118" t="s">
        <v>393</v>
      </c>
    </row>
    <row r="119" spans="1:9" x14ac:dyDescent="0.25">
      <c r="A119" s="2">
        <v>0.85260000000000002</v>
      </c>
      <c r="B119" t="s">
        <v>540</v>
      </c>
      <c r="C119" s="179">
        <v>26338000000</v>
      </c>
      <c r="D119" t="s">
        <v>177</v>
      </c>
    </row>
    <row r="120" spans="1:9" x14ac:dyDescent="0.25">
      <c r="D120" s="179">
        <f>A119*C119</f>
        <v>22455778800</v>
      </c>
      <c r="E120" t="s">
        <v>182</v>
      </c>
    </row>
    <row r="121" spans="1:9" x14ac:dyDescent="0.25">
      <c r="D121" s="1505">
        <f>+D120/1000000</f>
        <v>22455.7788</v>
      </c>
      <c r="E121" t="s">
        <v>490</v>
      </c>
      <c r="F121" t="s">
        <v>189</v>
      </c>
    </row>
    <row r="122" spans="1:9" x14ac:dyDescent="0.25">
      <c r="D122" s="179"/>
    </row>
    <row r="123" spans="1:9" x14ac:dyDescent="0.25">
      <c r="B123" t="s">
        <v>579</v>
      </c>
      <c r="C123" t="s">
        <v>177</v>
      </c>
      <c r="D123" t="s">
        <v>182</v>
      </c>
      <c r="E123" t="s">
        <v>605</v>
      </c>
    </row>
    <row r="124" spans="1:9" x14ac:dyDescent="0.25">
      <c r="A124" s="303">
        <f>A119</f>
        <v>0.85260000000000002</v>
      </c>
      <c r="B124" t="s">
        <v>566</v>
      </c>
      <c r="C124" s="179">
        <f>(A$52)*10000</f>
        <v>1621832060.5253875</v>
      </c>
      <c r="D124" s="315">
        <f>(A$35)*C124</f>
        <v>1400938533.8818297</v>
      </c>
      <c r="E124" s="179">
        <f>SUM(D124)</f>
        <v>1400938533.8818297</v>
      </c>
    </row>
    <row r="125" spans="1:9" x14ac:dyDescent="0.25">
      <c r="B125" t="s">
        <v>565</v>
      </c>
      <c r="C125" s="179">
        <f>(A$56)*10000</f>
        <v>64620000</v>
      </c>
      <c r="D125" s="179">
        <f>(A$35)*C125</f>
        <v>55818756</v>
      </c>
      <c r="E125" s="179">
        <f>SUM(D125)</f>
        <v>55818756</v>
      </c>
    </row>
    <row r="126" spans="1:9" x14ac:dyDescent="0.25">
      <c r="B126" s="179" t="s">
        <v>564</v>
      </c>
      <c r="C126" s="179">
        <f>(A$63)*10000</f>
        <v>19466931.769623276</v>
      </c>
      <c r="D126" s="315">
        <f>(A$35)*C126</f>
        <v>16815535.662600584</v>
      </c>
      <c r="E126" s="179">
        <f>SUM(D126)</f>
        <v>16815535.662600584</v>
      </c>
    </row>
    <row r="127" spans="1:9" x14ac:dyDescent="0.25">
      <c r="E127" s="179">
        <f>SUM(E124:E126)</f>
        <v>1473572825.5444303</v>
      </c>
    </row>
    <row r="128" spans="1:9" x14ac:dyDescent="0.25">
      <c r="E128" s="1505">
        <f>SUM(D120)-SUM(E124:E126)</f>
        <v>20982205974.45557</v>
      </c>
      <c r="F128" t="s">
        <v>542</v>
      </c>
    </row>
    <row r="130" spans="1:12" x14ac:dyDescent="0.25">
      <c r="A130" s="297" t="s">
        <v>230</v>
      </c>
      <c r="B130" s="297"/>
      <c r="C130" s="297"/>
      <c r="D130" s="297"/>
      <c r="E130" s="297"/>
      <c r="F130" s="297"/>
      <c r="G130" s="297"/>
      <c r="H130" s="297"/>
      <c r="I130" s="297"/>
      <c r="J130" s="297"/>
      <c r="K130" s="297"/>
      <c r="L130" s="297"/>
    </row>
    <row r="131" spans="1:12" x14ac:dyDescent="0.25">
      <c r="A131" t="s">
        <v>231</v>
      </c>
    </row>
    <row r="132" spans="1:12" x14ac:dyDescent="0.25">
      <c r="A132" s="225">
        <v>152002.94288104901</v>
      </c>
      <c r="B132" t="s">
        <v>172</v>
      </c>
      <c r="C132" t="s">
        <v>232</v>
      </c>
    </row>
    <row r="133" spans="1:12" x14ac:dyDescent="0.25">
      <c r="A133" s="225">
        <v>88651.368569261133</v>
      </c>
      <c r="B133" t="s">
        <v>172</v>
      </c>
      <c r="C133" t="s">
        <v>233</v>
      </c>
    </row>
    <row r="134" spans="1:12" x14ac:dyDescent="0.25">
      <c r="A134" s="225">
        <f>A132+A133</f>
        <v>240654.31145031014</v>
      </c>
      <c r="B134" t="s">
        <v>172</v>
      </c>
      <c r="C134" t="s">
        <v>234</v>
      </c>
    </row>
    <row r="135" spans="1:12" x14ac:dyDescent="0.25">
      <c r="A135" s="225" t="s">
        <v>235</v>
      </c>
    </row>
    <row r="136" spans="1:12" x14ac:dyDescent="0.25">
      <c r="A136" s="312">
        <f>A163</f>
        <v>162183.20605253876</v>
      </c>
      <c r="B136" t="s">
        <v>172</v>
      </c>
      <c r="C136" s="267" t="s">
        <v>236</v>
      </c>
    </row>
    <row r="137" spans="1:12" x14ac:dyDescent="0.25">
      <c r="A137" s="225"/>
    </row>
    <row r="138" spans="1:12" x14ac:dyDescent="0.25">
      <c r="A138" s="225">
        <v>6462</v>
      </c>
      <c r="B138" t="s">
        <v>237</v>
      </c>
      <c r="C138" t="s">
        <v>238</v>
      </c>
    </row>
    <row r="139" spans="1:12" x14ac:dyDescent="0.25">
      <c r="A139" s="225">
        <v>10</v>
      </c>
      <c r="B139" t="s">
        <v>239</v>
      </c>
      <c r="C139" t="s">
        <v>240</v>
      </c>
    </row>
    <row r="140" spans="1:12" x14ac:dyDescent="0.25">
      <c r="A140" s="312">
        <f>A138*1000*A139/10000</f>
        <v>6462</v>
      </c>
      <c r="B140" t="s">
        <v>172</v>
      </c>
      <c r="C140" s="267" t="s">
        <v>241</v>
      </c>
    </row>
    <row r="141" spans="1:12" x14ac:dyDescent="0.25">
      <c r="A141" s="225">
        <f>+A140*10000</f>
        <v>64620000</v>
      </c>
      <c r="B141" t="s">
        <v>177</v>
      </c>
    </row>
    <row r="142" spans="1:12" x14ac:dyDescent="0.25">
      <c r="A142" s="225">
        <v>2</v>
      </c>
      <c r="B142" t="s">
        <v>239</v>
      </c>
      <c r="C142" t="s">
        <v>560</v>
      </c>
    </row>
    <row r="143" spans="1:12" x14ac:dyDescent="0.25">
      <c r="A143" s="225">
        <f>+A141*A142</f>
        <v>129240000</v>
      </c>
      <c r="B143" t="s">
        <v>182</v>
      </c>
      <c r="C143" t="s">
        <v>561</v>
      </c>
    </row>
    <row r="144" spans="1:12" x14ac:dyDescent="0.25">
      <c r="A144" s="225"/>
    </row>
    <row r="145" spans="1:14" x14ac:dyDescent="0.25">
      <c r="A145" s="225">
        <v>1942.4934269623275</v>
      </c>
      <c r="B145" t="s">
        <v>172</v>
      </c>
      <c r="C145" t="s">
        <v>242</v>
      </c>
    </row>
    <row r="146" spans="1:14" x14ac:dyDescent="0.25">
      <c r="A146" s="225">
        <v>4.1997499999999999</v>
      </c>
      <c r="B146" t="s">
        <v>172</v>
      </c>
      <c r="C146" t="s">
        <v>243</v>
      </c>
    </row>
    <row r="147" spans="1:14" x14ac:dyDescent="0.25">
      <c r="A147" s="312">
        <f>A145+A146</f>
        <v>1946.6931769623275</v>
      </c>
      <c r="B147" t="s">
        <v>172</v>
      </c>
      <c r="C147" s="267" t="s">
        <v>244</v>
      </c>
    </row>
    <row r="148" spans="1:14" x14ac:dyDescent="0.25">
      <c r="A148" s="225"/>
    </row>
    <row r="149" spans="1:14" x14ac:dyDescent="0.25">
      <c r="A149" s="225">
        <f>A136+A140+A147</f>
        <v>170591.89922950108</v>
      </c>
      <c r="B149" t="s">
        <v>172</v>
      </c>
      <c r="C149" t="s">
        <v>245</v>
      </c>
    </row>
    <row r="150" spans="1:14" x14ac:dyDescent="0.25">
      <c r="A150" s="295"/>
      <c r="B150" s="295"/>
      <c r="C150" s="295"/>
      <c r="D150" s="295"/>
      <c r="E150" s="295"/>
      <c r="F150" s="295"/>
      <c r="G150" s="295"/>
      <c r="H150" s="295"/>
      <c r="I150" s="295"/>
      <c r="J150" s="295"/>
      <c r="K150" s="295"/>
      <c r="L150" s="295"/>
      <c r="M150" s="295"/>
      <c r="N150" s="295"/>
    </row>
    <row r="151" spans="1:14" x14ac:dyDescent="0.25">
      <c r="A151" t="s">
        <v>246</v>
      </c>
      <c r="C151" t="s">
        <v>247</v>
      </c>
    </row>
    <row r="152" spans="1:14" x14ac:dyDescent="0.25">
      <c r="A152" t="s">
        <v>177</v>
      </c>
      <c r="C152" t="s">
        <v>248</v>
      </c>
    </row>
    <row r="153" spans="1:14" x14ac:dyDescent="0.25">
      <c r="A153" s="179">
        <v>228059753.59589997</v>
      </c>
      <c r="B153" t="s">
        <v>249</v>
      </c>
    </row>
    <row r="154" spans="1:14" x14ac:dyDescent="0.25">
      <c r="A154" s="179">
        <v>80238900</v>
      </c>
      <c r="B154" t="s">
        <v>250</v>
      </c>
    </row>
    <row r="155" spans="1:14" x14ac:dyDescent="0.25">
      <c r="A155" s="179">
        <v>88172100</v>
      </c>
      <c r="B155" t="s">
        <v>251</v>
      </c>
    </row>
    <row r="156" spans="1:14" x14ac:dyDescent="0.25">
      <c r="A156" s="179">
        <v>26064900</v>
      </c>
      <c r="B156" t="s">
        <v>252</v>
      </c>
    </row>
    <row r="157" spans="1:14" x14ac:dyDescent="0.25">
      <c r="A157" s="179">
        <v>3960200</v>
      </c>
      <c r="B157" t="s">
        <v>253</v>
      </c>
    </row>
    <row r="158" spans="1:14" x14ac:dyDescent="0.25">
      <c r="A158" s="179">
        <v>2642200</v>
      </c>
      <c r="B158" t="s">
        <v>254</v>
      </c>
    </row>
    <row r="159" spans="1:14" x14ac:dyDescent="0.25">
      <c r="A159" s="179">
        <v>1010595675.33697</v>
      </c>
      <c r="B159" t="s">
        <v>255</v>
      </c>
      <c r="C159" t="s">
        <v>256</v>
      </c>
      <c r="E159" t="s">
        <v>257</v>
      </c>
    </row>
    <row r="160" spans="1:14" x14ac:dyDescent="0.25">
      <c r="A160" s="179">
        <v>55939618.817884997</v>
      </c>
      <c r="B160" t="s">
        <v>258</v>
      </c>
      <c r="C160" t="s">
        <v>259</v>
      </c>
    </row>
    <row r="161" spans="1:14" x14ac:dyDescent="0.25">
      <c r="A161" s="179">
        <v>126158712.77463301</v>
      </c>
      <c r="B161" t="s">
        <v>260</v>
      </c>
      <c r="C161" t="s">
        <v>259</v>
      </c>
    </row>
    <row r="162" spans="1:14" x14ac:dyDescent="0.25">
      <c r="A162" s="179">
        <f>SUM(A153:A161)</f>
        <v>1621832060.5253878</v>
      </c>
      <c r="B162" t="s">
        <v>261</v>
      </c>
    </row>
    <row r="163" spans="1:14" x14ac:dyDescent="0.25">
      <c r="A163" s="313">
        <f>A162/10000</f>
        <v>162183.20605253876</v>
      </c>
      <c r="B163" s="295" t="s">
        <v>172</v>
      </c>
      <c r="C163" s="295"/>
      <c r="D163" s="295"/>
      <c r="E163" s="295"/>
      <c r="F163" s="295"/>
      <c r="G163" s="295"/>
      <c r="H163" s="295"/>
      <c r="I163" s="295"/>
      <c r="J163" s="295"/>
      <c r="K163" s="295"/>
      <c r="L163" s="295"/>
      <c r="M163" s="295"/>
      <c r="N163" s="295"/>
    </row>
    <row r="166" spans="1:14" x14ac:dyDescent="0.25">
      <c r="A166" t="s">
        <v>262</v>
      </c>
    </row>
    <row r="168" spans="1:14" ht="26.25" x14ac:dyDescent="0.4">
      <c r="A168" s="1081">
        <v>2014</v>
      </c>
    </row>
    <row r="169" spans="1:14" x14ac:dyDescent="0.25">
      <c r="A169" t="s">
        <v>193</v>
      </c>
    </row>
    <row r="170" spans="1:14" x14ac:dyDescent="0.25">
      <c r="A170" t="s">
        <v>194</v>
      </c>
    </row>
    <row r="171" spans="1:14" x14ac:dyDescent="0.25">
      <c r="A171" t="s">
        <v>48</v>
      </c>
    </row>
    <row r="172" spans="1:14" x14ac:dyDescent="0.25">
      <c r="A172" t="s">
        <v>197</v>
      </c>
    </row>
    <row r="174" spans="1:14" x14ac:dyDescent="0.25">
      <c r="A174" t="s">
        <v>196</v>
      </c>
    </row>
    <row r="175" spans="1:14" x14ac:dyDescent="0.25">
      <c r="A175" t="s">
        <v>382</v>
      </c>
    </row>
    <row r="176" spans="1:14" x14ac:dyDescent="0.25">
      <c r="A176" s="295" t="s">
        <v>1363</v>
      </c>
      <c r="B176" s="295"/>
      <c r="C176" s="295"/>
      <c r="D176" s="295"/>
      <c r="E176" s="295"/>
      <c r="F176" s="295"/>
      <c r="G176" s="295"/>
      <c r="H176" s="295"/>
      <c r="I176" s="295"/>
    </row>
    <row r="177" spans="1:6" x14ac:dyDescent="0.25">
      <c r="A177" s="1083">
        <v>1213.7</v>
      </c>
      <c r="B177" t="s">
        <v>195</v>
      </c>
      <c r="C177" s="179">
        <v>26338</v>
      </c>
      <c r="D177" t="s">
        <v>393</v>
      </c>
    </row>
    <row r="178" spans="1:6" x14ac:dyDescent="0.25">
      <c r="A178" s="2">
        <v>1.2137</v>
      </c>
      <c r="B178" t="s">
        <v>540</v>
      </c>
      <c r="C178" s="179">
        <v>26338000000</v>
      </c>
      <c r="D178" t="s">
        <v>177</v>
      </c>
    </row>
    <row r="179" spans="1:6" x14ac:dyDescent="0.25">
      <c r="D179" s="179">
        <f>A178*C178</f>
        <v>31966430600</v>
      </c>
      <c r="E179" t="s">
        <v>182</v>
      </c>
    </row>
    <row r="180" spans="1:6" x14ac:dyDescent="0.25">
      <c r="D180" s="1506">
        <f>+D179/1000000</f>
        <v>31966.4306</v>
      </c>
      <c r="E180" t="s">
        <v>490</v>
      </c>
      <c r="F180" t="s">
        <v>189</v>
      </c>
    </row>
    <row r="181" spans="1:6" x14ac:dyDescent="0.25">
      <c r="D181" s="179"/>
    </row>
    <row r="182" spans="1:6" x14ac:dyDescent="0.25">
      <c r="B182" t="s">
        <v>567</v>
      </c>
      <c r="C182" t="s">
        <v>177</v>
      </c>
      <c r="D182" t="s">
        <v>182</v>
      </c>
      <c r="E182" t="s">
        <v>580</v>
      </c>
    </row>
    <row r="183" spans="1:6" x14ac:dyDescent="0.25">
      <c r="A183" s="303">
        <f>A178</f>
        <v>1.2137</v>
      </c>
      <c r="B183" t="s">
        <v>566</v>
      </c>
      <c r="C183" s="179">
        <f>(A$52)*10000</f>
        <v>1621832060.5253875</v>
      </c>
      <c r="D183" s="179">
        <f>(A$178)*C183</f>
        <v>1968417571.8596628</v>
      </c>
      <c r="E183" s="179">
        <f>SUM(D183,D192)</f>
        <v>2106712495.0098867</v>
      </c>
    </row>
    <row r="184" spans="1:6" x14ac:dyDescent="0.25">
      <c r="B184" t="s">
        <v>565</v>
      </c>
      <c r="C184" s="179">
        <f>(A$56)*10000</f>
        <v>64620000</v>
      </c>
      <c r="D184" s="179">
        <f>(A$178)*C184</f>
        <v>78429294</v>
      </c>
      <c r="E184" s="179">
        <f>SUM(D184,D193)</f>
        <v>2623055879.9641218</v>
      </c>
    </row>
    <row r="185" spans="1:6" x14ac:dyDescent="0.25">
      <c r="B185" s="179" t="s">
        <v>564</v>
      </c>
      <c r="C185" s="179">
        <f>(A$63)*10000</f>
        <v>19466931.769623276</v>
      </c>
      <c r="D185" s="179">
        <f>(A$178)*C185</f>
        <v>23627015.088791769</v>
      </c>
      <c r="E185" s="179">
        <f>SUM(D185,D194)</f>
        <v>106603968.97892617</v>
      </c>
    </row>
    <row r="186" spans="1:6" x14ac:dyDescent="0.25">
      <c r="E186" s="179">
        <f>SUM(E183:E185)</f>
        <v>4836372343.9529343</v>
      </c>
    </row>
    <row r="187" spans="1:6" x14ac:dyDescent="0.25">
      <c r="D187" s="179"/>
    </row>
    <row r="188" spans="1:6" x14ac:dyDescent="0.25">
      <c r="D188" s="179"/>
      <c r="E188" t="s">
        <v>604</v>
      </c>
    </row>
    <row r="189" spans="1:6" x14ac:dyDescent="0.25">
      <c r="D189" s="179">
        <f>SUM(Asset_2014_Table!C9:E9)*1000000</f>
        <v>4836372343.9529343</v>
      </c>
      <c r="E189" t="s">
        <v>541</v>
      </c>
    </row>
    <row r="190" spans="1:6" x14ac:dyDescent="0.25">
      <c r="D190" s="179">
        <f>SUM(D179)-SUM(E183:E185)</f>
        <v>27130058256.047066</v>
      </c>
      <c r="E190" t="s">
        <v>542</v>
      </c>
    </row>
    <row r="191" spans="1:6" x14ac:dyDescent="0.25">
      <c r="D191" s="179">
        <f>(Runoff!K21)</f>
        <v>2765898463.0044799</v>
      </c>
      <c r="E191" t="s">
        <v>545</v>
      </c>
    </row>
    <row r="192" spans="1:6" x14ac:dyDescent="0.25">
      <c r="D192" s="179">
        <f>+(D$191)*5%</f>
        <v>138294923.150224</v>
      </c>
      <c r="E192" t="s">
        <v>555</v>
      </c>
    </row>
    <row r="193" spans="1:9" x14ac:dyDescent="0.25">
      <c r="D193" s="179">
        <f>+(D$191)*92%</f>
        <v>2544626585.9641218</v>
      </c>
      <c r="E193" t="s">
        <v>557</v>
      </c>
    </row>
    <row r="194" spans="1:9" x14ac:dyDescent="0.25">
      <c r="D194" s="179">
        <f>+(D$191)*3%</f>
        <v>82976953.890134394</v>
      </c>
      <c r="E194" t="s">
        <v>556</v>
      </c>
    </row>
    <row r="195" spans="1:9" x14ac:dyDescent="0.25">
      <c r="A195" s="295"/>
      <c r="B195" s="295"/>
      <c r="C195" s="295"/>
      <c r="D195" s="184"/>
      <c r="E195" s="295"/>
      <c r="F195" s="295"/>
      <c r="G195" s="295"/>
      <c r="H195" s="295"/>
      <c r="I195" s="295"/>
    </row>
    <row r="196" spans="1:9" x14ac:dyDescent="0.25">
      <c r="D196" s="304"/>
    </row>
    <row r="198" spans="1:9" x14ac:dyDescent="0.25">
      <c r="A198" t="s">
        <v>196</v>
      </c>
    </row>
    <row r="199" spans="1:9" x14ac:dyDescent="0.25">
      <c r="A199" t="s">
        <v>382</v>
      </c>
    </row>
    <row r="200" spans="1:9" x14ac:dyDescent="0.25">
      <c r="A200" s="295" t="s">
        <v>1382</v>
      </c>
      <c r="B200" s="295"/>
      <c r="C200" s="295"/>
      <c r="D200" s="295"/>
      <c r="E200" s="295"/>
      <c r="F200" s="295"/>
      <c r="G200" s="295"/>
      <c r="H200" s="295"/>
      <c r="I200" s="295"/>
    </row>
    <row r="201" spans="1:9" x14ac:dyDescent="0.25">
      <c r="A201" s="2">
        <v>793.2</v>
      </c>
      <c r="B201" t="s">
        <v>195</v>
      </c>
      <c r="C201" s="179">
        <v>26338</v>
      </c>
      <c r="D201" t="s">
        <v>393</v>
      </c>
    </row>
    <row r="202" spans="1:9" x14ac:dyDescent="0.25">
      <c r="A202" s="2">
        <v>0.79320000000000002</v>
      </c>
      <c r="B202" t="s">
        <v>540</v>
      </c>
      <c r="C202" s="179">
        <v>26338000000</v>
      </c>
      <c r="D202" t="s">
        <v>177</v>
      </c>
    </row>
    <row r="203" spans="1:9" x14ac:dyDescent="0.25">
      <c r="D203" s="179">
        <f>A202*C202</f>
        <v>20891301600</v>
      </c>
      <c r="E203" t="s">
        <v>182</v>
      </c>
    </row>
    <row r="204" spans="1:9" x14ac:dyDescent="0.25">
      <c r="D204" s="1506">
        <f>+D203/1000000</f>
        <v>20891.301599999999</v>
      </c>
      <c r="E204" t="s">
        <v>490</v>
      </c>
      <c r="F204" t="s">
        <v>189</v>
      </c>
    </row>
    <row r="205" spans="1:9" x14ac:dyDescent="0.25">
      <c r="D205" s="179"/>
    </row>
    <row r="206" spans="1:9" x14ac:dyDescent="0.25">
      <c r="B206" t="s">
        <v>579</v>
      </c>
      <c r="C206" t="s">
        <v>177</v>
      </c>
      <c r="D206" t="s">
        <v>182</v>
      </c>
      <c r="E206" t="s">
        <v>605</v>
      </c>
    </row>
    <row r="207" spans="1:9" x14ac:dyDescent="0.25">
      <c r="A207" s="303">
        <f>A202</f>
        <v>0.79320000000000002</v>
      </c>
      <c r="B207" t="s">
        <v>566</v>
      </c>
      <c r="C207" s="179">
        <f>(A$52)*10000</f>
        <v>1621832060.5253875</v>
      </c>
      <c r="D207" s="315">
        <f>(A$202)*C207</f>
        <v>1286437190.4087374</v>
      </c>
      <c r="E207" s="179">
        <f>SUM(D207)</f>
        <v>1286437190.4087374</v>
      </c>
    </row>
    <row r="208" spans="1:9" x14ac:dyDescent="0.25">
      <c r="B208" t="s">
        <v>565</v>
      </c>
      <c r="C208" s="179">
        <f>(A$56)*10000</f>
        <v>64620000</v>
      </c>
      <c r="D208" s="179">
        <f>(A$202)*C208</f>
        <v>51256584</v>
      </c>
      <c r="E208" s="179">
        <f>SUM(D208)</f>
        <v>51256584</v>
      </c>
    </row>
    <row r="209" spans="1:12" x14ac:dyDescent="0.25">
      <c r="B209" s="179" t="s">
        <v>564</v>
      </c>
      <c r="C209" s="179">
        <f>(A$63)*10000</f>
        <v>19466931.769623276</v>
      </c>
      <c r="D209" s="315">
        <f>(A$202)*C209</f>
        <v>15441170.279665183</v>
      </c>
      <c r="E209" s="179">
        <f>SUM(D209)</f>
        <v>15441170.279665183</v>
      </c>
    </row>
    <row r="210" spans="1:12" x14ac:dyDescent="0.25">
      <c r="E210" s="179">
        <f>SUM(E207:E209)</f>
        <v>1353134944.6884027</v>
      </c>
    </row>
    <row r="211" spans="1:12" x14ac:dyDescent="0.25">
      <c r="E211" s="1506">
        <f>SUM(D203)-SUM(E207:E209)</f>
        <v>19538166655.311596</v>
      </c>
      <c r="F211" t="s">
        <v>542</v>
      </c>
    </row>
    <row r="213" spans="1:12" x14ac:dyDescent="0.25">
      <c r="A213" s="297" t="s">
        <v>230</v>
      </c>
      <c r="B213" s="297"/>
      <c r="C213" s="297"/>
      <c r="D213" s="297"/>
      <c r="E213" s="297"/>
      <c r="F213" s="297"/>
      <c r="G213" s="297"/>
      <c r="H213" s="297"/>
      <c r="I213" s="297"/>
      <c r="J213" s="297"/>
      <c r="K213" s="297"/>
      <c r="L213" s="297"/>
    </row>
    <row r="214" spans="1:12" x14ac:dyDescent="0.25">
      <c r="A214" t="s">
        <v>231</v>
      </c>
    </row>
    <row r="215" spans="1:12" x14ac:dyDescent="0.25">
      <c r="A215" s="225">
        <v>152002.94288104901</v>
      </c>
      <c r="B215" t="s">
        <v>172</v>
      </c>
      <c r="C215" t="s">
        <v>232</v>
      </c>
    </row>
    <row r="216" spans="1:12" x14ac:dyDescent="0.25">
      <c r="A216" s="225">
        <v>88651.368569261133</v>
      </c>
      <c r="B216" t="s">
        <v>172</v>
      </c>
      <c r="C216" t="s">
        <v>233</v>
      </c>
    </row>
    <row r="217" spans="1:12" x14ac:dyDescent="0.25">
      <c r="A217" s="225">
        <f>A215+A216</f>
        <v>240654.31145031014</v>
      </c>
      <c r="B217" t="s">
        <v>172</v>
      </c>
      <c r="C217" t="s">
        <v>234</v>
      </c>
    </row>
    <row r="218" spans="1:12" x14ac:dyDescent="0.25">
      <c r="A218" s="225" t="s">
        <v>235</v>
      </c>
    </row>
    <row r="219" spans="1:12" x14ac:dyDescent="0.25">
      <c r="A219" s="312">
        <f>A246</f>
        <v>162183.20605253876</v>
      </c>
      <c r="B219" t="s">
        <v>172</v>
      </c>
      <c r="C219" s="267" t="s">
        <v>236</v>
      </c>
    </row>
    <row r="220" spans="1:12" x14ac:dyDescent="0.25">
      <c r="A220" s="225"/>
    </row>
    <row r="221" spans="1:12" x14ac:dyDescent="0.25">
      <c r="A221" s="225">
        <v>6462</v>
      </c>
      <c r="B221" t="s">
        <v>237</v>
      </c>
      <c r="C221" t="s">
        <v>238</v>
      </c>
    </row>
    <row r="222" spans="1:12" x14ac:dyDescent="0.25">
      <c r="A222" s="225">
        <v>10</v>
      </c>
      <c r="B222" t="s">
        <v>239</v>
      </c>
      <c r="C222" t="s">
        <v>240</v>
      </c>
    </row>
    <row r="223" spans="1:12" x14ac:dyDescent="0.25">
      <c r="A223" s="312">
        <f>A221*1000*A222/10000</f>
        <v>6462</v>
      </c>
      <c r="B223" t="s">
        <v>172</v>
      </c>
      <c r="C223" s="267" t="s">
        <v>241</v>
      </c>
    </row>
    <row r="224" spans="1:12" x14ac:dyDescent="0.25">
      <c r="A224" s="225">
        <f>+A223*10000</f>
        <v>64620000</v>
      </c>
      <c r="B224" t="s">
        <v>177</v>
      </c>
    </row>
    <row r="225" spans="1:14" x14ac:dyDescent="0.25">
      <c r="A225" s="225">
        <v>2</v>
      </c>
      <c r="B225" t="s">
        <v>239</v>
      </c>
      <c r="C225" t="s">
        <v>560</v>
      </c>
    </row>
    <row r="226" spans="1:14" x14ac:dyDescent="0.25">
      <c r="A226" s="225">
        <f>+A224*A225</f>
        <v>129240000</v>
      </c>
      <c r="B226" t="s">
        <v>182</v>
      </c>
      <c r="C226" t="s">
        <v>561</v>
      </c>
    </row>
    <row r="227" spans="1:14" x14ac:dyDescent="0.25">
      <c r="A227" s="225"/>
    </row>
    <row r="228" spans="1:14" x14ac:dyDescent="0.25">
      <c r="A228" s="225">
        <v>1942.4934269623275</v>
      </c>
      <c r="B228" t="s">
        <v>172</v>
      </c>
      <c r="C228" t="s">
        <v>242</v>
      </c>
    </row>
    <row r="229" spans="1:14" x14ac:dyDescent="0.25">
      <c r="A229" s="225">
        <v>4.1997499999999999</v>
      </c>
      <c r="B229" t="s">
        <v>172</v>
      </c>
      <c r="C229" t="s">
        <v>243</v>
      </c>
    </row>
    <row r="230" spans="1:14" x14ac:dyDescent="0.25">
      <c r="A230" s="312">
        <f>A228+A229</f>
        <v>1946.6931769623275</v>
      </c>
      <c r="B230" t="s">
        <v>172</v>
      </c>
      <c r="C230" s="267" t="s">
        <v>244</v>
      </c>
    </row>
    <row r="231" spans="1:14" x14ac:dyDescent="0.25">
      <c r="A231" s="225"/>
    </row>
    <row r="232" spans="1:14" x14ac:dyDescent="0.25">
      <c r="A232" s="225">
        <f>A219+A223+A230</f>
        <v>170591.89922950108</v>
      </c>
      <c r="B232" t="s">
        <v>172</v>
      </c>
      <c r="C232" t="s">
        <v>245</v>
      </c>
    </row>
    <row r="233" spans="1:14" x14ac:dyDescent="0.25">
      <c r="A233" s="295"/>
      <c r="B233" s="295"/>
      <c r="C233" s="295"/>
      <c r="D233" s="295"/>
      <c r="E233" s="295"/>
      <c r="F233" s="295"/>
      <c r="G233" s="295"/>
      <c r="H233" s="295"/>
      <c r="I233" s="295"/>
      <c r="J233" s="295"/>
      <c r="K233" s="295"/>
      <c r="L233" s="295"/>
      <c r="M233" s="295"/>
      <c r="N233" s="295"/>
    </row>
    <row r="234" spans="1:14" x14ac:dyDescent="0.25">
      <c r="A234" t="s">
        <v>246</v>
      </c>
      <c r="C234" t="s">
        <v>247</v>
      </c>
    </row>
    <row r="235" spans="1:14" x14ac:dyDescent="0.25">
      <c r="A235" t="s">
        <v>177</v>
      </c>
      <c r="C235" t="s">
        <v>248</v>
      </c>
    </row>
    <row r="236" spans="1:14" x14ac:dyDescent="0.25">
      <c r="A236" s="179">
        <v>228059753.59589997</v>
      </c>
      <c r="B236" t="s">
        <v>249</v>
      </c>
    </row>
    <row r="237" spans="1:14" x14ac:dyDescent="0.25">
      <c r="A237" s="179">
        <v>80238900</v>
      </c>
      <c r="B237" t="s">
        <v>250</v>
      </c>
    </row>
    <row r="238" spans="1:14" x14ac:dyDescent="0.25">
      <c r="A238" s="179">
        <v>88172100</v>
      </c>
      <c r="B238" t="s">
        <v>251</v>
      </c>
    </row>
    <row r="239" spans="1:14" x14ac:dyDescent="0.25">
      <c r="A239" s="179">
        <v>26064900</v>
      </c>
      <c r="B239" t="s">
        <v>252</v>
      </c>
    </row>
    <row r="240" spans="1:14" x14ac:dyDescent="0.25">
      <c r="A240" s="179">
        <v>3960200</v>
      </c>
      <c r="B240" t="s">
        <v>253</v>
      </c>
    </row>
    <row r="241" spans="1:14" x14ac:dyDescent="0.25">
      <c r="A241" s="179">
        <v>2642200</v>
      </c>
      <c r="B241" t="s">
        <v>254</v>
      </c>
    </row>
    <row r="242" spans="1:14" x14ac:dyDescent="0.25">
      <c r="A242" s="179">
        <v>1010595675.33697</v>
      </c>
      <c r="B242" t="s">
        <v>255</v>
      </c>
      <c r="C242" t="s">
        <v>256</v>
      </c>
      <c r="E242" t="s">
        <v>257</v>
      </c>
    </row>
    <row r="243" spans="1:14" x14ac:dyDescent="0.25">
      <c r="A243" s="179">
        <v>55939618.817884997</v>
      </c>
      <c r="B243" t="s">
        <v>258</v>
      </c>
      <c r="C243" t="s">
        <v>259</v>
      </c>
    </row>
    <row r="244" spans="1:14" x14ac:dyDescent="0.25">
      <c r="A244" s="179">
        <v>126158712.77463301</v>
      </c>
      <c r="B244" t="s">
        <v>260</v>
      </c>
      <c r="C244" t="s">
        <v>259</v>
      </c>
    </row>
    <row r="245" spans="1:14" x14ac:dyDescent="0.25">
      <c r="A245" s="179">
        <f>SUM(A236:A244)</f>
        <v>1621832060.5253878</v>
      </c>
      <c r="B245" t="s">
        <v>261</v>
      </c>
    </row>
    <row r="246" spans="1:14" x14ac:dyDescent="0.25">
      <c r="A246" s="313">
        <f>A245/10000</f>
        <v>162183.20605253876</v>
      </c>
      <c r="B246" s="295" t="s">
        <v>172</v>
      </c>
      <c r="C246" s="295"/>
      <c r="D246" s="295"/>
      <c r="E246" s="295"/>
      <c r="F246" s="295"/>
      <c r="G246" s="295"/>
      <c r="H246" s="295"/>
      <c r="I246" s="295"/>
      <c r="J246" s="295"/>
      <c r="K246" s="295"/>
      <c r="L246" s="295"/>
      <c r="M246" s="295"/>
      <c r="N246" s="295"/>
    </row>
    <row r="249" spans="1:14" x14ac:dyDescent="0.25">
      <c r="A249" t="s">
        <v>262</v>
      </c>
    </row>
    <row r="251" spans="1:14" ht="26.25" x14ac:dyDescent="0.4">
      <c r="A251" s="1081">
        <v>2015</v>
      </c>
    </row>
    <row r="252" spans="1:14" x14ac:dyDescent="0.25">
      <c r="A252" t="s">
        <v>193</v>
      </c>
    </row>
    <row r="253" spans="1:14" x14ac:dyDescent="0.25">
      <c r="A253" t="s">
        <v>194</v>
      </c>
    </row>
    <row r="254" spans="1:14" x14ac:dyDescent="0.25">
      <c r="A254" t="s">
        <v>48</v>
      </c>
    </row>
    <row r="255" spans="1:14" x14ac:dyDescent="0.25">
      <c r="A255" t="s">
        <v>197</v>
      </c>
    </row>
    <row r="257" spans="1:9" x14ac:dyDescent="0.25">
      <c r="A257" t="s">
        <v>196</v>
      </c>
    </row>
    <row r="258" spans="1:9" x14ac:dyDescent="0.25">
      <c r="A258" t="s">
        <v>382</v>
      </c>
    </row>
    <row r="259" spans="1:9" x14ac:dyDescent="0.25">
      <c r="A259" s="295" t="s">
        <v>1359</v>
      </c>
      <c r="B259" s="295"/>
      <c r="C259" s="295"/>
      <c r="D259" s="295"/>
      <c r="E259" s="295"/>
      <c r="F259" s="295"/>
      <c r="G259" s="295"/>
      <c r="H259" s="295"/>
      <c r="I259" s="295"/>
    </row>
    <row r="260" spans="1:9" x14ac:dyDescent="0.25">
      <c r="A260" s="1083">
        <v>1260.4000000000001</v>
      </c>
      <c r="B260" t="s">
        <v>195</v>
      </c>
      <c r="C260" s="179">
        <v>26338</v>
      </c>
      <c r="D260" t="s">
        <v>393</v>
      </c>
    </row>
    <row r="261" spans="1:9" x14ac:dyDescent="0.25">
      <c r="A261" s="1084">
        <v>1.216</v>
      </c>
      <c r="B261" t="s">
        <v>540</v>
      </c>
      <c r="C261" s="179">
        <v>26338000000</v>
      </c>
      <c r="D261" t="s">
        <v>177</v>
      </c>
    </row>
    <row r="262" spans="1:9" x14ac:dyDescent="0.25">
      <c r="D262" s="179">
        <f>A261*C261</f>
        <v>32027008000</v>
      </c>
      <c r="E262" t="s">
        <v>182</v>
      </c>
    </row>
    <row r="263" spans="1:9" x14ac:dyDescent="0.25">
      <c r="D263" s="1507">
        <f>+D262/1000000</f>
        <v>32027.008000000002</v>
      </c>
      <c r="E263" t="s">
        <v>490</v>
      </c>
      <c r="F263" t="s">
        <v>189</v>
      </c>
    </row>
    <row r="264" spans="1:9" x14ac:dyDescent="0.25">
      <c r="D264" s="179"/>
    </row>
    <row r="265" spans="1:9" x14ac:dyDescent="0.25">
      <c r="B265" t="s">
        <v>567</v>
      </c>
      <c r="C265" t="s">
        <v>177</v>
      </c>
      <c r="D265" t="s">
        <v>182</v>
      </c>
      <c r="E265" t="s">
        <v>580</v>
      </c>
    </row>
    <row r="266" spans="1:9" x14ac:dyDescent="0.25">
      <c r="A266" s="303">
        <f>A261</f>
        <v>1.216</v>
      </c>
      <c r="B266" t="s">
        <v>566</v>
      </c>
      <c r="C266" s="179">
        <f>(A$52)*10000</f>
        <v>1621832060.5253875</v>
      </c>
      <c r="D266" s="179">
        <f>(A$261)*C266</f>
        <v>1972147785.5988712</v>
      </c>
      <c r="E266" s="179">
        <f>SUM(D266,D275)</f>
        <v>2110442708.7490952</v>
      </c>
    </row>
    <row r="267" spans="1:9" x14ac:dyDescent="0.25">
      <c r="B267" t="s">
        <v>565</v>
      </c>
      <c r="C267" s="179">
        <f>(A$56)*10000</f>
        <v>64620000</v>
      </c>
      <c r="D267" s="179">
        <f>(A$261)*C267</f>
        <v>78577920</v>
      </c>
      <c r="E267" s="179">
        <f>SUM(D267,D276)</f>
        <v>2623204505.9641218</v>
      </c>
    </row>
    <row r="268" spans="1:9" x14ac:dyDescent="0.25">
      <c r="B268" s="179" t="s">
        <v>564</v>
      </c>
      <c r="C268" s="179">
        <f>(A$63)*10000</f>
        <v>19466931.769623276</v>
      </c>
      <c r="D268" s="179">
        <f>(A$261)*C268</f>
        <v>23671789.031861901</v>
      </c>
      <c r="E268" s="179">
        <f>SUM(D268,D277)</f>
        <v>106648742.9219963</v>
      </c>
    </row>
    <row r="269" spans="1:9" x14ac:dyDescent="0.25">
      <c r="E269" s="179">
        <f>SUM(E266:E268)</f>
        <v>4840295957.6352129</v>
      </c>
    </row>
    <row r="270" spans="1:9" x14ac:dyDescent="0.25">
      <c r="D270" s="179"/>
    </row>
    <row r="271" spans="1:9" x14ac:dyDescent="0.25">
      <c r="D271" s="179"/>
      <c r="E271" t="s">
        <v>604</v>
      </c>
    </row>
    <row r="272" spans="1:9" x14ac:dyDescent="0.25">
      <c r="D272" s="179">
        <f>SUM(Asset_2015_Table!C9:E9)*1000000</f>
        <v>4840295957.6352129</v>
      </c>
      <c r="E272" t="s">
        <v>541</v>
      </c>
    </row>
    <row r="273" spans="1:9" x14ac:dyDescent="0.25">
      <c r="D273" s="179">
        <f>SUM(D262)-SUM(E266:E268)</f>
        <v>27186712042.364788</v>
      </c>
      <c r="E273" t="s">
        <v>542</v>
      </c>
    </row>
    <row r="274" spans="1:9" x14ac:dyDescent="0.25">
      <c r="D274" s="179">
        <f>(Runoff!K21)</f>
        <v>2765898463.0044799</v>
      </c>
      <c r="E274" t="s">
        <v>545</v>
      </c>
    </row>
    <row r="275" spans="1:9" x14ac:dyDescent="0.25">
      <c r="D275" s="179">
        <f>+(D$274)*5%</f>
        <v>138294923.150224</v>
      </c>
      <c r="E275" t="s">
        <v>555</v>
      </c>
    </row>
    <row r="276" spans="1:9" x14ac:dyDescent="0.25">
      <c r="D276" s="179">
        <f>+(D$274)*92%</f>
        <v>2544626585.9641218</v>
      </c>
      <c r="E276" t="s">
        <v>557</v>
      </c>
    </row>
    <row r="277" spans="1:9" x14ac:dyDescent="0.25">
      <c r="D277" s="179">
        <f>+(D$274)*3%</f>
        <v>82976953.890134394</v>
      </c>
      <c r="E277" t="s">
        <v>556</v>
      </c>
    </row>
    <row r="278" spans="1:9" x14ac:dyDescent="0.25">
      <c r="A278" s="295"/>
      <c r="B278" s="295"/>
      <c r="C278" s="295"/>
      <c r="D278" s="184"/>
      <c r="E278" s="295"/>
      <c r="F278" s="295"/>
      <c r="G278" s="295"/>
      <c r="H278" s="295"/>
      <c r="I278" s="295"/>
    </row>
    <row r="279" spans="1:9" x14ac:dyDescent="0.25">
      <c r="D279" s="304"/>
    </row>
    <row r="281" spans="1:9" x14ac:dyDescent="0.25">
      <c r="A281" t="s">
        <v>196</v>
      </c>
    </row>
    <row r="282" spans="1:9" x14ac:dyDescent="0.25">
      <c r="A282" t="s">
        <v>382</v>
      </c>
    </row>
    <row r="283" spans="1:9" x14ac:dyDescent="0.25">
      <c r="A283" s="295" t="s">
        <v>1383</v>
      </c>
      <c r="B283" s="295"/>
      <c r="C283" s="295"/>
      <c r="D283" s="295"/>
      <c r="E283" s="295"/>
      <c r="F283" s="295"/>
      <c r="G283" s="295"/>
      <c r="H283" s="295"/>
      <c r="I283" s="295"/>
    </row>
    <row r="284" spans="1:9" x14ac:dyDescent="0.25">
      <c r="A284">
        <v>820.9</v>
      </c>
      <c r="B284" t="s">
        <v>195</v>
      </c>
      <c r="C284" s="179">
        <v>26338</v>
      </c>
      <c r="D284" t="s">
        <v>393</v>
      </c>
    </row>
    <row r="285" spans="1:9" x14ac:dyDescent="0.25">
      <c r="A285">
        <v>0.82089999999999996</v>
      </c>
      <c r="B285" t="s">
        <v>540</v>
      </c>
      <c r="C285" s="179">
        <v>26338000000</v>
      </c>
      <c r="D285" t="s">
        <v>177</v>
      </c>
    </row>
    <row r="286" spans="1:9" x14ac:dyDescent="0.25">
      <c r="D286" s="179">
        <f>A285*C285</f>
        <v>21620864200</v>
      </c>
      <c r="E286" t="s">
        <v>182</v>
      </c>
    </row>
    <row r="287" spans="1:9" x14ac:dyDescent="0.25">
      <c r="D287" s="1507">
        <f>+D286/1000000</f>
        <v>21620.8642</v>
      </c>
      <c r="E287" t="s">
        <v>490</v>
      </c>
      <c r="F287" t="s">
        <v>189</v>
      </c>
    </row>
    <row r="288" spans="1:9" x14ac:dyDescent="0.25">
      <c r="D288" s="179"/>
    </row>
    <row r="289" spans="1:12" x14ac:dyDescent="0.25">
      <c r="B289" t="s">
        <v>579</v>
      </c>
      <c r="C289" t="s">
        <v>177</v>
      </c>
      <c r="D289" t="s">
        <v>182</v>
      </c>
      <c r="E289" t="s">
        <v>605</v>
      </c>
    </row>
    <row r="290" spans="1:12" x14ac:dyDescent="0.25">
      <c r="A290" s="303">
        <f>A285</f>
        <v>0.82089999999999996</v>
      </c>
      <c r="B290" t="s">
        <v>566</v>
      </c>
      <c r="C290" s="179">
        <f>(A$52)*10000</f>
        <v>1621832060.5253875</v>
      </c>
      <c r="D290" s="315">
        <f>(A$285)*C290</f>
        <v>1331361938.4852905</v>
      </c>
      <c r="E290" s="179">
        <f>SUM(D290)</f>
        <v>1331361938.4852905</v>
      </c>
    </row>
    <row r="291" spans="1:12" x14ac:dyDescent="0.25">
      <c r="B291" t="s">
        <v>565</v>
      </c>
      <c r="C291" s="179">
        <f>(A$56)*10000</f>
        <v>64620000</v>
      </c>
      <c r="D291" s="179">
        <f>(A$285)*C291</f>
        <v>53046558</v>
      </c>
      <c r="E291" s="179">
        <f>SUM(D291)</f>
        <v>53046558</v>
      </c>
    </row>
    <row r="292" spans="1:12" x14ac:dyDescent="0.25">
      <c r="B292" s="179" t="s">
        <v>564</v>
      </c>
      <c r="C292" s="179">
        <f>(A$63)*10000</f>
        <v>19466931.769623276</v>
      </c>
      <c r="D292" s="315">
        <f>(A$285)*C292</f>
        <v>15980404.289683746</v>
      </c>
      <c r="E292" s="179">
        <f>SUM(D292)</f>
        <v>15980404.289683746</v>
      </c>
    </row>
    <row r="293" spans="1:12" x14ac:dyDescent="0.25">
      <c r="E293" s="179">
        <f>SUM(E290:E292)</f>
        <v>1400388900.7749743</v>
      </c>
    </row>
    <row r="294" spans="1:12" x14ac:dyDescent="0.25">
      <c r="E294" s="1507">
        <f>SUM(D286)-SUM(E290:E292)</f>
        <v>20220475299.225025</v>
      </c>
      <c r="F294" t="s">
        <v>542</v>
      </c>
    </row>
    <row r="296" spans="1:12" x14ac:dyDescent="0.25">
      <c r="A296" s="297" t="s">
        <v>230</v>
      </c>
      <c r="B296" s="297"/>
      <c r="C296" s="297"/>
      <c r="D296" s="297"/>
      <c r="E296" s="297"/>
      <c r="F296" s="297"/>
      <c r="G296" s="297"/>
      <c r="H296" s="297"/>
      <c r="I296" s="297"/>
      <c r="J296" s="297"/>
      <c r="K296" s="297"/>
      <c r="L296" s="297"/>
    </row>
    <row r="297" spans="1:12" x14ac:dyDescent="0.25">
      <c r="A297" t="s">
        <v>231</v>
      </c>
    </row>
    <row r="298" spans="1:12" x14ac:dyDescent="0.25">
      <c r="A298" s="225">
        <v>152002.94288104901</v>
      </c>
      <c r="B298" t="s">
        <v>172</v>
      </c>
      <c r="C298" t="s">
        <v>232</v>
      </c>
    </row>
    <row r="299" spans="1:12" x14ac:dyDescent="0.25">
      <c r="A299" s="225">
        <v>88651.368569261133</v>
      </c>
      <c r="B299" t="s">
        <v>172</v>
      </c>
      <c r="C299" t="s">
        <v>233</v>
      </c>
    </row>
    <row r="300" spans="1:12" x14ac:dyDescent="0.25">
      <c r="A300" s="225">
        <f>A298+A299</f>
        <v>240654.31145031014</v>
      </c>
      <c r="B300" t="s">
        <v>172</v>
      </c>
      <c r="C300" t="s">
        <v>234</v>
      </c>
    </row>
    <row r="301" spans="1:12" x14ac:dyDescent="0.25">
      <c r="A301" s="225" t="s">
        <v>235</v>
      </c>
    </row>
    <row r="302" spans="1:12" x14ac:dyDescent="0.25">
      <c r="A302" s="312">
        <f>A329</f>
        <v>162183.20605253876</v>
      </c>
      <c r="B302" t="s">
        <v>172</v>
      </c>
      <c r="C302" s="267" t="s">
        <v>236</v>
      </c>
    </row>
    <row r="303" spans="1:12" x14ac:dyDescent="0.25">
      <c r="A303" s="225"/>
    </row>
    <row r="304" spans="1:12" x14ac:dyDescent="0.25">
      <c r="A304" s="225">
        <v>6462</v>
      </c>
      <c r="B304" t="s">
        <v>237</v>
      </c>
      <c r="C304" t="s">
        <v>238</v>
      </c>
    </row>
    <row r="305" spans="1:14" x14ac:dyDescent="0.25">
      <c r="A305" s="225">
        <v>10</v>
      </c>
      <c r="B305" t="s">
        <v>239</v>
      </c>
      <c r="C305" t="s">
        <v>240</v>
      </c>
    </row>
    <row r="306" spans="1:14" x14ac:dyDescent="0.25">
      <c r="A306" s="312">
        <f>A304*1000*A305/10000</f>
        <v>6462</v>
      </c>
      <c r="B306" t="s">
        <v>172</v>
      </c>
      <c r="C306" s="267" t="s">
        <v>241</v>
      </c>
    </row>
    <row r="307" spans="1:14" x14ac:dyDescent="0.25">
      <c r="A307" s="225">
        <f>+A306*10000</f>
        <v>64620000</v>
      </c>
      <c r="B307" t="s">
        <v>177</v>
      </c>
    </row>
    <row r="308" spans="1:14" x14ac:dyDescent="0.25">
      <c r="A308" s="225">
        <v>2</v>
      </c>
      <c r="B308" t="s">
        <v>239</v>
      </c>
      <c r="C308" t="s">
        <v>560</v>
      </c>
    </row>
    <row r="309" spans="1:14" x14ac:dyDescent="0.25">
      <c r="A309" s="225">
        <f>+A307*A308</f>
        <v>129240000</v>
      </c>
      <c r="B309" t="s">
        <v>182</v>
      </c>
      <c r="C309" t="s">
        <v>561</v>
      </c>
    </row>
    <row r="310" spans="1:14" x14ac:dyDescent="0.25">
      <c r="A310" s="225"/>
    </row>
    <row r="311" spans="1:14" x14ac:dyDescent="0.25">
      <c r="A311" s="225">
        <v>1942.4934269623275</v>
      </c>
      <c r="B311" t="s">
        <v>172</v>
      </c>
      <c r="C311" t="s">
        <v>242</v>
      </c>
    </row>
    <row r="312" spans="1:14" x14ac:dyDescent="0.25">
      <c r="A312" s="225">
        <v>4.1997499999999999</v>
      </c>
      <c r="B312" t="s">
        <v>172</v>
      </c>
      <c r="C312" t="s">
        <v>243</v>
      </c>
    </row>
    <row r="313" spans="1:14" x14ac:dyDescent="0.25">
      <c r="A313" s="312">
        <f>A311+A312</f>
        <v>1946.6931769623275</v>
      </c>
      <c r="B313" t="s">
        <v>172</v>
      </c>
      <c r="C313" s="267" t="s">
        <v>244</v>
      </c>
    </row>
    <row r="314" spans="1:14" x14ac:dyDescent="0.25">
      <c r="A314" s="225"/>
    </row>
    <row r="315" spans="1:14" x14ac:dyDescent="0.25">
      <c r="A315" s="225">
        <f>A302+A306+A313</f>
        <v>170591.89922950108</v>
      </c>
      <c r="B315" t="s">
        <v>172</v>
      </c>
      <c r="C315" t="s">
        <v>245</v>
      </c>
    </row>
    <row r="316" spans="1:14" x14ac:dyDescent="0.25">
      <c r="A316" s="295"/>
      <c r="B316" s="295"/>
      <c r="C316" s="295"/>
      <c r="D316" s="295"/>
      <c r="E316" s="295"/>
      <c r="F316" s="295"/>
      <c r="G316" s="295"/>
      <c r="H316" s="295"/>
      <c r="I316" s="295"/>
      <c r="J316" s="295"/>
      <c r="K316" s="295"/>
      <c r="L316" s="295"/>
      <c r="M316" s="295"/>
      <c r="N316" s="295"/>
    </row>
    <row r="317" spans="1:14" x14ac:dyDescent="0.25">
      <c r="A317" t="s">
        <v>246</v>
      </c>
      <c r="C317" t="s">
        <v>247</v>
      </c>
    </row>
    <row r="318" spans="1:14" x14ac:dyDescent="0.25">
      <c r="A318" t="s">
        <v>177</v>
      </c>
      <c r="C318" t="s">
        <v>248</v>
      </c>
    </row>
    <row r="319" spans="1:14" x14ac:dyDescent="0.25">
      <c r="A319" s="179">
        <v>228059753.59589997</v>
      </c>
      <c r="B319" t="s">
        <v>249</v>
      </c>
    </row>
    <row r="320" spans="1:14" x14ac:dyDescent="0.25">
      <c r="A320" s="179">
        <v>80238900</v>
      </c>
      <c r="B320" t="s">
        <v>250</v>
      </c>
    </row>
    <row r="321" spans="1:14" x14ac:dyDescent="0.25">
      <c r="A321" s="179">
        <v>88172100</v>
      </c>
      <c r="B321" t="s">
        <v>251</v>
      </c>
    </row>
    <row r="322" spans="1:14" x14ac:dyDescent="0.25">
      <c r="A322" s="179">
        <v>26064900</v>
      </c>
      <c r="B322" t="s">
        <v>252</v>
      </c>
    </row>
    <row r="323" spans="1:14" x14ac:dyDescent="0.25">
      <c r="A323" s="179">
        <v>3960200</v>
      </c>
      <c r="B323" t="s">
        <v>253</v>
      </c>
    </row>
    <row r="324" spans="1:14" x14ac:dyDescent="0.25">
      <c r="A324" s="179">
        <v>2642200</v>
      </c>
      <c r="B324" t="s">
        <v>254</v>
      </c>
    </row>
    <row r="325" spans="1:14" x14ac:dyDescent="0.25">
      <c r="A325" s="179">
        <v>1010595675.33697</v>
      </c>
      <c r="B325" t="s">
        <v>255</v>
      </c>
      <c r="C325" t="s">
        <v>256</v>
      </c>
      <c r="E325" t="s">
        <v>257</v>
      </c>
    </row>
    <row r="326" spans="1:14" x14ac:dyDescent="0.25">
      <c r="A326" s="179">
        <v>55939618.817884997</v>
      </c>
      <c r="B326" t="s">
        <v>258</v>
      </c>
      <c r="C326" t="s">
        <v>259</v>
      </c>
    </row>
    <row r="327" spans="1:14" x14ac:dyDescent="0.25">
      <c r="A327" s="179">
        <v>126158712.77463301</v>
      </c>
      <c r="B327" t="s">
        <v>260</v>
      </c>
      <c r="C327" t="s">
        <v>259</v>
      </c>
    </row>
    <row r="328" spans="1:14" x14ac:dyDescent="0.25">
      <c r="A328" s="179">
        <f>SUM(A319:A327)</f>
        <v>1621832060.5253878</v>
      </c>
      <c r="B328" t="s">
        <v>261</v>
      </c>
    </row>
    <row r="329" spans="1:14" x14ac:dyDescent="0.25">
      <c r="A329" s="313">
        <f>A328/10000</f>
        <v>162183.20605253876</v>
      </c>
      <c r="B329" s="295" t="s">
        <v>172</v>
      </c>
      <c r="C329" s="295"/>
      <c r="D329" s="295"/>
      <c r="E329" s="295"/>
      <c r="F329" s="295"/>
      <c r="G329" s="295"/>
      <c r="H329" s="295"/>
      <c r="I329" s="295"/>
      <c r="J329" s="295"/>
      <c r="K329" s="295"/>
      <c r="L329" s="295"/>
      <c r="M329" s="295"/>
      <c r="N329" s="295"/>
    </row>
    <row r="332" spans="1:14" x14ac:dyDescent="0.25">
      <c r="A332" t="s">
        <v>262</v>
      </c>
    </row>
  </sheetData>
  <pageMargins left="0.51181102362204722" right="0.51181102362204722" top="0.74803149606299213" bottom="0.74803149606299213" header="0.31496062992125984" footer="0.31496062992125984"/>
  <pageSetup paperSize="9" scale="41" orientation="landscape" r:id="rId1"/>
  <headerFooter>
    <oddHeader>&amp;L&amp;F    &amp;&amp;&amp;A&amp;C&amp;D&amp;RPage &amp;P of &amp;N</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5"/>
  <sheetViews>
    <sheetView topLeftCell="A7" zoomScale="70" zoomScaleNormal="70" workbookViewId="0">
      <selection activeCell="A7" sqref="A7"/>
    </sheetView>
  </sheetViews>
  <sheetFormatPr defaultRowHeight="15" x14ac:dyDescent="0.25"/>
  <cols>
    <col min="1" max="1" width="45.7109375" customWidth="1"/>
    <col min="2" max="2" width="10.140625" bestFit="1" customWidth="1"/>
    <col min="3" max="3" width="11.42578125" bestFit="1" customWidth="1"/>
    <col min="4" max="4" width="10.85546875" customWidth="1"/>
    <col min="5" max="5" width="13.28515625" bestFit="1" customWidth="1"/>
    <col min="6" max="7" width="19.5703125" customWidth="1"/>
    <col min="8" max="8" width="17.140625" customWidth="1"/>
    <col min="9" max="9" width="15.5703125" customWidth="1"/>
    <col min="10" max="10" width="10.140625" bestFit="1" customWidth="1"/>
    <col min="11" max="11" width="17.85546875" customWidth="1"/>
    <col min="12" max="12" width="10.140625" bestFit="1" customWidth="1"/>
    <col min="13" max="13" width="14.85546875" customWidth="1"/>
    <col min="14" max="14" width="16.85546875" bestFit="1" customWidth="1"/>
    <col min="15" max="15" width="14.85546875" bestFit="1" customWidth="1"/>
    <col min="16" max="16" width="14.28515625" customWidth="1"/>
    <col min="17" max="17" width="15" customWidth="1"/>
    <col min="18" max="18" width="18" customWidth="1"/>
    <col min="19" max="19" width="14.85546875" customWidth="1"/>
    <col min="20" max="20" width="13.85546875" bestFit="1" customWidth="1"/>
    <col min="21" max="21" width="17.7109375" bestFit="1" customWidth="1"/>
    <col min="22" max="22" width="15.140625" bestFit="1" customWidth="1"/>
    <col min="23" max="23" width="14" customWidth="1"/>
    <col min="24" max="24" width="15.85546875" bestFit="1" customWidth="1"/>
    <col min="25" max="25" width="11.140625" customWidth="1"/>
    <col min="26" max="26" width="15" bestFit="1" customWidth="1"/>
  </cols>
  <sheetData>
    <row r="1" spans="1:20" ht="30" customHeight="1" x14ac:dyDescent="0.25">
      <c r="A1" s="187" t="s">
        <v>629</v>
      </c>
    </row>
    <row r="2" spans="1:20" s="187" customFormat="1" x14ac:dyDescent="0.25">
      <c r="A2" s="333" t="s">
        <v>538</v>
      </c>
    </row>
    <row r="4" spans="1:20" x14ac:dyDescent="0.25">
      <c r="A4" s="299" t="s">
        <v>505</v>
      </c>
      <c r="B4" s="1719" t="s">
        <v>506</v>
      </c>
      <c r="C4" s="1719"/>
      <c r="D4" s="1719"/>
      <c r="E4" s="1719"/>
      <c r="F4" s="1719"/>
      <c r="G4" s="1719"/>
      <c r="H4" s="1719"/>
      <c r="I4" s="1719"/>
      <c r="J4" s="1716"/>
      <c r="K4" s="1717"/>
      <c r="L4" s="1717"/>
      <c r="M4" s="1717"/>
      <c r="N4" s="1717"/>
      <c r="O4" s="1717"/>
      <c r="P4" s="1717"/>
      <c r="Q4" s="1718"/>
    </row>
    <row r="5" spans="1:20" ht="60" customHeight="1" x14ac:dyDescent="0.25">
      <c r="A5" s="299" t="s">
        <v>507</v>
      </c>
      <c r="B5" s="1720" t="s">
        <v>508</v>
      </c>
      <c r="C5" s="1721"/>
      <c r="D5" s="1720" t="s">
        <v>509</v>
      </c>
      <c r="E5" s="1721"/>
      <c r="F5" s="1720" t="s">
        <v>539</v>
      </c>
      <c r="G5" s="1721"/>
      <c r="H5" s="1720" t="s">
        <v>543</v>
      </c>
      <c r="I5" s="1721"/>
      <c r="J5" s="1720" t="s">
        <v>544</v>
      </c>
      <c r="K5" s="1721"/>
      <c r="L5" s="300" t="s">
        <v>511</v>
      </c>
      <c r="M5" s="300" t="s">
        <v>510</v>
      </c>
      <c r="N5" s="300"/>
      <c r="O5" s="300" t="s">
        <v>512</v>
      </c>
      <c r="P5" s="300" t="s">
        <v>513</v>
      </c>
      <c r="Q5" s="300" t="s">
        <v>514</v>
      </c>
    </row>
    <row r="6" spans="1:20" ht="42.75" customHeight="1" x14ac:dyDescent="0.25">
      <c r="A6" s="299"/>
      <c r="B6" s="300" t="s">
        <v>515</v>
      </c>
      <c r="C6" s="300" t="s">
        <v>516</v>
      </c>
      <c r="D6" s="300" t="s">
        <v>515</v>
      </c>
      <c r="E6" s="300" t="s">
        <v>516</v>
      </c>
      <c r="F6" s="300" t="s">
        <v>515</v>
      </c>
      <c r="G6" s="300" t="s">
        <v>516</v>
      </c>
      <c r="H6" s="300" t="s">
        <v>515</v>
      </c>
      <c r="I6" s="300" t="s">
        <v>516</v>
      </c>
      <c r="J6" s="300" t="s">
        <v>515</v>
      </c>
      <c r="K6" s="300" t="s">
        <v>516</v>
      </c>
      <c r="L6" s="300" t="s">
        <v>516</v>
      </c>
      <c r="M6" s="300" t="s">
        <v>516</v>
      </c>
      <c r="N6" s="300" t="s">
        <v>516</v>
      </c>
      <c r="O6" s="300" t="s">
        <v>517</v>
      </c>
      <c r="P6" s="300"/>
      <c r="Q6" s="300"/>
      <c r="S6" t="s">
        <v>518</v>
      </c>
      <c r="T6" t="s">
        <v>519</v>
      </c>
    </row>
    <row r="7" spans="1:20" x14ac:dyDescent="0.25">
      <c r="A7" s="299" t="s">
        <v>520</v>
      </c>
      <c r="B7" s="301">
        <v>1240</v>
      </c>
      <c r="C7" s="301">
        <f>B7*P7*1000000/1000/1000000</f>
        <v>3007</v>
      </c>
      <c r="D7" s="301">
        <v>870</v>
      </c>
      <c r="E7" s="301">
        <f>D7*P7*1000000/1000/1000000</f>
        <v>2109.75</v>
      </c>
      <c r="F7" s="301">
        <f>SUM(B7,-D7)</f>
        <v>370</v>
      </c>
      <c r="G7" s="1645">
        <f t="shared" ref="G7:G15" si="0">+(F7*$P7)/1000</f>
        <v>897.25</v>
      </c>
      <c r="H7" s="301">
        <v>250</v>
      </c>
      <c r="I7" s="301">
        <f t="shared" ref="I7:I15" si="1">+(H7*$P7)/1000</f>
        <v>606.25</v>
      </c>
      <c r="J7" s="301">
        <f t="shared" ref="J7:J15" si="2">F7-H7</f>
        <v>120</v>
      </c>
      <c r="K7" s="301">
        <f t="shared" ref="K7:K15" si="3">+(J7*$P7)/1000</f>
        <v>291</v>
      </c>
      <c r="L7" s="301">
        <v>2400</v>
      </c>
      <c r="M7" s="301">
        <v>550000</v>
      </c>
      <c r="N7" s="301">
        <f t="shared" ref="N7:N15" si="4">L7+I7+M7+G7+E7+C7</f>
        <v>559020.25</v>
      </c>
      <c r="O7" s="301">
        <v>898000</v>
      </c>
      <c r="P7" s="301">
        <v>2425</v>
      </c>
      <c r="Q7" s="301">
        <v>1415418</v>
      </c>
      <c r="S7">
        <f t="shared" ref="S7:S15" si="5">B7-D7</f>
        <v>370</v>
      </c>
      <c r="T7" s="179">
        <f t="shared" ref="T7:T15" si="6">+F7*P7</f>
        <v>897250</v>
      </c>
    </row>
    <row r="8" spans="1:20" x14ac:dyDescent="0.25">
      <c r="A8" s="299" t="s">
        <v>521</v>
      </c>
      <c r="B8" s="301">
        <v>1295</v>
      </c>
      <c r="C8" s="301">
        <f t="shared" ref="C8:C15" si="7">B8*P8*1000000/1000/1000000</f>
        <v>1301.4749999999999</v>
      </c>
      <c r="D8" s="301">
        <v>865</v>
      </c>
      <c r="E8" s="301">
        <f t="shared" ref="E8:E15" si="8">D8*P8*1000000/1000/1000000</f>
        <v>869.32500000000005</v>
      </c>
      <c r="F8" s="301">
        <f t="shared" ref="F8:F15" si="9">SUM(B8,-D8)</f>
        <v>430</v>
      </c>
      <c r="G8" s="1645">
        <f t="shared" si="0"/>
        <v>432.15</v>
      </c>
      <c r="H8" s="301">
        <v>268</v>
      </c>
      <c r="I8" s="301">
        <f t="shared" si="1"/>
        <v>269.33999999999997</v>
      </c>
      <c r="J8" s="301">
        <f t="shared" si="2"/>
        <v>162</v>
      </c>
      <c r="K8" s="301">
        <f t="shared" si="3"/>
        <v>162.81</v>
      </c>
      <c r="L8" s="301">
        <v>5000</v>
      </c>
      <c r="M8" s="301"/>
      <c r="N8" s="301">
        <f t="shared" si="4"/>
        <v>7872.2899999999991</v>
      </c>
      <c r="O8" s="301">
        <v>432000</v>
      </c>
      <c r="P8" s="301">
        <v>1005</v>
      </c>
      <c r="Q8" s="301">
        <v>318048</v>
      </c>
      <c r="S8">
        <f t="shared" si="5"/>
        <v>430</v>
      </c>
      <c r="T8" s="179">
        <f t="shared" si="6"/>
        <v>432150</v>
      </c>
    </row>
    <row r="9" spans="1:20" x14ac:dyDescent="0.25">
      <c r="A9" s="299" t="s">
        <v>522</v>
      </c>
      <c r="B9" s="301">
        <v>1365</v>
      </c>
      <c r="C9" s="301">
        <f t="shared" si="7"/>
        <v>4570.0200000000004</v>
      </c>
      <c r="D9" s="301">
        <v>980</v>
      </c>
      <c r="E9" s="301">
        <f t="shared" si="8"/>
        <v>3281.04</v>
      </c>
      <c r="F9" s="301">
        <f t="shared" si="9"/>
        <v>385</v>
      </c>
      <c r="G9" s="1645">
        <f t="shared" si="0"/>
        <v>1288.98</v>
      </c>
      <c r="H9" s="301">
        <v>292</v>
      </c>
      <c r="I9" s="301">
        <f t="shared" si="1"/>
        <v>977.61599999999999</v>
      </c>
      <c r="J9" s="301">
        <f t="shared" si="2"/>
        <v>93</v>
      </c>
      <c r="K9" s="301">
        <f t="shared" si="3"/>
        <v>311.36399999999998</v>
      </c>
      <c r="L9" s="301">
        <v>25110</v>
      </c>
      <c r="M9" s="301"/>
      <c r="N9" s="301">
        <f t="shared" si="4"/>
        <v>35227.656000000003</v>
      </c>
      <c r="O9" s="301">
        <v>1290000</v>
      </c>
      <c r="P9" s="301">
        <v>3348</v>
      </c>
      <c r="Q9" s="301">
        <v>1425492</v>
      </c>
      <c r="S9">
        <f t="shared" si="5"/>
        <v>385</v>
      </c>
      <c r="T9" s="179">
        <f t="shared" si="6"/>
        <v>1288980</v>
      </c>
    </row>
    <row r="10" spans="1:20" x14ac:dyDescent="0.25">
      <c r="A10" s="299" t="s">
        <v>523</v>
      </c>
      <c r="B10" s="301">
        <v>1315</v>
      </c>
      <c r="C10" s="301">
        <f t="shared" si="7"/>
        <v>2562.9349999999999</v>
      </c>
      <c r="D10" s="301">
        <v>851</v>
      </c>
      <c r="E10" s="301">
        <f t="shared" si="8"/>
        <v>1658.5989999999999</v>
      </c>
      <c r="F10" s="301">
        <f t="shared" si="9"/>
        <v>464</v>
      </c>
      <c r="G10" s="1645">
        <f t="shared" si="0"/>
        <v>904.33600000000001</v>
      </c>
      <c r="H10" s="301">
        <v>322</v>
      </c>
      <c r="I10" s="301">
        <f t="shared" si="1"/>
        <v>627.57799999999997</v>
      </c>
      <c r="J10" s="301">
        <f t="shared" si="2"/>
        <v>142</v>
      </c>
      <c r="K10" s="301">
        <f t="shared" si="3"/>
        <v>276.75799999999998</v>
      </c>
      <c r="L10" s="301">
        <v>4872</v>
      </c>
      <c r="M10" s="301">
        <v>3508</v>
      </c>
      <c r="N10" s="301">
        <f t="shared" si="4"/>
        <v>14133.447999999999</v>
      </c>
      <c r="O10" s="301">
        <v>905000</v>
      </c>
      <c r="P10" s="301">
        <v>1949</v>
      </c>
      <c r="Q10" s="301">
        <v>1048631</v>
      </c>
      <c r="S10">
        <f t="shared" si="5"/>
        <v>464</v>
      </c>
      <c r="T10" s="179">
        <f t="shared" si="6"/>
        <v>904336</v>
      </c>
    </row>
    <row r="11" spans="1:20" x14ac:dyDescent="0.25">
      <c r="A11" s="299" t="s">
        <v>524</v>
      </c>
      <c r="B11" s="301">
        <v>1191</v>
      </c>
      <c r="C11" s="301">
        <f t="shared" si="7"/>
        <v>3935.0639999999999</v>
      </c>
      <c r="D11" s="301">
        <v>919</v>
      </c>
      <c r="E11" s="301">
        <f t="shared" si="8"/>
        <v>3036.3760000000002</v>
      </c>
      <c r="F11" s="301">
        <f t="shared" si="9"/>
        <v>272</v>
      </c>
      <c r="G11" s="1645">
        <f t="shared" si="0"/>
        <v>898.68799999999999</v>
      </c>
      <c r="H11" s="301">
        <v>165</v>
      </c>
      <c r="I11" s="301">
        <f t="shared" si="1"/>
        <v>545.16</v>
      </c>
      <c r="J11" s="301">
        <f t="shared" si="2"/>
        <v>107</v>
      </c>
      <c r="K11" s="301">
        <f t="shared" si="3"/>
        <v>353.52800000000002</v>
      </c>
      <c r="L11" s="301">
        <v>8673</v>
      </c>
      <c r="M11" s="301">
        <v>330</v>
      </c>
      <c r="N11" s="301">
        <f t="shared" si="4"/>
        <v>17418.288</v>
      </c>
      <c r="O11" s="301">
        <v>899000</v>
      </c>
      <c r="P11" s="301">
        <v>3304</v>
      </c>
      <c r="Q11" s="301">
        <v>2181940</v>
      </c>
      <c r="S11">
        <f t="shared" si="5"/>
        <v>272</v>
      </c>
      <c r="T11" s="179">
        <f t="shared" si="6"/>
        <v>898688</v>
      </c>
    </row>
    <row r="12" spans="1:20" x14ac:dyDescent="0.25">
      <c r="A12" s="299" t="s">
        <v>525</v>
      </c>
      <c r="B12" s="301">
        <v>1225</v>
      </c>
      <c r="C12" s="301">
        <f t="shared" si="7"/>
        <v>4167.45</v>
      </c>
      <c r="D12" s="301">
        <v>990</v>
      </c>
      <c r="E12" s="301">
        <f t="shared" si="8"/>
        <v>3367.98</v>
      </c>
      <c r="F12" s="301">
        <f t="shared" si="9"/>
        <v>235</v>
      </c>
      <c r="G12" s="1645">
        <f t="shared" si="0"/>
        <v>799.47</v>
      </c>
      <c r="H12" s="301">
        <v>156</v>
      </c>
      <c r="I12" s="301">
        <f t="shared" si="1"/>
        <v>530.71199999999999</v>
      </c>
      <c r="J12" s="301">
        <f t="shared" si="2"/>
        <v>79</v>
      </c>
      <c r="K12" s="301">
        <f t="shared" si="3"/>
        <v>268.75799999999998</v>
      </c>
      <c r="L12" s="301">
        <v>5103</v>
      </c>
      <c r="M12" s="301"/>
      <c r="N12" s="301">
        <f t="shared" si="4"/>
        <v>13968.612000000001</v>
      </c>
      <c r="O12" s="301">
        <v>798000</v>
      </c>
      <c r="P12" s="301">
        <v>3402</v>
      </c>
      <c r="Q12" s="301">
        <v>1447480</v>
      </c>
      <c r="S12">
        <f t="shared" si="5"/>
        <v>235</v>
      </c>
      <c r="T12" s="179">
        <f t="shared" si="6"/>
        <v>799470</v>
      </c>
    </row>
    <row r="13" spans="1:20" x14ac:dyDescent="0.25">
      <c r="A13" s="299" t="s">
        <v>526</v>
      </c>
      <c r="B13" s="301">
        <v>925</v>
      </c>
      <c r="C13" s="301">
        <f t="shared" si="7"/>
        <v>2824.0250000000001</v>
      </c>
      <c r="D13" s="301">
        <v>760</v>
      </c>
      <c r="E13" s="301">
        <f t="shared" si="8"/>
        <v>2320.2800000000002</v>
      </c>
      <c r="F13" s="301">
        <f t="shared" si="9"/>
        <v>165</v>
      </c>
      <c r="G13" s="1645">
        <f t="shared" si="0"/>
        <v>503.745</v>
      </c>
      <c r="H13" s="301">
        <v>115</v>
      </c>
      <c r="I13" s="301">
        <f t="shared" si="1"/>
        <v>351.09500000000003</v>
      </c>
      <c r="J13" s="301">
        <f t="shared" si="2"/>
        <v>50</v>
      </c>
      <c r="K13" s="301">
        <f t="shared" si="3"/>
        <v>152.65</v>
      </c>
      <c r="L13" s="301">
        <v>4580</v>
      </c>
      <c r="M13" s="301"/>
      <c r="N13" s="301">
        <f t="shared" si="4"/>
        <v>10579.145</v>
      </c>
      <c r="O13" s="301">
        <v>504000</v>
      </c>
      <c r="P13" s="301">
        <v>3053</v>
      </c>
      <c r="Q13" s="301">
        <v>1318379</v>
      </c>
      <c r="S13">
        <f t="shared" si="5"/>
        <v>165</v>
      </c>
      <c r="T13" s="179">
        <f t="shared" si="6"/>
        <v>503745</v>
      </c>
    </row>
    <row r="14" spans="1:20" x14ac:dyDescent="0.25">
      <c r="A14" s="299" t="s">
        <v>527</v>
      </c>
      <c r="B14" s="301">
        <v>835</v>
      </c>
      <c r="C14" s="301">
        <f t="shared" si="7"/>
        <v>3580.48</v>
      </c>
      <c r="D14" s="301">
        <v>624</v>
      </c>
      <c r="E14" s="301">
        <f t="shared" si="8"/>
        <v>2675.712</v>
      </c>
      <c r="F14" s="301">
        <f t="shared" si="9"/>
        <v>211</v>
      </c>
      <c r="G14" s="1645">
        <f t="shared" si="0"/>
        <v>904.76800000000003</v>
      </c>
      <c r="H14" s="301">
        <v>125</v>
      </c>
      <c r="I14" s="301">
        <f t="shared" si="1"/>
        <v>536</v>
      </c>
      <c r="J14" s="301">
        <f t="shared" si="2"/>
        <v>86</v>
      </c>
      <c r="K14" s="301">
        <f t="shared" si="3"/>
        <v>368.76799999999997</v>
      </c>
      <c r="L14" s="301">
        <v>4824</v>
      </c>
      <c r="M14" s="301"/>
      <c r="N14" s="301">
        <f t="shared" si="4"/>
        <v>12520.96</v>
      </c>
      <c r="O14" s="301">
        <v>907000</v>
      </c>
      <c r="P14" s="301">
        <v>4288</v>
      </c>
      <c r="Q14" s="301">
        <v>725068</v>
      </c>
      <c r="S14">
        <f t="shared" si="5"/>
        <v>211</v>
      </c>
      <c r="T14" s="179">
        <f t="shared" si="6"/>
        <v>904768</v>
      </c>
    </row>
    <row r="15" spans="1:20" x14ac:dyDescent="0.25">
      <c r="A15" s="299" t="s">
        <v>528</v>
      </c>
      <c r="B15" s="301">
        <v>995</v>
      </c>
      <c r="C15" s="301">
        <f t="shared" si="7"/>
        <v>1560.16</v>
      </c>
      <c r="D15" s="301">
        <v>872</v>
      </c>
      <c r="E15" s="301">
        <f t="shared" si="8"/>
        <v>1367.296</v>
      </c>
      <c r="F15" s="301">
        <f t="shared" si="9"/>
        <v>123</v>
      </c>
      <c r="G15" s="1645">
        <f t="shared" si="0"/>
        <v>192.864</v>
      </c>
      <c r="H15" s="301">
        <v>71</v>
      </c>
      <c r="I15" s="301">
        <f t="shared" si="1"/>
        <v>111.328</v>
      </c>
      <c r="J15" s="301">
        <f t="shared" si="2"/>
        <v>52</v>
      </c>
      <c r="K15" s="301">
        <f t="shared" si="3"/>
        <v>81.536000000000001</v>
      </c>
      <c r="L15" s="301">
        <v>1565</v>
      </c>
      <c r="M15" s="301"/>
      <c r="N15" s="301">
        <f t="shared" si="4"/>
        <v>4796.6480000000001</v>
      </c>
      <c r="O15" s="301">
        <v>193000</v>
      </c>
      <c r="P15" s="301">
        <v>1568</v>
      </c>
      <c r="Q15" s="301">
        <v>725068</v>
      </c>
      <c r="S15">
        <f t="shared" si="5"/>
        <v>123</v>
      </c>
      <c r="T15" s="179">
        <f t="shared" si="6"/>
        <v>192864</v>
      </c>
    </row>
    <row r="16" spans="1:20" x14ac:dyDescent="0.25">
      <c r="A16" s="299"/>
      <c r="B16" s="301"/>
      <c r="C16" s="301"/>
      <c r="D16" s="301"/>
      <c r="E16" s="301"/>
      <c r="F16" s="301"/>
      <c r="G16" s="301"/>
      <c r="H16" s="301"/>
      <c r="I16" s="301"/>
      <c r="J16" s="301"/>
      <c r="K16" s="301"/>
      <c r="L16" s="301"/>
      <c r="M16" s="301"/>
      <c r="N16" s="301"/>
      <c r="O16" s="301"/>
      <c r="P16" s="301"/>
      <c r="Q16" s="301"/>
      <c r="T16" s="179"/>
    </row>
    <row r="17" spans="1:20" x14ac:dyDescent="0.25">
      <c r="A17" s="299"/>
      <c r="B17" s="301"/>
      <c r="C17" s="301"/>
      <c r="D17" s="301"/>
      <c r="E17" s="301"/>
      <c r="F17" s="301"/>
      <c r="G17" s="301"/>
      <c r="H17" s="301"/>
      <c r="I17" s="301"/>
      <c r="J17" s="301"/>
      <c r="K17" s="301"/>
      <c r="L17" s="301"/>
      <c r="M17" s="301"/>
      <c r="N17" s="301"/>
      <c r="O17" s="301"/>
      <c r="P17" s="301"/>
      <c r="Q17" s="301"/>
      <c r="T17" s="179">
        <f>SUM(T7:T16)</f>
        <v>6822251</v>
      </c>
    </row>
    <row r="18" spans="1:20" x14ac:dyDescent="0.25">
      <c r="A18" s="299" t="s">
        <v>529</v>
      </c>
      <c r="B18" s="301">
        <f>AVERAGE(B7:B15)</f>
        <v>1154</v>
      </c>
      <c r="C18" s="301">
        <f>SUM(C7:C17)</f>
        <v>27508.609</v>
      </c>
      <c r="D18" s="301">
        <f>AVERAGE(D7:D15)</f>
        <v>859</v>
      </c>
      <c r="E18" s="301">
        <f>SUM(E7:E17)</f>
        <v>20686.357999999997</v>
      </c>
      <c r="F18" s="301">
        <f>AVERAGE(F7:F15)</f>
        <v>295</v>
      </c>
      <c r="G18" s="1645">
        <f>SUM(G7:G17)</f>
        <v>6822.2510000000002</v>
      </c>
      <c r="H18" s="301">
        <f>AVERAGE(H7:H15)</f>
        <v>196</v>
      </c>
      <c r="I18" s="301">
        <f>SUM(I7:I17)</f>
        <v>4555.0789999999997</v>
      </c>
      <c r="J18" s="301">
        <f>AVERAGE(J7:J15)</f>
        <v>99</v>
      </c>
      <c r="K18" s="301">
        <f t="shared" ref="K18:Q18" si="10">SUM(K7:K17)</f>
        <v>2267.172</v>
      </c>
      <c r="L18" s="301">
        <f t="shared" si="10"/>
        <v>62127</v>
      </c>
      <c r="M18" s="301">
        <f t="shared" si="10"/>
        <v>553838</v>
      </c>
      <c r="N18" s="301">
        <f t="shared" si="10"/>
        <v>675537.29700000002</v>
      </c>
      <c r="O18" s="301">
        <f t="shared" si="10"/>
        <v>6826000</v>
      </c>
      <c r="P18" s="301">
        <f t="shared" si="10"/>
        <v>24342</v>
      </c>
      <c r="Q18" s="301">
        <f t="shared" si="10"/>
        <v>10605524</v>
      </c>
      <c r="R18" s="179">
        <v>10192072</v>
      </c>
      <c r="S18" t="s">
        <v>530</v>
      </c>
    </row>
    <row r="19" spans="1:20" x14ac:dyDescent="0.25">
      <c r="A19" s="299" t="s">
        <v>531</v>
      </c>
      <c r="B19" s="299"/>
      <c r="C19" s="301">
        <v>33559.8796</v>
      </c>
      <c r="D19" s="299"/>
      <c r="E19" s="299"/>
      <c r="F19" s="332">
        <f>SUM(B18,-D18)</f>
        <v>295</v>
      </c>
      <c r="G19" s="302">
        <f>+G18*1000000</f>
        <v>6822251000</v>
      </c>
      <c r="H19" s="299"/>
      <c r="I19" s="299"/>
      <c r="J19" s="299"/>
      <c r="K19" s="305">
        <f>(K18*C20)</f>
        <v>2765.8984630044797</v>
      </c>
      <c r="L19" s="299"/>
      <c r="M19" s="299"/>
      <c r="N19" s="299"/>
      <c r="O19" s="302">
        <f>+O18*1000</f>
        <v>6826000000</v>
      </c>
      <c r="P19" s="299"/>
      <c r="Q19" s="299"/>
    </row>
    <row r="20" spans="1:20" x14ac:dyDescent="0.25">
      <c r="A20" s="299" t="s">
        <v>554</v>
      </c>
      <c r="B20" s="299"/>
      <c r="C20" s="310">
        <f>(C19/C18)</f>
        <v>1.219977338730577</v>
      </c>
      <c r="D20" s="299"/>
      <c r="E20" s="299"/>
      <c r="F20" s="299"/>
      <c r="G20" s="299"/>
      <c r="H20" s="299"/>
      <c r="I20" s="299"/>
      <c r="J20" s="299"/>
      <c r="K20" s="299"/>
      <c r="L20" s="299"/>
      <c r="M20" s="299"/>
      <c r="N20" s="299"/>
      <c r="O20" s="299"/>
      <c r="P20" s="299"/>
      <c r="Q20" s="299"/>
    </row>
    <row r="21" spans="1:20" x14ac:dyDescent="0.25">
      <c r="K21" s="179">
        <f>K19*(1000000)</f>
        <v>2765898463.0044799</v>
      </c>
    </row>
    <row r="22" spans="1:20" x14ac:dyDescent="0.25">
      <c r="A22" s="1648" t="s">
        <v>1737</v>
      </c>
      <c r="C22" s="1648">
        <f>100*(C18/$C18)</f>
        <v>100</v>
      </c>
      <c r="D22" s="1648"/>
      <c r="E22" s="1648">
        <f>100*(E18/$C18)</f>
        <v>75.199578430156151</v>
      </c>
      <c r="G22" s="1648">
        <f>100*(G18/$C18)</f>
        <v>24.800421569843824</v>
      </c>
      <c r="I22" s="1648">
        <f>100*(I18/$C18)</f>
        <v>16.558739847587347</v>
      </c>
      <c r="K22" s="1648">
        <f>100*(K18/$C18)</f>
        <v>8.2416817222564767</v>
      </c>
    </row>
    <row r="23" spans="1:20" x14ac:dyDescent="0.25">
      <c r="G23" s="225">
        <f>G19/R18</f>
        <v>669.36840713056188</v>
      </c>
      <c r="O23" s="225">
        <f>O19/R18</f>
        <v>669.73624205166527</v>
      </c>
      <c r="R23" t="s">
        <v>532</v>
      </c>
    </row>
    <row r="24" spans="1:20" x14ac:dyDescent="0.25">
      <c r="O24" s="225">
        <f>+O23/365</f>
        <v>1.8348938138401789</v>
      </c>
      <c r="R24" t="s">
        <v>533</v>
      </c>
    </row>
    <row r="25" spans="1:20" x14ac:dyDescent="0.25">
      <c r="A25" t="s">
        <v>507</v>
      </c>
      <c r="B25" t="s">
        <v>534</v>
      </c>
      <c r="O25" s="225">
        <f>+O23*1000/365</f>
        <v>1834.8938138401791</v>
      </c>
      <c r="R25" t="s">
        <v>535</v>
      </c>
    </row>
    <row r="26" spans="1:20" x14ac:dyDescent="0.25">
      <c r="B26" t="s">
        <v>515</v>
      </c>
      <c r="D26" t="s">
        <v>516</v>
      </c>
      <c r="J26" t="s">
        <v>536</v>
      </c>
      <c r="N26" s="182">
        <f>(H18/1000)*P18</f>
        <v>4771.0320000000002</v>
      </c>
      <c r="O26" t="s">
        <v>532</v>
      </c>
    </row>
    <row r="27" spans="1:20" x14ac:dyDescent="0.25">
      <c r="A27" t="s">
        <v>520</v>
      </c>
      <c r="B27">
        <f t="shared" ref="B27:B35" si="11">+B7-D7</f>
        <v>370</v>
      </c>
      <c r="C27" s="255">
        <f t="shared" ref="C27:C35" si="12">+B27/B7</f>
        <v>0.29838709677419356</v>
      </c>
      <c r="D27" s="255">
        <f t="shared" ref="D27:D35" si="13">+C7-E7</f>
        <v>897.25</v>
      </c>
      <c r="E27" s="255">
        <f t="shared" ref="E27:E35" si="14">+H7/F7</f>
        <v>0.67567567567567566</v>
      </c>
      <c r="J27" t="s">
        <v>536</v>
      </c>
      <c r="N27">
        <f>(K23*1000000)/Q18</f>
        <v>0</v>
      </c>
      <c r="O27" t="s">
        <v>532</v>
      </c>
    </row>
    <row r="28" spans="1:20" x14ac:dyDescent="0.25">
      <c r="A28" t="s">
        <v>521</v>
      </c>
      <c r="B28">
        <f t="shared" si="11"/>
        <v>430</v>
      </c>
      <c r="C28" s="255">
        <f t="shared" si="12"/>
        <v>0.33204633204633205</v>
      </c>
      <c r="D28" s="255">
        <f t="shared" si="13"/>
        <v>432.14999999999986</v>
      </c>
      <c r="E28" s="255">
        <f t="shared" si="14"/>
        <v>0.62325581395348839</v>
      </c>
      <c r="J28" t="s">
        <v>536</v>
      </c>
      <c r="N28">
        <f>(K23*1000000)/(P18*100)</f>
        <v>0</v>
      </c>
      <c r="O28" t="s">
        <v>537</v>
      </c>
    </row>
    <row r="29" spans="1:20" x14ac:dyDescent="0.25">
      <c r="A29" t="s">
        <v>522</v>
      </c>
      <c r="B29">
        <f t="shared" si="11"/>
        <v>385</v>
      </c>
      <c r="C29" s="255">
        <f t="shared" si="12"/>
        <v>0.28205128205128205</v>
      </c>
      <c r="D29" s="255">
        <f t="shared" si="13"/>
        <v>1288.9800000000005</v>
      </c>
      <c r="E29" s="255">
        <f t="shared" si="14"/>
        <v>0.75844155844155847</v>
      </c>
    </row>
    <row r="30" spans="1:20" x14ac:dyDescent="0.25">
      <c r="A30" t="s">
        <v>523</v>
      </c>
      <c r="B30">
        <f t="shared" si="11"/>
        <v>464</v>
      </c>
      <c r="C30" s="255">
        <f t="shared" si="12"/>
        <v>0.35285171102661594</v>
      </c>
      <c r="D30" s="255">
        <f t="shared" si="13"/>
        <v>904.33600000000001</v>
      </c>
      <c r="E30" s="255">
        <f t="shared" si="14"/>
        <v>0.69396551724137934</v>
      </c>
      <c r="J30">
        <f>(H12/1000)*(P12)</f>
        <v>530.71199999999999</v>
      </c>
    </row>
    <row r="31" spans="1:20" x14ac:dyDescent="0.25">
      <c r="A31" t="s">
        <v>524</v>
      </c>
      <c r="B31">
        <f t="shared" si="11"/>
        <v>272</v>
      </c>
      <c r="C31" s="255">
        <f t="shared" si="12"/>
        <v>0.22837951301427373</v>
      </c>
      <c r="D31" s="255">
        <f t="shared" si="13"/>
        <v>898.68799999999965</v>
      </c>
      <c r="E31" s="255">
        <f t="shared" si="14"/>
        <v>0.60661764705882348</v>
      </c>
    </row>
    <row r="32" spans="1:20" x14ac:dyDescent="0.25">
      <c r="A32" t="s">
        <v>525</v>
      </c>
      <c r="B32">
        <f t="shared" si="11"/>
        <v>235</v>
      </c>
      <c r="C32" s="255">
        <f t="shared" si="12"/>
        <v>0.19183673469387755</v>
      </c>
      <c r="D32" s="255">
        <f t="shared" si="13"/>
        <v>799.4699999999998</v>
      </c>
      <c r="E32" s="255">
        <f t="shared" si="14"/>
        <v>0.66382978723404251</v>
      </c>
    </row>
    <row r="33" spans="1:5" x14ac:dyDescent="0.25">
      <c r="A33" t="s">
        <v>526</v>
      </c>
      <c r="B33">
        <f t="shared" si="11"/>
        <v>165</v>
      </c>
      <c r="C33" s="255">
        <f t="shared" si="12"/>
        <v>0.17837837837837839</v>
      </c>
      <c r="D33" s="255">
        <f t="shared" si="13"/>
        <v>503.74499999999989</v>
      </c>
      <c r="E33" s="255">
        <f t="shared" si="14"/>
        <v>0.69696969696969702</v>
      </c>
    </row>
    <row r="34" spans="1:5" x14ac:dyDescent="0.25">
      <c r="A34" t="s">
        <v>527</v>
      </c>
      <c r="B34">
        <f t="shared" si="11"/>
        <v>211</v>
      </c>
      <c r="C34" s="255">
        <f t="shared" si="12"/>
        <v>0.25269461077844313</v>
      </c>
      <c r="D34" s="255">
        <f t="shared" si="13"/>
        <v>904.76800000000003</v>
      </c>
      <c r="E34" s="255">
        <f t="shared" si="14"/>
        <v>0.59241706161137442</v>
      </c>
    </row>
    <row r="35" spans="1:5" x14ac:dyDescent="0.25">
      <c r="A35" t="s">
        <v>528</v>
      </c>
      <c r="B35">
        <f t="shared" si="11"/>
        <v>123</v>
      </c>
      <c r="C35" s="255">
        <f t="shared" si="12"/>
        <v>0.12361809045226131</v>
      </c>
      <c r="D35" s="255">
        <f t="shared" si="13"/>
        <v>192.86400000000003</v>
      </c>
      <c r="E35" s="255">
        <f t="shared" si="14"/>
        <v>0.57723577235772361</v>
      </c>
    </row>
  </sheetData>
  <mergeCells count="7">
    <mergeCell ref="J4:Q4"/>
    <mergeCell ref="B4:I4"/>
    <mergeCell ref="B5:C5"/>
    <mergeCell ref="D5:E5"/>
    <mergeCell ref="F5:G5"/>
    <mergeCell ref="H5:I5"/>
    <mergeCell ref="J5:K5"/>
  </mergeCells>
  <pageMargins left="0.51181102362204722" right="0.51181102362204722" top="0.74803149606299213" bottom="0.74803149606299213" header="0.31496062992125984" footer="0.31496062992125984"/>
  <pageSetup paperSize="9" scale="41" orientation="landscape" r:id="rId1"/>
  <headerFooter>
    <oddHeader>&amp;L&amp;F    &amp;&amp;&amp;A&amp;C&amp;D&amp;RPage &amp;P of &amp;N</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G46"/>
  <sheetViews>
    <sheetView topLeftCell="A19" zoomScale="90" zoomScaleNormal="90" workbookViewId="0">
      <selection activeCell="C5" sqref="C5"/>
    </sheetView>
  </sheetViews>
  <sheetFormatPr defaultRowHeight="15" x14ac:dyDescent="0.25"/>
  <cols>
    <col min="1" max="1" width="2.85546875" customWidth="1"/>
    <col min="2" max="2" width="75.42578125" customWidth="1"/>
    <col min="3" max="3" width="22.85546875" customWidth="1"/>
    <col min="4" max="4" width="15.7109375" bestFit="1" customWidth="1"/>
    <col min="5" max="5" width="10" bestFit="1" customWidth="1"/>
    <col min="6" max="6" width="37" customWidth="1"/>
    <col min="7" max="7" width="34.140625" customWidth="1"/>
  </cols>
  <sheetData>
    <row r="1" spans="2:7" x14ac:dyDescent="0.25">
      <c r="B1" s="187" t="s">
        <v>570</v>
      </c>
    </row>
    <row r="2" spans="2:7" x14ac:dyDescent="0.25">
      <c r="B2" t="s">
        <v>571</v>
      </c>
    </row>
    <row r="3" spans="2:7" x14ac:dyDescent="0.25">
      <c r="B3" s="295"/>
      <c r="C3" s="295"/>
      <c r="D3" s="295"/>
      <c r="E3" s="295"/>
      <c r="F3" s="295"/>
      <c r="G3" s="295"/>
    </row>
    <row r="4" spans="2:7" x14ac:dyDescent="0.25">
      <c r="B4" t="s">
        <v>569</v>
      </c>
    </row>
    <row r="5" spans="2:7" ht="30" x14ac:dyDescent="0.25">
      <c r="B5" s="266" t="s">
        <v>631</v>
      </c>
      <c r="C5" s="334">
        <f>+(25.7087*50%)</f>
        <v>12.85435</v>
      </c>
      <c r="D5" s="244" t="s">
        <v>458</v>
      </c>
    </row>
    <row r="6" spans="2:7" x14ac:dyDescent="0.25">
      <c r="B6" t="s">
        <v>635</v>
      </c>
      <c r="C6" s="334">
        <v>7.65</v>
      </c>
      <c r="D6" s="244" t="s">
        <v>573</v>
      </c>
    </row>
    <row r="7" spans="2:7" ht="75" x14ac:dyDescent="0.25">
      <c r="B7" s="337" t="s">
        <v>637</v>
      </c>
      <c r="C7" s="338">
        <f>(21.518)*30%</f>
        <v>6.4554</v>
      </c>
      <c r="D7" s="295"/>
      <c r="E7" s="295"/>
      <c r="F7" s="335" t="s">
        <v>636</v>
      </c>
      <c r="G7" s="295"/>
    </row>
    <row r="8" spans="2:7" x14ac:dyDescent="0.25">
      <c r="B8" t="s">
        <v>572</v>
      </c>
      <c r="C8" s="334">
        <f>SUM(C5:C7)</f>
        <v>26.959750000000003</v>
      </c>
    </row>
    <row r="9" spans="2:7" x14ac:dyDescent="0.25">
      <c r="C9" s="4">
        <f>+C8*(3600*24*365)</f>
        <v>850202676.00000012</v>
      </c>
      <c r="D9" t="s">
        <v>574</v>
      </c>
      <c r="F9" s="230"/>
    </row>
    <row r="10" spans="2:7" x14ac:dyDescent="0.25">
      <c r="C10" s="230">
        <f>C9/1000000</f>
        <v>850.20267600000011</v>
      </c>
      <c r="D10" t="s">
        <v>490</v>
      </c>
    </row>
    <row r="12" spans="2:7" x14ac:dyDescent="0.25">
      <c r="B12" t="s">
        <v>568</v>
      </c>
    </row>
    <row r="14" spans="2:7" s="295" customFormat="1" x14ac:dyDescent="0.25"/>
    <row r="17" spans="2:3" x14ac:dyDescent="0.25">
      <c r="B17" s="256" t="s">
        <v>388</v>
      </c>
    </row>
    <row r="18" spans="2:3" x14ac:dyDescent="0.25">
      <c r="B18" s="549" t="s">
        <v>390</v>
      </c>
      <c r="C18" t="s">
        <v>387</v>
      </c>
    </row>
    <row r="19" spans="2:3" x14ac:dyDescent="0.25">
      <c r="B19" t="s">
        <v>400</v>
      </c>
    </row>
    <row r="21" spans="2:3" x14ac:dyDescent="0.25">
      <c r="B21" t="s">
        <v>402</v>
      </c>
    </row>
    <row r="22" spans="2:3" x14ac:dyDescent="0.25">
      <c r="B22" t="s">
        <v>391</v>
      </c>
    </row>
    <row r="24" spans="2:3" x14ac:dyDescent="0.25">
      <c r="B24" t="s">
        <v>630</v>
      </c>
    </row>
    <row r="28" spans="2:3" x14ac:dyDescent="0.25">
      <c r="B28" t="s">
        <v>397</v>
      </c>
    </row>
    <row r="29" spans="2:3" x14ac:dyDescent="0.25">
      <c r="B29" t="s">
        <v>398</v>
      </c>
    </row>
    <row r="30" spans="2:3" x14ac:dyDescent="0.25">
      <c r="B30" t="s">
        <v>398</v>
      </c>
    </row>
    <row r="32" spans="2:3" x14ac:dyDescent="0.25">
      <c r="B32" t="s">
        <v>392</v>
      </c>
    </row>
    <row r="33" spans="2:7" x14ac:dyDescent="0.25">
      <c r="B33" t="s">
        <v>398</v>
      </c>
    </row>
    <row r="34" spans="2:7" x14ac:dyDescent="0.25">
      <c r="B34" t="s">
        <v>399</v>
      </c>
    </row>
    <row r="35" spans="2:7" x14ac:dyDescent="0.25">
      <c r="B35" t="s">
        <v>399</v>
      </c>
    </row>
    <row r="37" spans="2:7" x14ac:dyDescent="0.25">
      <c r="B37" s="550" t="s">
        <v>401</v>
      </c>
    </row>
    <row r="38" spans="2:7" x14ac:dyDescent="0.25">
      <c r="B38" t="s">
        <v>403</v>
      </c>
    </row>
    <row r="39" spans="2:7" x14ac:dyDescent="0.25">
      <c r="B39" t="s">
        <v>398</v>
      </c>
    </row>
    <row r="40" spans="2:7" x14ac:dyDescent="0.25">
      <c r="B40" t="s">
        <v>398</v>
      </c>
    </row>
    <row r="42" spans="2:7" x14ac:dyDescent="0.25">
      <c r="B42" t="s">
        <v>384</v>
      </c>
    </row>
    <row r="43" spans="2:7" x14ac:dyDescent="0.25">
      <c r="C43" t="s">
        <v>239</v>
      </c>
      <c r="E43" t="s">
        <v>393</v>
      </c>
      <c r="F43" t="s">
        <v>177</v>
      </c>
      <c r="G43" t="s">
        <v>182</v>
      </c>
    </row>
    <row r="44" spans="2:7" x14ac:dyDescent="0.25">
      <c r="B44" t="s">
        <v>385</v>
      </c>
      <c r="C44" s="255">
        <f>+G44/1000000000</f>
        <v>1.359</v>
      </c>
      <c r="D44" s="255">
        <v>1.359</v>
      </c>
      <c r="E44" s="179">
        <v>1000</v>
      </c>
      <c r="F44" s="179">
        <f>+E44*1000000</f>
        <v>1000000000</v>
      </c>
      <c r="G44" s="179">
        <f>+D44*F44</f>
        <v>1359000000</v>
      </c>
    </row>
    <row r="45" spans="2:7" x14ac:dyDescent="0.25">
      <c r="B45" t="s">
        <v>386</v>
      </c>
      <c r="C45" s="255">
        <f>+G45/1000000000</f>
        <v>1.5820000000000001</v>
      </c>
      <c r="D45" s="255">
        <v>1.5820000000000001</v>
      </c>
      <c r="E45" s="179">
        <v>1000</v>
      </c>
      <c r="F45" s="179">
        <f>+E45*1000000</f>
        <v>1000000000</v>
      </c>
      <c r="G45" s="179">
        <f>+D45*F45</f>
        <v>1582000000</v>
      </c>
    </row>
    <row r="46" spans="2:7" x14ac:dyDescent="0.25">
      <c r="B46" t="s">
        <v>389</v>
      </c>
      <c r="C46" s="255">
        <f>+G46/1000000000</f>
        <v>-0.22300000000000009</v>
      </c>
      <c r="D46" s="255">
        <f>+D44-D45</f>
        <v>-0.22300000000000009</v>
      </c>
      <c r="E46" s="179">
        <v>1000</v>
      </c>
      <c r="F46" s="179">
        <f>+E46*1000000</f>
        <v>1000000000</v>
      </c>
      <c r="G46" s="179">
        <f>+D46*F46</f>
        <v>-223000000.00000009</v>
      </c>
    </row>
  </sheetData>
  <pageMargins left="0.51181102362204722" right="0.51181102362204722" top="0.74803149606299213" bottom="0.74803149606299213" header="0.31496062992125984" footer="0.31496062992125984"/>
  <pageSetup paperSize="9" scale="60" orientation="landscape" r:id="rId1"/>
  <headerFooter>
    <oddHeader>&amp;L&amp;F    &amp;&amp;&amp;A&amp;C&amp;D&amp;RPage &amp;P of &amp;N</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6"/>
  <sheetViews>
    <sheetView zoomScale="80" zoomScaleNormal="80" workbookViewId="0">
      <pane ySplit="5" topLeftCell="A6" activePane="bottomLeft" state="frozen"/>
      <selection activeCell="Q52" sqref="Q52"/>
      <selection pane="bottomLeft" activeCell="H14" sqref="H14"/>
    </sheetView>
  </sheetViews>
  <sheetFormatPr defaultRowHeight="15" x14ac:dyDescent="0.25"/>
  <cols>
    <col min="1" max="1" width="3.5703125" customWidth="1"/>
    <col min="2" max="2" width="38.5703125" customWidth="1"/>
    <col min="3" max="3" width="65.85546875" customWidth="1"/>
    <col min="4" max="4" width="19.140625" bestFit="1" customWidth="1"/>
    <col min="5" max="5" width="14.42578125" bestFit="1" customWidth="1"/>
    <col min="8" max="8" width="21.5703125" bestFit="1" customWidth="1"/>
    <col min="9" max="9" width="73.28515625" bestFit="1" customWidth="1"/>
    <col min="10" max="10" width="10.140625" bestFit="1" customWidth="1"/>
  </cols>
  <sheetData>
    <row r="1" spans="2:10" x14ac:dyDescent="0.25">
      <c r="B1" s="187" t="s">
        <v>65</v>
      </c>
    </row>
    <row r="2" spans="2:10" x14ac:dyDescent="0.25">
      <c r="B2" t="s">
        <v>491</v>
      </c>
    </row>
    <row r="4" spans="2:10" x14ac:dyDescent="0.25">
      <c r="B4" s="297"/>
      <c r="C4" s="297"/>
      <c r="D4" s="297" t="s">
        <v>492</v>
      </c>
      <c r="E4" s="297"/>
      <c r="F4" s="297"/>
      <c r="G4" s="297"/>
      <c r="H4" s="297" t="s">
        <v>493</v>
      </c>
      <c r="I4" s="297"/>
    </row>
    <row r="6" spans="2:10" ht="105" x14ac:dyDescent="0.25">
      <c r="B6" t="s">
        <v>483</v>
      </c>
      <c r="C6" s="266" t="s">
        <v>1068</v>
      </c>
      <c r="D6" s="225">
        <f>(2.7)*50%</f>
        <v>1.35</v>
      </c>
      <c r="H6" s="225">
        <f>D6*(3600*24*365)/1000000</f>
        <v>42.573599999999999</v>
      </c>
    </row>
    <row r="7" spans="2:10" ht="60" x14ac:dyDescent="0.25">
      <c r="B7" t="s">
        <v>558</v>
      </c>
      <c r="C7" s="336" t="s">
        <v>633</v>
      </c>
      <c r="D7" s="225">
        <f>(101.509099266037)*50%</f>
        <v>50.754549633018499</v>
      </c>
      <c r="H7" s="225">
        <f>D7*(3600*24*365)/1000000</f>
        <v>1600.5954772268715</v>
      </c>
      <c r="I7" t="s">
        <v>496</v>
      </c>
      <c r="J7" s="424"/>
    </row>
    <row r="8" spans="2:10" x14ac:dyDescent="0.25">
      <c r="B8" t="s">
        <v>495</v>
      </c>
      <c r="D8" s="225"/>
      <c r="H8" s="298">
        <v>198.75564</v>
      </c>
      <c r="I8" t="s">
        <v>496</v>
      </c>
    </row>
    <row r="9" spans="2:10" x14ac:dyDescent="0.25">
      <c r="B9" t="s">
        <v>485</v>
      </c>
      <c r="C9" t="s">
        <v>494</v>
      </c>
      <c r="D9" s="298">
        <f>(1.4)</f>
        <v>1.4</v>
      </c>
      <c r="E9" t="s">
        <v>484</v>
      </c>
      <c r="H9" s="298">
        <f>D9*(3600*24*365)/1000000</f>
        <v>44.150399999999998</v>
      </c>
      <c r="I9" t="s">
        <v>502</v>
      </c>
    </row>
    <row r="10" spans="2:10" x14ac:dyDescent="0.25">
      <c r="B10" t="s">
        <v>634</v>
      </c>
      <c r="C10" t="s">
        <v>1066</v>
      </c>
      <c r="D10" s="225">
        <f>(16.3814093390006)</f>
        <v>16.381409339000601</v>
      </c>
      <c r="E10" t="s">
        <v>484</v>
      </c>
      <c r="H10" s="225">
        <f>D10*(3600*24*365)/1000000</f>
        <v>516.604124914723</v>
      </c>
    </row>
    <row r="11" spans="2:10" ht="105" x14ac:dyDescent="0.25">
      <c r="B11" s="266" t="s">
        <v>632</v>
      </c>
      <c r="C11" s="266" t="s">
        <v>1067</v>
      </c>
      <c r="D11" s="225">
        <f>(256)*50%</f>
        <v>128</v>
      </c>
      <c r="E11" t="s">
        <v>484</v>
      </c>
      <c r="F11">
        <f>D11-150</f>
        <v>-22</v>
      </c>
      <c r="H11" s="225">
        <f>D11*(3600*24*365)/1000000</f>
        <v>4036.6080000000002</v>
      </c>
      <c r="I11" s="266" t="s">
        <v>638</v>
      </c>
    </row>
    <row r="12" spans="2:10" x14ac:dyDescent="0.25">
      <c r="B12" s="295"/>
      <c r="C12" s="295"/>
      <c r="D12" s="296"/>
      <c r="E12" s="295"/>
      <c r="F12" s="295"/>
      <c r="G12" s="295"/>
      <c r="H12" s="296"/>
      <c r="I12" s="295"/>
    </row>
    <row r="13" spans="2:10" x14ac:dyDescent="0.25">
      <c r="D13" s="225"/>
      <c r="H13" s="225"/>
    </row>
    <row r="14" spans="2:10" x14ac:dyDescent="0.25">
      <c r="B14" s="187" t="s">
        <v>487</v>
      </c>
      <c r="C14" s="187"/>
      <c r="D14" s="294">
        <f>SUM(D6:D12)</f>
        <v>197.8859589720191</v>
      </c>
      <c r="E14" s="187" t="s">
        <v>484</v>
      </c>
      <c r="H14" s="311">
        <f>SUM(H6:H12)</f>
        <v>6439.2872421415941</v>
      </c>
    </row>
    <row r="15" spans="2:10" x14ac:dyDescent="0.25">
      <c r="D15" s="225"/>
    </row>
    <row r="16" spans="2:10" x14ac:dyDescent="0.25">
      <c r="D16" s="179">
        <f>D14*(3600*24*365)</f>
        <v>6240531602.1415939</v>
      </c>
      <c r="E16" t="s">
        <v>488</v>
      </c>
      <c r="F16">
        <f>365</f>
        <v>365</v>
      </c>
      <c r="G16" t="s">
        <v>489</v>
      </c>
    </row>
    <row r="17" spans="2:12" x14ac:dyDescent="0.25">
      <c r="D17" s="179">
        <f>D16/1000000</f>
        <v>6240.5316021415938</v>
      </c>
      <c r="E17" t="s">
        <v>490</v>
      </c>
    </row>
    <row r="18" spans="2:12" x14ac:dyDescent="0.25">
      <c r="D18" s="225">
        <f>D17/1000</f>
        <v>6.2405316021415942</v>
      </c>
      <c r="E18" t="s">
        <v>190</v>
      </c>
    </row>
    <row r="21" spans="2:12" x14ac:dyDescent="0.25">
      <c r="B21" t="s">
        <v>498</v>
      </c>
      <c r="C21" s="232" t="s">
        <v>497</v>
      </c>
      <c r="H21" s="298">
        <v>3040.0703999999996</v>
      </c>
      <c r="I21" t="s">
        <v>496</v>
      </c>
    </row>
    <row r="28" spans="2:12" x14ac:dyDescent="0.25">
      <c r="B28" s="293"/>
      <c r="C28" s="293"/>
      <c r="D28" s="293"/>
      <c r="E28" s="293"/>
      <c r="F28" s="293"/>
      <c r="G28" s="293"/>
      <c r="H28" s="293"/>
      <c r="I28" s="293"/>
      <c r="J28" s="293"/>
      <c r="K28" s="293"/>
      <c r="L28" s="293"/>
    </row>
    <row r="29" spans="2:12" x14ac:dyDescent="0.25">
      <c r="B29" s="293"/>
      <c r="C29" s="293"/>
      <c r="D29" s="293"/>
      <c r="E29" s="293"/>
      <c r="F29" s="293"/>
      <c r="G29" s="293"/>
      <c r="H29" s="293"/>
      <c r="I29" s="293"/>
      <c r="J29" s="293"/>
      <c r="K29" s="293"/>
      <c r="L29" s="293"/>
    </row>
    <row r="30" spans="2:12" x14ac:dyDescent="0.25">
      <c r="B30" s="293"/>
      <c r="C30" s="293"/>
      <c r="D30" s="293"/>
      <c r="E30" s="293"/>
      <c r="F30" s="293"/>
      <c r="G30" s="293"/>
      <c r="H30" s="293"/>
      <c r="I30" s="293"/>
      <c r="J30" s="293"/>
      <c r="K30" s="293"/>
      <c r="L30" s="293"/>
    </row>
    <row r="31" spans="2:12" x14ac:dyDescent="0.25">
      <c r="B31" s="293"/>
      <c r="C31" s="293"/>
      <c r="D31" s="293"/>
      <c r="E31" s="293"/>
      <c r="F31" s="293"/>
      <c r="G31" s="293"/>
      <c r="H31" s="293"/>
      <c r="I31" s="293"/>
      <c r="J31" s="293"/>
      <c r="K31" s="293"/>
      <c r="L31" s="293"/>
    </row>
    <row r="32" spans="2:12" x14ac:dyDescent="0.25">
      <c r="B32" s="293"/>
      <c r="C32" s="293"/>
      <c r="D32" s="293"/>
      <c r="E32" s="293"/>
      <c r="F32" s="293"/>
      <c r="G32" s="293"/>
      <c r="H32" s="293"/>
      <c r="I32" s="293"/>
      <c r="J32" s="293"/>
      <c r="K32" s="293"/>
      <c r="L32" s="293"/>
    </row>
    <row r="33" spans="2:12" x14ac:dyDescent="0.25">
      <c r="B33" s="293"/>
      <c r="C33" s="293"/>
      <c r="D33" s="293"/>
      <c r="E33" s="293"/>
      <c r="F33" s="293"/>
      <c r="G33" s="293"/>
      <c r="H33" s="293"/>
      <c r="I33" s="293"/>
      <c r="J33" s="293"/>
      <c r="K33" s="293"/>
      <c r="L33" s="293"/>
    </row>
    <row r="34" spans="2:12" x14ac:dyDescent="0.25">
      <c r="B34" s="293"/>
      <c r="C34" s="293"/>
      <c r="D34" s="293"/>
      <c r="E34" s="293"/>
      <c r="F34" s="293"/>
      <c r="G34" s="293"/>
      <c r="H34" s="293"/>
      <c r="I34" s="293"/>
      <c r="J34" s="293"/>
      <c r="K34" s="293"/>
      <c r="L34" s="293"/>
    </row>
    <row r="35" spans="2:12" x14ac:dyDescent="0.25">
      <c r="B35" s="293"/>
      <c r="C35" s="293"/>
      <c r="D35" s="293"/>
      <c r="E35" s="293"/>
      <c r="F35" s="293"/>
      <c r="G35" s="293"/>
      <c r="H35" s="293"/>
      <c r="I35" s="293"/>
      <c r="J35" s="293"/>
      <c r="K35" s="293"/>
      <c r="L35" s="293"/>
    </row>
    <row r="36" spans="2:12" x14ac:dyDescent="0.25">
      <c r="B36" s="293"/>
      <c r="C36" s="293"/>
      <c r="D36" s="293"/>
      <c r="E36" s="293"/>
      <c r="F36" s="293"/>
      <c r="G36" s="293"/>
      <c r="H36" s="293"/>
      <c r="I36" s="293"/>
      <c r="J36" s="293"/>
      <c r="K36" s="293"/>
      <c r="L36" s="293"/>
    </row>
    <row r="37" spans="2:12" x14ac:dyDescent="0.25">
      <c r="B37" s="293"/>
      <c r="C37" s="293"/>
      <c r="D37" s="293"/>
      <c r="E37" s="293"/>
      <c r="F37" s="293"/>
      <c r="G37" s="293"/>
      <c r="H37" s="293"/>
      <c r="I37" s="293"/>
      <c r="J37" s="293"/>
      <c r="K37" s="293"/>
      <c r="L37" s="293"/>
    </row>
    <row r="38" spans="2:12" x14ac:dyDescent="0.25">
      <c r="B38" s="293"/>
      <c r="C38" s="293"/>
      <c r="D38" s="293"/>
      <c r="E38" s="293"/>
      <c r="F38" s="293"/>
      <c r="G38" s="293"/>
      <c r="H38" s="293"/>
      <c r="I38" s="293"/>
      <c r="J38" s="293"/>
      <c r="K38" s="293"/>
      <c r="L38" s="293"/>
    </row>
    <row r="39" spans="2:12" x14ac:dyDescent="0.25">
      <c r="B39" s="293"/>
      <c r="C39" s="293"/>
      <c r="D39" s="293"/>
      <c r="E39" s="293"/>
      <c r="F39" s="293"/>
      <c r="G39" s="293"/>
      <c r="H39" s="293"/>
      <c r="I39" s="293"/>
      <c r="J39" s="293"/>
      <c r="K39" s="293"/>
      <c r="L39" s="293"/>
    </row>
    <row r="40" spans="2:12" x14ac:dyDescent="0.25">
      <c r="B40" s="293"/>
      <c r="C40" s="293"/>
      <c r="D40" s="293"/>
      <c r="E40" s="293"/>
      <c r="F40" s="293"/>
      <c r="G40" s="293"/>
      <c r="H40" s="293"/>
      <c r="I40" s="293"/>
      <c r="J40" s="293"/>
      <c r="K40" s="293"/>
      <c r="L40" s="293"/>
    </row>
    <row r="41" spans="2:12" x14ac:dyDescent="0.25">
      <c r="B41" s="293"/>
      <c r="C41" s="293"/>
      <c r="D41" s="293"/>
      <c r="E41" s="293"/>
      <c r="F41" s="293"/>
      <c r="G41" s="293"/>
      <c r="H41" s="293"/>
      <c r="I41" s="293"/>
      <c r="J41" s="293"/>
      <c r="K41" s="293"/>
      <c r="L41" s="293"/>
    </row>
    <row r="42" spans="2:12" x14ac:dyDescent="0.25">
      <c r="B42" s="293"/>
      <c r="C42" s="293"/>
      <c r="D42" s="293"/>
      <c r="E42" s="293"/>
      <c r="F42" s="293"/>
      <c r="G42" s="293"/>
      <c r="H42" s="293"/>
      <c r="I42" s="293"/>
      <c r="J42" s="293"/>
      <c r="K42" s="293"/>
      <c r="L42" s="293"/>
    </row>
    <row r="43" spans="2:12" x14ac:dyDescent="0.25">
      <c r="B43" s="293"/>
      <c r="C43" s="293"/>
      <c r="D43" s="293"/>
      <c r="E43" s="293"/>
      <c r="F43" s="293"/>
      <c r="G43" s="293"/>
      <c r="H43" s="293"/>
      <c r="I43" s="293"/>
      <c r="J43" s="293"/>
      <c r="K43" s="293"/>
      <c r="L43" s="293"/>
    </row>
    <row r="44" spans="2:12" x14ac:dyDescent="0.25">
      <c r="B44" s="293"/>
      <c r="C44" s="293"/>
      <c r="D44" s="293"/>
      <c r="E44" s="293"/>
      <c r="F44" s="293"/>
      <c r="G44" s="293"/>
      <c r="H44" s="293"/>
      <c r="I44" s="293"/>
      <c r="J44" s="293"/>
      <c r="K44" s="293"/>
      <c r="L44" s="293"/>
    </row>
    <row r="45" spans="2:12" x14ac:dyDescent="0.25">
      <c r="B45" s="293"/>
      <c r="C45" s="293"/>
      <c r="D45" s="293"/>
      <c r="E45" s="293"/>
      <c r="F45" s="293"/>
      <c r="G45" s="293"/>
      <c r="H45" s="293"/>
      <c r="I45" s="293"/>
      <c r="J45" s="293"/>
      <c r="K45" s="293"/>
      <c r="L45" s="293"/>
    </row>
    <row r="46" spans="2:12" x14ac:dyDescent="0.25">
      <c r="B46" s="293"/>
      <c r="C46" s="293"/>
      <c r="D46" s="293"/>
      <c r="E46" s="293"/>
      <c r="F46" s="293"/>
      <c r="G46" s="293"/>
      <c r="H46" s="293"/>
      <c r="I46" s="293"/>
      <c r="J46" s="293"/>
      <c r="K46" s="293"/>
      <c r="L46" s="293"/>
    </row>
  </sheetData>
  <pageMargins left="0.51181102362204722" right="0.51181102362204722" top="0.74803149606299213" bottom="0.74803149606299213" header="0.31496062992125984" footer="0.31496062992125984"/>
  <pageSetup paperSize="9" scale="55" orientation="landscape" r:id="rId1"/>
  <headerFooter>
    <oddHeader>&amp;L&amp;F    &amp;&amp;&amp;A&amp;C&amp;D&amp;RPage &amp;P of &amp;N</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9"/>
  <sheetViews>
    <sheetView topLeftCell="A13" zoomScale="90" zoomScaleNormal="90" workbookViewId="0">
      <selection activeCell="C15" sqref="C15"/>
    </sheetView>
  </sheetViews>
  <sheetFormatPr defaultRowHeight="15" x14ac:dyDescent="0.25"/>
  <cols>
    <col min="1" max="1" width="36.7109375" customWidth="1"/>
    <col min="2" max="7" width="11.85546875" customWidth="1"/>
  </cols>
  <sheetData>
    <row r="2" spans="1:7" x14ac:dyDescent="0.25">
      <c r="A2" s="187" t="s">
        <v>64</v>
      </c>
    </row>
    <row r="3" spans="1:7" x14ac:dyDescent="0.25">
      <c r="A3" s="1164" t="s">
        <v>69</v>
      </c>
      <c r="B3" s="1722" t="s">
        <v>49</v>
      </c>
      <c r="C3" s="1722"/>
      <c r="D3" s="1722"/>
      <c r="E3" s="1160" t="s">
        <v>50</v>
      </c>
      <c r="F3" s="1161" t="s">
        <v>51</v>
      </c>
      <c r="G3" s="1161" t="s">
        <v>3</v>
      </c>
    </row>
    <row r="4" spans="1:7" ht="26.25" customHeight="1" x14ac:dyDescent="0.25">
      <c r="A4" s="1162"/>
      <c r="B4" s="1162" t="s">
        <v>52</v>
      </c>
      <c r="C4" s="1162" t="s">
        <v>68</v>
      </c>
      <c r="D4" s="1162" t="s">
        <v>53</v>
      </c>
      <c r="E4" s="1163"/>
      <c r="F4" s="1162"/>
      <c r="G4" s="1162"/>
    </row>
    <row r="5" spans="1:7" x14ac:dyDescent="0.25">
      <c r="A5" s="1166" t="s">
        <v>1399</v>
      </c>
      <c r="B5" s="1097">
        <f>+Asset_2012_Table!C24</f>
        <v>257690.00067217631</v>
      </c>
      <c r="C5" s="1097">
        <f>+Asset_2012_Table!D24</f>
        <v>1264</v>
      </c>
      <c r="D5" s="1097">
        <f>+Asset_2012_Table!E24</f>
        <v>62.613469534117641</v>
      </c>
      <c r="E5" s="1097">
        <f>+Asset_2012_Table!F24</f>
        <v>3388.8607500000003</v>
      </c>
      <c r="F5" s="1097">
        <f>+Asset_2012_Table!G24</f>
        <v>62127</v>
      </c>
      <c r="G5" s="1097">
        <f>+Asset_2012_Table!H24</f>
        <v>324532.47489171044</v>
      </c>
    </row>
    <row r="6" spans="1:7" x14ac:dyDescent="0.25">
      <c r="A6" s="1166" t="s">
        <v>1400</v>
      </c>
      <c r="B6" s="1097">
        <f>+Asset_2013_Table!C24</f>
        <v>257248.30771313258</v>
      </c>
      <c r="C6" s="1097">
        <f>+Asset_2013_Table!D24</f>
        <v>1264</v>
      </c>
      <c r="D6" s="1097">
        <f>+Asset_2013_Table!E24</f>
        <v>68.059208898823542</v>
      </c>
      <c r="E6" s="1097">
        <f>+Asset_2013_Table!F24</f>
        <v>3388.8607500000003</v>
      </c>
      <c r="F6" s="1097">
        <f>+Asset_2013_Table!G24</f>
        <v>62127</v>
      </c>
      <c r="G6" s="1097">
        <f>+Asset_2013_Table!H24</f>
        <v>324096.22767203138</v>
      </c>
    </row>
    <row r="7" spans="1:7" x14ac:dyDescent="0.25">
      <c r="A7" s="1166" t="s">
        <v>1401</v>
      </c>
      <c r="B7" s="1097">
        <f>+Asset_2014_Table!C24</f>
        <v>256806.61475408886</v>
      </c>
      <c r="C7" s="1097">
        <f>+Asset_2014_Table!D24</f>
        <v>1264</v>
      </c>
      <c r="D7" s="1097">
        <f>+Asset_2014_Table!E24</f>
        <v>77.39732494588236</v>
      </c>
      <c r="E7" s="1097">
        <f>+Asset_2014_Table!F24</f>
        <v>3388.8607500000003</v>
      </c>
      <c r="F7" s="1097">
        <f>+Asset_2014_Table!G24</f>
        <v>62127</v>
      </c>
      <c r="G7" s="1097">
        <f>+Asset_2014_Table!H24</f>
        <v>323663.87282903475</v>
      </c>
    </row>
    <row r="8" spans="1:7" ht="15.75" thickBot="1" x14ac:dyDescent="0.3">
      <c r="A8" s="1166" t="s">
        <v>1402</v>
      </c>
      <c r="B8" s="1097">
        <f>+Asset_2015_Table!C24</f>
        <v>256364.92179504514</v>
      </c>
      <c r="C8" s="1097">
        <f>+Asset_2015_Table!D24</f>
        <v>1264</v>
      </c>
      <c r="D8" s="1097">
        <f>+Asset_2015_Table!E24</f>
        <v>102.15046767529415</v>
      </c>
      <c r="E8" s="1097">
        <f>+Asset_2015_Table!F24</f>
        <v>3388.8607500000003</v>
      </c>
      <c r="F8" s="1097">
        <f>+Asset_2015_Table!G24</f>
        <v>62127</v>
      </c>
      <c r="G8" s="1097">
        <f>+Asset_2015_Table!H24</f>
        <v>323246.93301272043</v>
      </c>
    </row>
    <row r="9" spans="1:7" ht="15.75" thickBot="1" x14ac:dyDescent="0.3">
      <c r="A9" s="1165" t="s">
        <v>1398</v>
      </c>
      <c r="B9" s="1159">
        <f t="shared" ref="B9:G9" si="0">(B8/B5)-1</f>
        <v>-5.1421431707662224E-3</v>
      </c>
      <c r="C9" s="1159">
        <f t="shared" si="0"/>
        <v>0</v>
      </c>
      <c r="D9" s="1159">
        <f t="shared" si="0"/>
        <v>0.6314455728991839</v>
      </c>
      <c r="E9" s="1159">
        <f t="shared" si="0"/>
        <v>0</v>
      </c>
      <c r="F9" s="1159">
        <f t="shared" si="0"/>
        <v>0</v>
      </c>
      <c r="G9" s="1159">
        <f t="shared" si="0"/>
        <v>-3.9612118307080779E-3</v>
      </c>
    </row>
    <row r="12" spans="1:7" ht="15.75" thickBot="1" x14ac:dyDescent="0.3">
      <c r="A12" s="1101" t="s">
        <v>1394</v>
      </c>
      <c r="B12" s="700"/>
      <c r="C12" s="700"/>
      <c r="D12" s="700"/>
      <c r="E12" s="700"/>
      <c r="F12" s="700"/>
      <c r="G12" s="700"/>
    </row>
    <row r="13" spans="1:7" x14ac:dyDescent="0.25">
      <c r="A13" s="1088" t="s">
        <v>69</v>
      </c>
      <c r="B13" s="1723" t="s">
        <v>49</v>
      </c>
      <c r="C13" s="1724"/>
      <c r="D13" s="1725"/>
      <c r="E13" s="1089" t="s">
        <v>50</v>
      </c>
      <c r="F13" s="1090" t="s">
        <v>51</v>
      </c>
      <c r="G13" s="1091" t="s">
        <v>3</v>
      </c>
    </row>
    <row r="14" spans="1:7" ht="26.25" thickBot="1" x14ac:dyDescent="0.3">
      <c r="A14" s="1092"/>
      <c r="B14" s="1093" t="s">
        <v>52</v>
      </c>
      <c r="C14" s="1093" t="s">
        <v>68</v>
      </c>
      <c r="D14" s="1093" t="s">
        <v>53</v>
      </c>
      <c r="E14" s="1094"/>
      <c r="F14" s="1093"/>
      <c r="G14" s="1095"/>
    </row>
    <row r="15" spans="1:7" ht="15.75" thickBot="1" x14ac:dyDescent="0.3">
      <c r="A15" s="1096" t="s">
        <v>1386</v>
      </c>
      <c r="B15" s="1097">
        <f>+Asset_2012_Table!C26</f>
        <v>257690.00067217628</v>
      </c>
      <c r="C15" s="1097">
        <f>+Asset_2012_Table!D26</f>
        <v>818.64426410878514</v>
      </c>
      <c r="D15" s="1097">
        <f>+Asset_2012_Table!E26</f>
        <v>-19.184503109435298</v>
      </c>
      <c r="E15" s="1097">
        <f>+Asset_2012_Table!F26</f>
        <v>3551.6686931306394</v>
      </c>
      <c r="F15" s="1097">
        <f>+Asset_2012_Table!G26</f>
        <v>62309.290146056184</v>
      </c>
      <c r="G15" s="1098">
        <f>+Asset_2012_Table!H26</f>
        <v>324350.41927236243</v>
      </c>
    </row>
    <row r="16" spans="1:7" ht="15.75" thickBot="1" x14ac:dyDescent="0.3">
      <c r="A16" s="1096" t="s">
        <v>1387</v>
      </c>
      <c r="B16" s="1097">
        <f>+Asset_2013_Table!C26</f>
        <v>257248.30771313258</v>
      </c>
      <c r="C16" s="1097">
        <f>+Asset_2013_Table!D26</f>
        <v>815.49448791738359</v>
      </c>
      <c r="D16" s="1097">
        <f>+Asset_2013_Table!E26</f>
        <v>-26.288680421402603</v>
      </c>
      <c r="E16" s="1097">
        <f>+Asset_2013_Table!F26</f>
        <v>2942.8046156033088</v>
      </c>
      <c r="F16" s="1097">
        <f>+Asset_2013_Table!G26</f>
        <v>62308.896679671219</v>
      </c>
      <c r="G16" s="1098">
        <f>+Asset_2013_Table!H26</f>
        <v>323289.21481590311</v>
      </c>
    </row>
    <row r="17" spans="1:7" ht="15.75" thickBot="1" x14ac:dyDescent="0.3">
      <c r="A17" s="1096" t="s">
        <v>1388</v>
      </c>
      <c r="B17" s="1097">
        <f>+Asset_2014_Table!C26</f>
        <v>256806.61475408886</v>
      </c>
      <c r="C17" s="1097">
        <f>+Asset_2014_Table!D26</f>
        <v>822.76328165086852</v>
      </c>
      <c r="D17" s="1097">
        <f>+Asset_2014_Table!E26</f>
        <v>-32.372365780759537</v>
      </c>
      <c r="E17" s="1097">
        <f>+Asset_2014_Table!F26</f>
        <v>3684.1795662986879</v>
      </c>
      <c r="F17" s="1097">
        <f>+Asset_2014_Table!G26</f>
        <v>62308.507260570244</v>
      </c>
      <c r="G17" s="1098">
        <f>+Asset_2014_Table!H26</f>
        <v>323589.69249682786</v>
      </c>
    </row>
    <row r="18" spans="1:7" ht="15.75" thickBot="1" x14ac:dyDescent="0.3">
      <c r="A18" s="1096" t="s">
        <v>1389</v>
      </c>
      <c r="B18" s="1097">
        <f>+Asset_2015_Table!C26</f>
        <v>256364.92179504514</v>
      </c>
      <c r="C18" s="1097">
        <f>+Asset_2015_Table!D26</f>
        <v>823.00853840832133</v>
      </c>
      <c r="D18" s="1097">
        <f>+Asset_2015_Table!E26</f>
        <v>-34.97238514122995</v>
      </c>
      <c r="E18" s="1097">
        <f>+Asset_2015_Table!F26</f>
        <v>3375.635504276368</v>
      </c>
      <c r="F18" s="1097">
        <f>+Asset_2015_Table!G26</f>
        <v>62308.110596346785</v>
      </c>
      <c r="G18" s="1098">
        <f>+Asset_2015_Table!H26</f>
        <v>322836.70404893538</v>
      </c>
    </row>
    <row r="19" spans="1:7" ht="15.75" thickBot="1" x14ac:dyDescent="0.3">
      <c r="A19" s="1096" t="s">
        <v>1390</v>
      </c>
      <c r="B19" s="1099"/>
      <c r="C19" s="1099"/>
      <c r="D19" s="1099"/>
      <c r="E19" s="1099"/>
      <c r="F19" s="1099"/>
      <c r="G19" s="1100"/>
    </row>
    <row r="22" spans="1:7" ht="15.75" thickBot="1" x14ac:dyDescent="0.3">
      <c r="A22" s="187" t="s">
        <v>1395</v>
      </c>
    </row>
    <row r="23" spans="1:7" x14ac:dyDescent="0.25">
      <c r="A23" s="1088" t="s">
        <v>69</v>
      </c>
      <c r="B23" s="1723" t="s">
        <v>49</v>
      </c>
      <c r="C23" s="1724"/>
      <c r="D23" s="1725"/>
      <c r="E23" s="1089" t="s">
        <v>50</v>
      </c>
      <c r="F23" s="1090" t="s">
        <v>51</v>
      </c>
      <c r="G23" s="1091" t="s">
        <v>3</v>
      </c>
    </row>
    <row r="24" spans="1:7" ht="26.25" thickBot="1" x14ac:dyDescent="0.3">
      <c r="A24" s="1092"/>
      <c r="B24" s="1093" t="s">
        <v>52</v>
      </c>
      <c r="C24" s="1093" t="s">
        <v>68</v>
      </c>
      <c r="D24" s="1093" t="s">
        <v>53</v>
      </c>
      <c r="E24" s="1094"/>
      <c r="F24" s="1093"/>
      <c r="G24" s="1095"/>
    </row>
    <row r="25" spans="1:7" ht="15.75" thickBot="1" x14ac:dyDescent="0.3">
      <c r="A25" s="1096" t="s">
        <v>1386</v>
      </c>
      <c r="B25" s="1097">
        <f>+Asset_Tbl_Balance_2012!C24</f>
        <v>257690.00067217631</v>
      </c>
      <c r="C25" s="1097">
        <f>+Asset_Tbl_Balance_2012!D24</f>
        <v>1264</v>
      </c>
      <c r="D25" s="1097">
        <f>+Asset_Tbl_Balance_2012!E24</f>
        <v>62.613469534117641</v>
      </c>
      <c r="E25" s="1097">
        <f>+Asset_Tbl_Balance_2012!F24</f>
        <v>3388.8607500000003</v>
      </c>
      <c r="F25" s="1097">
        <f>+Asset_Tbl_Balance_2012!G24</f>
        <v>62127</v>
      </c>
      <c r="G25" s="1098">
        <f>+Asset_Tbl_Balance_2012!H24</f>
        <v>324532.47489171044</v>
      </c>
    </row>
    <row r="26" spans="1:7" ht="15.75" thickBot="1" x14ac:dyDescent="0.3">
      <c r="A26" s="1096" t="s">
        <v>1387</v>
      </c>
      <c r="B26" s="1097">
        <f>+Asset_Tbl_Balance_2013!C24</f>
        <v>257248.30771313258</v>
      </c>
      <c r="C26" s="1097">
        <f>+Asset_Tbl_Balance_2013!D24</f>
        <v>1264</v>
      </c>
      <c r="D26" s="1097">
        <f>+Asset_Tbl_Balance_2013!E24</f>
        <v>68.059208898823542</v>
      </c>
      <c r="E26" s="1097">
        <f>+Asset_Tbl_Balance_2013!F24</f>
        <v>3388.8607500000003</v>
      </c>
      <c r="F26" s="1097">
        <f>+Asset_Tbl_Balance_2013!G24</f>
        <v>62127</v>
      </c>
      <c r="G26" s="1098">
        <f>+Asset_Tbl_Balance_2013!H24</f>
        <v>324096.22767203138</v>
      </c>
    </row>
    <row r="27" spans="1:7" ht="15.75" thickBot="1" x14ac:dyDescent="0.3">
      <c r="A27" s="1096" t="s">
        <v>1388</v>
      </c>
      <c r="B27" s="1097">
        <f>+Asset_Tbl_Balance_2014!C24</f>
        <v>256806.61475408886</v>
      </c>
      <c r="C27" s="1097">
        <f>+Asset_Tbl_Balance_2014!D24</f>
        <v>1264</v>
      </c>
      <c r="D27" s="1097">
        <f>+Asset_Tbl_Balance_2014!E24</f>
        <v>77.39732494588236</v>
      </c>
      <c r="E27" s="1097">
        <f>+Asset_Tbl_Balance_2014!F24</f>
        <v>3388.8607500000003</v>
      </c>
      <c r="F27" s="1097">
        <f>+Asset_Tbl_Balance_2014!G24</f>
        <v>62127</v>
      </c>
      <c r="G27" s="1098">
        <f>+Asset_Tbl_Balance_2014!H24</f>
        <v>323663.87282903475</v>
      </c>
    </row>
    <row r="28" spans="1:7" ht="15.75" thickBot="1" x14ac:dyDescent="0.3">
      <c r="A28" s="1096" t="s">
        <v>1389</v>
      </c>
      <c r="B28" s="1097">
        <f>+Asset_Tbl_Balance_2015!C24</f>
        <v>256364.92179504514</v>
      </c>
      <c r="C28" s="1097">
        <f>+Asset_Tbl_Balance_2015!D24</f>
        <v>1264</v>
      </c>
      <c r="D28" s="1097">
        <f>+Asset_Tbl_Balance_2015!E24</f>
        <v>102.15046767529415</v>
      </c>
      <c r="E28" s="1097">
        <f>+Asset_Tbl_Balance_2015!F24</f>
        <v>3388.8607500000003</v>
      </c>
      <c r="F28" s="1097">
        <f>+Asset_Tbl_Balance_2015!G24</f>
        <v>62127</v>
      </c>
      <c r="G28" s="1098">
        <f>+Asset_Tbl_Balance_2015!H24</f>
        <v>323246.93301272043</v>
      </c>
    </row>
    <row r="29" spans="1:7" ht="15.75" thickBot="1" x14ac:dyDescent="0.3">
      <c r="A29" s="1096" t="s">
        <v>1390</v>
      </c>
      <c r="B29" s="1099"/>
      <c r="C29" s="1099"/>
      <c r="D29" s="1099"/>
      <c r="E29" s="1099"/>
      <c r="F29" s="1099"/>
      <c r="G29" s="1100"/>
    </row>
  </sheetData>
  <mergeCells count="3">
    <mergeCell ref="B3:D3"/>
    <mergeCell ref="B13:D13"/>
    <mergeCell ref="B23:D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V42"/>
  <sheetViews>
    <sheetView zoomScale="120" zoomScaleNormal="120" workbookViewId="0">
      <pane ySplit="4" topLeftCell="A5" activePane="bottomLeft" state="frozen"/>
      <selection activeCell="K27" sqref="K27"/>
      <selection pane="bottomLeft" activeCell="F16" sqref="F16"/>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5.42578125" customWidth="1"/>
    <col min="13" max="13" width="7.85546875" customWidth="1"/>
    <col min="14" max="14" width="9.85546875" customWidth="1"/>
    <col min="15" max="15" width="12.28515625" customWidth="1"/>
    <col min="16" max="16" width="11.85546875" customWidth="1"/>
    <col min="17" max="17" width="11.140625" customWidth="1"/>
    <col min="18" max="18" width="15.28515625" customWidth="1"/>
    <col min="19" max="21" width="8.85546875" customWidth="1"/>
    <col min="22" max="16384" width="9.140625" style="2"/>
  </cols>
  <sheetData>
    <row r="1" spans="1:22" x14ac:dyDescent="0.25">
      <c r="B1" s="66" t="s">
        <v>1673</v>
      </c>
      <c r="C1" s="3"/>
      <c r="D1" s="3"/>
      <c r="E1" s="3"/>
      <c r="F1" s="3"/>
      <c r="G1" s="3"/>
      <c r="H1"/>
      <c r="J1"/>
      <c r="K1"/>
    </row>
    <row r="2" spans="1:22" customFormat="1" ht="3.75" customHeight="1" thickBot="1" x14ac:dyDescent="0.3"/>
    <row r="3" spans="1:22" s="368" customFormat="1" ht="24.75" customHeight="1" x14ac:dyDescent="0.25">
      <c r="A3" s="364"/>
      <c r="B3" s="34" t="s">
        <v>69</v>
      </c>
      <c r="C3" s="1726" t="s">
        <v>49</v>
      </c>
      <c r="D3" s="1727"/>
      <c r="E3" s="1728"/>
      <c r="F3" s="366" t="s">
        <v>50</v>
      </c>
      <c r="G3" s="367" t="s">
        <v>51</v>
      </c>
      <c r="H3" s="363" t="s">
        <v>3</v>
      </c>
      <c r="I3" s="439"/>
      <c r="J3" s="365" t="s">
        <v>70</v>
      </c>
      <c r="K3" s="363" t="s">
        <v>71</v>
      </c>
      <c r="L3" s="440"/>
      <c r="M3" s="364"/>
      <c r="N3" s="364"/>
      <c r="O3" s="364"/>
      <c r="P3" s="364"/>
      <c r="Q3" s="364"/>
      <c r="R3" s="364"/>
      <c r="S3" s="364"/>
      <c r="T3" s="364"/>
      <c r="U3" s="364"/>
      <c r="V3" s="6"/>
    </row>
    <row r="4" spans="1:22" s="368" customFormat="1" ht="18" customHeight="1" thickBot="1" x14ac:dyDescent="0.3">
      <c r="A4" s="364"/>
      <c r="B4" s="369"/>
      <c r="C4" s="370" t="s">
        <v>52</v>
      </c>
      <c r="D4" s="370" t="s">
        <v>68</v>
      </c>
      <c r="E4" s="370" t="s">
        <v>53</v>
      </c>
      <c r="F4" s="371"/>
      <c r="G4" s="370"/>
      <c r="H4" s="372"/>
      <c r="I4" s="439"/>
      <c r="J4" s="369"/>
      <c r="K4" s="372"/>
      <c r="L4" s="440"/>
      <c r="M4" s="364"/>
      <c r="N4" s="364"/>
      <c r="O4" s="364"/>
      <c r="P4" s="364"/>
      <c r="Q4" s="364"/>
      <c r="R4" s="364"/>
      <c r="S4" s="364"/>
      <c r="T4" s="364"/>
      <c r="U4" s="364"/>
      <c r="V4" s="6"/>
    </row>
    <row r="5" spans="1:22" x14ac:dyDescent="0.25">
      <c r="B5" s="43" t="s">
        <v>54</v>
      </c>
      <c r="C5" s="130">
        <f>'W-Assets_Data&amp;Method_2012'!F3</f>
        <v>258131.69363122003</v>
      </c>
      <c r="D5" s="130">
        <f>'W-Assets_Data&amp;Method_2012'!F4</f>
        <v>1264</v>
      </c>
      <c r="E5" s="130">
        <f>'W-Assets_Data&amp;Method_2012'!F5</f>
        <v>60.39146637882353</v>
      </c>
      <c r="F5" s="130">
        <f>'W-Assets_Data&amp;Method_2012'!F6</f>
        <v>3388.8607500000003</v>
      </c>
      <c r="G5" s="130">
        <f>'W-Assets_Data&amp;Method_2012'!F7</f>
        <v>62127</v>
      </c>
      <c r="H5" s="388">
        <f>SUM(C5:G5)</f>
        <v>324971.94584759884</v>
      </c>
      <c r="I5" s="439"/>
      <c r="J5" s="63"/>
      <c r="K5" s="50"/>
      <c r="L5" s="439"/>
      <c r="V5" s="5"/>
    </row>
    <row r="6" spans="1:22" customFormat="1" ht="3" customHeight="1" thickBot="1" x14ac:dyDescent="0.3">
      <c r="B6" s="439"/>
      <c r="C6" s="439"/>
      <c r="D6" s="439"/>
      <c r="E6" s="439"/>
      <c r="F6" s="439"/>
      <c r="G6" s="439"/>
      <c r="H6" s="439"/>
      <c r="I6" s="439"/>
      <c r="J6" s="439"/>
      <c r="K6" s="439"/>
      <c r="L6" s="439"/>
    </row>
    <row r="7" spans="1:22" ht="15.75" thickBot="1" x14ac:dyDescent="0.3">
      <c r="B7" s="52" t="s">
        <v>55</v>
      </c>
      <c r="C7" s="105"/>
      <c r="D7" s="105"/>
      <c r="E7" s="105"/>
      <c r="F7" s="105"/>
      <c r="G7" s="105"/>
      <c r="H7" s="106"/>
      <c r="I7" s="439"/>
      <c r="J7" s="56"/>
      <c r="K7" s="57"/>
      <c r="L7" s="439"/>
      <c r="V7" s="4"/>
    </row>
    <row r="8" spans="1:22" x14ac:dyDescent="0.25">
      <c r="B8" s="51" t="s">
        <v>56</v>
      </c>
      <c r="C8" s="109">
        <f>'W-Assets_Data&amp;Method_2012'!F8</f>
        <v>0.918674462618018</v>
      </c>
      <c r="D8" s="109">
        <f>'W-Assets_Data&amp;Method_2012'!F9</f>
        <v>321.53606191630627</v>
      </c>
      <c r="E8" s="109">
        <f>'W-Assets_Data&amp;Method_2012'!F10</f>
        <v>0</v>
      </c>
      <c r="F8" s="109">
        <f>'W-Assets_Data&amp;Method_2012'!F11</f>
        <v>135.73415185181216</v>
      </c>
      <c r="G8" s="109">
        <f>'W-Assets_Data&amp;Method_2012'!F12</f>
        <v>1.1483430782725224</v>
      </c>
      <c r="H8" s="389">
        <f>SUM(C8:G8)</f>
        <v>459.33723130900898</v>
      </c>
      <c r="I8" s="439"/>
      <c r="J8" s="384"/>
      <c r="K8" s="385"/>
      <c r="L8" s="439"/>
      <c r="V8" s="4"/>
    </row>
    <row r="9" spans="1:22" x14ac:dyDescent="0.25">
      <c r="B9" s="44" t="s">
        <v>48</v>
      </c>
      <c r="C9" s="109">
        <f>'W-Assets_Data&amp;Method_2012'!F13</f>
        <v>2204.8333346716727</v>
      </c>
      <c r="D9" s="109">
        <f>'W-Assets_Data&amp;Method_2012'!F14</f>
        <v>2626.9653899641216</v>
      </c>
      <c r="E9" s="109">
        <f>'W-Assets_Data&amp;Method_2012'!F15</f>
        <v>107.78171835098837</v>
      </c>
      <c r="F9" s="109">
        <f>'W-Assets_Data&amp;Method_2012'!F16</f>
        <v>28620.299157013218</v>
      </c>
      <c r="G9" s="254"/>
      <c r="H9" s="390">
        <f>SUM(C9:G9)</f>
        <v>33559.8796</v>
      </c>
      <c r="I9" s="439"/>
      <c r="J9" s="392">
        <f>+(H9)</f>
        <v>33559.8796</v>
      </c>
      <c r="K9" s="393">
        <f>+(H9)</f>
        <v>33559.8796</v>
      </c>
      <c r="L9" s="439"/>
      <c r="V9" s="4"/>
    </row>
    <row r="10" spans="1:22" x14ac:dyDescent="0.25">
      <c r="B10" s="45" t="s">
        <v>57</v>
      </c>
      <c r="C10" s="109">
        <f>'W-Assets_Data&amp;Method_2012'!F18</f>
        <v>0</v>
      </c>
      <c r="D10" s="111">
        <f>'W-Assets_Data&amp;Method_2012'!F19</f>
        <v>850.20267600000011</v>
      </c>
      <c r="E10" s="109">
        <f>'W-Assets_Data&amp;Method_2012'!F20</f>
        <v>0</v>
      </c>
      <c r="F10" s="254"/>
      <c r="G10" s="109">
        <f>'W-Assets_Data&amp;Method_2012'!F22</f>
        <v>0</v>
      </c>
      <c r="H10" s="390">
        <f>SUM(C10:G10)</f>
        <v>850.20267600000011</v>
      </c>
      <c r="I10" s="439"/>
      <c r="J10" s="386"/>
      <c r="K10" s="393">
        <f>+(H10)</f>
        <v>850.20267600000011</v>
      </c>
      <c r="L10" s="556"/>
      <c r="M10" s="400">
        <f>+K10/K9</f>
        <v>2.5333901257500343E-2</v>
      </c>
      <c r="N10" s="400">
        <f>+H17/H10</f>
        <v>7.5738261286554609</v>
      </c>
      <c r="V10" s="4"/>
    </row>
    <row r="11" spans="1:22" x14ac:dyDescent="0.25">
      <c r="B11" s="44" t="s">
        <v>58</v>
      </c>
      <c r="C11" s="109">
        <f>'W-Assets_Data&amp;Method_2012'!F23</f>
        <v>1636</v>
      </c>
      <c r="D11" s="109">
        <f>'W-Assets_Data&amp;Method_2012'!F24</f>
        <v>4422.5199999999995</v>
      </c>
      <c r="E11" s="112">
        <f>'W-Assets_Data&amp;Method_2012'!F25</f>
        <v>221.12599999999998</v>
      </c>
      <c r="F11" s="112">
        <f>'W-Assets_Data&amp;Method_2012'!F26</f>
        <v>911.12000000000012</v>
      </c>
      <c r="G11" s="112">
        <f>'W-Assets_Data&amp;Method_2012'!F27</f>
        <v>3644.4800000000005</v>
      </c>
      <c r="H11" s="390">
        <f>SUM(C11:G11)</f>
        <v>10835.245999999999</v>
      </c>
      <c r="I11" s="439"/>
      <c r="J11" s="386"/>
      <c r="K11" s="387"/>
      <c r="L11" s="439"/>
      <c r="V11" s="4"/>
    </row>
    <row r="12" spans="1:22" x14ac:dyDescent="0.25">
      <c r="B12" s="46" t="s">
        <v>59</v>
      </c>
      <c r="C12" s="391">
        <f>SUM(C8:C11)</f>
        <v>3841.7520091342908</v>
      </c>
      <c r="D12" s="391">
        <f>SUM(D8:D11)</f>
        <v>8221.2241278804286</v>
      </c>
      <c r="E12" s="391">
        <f>SUM(E8:E11)</f>
        <v>328.90771835098838</v>
      </c>
      <c r="F12" s="391">
        <f>SUM(F8:F11)</f>
        <v>29667.153308865029</v>
      </c>
      <c r="G12" s="391">
        <f>SUM(G8:G11)</f>
        <v>3645.6283430782728</v>
      </c>
      <c r="H12" s="390">
        <f>SUM(C12:G12)</f>
        <v>45704.665507309008</v>
      </c>
      <c r="I12" s="439"/>
      <c r="J12" s="351">
        <f>SUM(J8:J11)</f>
        <v>33559.8796</v>
      </c>
      <c r="K12" s="352">
        <f>SUM(K8:K11)</f>
        <v>34410.082276000001</v>
      </c>
      <c r="L12" s="439"/>
      <c r="V12" s="4"/>
    </row>
    <row r="13" spans="1:22" customFormat="1" ht="6" customHeight="1" thickBot="1" x14ac:dyDescent="0.3">
      <c r="B13" s="59"/>
      <c r="C13" s="103"/>
      <c r="D13" s="103"/>
      <c r="E13" s="103"/>
      <c r="F13" s="103"/>
      <c r="G13" s="103"/>
      <c r="H13" s="104"/>
      <c r="I13" s="439"/>
      <c r="J13" s="353"/>
      <c r="K13" s="354"/>
      <c r="L13" s="439"/>
    </row>
    <row r="14" spans="1:22" ht="15.75" thickBot="1" x14ac:dyDescent="0.3">
      <c r="B14" s="54" t="s">
        <v>60</v>
      </c>
      <c r="C14" s="114"/>
      <c r="D14" s="114"/>
      <c r="E14" s="114"/>
      <c r="F14" s="114"/>
      <c r="G14" s="114"/>
      <c r="H14" s="115"/>
      <c r="I14" s="439"/>
      <c r="J14" s="355"/>
      <c r="K14" s="356"/>
      <c r="L14" s="439"/>
      <c r="V14" s="4"/>
    </row>
    <row r="15" spans="1:22" x14ac:dyDescent="0.25">
      <c r="B15" s="53" t="s">
        <v>61</v>
      </c>
      <c r="C15" s="109">
        <f>'W-Assets_Data&amp;Method_2012'!F28</f>
        <v>18.292297238757076</v>
      </c>
      <c r="D15" s="109">
        <f>'W-Assets_Data&amp;Method_2012'!F29</f>
        <v>314.34786563005042</v>
      </c>
      <c r="E15" s="109">
        <f>'W-Assets_Data&amp;Method_2012'!F30</f>
        <v>260.10506483625124</v>
      </c>
      <c r="F15" s="109">
        <f>'W-Assets_Data&amp;Method_2012'!F31</f>
        <v>0</v>
      </c>
      <c r="G15" s="109">
        <f>'W-Assets_Data&amp;Method_2012'!F32</f>
        <v>63.450817022096935</v>
      </c>
      <c r="H15" s="395">
        <f t="shared" ref="H15:H20" si="0">SUM(C15:G15)</f>
        <v>656.19604472715571</v>
      </c>
      <c r="I15" s="439"/>
      <c r="J15" s="357"/>
      <c r="K15" s="358"/>
      <c r="L15" s="439"/>
      <c r="M15" t="s">
        <v>628</v>
      </c>
      <c r="O15" s="401">
        <f>H15</f>
        <v>656.19604472715571</v>
      </c>
      <c r="P15" s="402">
        <f>+(O15*1000000)/J29</f>
        <v>62.598351381789733</v>
      </c>
      <c r="Q15" t="s">
        <v>626</v>
      </c>
      <c r="V15" s="4"/>
    </row>
    <row r="16" spans="1:22" x14ac:dyDescent="0.25">
      <c r="B16" s="48" t="s">
        <v>1718</v>
      </c>
      <c r="C16" s="109">
        <f>'W-Assets_Data&amp;Method_2012'!F33</f>
        <v>1400.9385338818297</v>
      </c>
      <c r="D16" s="109">
        <f>'W-Assets_Data&amp;Method_2012'!F34</f>
        <v>55.818756</v>
      </c>
      <c r="E16" s="109">
        <f>'W-Assets_Data&amp;Method_2012'!F35</f>
        <v>16.815535662600585</v>
      </c>
      <c r="F16" s="109">
        <f>'W-Assets_Data&amp;Method_2012'!F36</f>
        <v>21277.19157445557</v>
      </c>
      <c r="G16" s="254"/>
      <c r="H16" s="390">
        <f t="shared" si="0"/>
        <v>22750.7644</v>
      </c>
      <c r="I16" s="439"/>
      <c r="J16" s="392">
        <f>+(H16)</f>
        <v>22750.7644</v>
      </c>
      <c r="K16" s="394">
        <f>+(H16)</f>
        <v>22750.7644</v>
      </c>
      <c r="L16" s="439"/>
      <c r="M16" t="s">
        <v>627</v>
      </c>
      <c r="O16">
        <v>500</v>
      </c>
      <c r="P16" s="402">
        <f>+(O16*1000000)/J29</f>
        <v>47.697903610359262</v>
      </c>
      <c r="Q16" t="s">
        <v>626</v>
      </c>
      <c r="V16" s="4"/>
    </row>
    <row r="17" spans="2:22" x14ac:dyDescent="0.25">
      <c r="B17" s="48" t="s">
        <v>65</v>
      </c>
      <c r="C17" s="254"/>
      <c r="D17" s="109">
        <f>'W-Assets_Data&amp;Method_2012'!F39</f>
        <v>6439.2872421415941</v>
      </c>
      <c r="E17" s="109">
        <f>'W-Assets_Data&amp;Method_2012'!F40</f>
        <v>0</v>
      </c>
      <c r="F17" s="254"/>
      <c r="G17" s="109">
        <f>'W-Assets_Data&amp;Method_2012'!F42</f>
        <v>0</v>
      </c>
      <c r="H17" s="396">
        <f t="shared" si="0"/>
        <v>6439.2872421415941</v>
      </c>
      <c r="I17" s="439"/>
      <c r="J17" s="359"/>
      <c r="K17" s="360"/>
      <c r="L17" s="439"/>
      <c r="V17" s="4"/>
    </row>
    <row r="18" spans="2:22" x14ac:dyDescent="0.25">
      <c r="B18" s="48" t="s">
        <v>66</v>
      </c>
      <c r="C18" s="254"/>
      <c r="D18" s="109">
        <f>'W-Assets_Data&amp;Method_2012'!F44</f>
        <v>0</v>
      </c>
      <c r="E18" s="109">
        <f>'W-Assets_Data&amp;Method_2012'!F45</f>
        <v>0</v>
      </c>
      <c r="F18" s="254"/>
      <c r="G18" s="109">
        <f>'W-Assets_Data&amp;Method_2012'!F47</f>
        <v>0</v>
      </c>
      <c r="H18" s="396">
        <f t="shared" si="0"/>
        <v>0</v>
      </c>
      <c r="I18" s="439"/>
      <c r="J18" s="359"/>
      <c r="K18" s="360"/>
      <c r="L18" s="439"/>
      <c r="N18" s="425" t="s">
        <v>188</v>
      </c>
      <c r="O18" s="3"/>
      <c r="P18" s="3"/>
      <c r="Q18" s="2"/>
      <c r="S18" s="4"/>
      <c r="V18" s="4"/>
    </row>
    <row r="19" spans="2:22" x14ac:dyDescent="0.25">
      <c r="B19" s="48" t="s">
        <v>67</v>
      </c>
      <c r="C19" s="109">
        <f>'W-Assets_Data&amp;Method_2012'!F48</f>
        <v>2864.2141370574536</v>
      </c>
      <c r="D19" s="109">
        <f>'W-Assets_Data&amp;Method_2012'!F49</f>
        <v>1857.126</v>
      </c>
      <c r="E19" s="109">
        <f>'W-Assets_Data&amp;Method_2012'!F50</f>
        <v>131.56308734039536</v>
      </c>
      <c r="F19" s="109">
        <f>'W-Assets_Data&amp;Method_2012'!F51</f>
        <v>8227.1537912788244</v>
      </c>
      <c r="G19" s="109">
        <f>'W-Assets_Data&amp;Method_2012'!F52</f>
        <v>3399.8873800000001</v>
      </c>
      <c r="H19" s="396">
        <f t="shared" si="0"/>
        <v>16479.944395676674</v>
      </c>
      <c r="I19" s="439"/>
      <c r="J19" s="359"/>
      <c r="K19" s="360"/>
      <c r="L19" s="439"/>
      <c r="N19" s="426" t="s">
        <v>660</v>
      </c>
      <c r="O19" s="426" t="s">
        <v>661</v>
      </c>
      <c r="P19" s="427">
        <f>12742*26338</f>
        <v>335598796</v>
      </c>
      <c r="Q19" s="2" t="s">
        <v>662</v>
      </c>
      <c r="R19" t="s">
        <v>663</v>
      </c>
      <c r="S19" s="4"/>
      <c r="V19" s="4"/>
    </row>
    <row r="20" spans="2:22" ht="15.75" thickBot="1" x14ac:dyDescent="0.3">
      <c r="B20" s="47" t="s">
        <v>63</v>
      </c>
      <c r="C20" s="397">
        <f>SUM(C15:C19)</f>
        <v>4283.4449681780407</v>
      </c>
      <c r="D20" s="397">
        <f>SUM(D15:D19)</f>
        <v>8666.5798637716434</v>
      </c>
      <c r="E20" s="397">
        <f>SUM(E15:E19)</f>
        <v>408.48368783924718</v>
      </c>
      <c r="F20" s="397">
        <f>SUM(F15:F19)</f>
        <v>29504.345365734393</v>
      </c>
      <c r="G20" s="397">
        <f>SUM(G15:G19)</f>
        <v>3463.3381970220971</v>
      </c>
      <c r="H20" s="396">
        <f t="shared" si="0"/>
        <v>46326.192082545414</v>
      </c>
      <c r="I20" s="439"/>
      <c r="J20" s="361">
        <f>SUM(J15:J19)</f>
        <v>22750.7644</v>
      </c>
      <c r="K20" s="362">
        <f>SUM(K15:K19)</f>
        <v>22750.7644</v>
      </c>
      <c r="L20" s="439"/>
      <c r="N20" s="3" t="s">
        <v>664</v>
      </c>
      <c r="O20" s="3" t="s">
        <v>665</v>
      </c>
      <c r="P20" s="3"/>
      <c r="Q20" s="2" t="s">
        <v>666</v>
      </c>
      <c r="S20" s="4"/>
      <c r="V20" s="4"/>
    </row>
    <row r="21" spans="2:22" customFormat="1" ht="3" customHeight="1" x14ac:dyDescent="0.25">
      <c r="B21" s="439"/>
      <c r="C21" s="439"/>
      <c r="D21" s="439"/>
      <c r="E21" s="439"/>
      <c r="F21" s="439"/>
      <c r="G21" s="439"/>
      <c r="H21" s="439"/>
      <c r="I21" s="439"/>
      <c r="J21" s="439"/>
      <c r="K21" s="439"/>
      <c r="L21" s="439"/>
    </row>
    <row r="22" spans="2:22" x14ac:dyDescent="0.25">
      <c r="B22" s="69" t="s">
        <v>72</v>
      </c>
      <c r="C22" s="398">
        <f>-SUM(C5,C12,-C20,-C24)</f>
        <v>0</v>
      </c>
      <c r="D22" s="398">
        <f>-SUM(D5,D12,-D20,-D24)</f>
        <v>445.35573589121486</v>
      </c>
      <c r="E22" s="398">
        <f>-SUM(E5,E12,-E20,-E24)</f>
        <v>81.797972643552939</v>
      </c>
      <c r="F22" s="398">
        <f>-SUM(F5,F12,-F20,-F24)</f>
        <v>-162.80794313063916</v>
      </c>
      <c r="G22" s="398">
        <f>-SUM(G5,G12,-G20,-G24)</f>
        <v>-182.29014605618431</v>
      </c>
      <c r="H22" s="399">
        <f>SUM(C22:G22)</f>
        <v>182.05561934794434</v>
      </c>
      <c r="I22" s="439"/>
      <c r="J22" s="441"/>
      <c r="K22" s="441"/>
      <c r="L22" s="439"/>
      <c r="N22" s="3">
        <v>1.2742</v>
      </c>
      <c r="O22" s="331">
        <v>26338000000</v>
      </c>
      <c r="P22" s="331">
        <f>N22*O22</f>
        <v>33559879600</v>
      </c>
      <c r="Q22" s="2">
        <v>0.86380000000000001</v>
      </c>
      <c r="R22" s="433">
        <f>Q22*O22</f>
        <v>22750764400</v>
      </c>
      <c r="S22" s="4"/>
      <c r="V22" s="4"/>
    </row>
    <row r="23" spans="2:22" customFormat="1" ht="3" customHeight="1" x14ac:dyDescent="0.25">
      <c r="B23" s="59"/>
      <c r="C23" s="103"/>
      <c r="D23" s="103"/>
      <c r="E23" s="103"/>
      <c r="F23" s="103"/>
      <c r="G23" s="103"/>
      <c r="H23" s="104"/>
      <c r="I23" s="439"/>
      <c r="J23" s="441"/>
      <c r="K23" s="441"/>
      <c r="L23" s="439"/>
      <c r="N23" s="3"/>
      <c r="O23" s="3"/>
      <c r="P23" s="3"/>
      <c r="Q23" s="2"/>
      <c r="R23" s="187"/>
      <c r="S23" s="4"/>
    </row>
    <row r="24" spans="2:22" ht="15.75" thickBot="1" x14ac:dyDescent="0.3">
      <c r="B24" s="49" t="s">
        <v>64</v>
      </c>
      <c r="C24" s="650">
        <f>C5+(Lakes!F68/1000000)</f>
        <v>257690.00067217631</v>
      </c>
      <c r="D24" s="405">
        <f>D5+(0)</f>
        <v>1264</v>
      </c>
      <c r="E24" s="650">
        <f>'W-Assets_Data&amp;Method_2012'!F55</f>
        <v>62.613469534117641</v>
      </c>
      <c r="F24" s="736">
        <f>F5*(100%)</f>
        <v>3388.8607500000003</v>
      </c>
      <c r="G24" s="737">
        <f>G5+(0)</f>
        <v>62127</v>
      </c>
      <c r="H24" s="405">
        <f>SUM(C24:G24)</f>
        <v>324532.47489171044</v>
      </c>
      <c r="I24" s="439"/>
      <c r="J24" s="441"/>
      <c r="K24" s="441"/>
      <c r="L24" s="439"/>
      <c r="N24" s="428">
        <f>+P22/1000000</f>
        <v>33559.8796</v>
      </c>
      <c r="O24" s="423" t="s">
        <v>189</v>
      </c>
      <c r="P24" s="3"/>
      <c r="Q24" s="429">
        <f>R22/1000000</f>
        <v>22750.7644</v>
      </c>
      <c r="S24" s="4"/>
      <c r="V24" s="5"/>
    </row>
    <row r="25" spans="2:22" ht="15.75" thickBot="1" x14ac:dyDescent="0.3">
      <c r="B25" s="8"/>
      <c r="C25" s="9"/>
      <c r="D25" s="9"/>
      <c r="E25" s="649"/>
      <c r="F25" s="9"/>
      <c r="G25" s="9"/>
      <c r="H25" s="9"/>
      <c r="I25" s="439"/>
      <c r="J25" s="441"/>
      <c r="K25" s="441"/>
      <c r="L25" s="439"/>
      <c r="N25" s="430">
        <f>N24/1000</f>
        <v>33.559879600000002</v>
      </c>
      <c r="O25" s="430" t="s">
        <v>190</v>
      </c>
      <c r="P25" s="370" t="s">
        <v>52</v>
      </c>
      <c r="Q25" s="2"/>
      <c r="R25" s="187"/>
      <c r="S25" s="4"/>
      <c r="V25" s="5"/>
    </row>
    <row r="26" spans="2:22" ht="15" customHeight="1" thickBot="1" x14ac:dyDescent="0.3">
      <c r="B26" s="557" t="s">
        <v>1315</v>
      </c>
      <c r="C26" s="557">
        <f t="shared" ref="C26:H26" si="1">(C5+C12)-C20</f>
        <v>257690.00067217628</v>
      </c>
      <c r="D26" s="557">
        <f t="shared" si="1"/>
        <v>818.64426410878514</v>
      </c>
      <c r="E26" s="557">
        <f t="shared" si="1"/>
        <v>-19.184503109435298</v>
      </c>
      <c r="F26" s="557">
        <f t="shared" si="1"/>
        <v>3551.6686931306394</v>
      </c>
      <c r="G26" s="557">
        <f t="shared" si="1"/>
        <v>62309.290146056184</v>
      </c>
      <c r="H26" s="557">
        <f t="shared" si="1"/>
        <v>324350.41927236243</v>
      </c>
      <c r="I26" s="439"/>
      <c r="J26" s="326" t="s">
        <v>607</v>
      </c>
      <c r="K26" s="327" t="s">
        <v>608</v>
      </c>
      <c r="L26" s="439"/>
      <c r="M26" s="431" t="s">
        <v>667</v>
      </c>
      <c r="O26" s="3"/>
      <c r="P26" s="370" t="s">
        <v>68</v>
      </c>
      <c r="Q26" s="2"/>
      <c r="S26" s="4"/>
    </row>
    <row r="27" spans="2:22" ht="17.25" thickBot="1" x14ac:dyDescent="0.3">
      <c r="B27" s="441"/>
      <c r="C27" s="441"/>
      <c r="D27" s="441"/>
      <c r="E27" s="441"/>
      <c r="F27" s="441"/>
      <c r="G27" s="441"/>
      <c r="H27" s="441"/>
      <c r="I27" s="439"/>
      <c r="J27" s="403">
        <f>SUM(J12,-J20)</f>
        <v>10809.1152</v>
      </c>
      <c r="K27" s="442"/>
      <c r="L27" s="439"/>
      <c r="N27" s="431"/>
      <c r="O27" s="432"/>
      <c r="P27" s="370" t="s">
        <v>53</v>
      </c>
      <c r="Q27" s="2"/>
      <c r="S27" s="4"/>
    </row>
    <row r="28" spans="2:22" ht="15.75" thickBot="1" x14ac:dyDescent="0.3">
      <c r="B28" s="441"/>
      <c r="C28" s="721"/>
      <c r="D28" s="441"/>
      <c r="E28" s="441"/>
      <c r="F28" s="441"/>
      <c r="G28" s="441"/>
      <c r="H28" s="441"/>
      <c r="I28" s="439"/>
      <c r="J28" s="325"/>
      <c r="K28" s="404">
        <f>SUM(K12,-K20)</f>
        <v>11659.317876000001</v>
      </c>
      <c r="L28" s="439"/>
      <c r="N28" s="431"/>
      <c r="O28" s="3"/>
      <c r="P28" s="366" t="s">
        <v>50</v>
      </c>
      <c r="Q28" s="2"/>
      <c r="S28" s="4"/>
    </row>
    <row r="29" spans="2:22" x14ac:dyDescent="0.25">
      <c r="B29" s="441"/>
      <c r="C29" s="441"/>
      <c r="D29" s="441"/>
      <c r="E29" s="441"/>
      <c r="F29" s="441"/>
      <c r="G29" s="441"/>
      <c r="H29" s="441"/>
      <c r="I29" s="439"/>
      <c r="J29" s="329">
        <v>10482641</v>
      </c>
      <c r="K29" s="441" t="s">
        <v>609</v>
      </c>
      <c r="L29" s="439"/>
      <c r="P29" s="367" t="s">
        <v>51</v>
      </c>
    </row>
    <row r="30" spans="2:22" x14ac:dyDescent="0.25">
      <c r="B30" s="441"/>
      <c r="C30" s="441"/>
      <c r="D30" s="441"/>
      <c r="E30" s="441"/>
      <c r="F30" s="441"/>
      <c r="G30" s="441"/>
      <c r="H30" s="441"/>
      <c r="I30" s="439"/>
      <c r="J30" s="330">
        <v>10.482640999999999</v>
      </c>
      <c r="K30" s="441" t="s">
        <v>610</v>
      </c>
      <c r="L30" s="439"/>
    </row>
    <row r="31" spans="2:22" x14ac:dyDescent="0.25">
      <c r="B31" s="441"/>
      <c r="C31" s="441"/>
      <c r="D31" s="441"/>
      <c r="E31" s="441"/>
      <c r="F31" s="441"/>
      <c r="G31" s="441"/>
      <c r="H31" s="441"/>
      <c r="I31" s="439"/>
      <c r="J31" s="443">
        <f>+(J27/J30)</f>
        <v>1031.1442698457383</v>
      </c>
      <c r="K31" s="444"/>
      <c r="L31" s="445" t="s">
        <v>613</v>
      </c>
      <c r="M31" s="331"/>
    </row>
    <row r="32" spans="2:22" x14ac:dyDescent="0.25">
      <c r="B32" s="441"/>
      <c r="C32" s="441"/>
      <c r="D32" s="441"/>
      <c r="E32" s="441"/>
      <c r="F32" s="441"/>
      <c r="G32" s="441"/>
      <c r="H32" s="441"/>
      <c r="I32" s="439"/>
      <c r="J32" s="444"/>
      <c r="K32" s="443">
        <f>+(K28/J30)</f>
        <v>1112.2500404239736</v>
      </c>
      <c r="L32" s="445" t="s">
        <v>614</v>
      </c>
      <c r="N32" s="316"/>
    </row>
    <row r="33" spans="2:14" x14ac:dyDescent="0.25">
      <c r="B33" s="441"/>
      <c r="C33" s="441"/>
      <c r="D33" s="441"/>
      <c r="E33" s="441"/>
      <c r="F33" s="441"/>
      <c r="G33" s="441"/>
      <c r="H33" s="441"/>
      <c r="I33" s="439"/>
      <c r="J33" s="441"/>
      <c r="K33" s="446">
        <f>H38</f>
        <v>151.61674924557377</v>
      </c>
      <c r="L33" s="445" t="s">
        <v>611</v>
      </c>
      <c r="M33" s="328"/>
      <c r="N33" s="316"/>
    </row>
    <row r="34" spans="2:14" x14ac:dyDescent="0.25">
      <c r="B34" s="441"/>
      <c r="C34" s="441"/>
      <c r="D34" s="441"/>
      <c r="E34" s="441"/>
      <c r="F34" s="441"/>
      <c r="G34" s="441"/>
      <c r="H34" s="441"/>
      <c r="I34" s="439"/>
      <c r="J34" s="441"/>
      <c r="K34" s="447">
        <f>+(K33/K28)</f>
        <v>1.3003912480820825E-2</v>
      </c>
      <c r="L34" s="445" t="s">
        <v>612</v>
      </c>
      <c r="M34" s="316"/>
    </row>
    <row r="35" spans="2:14" x14ac:dyDescent="0.25">
      <c r="F35" s="422"/>
    </row>
    <row r="36" spans="2:14" x14ac:dyDescent="0.25">
      <c r="E36" s="179"/>
      <c r="F36" s="564">
        <v>499468512</v>
      </c>
      <c r="G36" t="s">
        <v>659</v>
      </c>
      <c r="I36" s="2"/>
      <c r="J36"/>
      <c r="K36"/>
    </row>
    <row r="37" spans="2:14" x14ac:dyDescent="0.25">
      <c r="E37" s="192"/>
      <c r="G37"/>
      <c r="I37" s="2"/>
      <c r="J37"/>
      <c r="K37"/>
      <c r="L37" t="s">
        <v>658</v>
      </c>
    </row>
    <row r="38" spans="2:14" x14ac:dyDescent="0.25">
      <c r="G38" s="2">
        <v>2012</v>
      </c>
      <c r="H38" s="334">
        <v>151.61674924557377</v>
      </c>
      <c r="K38"/>
      <c r="L38" s="316">
        <f>H38/(F$36/1000000)</f>
        <v>0.30355617141601465</v>
      </c>
    </row>
    <row r="39" spans="2:14" x14ac:dyDescent="0.25">
      <c r="G39" s="2">
        <v>2013</v>
      </c>
      <c r="H39" s="334">
        <v>197.10177401924591</v>
      </c>
      <c r="K39"/>
      <c r="L39" s="316">
        <f>H39/(F$36/1000000)</f>
        <v>0.39462302284081907</v>
      </c>
    </row>
    <row r="40" spans="2:14" x14ac:dyDescent="0.25">
      <c r="G40" s="2">
        <v>2014</v>
      </c>
      <c r="H40" s="334">
        <v>256.23230622501967</v>
      </c>
      <c r="K40"/>
      <c r="L40" s="316">
        <f>H40/(F$36/1000000)</f>
        <v>0.5130099296930648</v>
      </c>
    </row>
    <row r="41" spans="2:14" x14ac:dyDescent="0.25">
      <c r="G41" s="2">
        <v>2015</v>
      </c>
      <c r="H41" s="334">
        <v>333.10199809252555</v>
      </c>
      <c r="K41"/>
      <c r="L41" s="316">
        <f>H41/(F$36/1000000)</f>
        <v>0.66691290860098418</v>
      </c>
    </row>
    <row r="42" spans="2:14" x14ac:dyDescent="0.25">
      <c r="G42" s="2">
        <v>2016</v>
      </c>
      <c r="H42">
        <v>499.46851199999998</v>
      </c>
      <c r="I42" s="2">
        <v>2016</v>
      </c>
      <c r="K42"/>
      <c r="L42" s="1053">
        <f>H42/(F$36/1000000)</f>
        <v>1</v>
      </c>
    </row>
  </sheetData>
  <mergeCells count="1">
    <mergeCell ref="C3:E3"/>
  </mergeCells>
  <hyperlinks>
    <hyperlink ref="C9" location="'W-Assets_Data&amp;Method_2012'!F13" display="'W-Assets_Data&amp;Method_2012'!F13"/>
    <hyperlink ref="D9" location="'W-Assets_Data&amp;Method_2012'!F14" display="'W-Assets_Data&amp;Method_2012'!F14"/>
    <hyperlink ref="E9" location="'W-Assets_Data&amp;Method_2012'!F15" display="'W-Assets_Data&amp;Method_2012'!F15"/>
    <hyperlink ref="F9" location="'W-Assets_Data&amp;Method_2012'!F16" display="'W-Assets_Data&amp;Method_2012'!F16"/>
    <hyperlink ref="C10" location="'W-Assets_Data&amp;Method_2012'!F18" display="'W-Assets_Data&amp;Method_2012'!F18"/>
    <hyperlink ref="D10" location="'W-Assets_Data&amp;Method_2012'!F19" display="'W-Assets_Data&amp;Method_2012'!F19"/>
    <hyperlink ref="E10" location="'W-Assets_Data&amp;Method_2012'!F20" display="'W-Assets_Data&amp;Method_2012'!F20"/>
    <hyperlink ref="G10" location="'W-Assets_Data&amp;Method_2012'!F22" display="'W-Assets_Data&amp;Method_2012'!F22"/>
    <hyperlink ref="C11" location="'W-Assets_Data&amp;Method_2012'!F23" display="'W-Assets_Data&amp;Method_2012'!F23"/>
    <hyperlink ref="D11" location="'W-Assets_Data&amp;Method_2012'!F24" display="'W-Assets_Data&amp;Method_2012'!F24"/>
    <hyperlink ref="E11" location="'W-Assets_Data&amp;Method_2012'!F25" display="'W-Assets_Data&amp;Method_2012'!F25"/>
    <hyperlink ref="F11" location="'W-Assets_Data&amp;Method_2012'!F26" display="'W-Assets_Data&amp;Method_2012'!F26"/>
    <hyperlink ref="G11" location="'W-Assets_Data&amp;Method_2012'!F27" display="'W-Assets_Data&amp;Method_2012'!F27"/>
    <hyperlink ref="D17" location="'W-Assets_Data&amp;Method_2012'!F39" display="'W-Assets_Data&amp;Method_2012'!F39"/>
    <hyperlink ref="E17" location="'W-Assets_Data&amp;Method_2012'!F40" display="'W-Assets_Data&amp;Method_2012'!F40"/>
    <hyperlink ref="G17" location="'W-Assets_Data&amp;Method_2012'!F42" display="'W-Assets_Data&amp;Method_2012'!F42"/>
    <hyperlink ref="D18" location="'W-Assets_Data&amp;Method_2012'!F44" display="'W-Assets_Data&amp;Method_2012'!F44"/>
    <hyperlink ref="E18" location="'W-Assets_Data&amp;Method_2012'!F45" display="'W-Assets_Data&amp;Method_2012'!F45"/>
    <hyperlink ref="G18" location="'W-Assets_Data&amp;Method_2012'!F47" display="'W-Assets_Data&amp;Method_2012'!F47"/>
    <hyperlink ref="C19" location="'W-Assets_Data&amp;Method_2012'!F48" display="'W-Assets_Data&amp;Method_2012'!F48"/>
    <hyperlink ref="D19" location="'W-Assets_Data&amp;Method_2012'!F49" display="'W-Assets_Data&amp;Method_2012'!F49"/>
    <hyperlink ref="E19" location="'W-Assets_Data&amp;Method_2012'!F50" display="'W-Assets_Data&amp;Method_2012'!F50"/>
    <hyperlink ref="F19" location="'W-Assets_Data&amp;Method_2012'!F51" display="'W-Assets_Data&amp;Method_2012'!F51"/>
    <hyperlink ref="G19" location="'W-Assets_Data&amp;Method_2012'!F52" display="'W-Assets_Data&amp;Method_2012'!F52"/>
    <hyperlink ref="C5" location="'W-Assets_Data&amp;Method_2012'!F3" display="'W-Assets_Data&amp;Method_2012'!F3"/>
    <hyperlink ref="D5" location="'W-Assets_Data&amp;Method_2012'!F4" display="'W-Assets_Data&amp;Method_2012'!F4"/>
    <hyperlink ref="E5" location="'W-Assets_Data&amp;Method_2012'!F5" display="'W-Assets_Data&amp;Method_2012'!F5"/>
    <hyperlink ref="F5" location="'W-Assets_Data&amp;Method_2012'!F6" display="'W-Assets_Data&amp;Method_2012'!F6"/>
    <hyperlink ref="G5" location="'W-Assets_Data&amp;Method_2012'!F7" display="'W-Assets_Data&amp;Method_2012'!F7"/>
    <hyperlink ref="C8" location="'W-Assets_Data&amp;Method_2012'!F8" display="'W-Assets_Data&amp;Method_2012'!F8"/>
    <hyperlink ref="D8" location="'W-Assets_Data&amp;Method_2012'!F9" display="'W-Assets_Data&amp;Method_2012'!F9"/>
    <hyperlink ref="E8" location="'W-Assets_Data&amp;Method_2012'!F10" display="'W-Assets_Data&amp;Method_2012'!F10"/>
    <hyperlink ref="F8" location="'W-Assets_Data&amp;Method_2012'!F11" display="'W-Assets_Data&amp;Method_2012'!F11"/>
    <hyperlink ref="G8" location="'W-Assets_Data&amp;Method_2012'!F12" display="'W-Assets_Data&amp;Method_2012'!F12"/>
    <hyperlink ref="C15" location="'W-Assets_Data&amp;Method_2012'!F28" display="'W-Assets_Data&amp;Method_2012'!F28"/>
    <hyperlink ref="F15" location="'W-Assets_Data&amp;Method_2012'!F31" display="'W-Assets_Data&amp;Method_2012'!F31"/>
    <hyperlink ref="E15" location="'W-Assets_Data&amp;Method_2012'!F30" display="'W-Assets_Data&amp;Method_2012'!F30"/>
    <hyperlink ref="D15" location="'W-Assets_Data&amp;Method_2012'!F29" display="'W-Assets_Data&amp;Method_2012'!F29"/>
    <hyperlink ref="G15" location="'W-Assets_Data&amp;Method_2012'!F32" display="'W-Assets_Data&amp;Method_2012'!F32"/>
    <hyperlink ref="C16" location="'W-Assets_Data&amp;Method_2012'!F33" display="'W-Assets_Data&amp;Method_2012'!F33"/>
    <hyperlink ref="D16" location="'W-Assets_Data&amp;Method_2012'!F34" display="'W-Assets_Data&amp;Method_2012'!F34"/>
    <hyperlink ref="E16" location="'W-Assets_Data&amp;Method_2012'!F35" display="'W-Assets_Data&amp;Method_2012'!F35"/>
    <hyperlink ref="F16" location="'W-Assets_Data&amp;Method_2012'!F36" display="'W-Assets_Data&amp;Method_2012'!F36"/>
    <hyperlink ref="J9" location="'W-Assets_Data&amp;Method_2012'!F58" display="'W-Assets_Data&amp;Method_2012'!F58"/>
    <hyperlink ref="J16" location="'W-Assets_Data&amp;Method_2012'!F59" display="'W-Assets_Data&amp;Method_2012'!F59"/>
    <hyperlink ref="K9" location="'W-Assets_Data&amp;Method_2012'!F58" display="'W-Assets_Data&amp;Method_2012'!F58"/>
    <hyperlink ref="K10" location="'W-Assets_Data&amp;Method_2012'!F61" display="'W-Assets_Data&amp;Method_2012'!F61"/>
    <hyperlink ref="K16" location="'W-Assets_Data&amp;Method_2012'!F59" display="'W-Assets_Data&amp;Method_2012'!F59"/>
    <hyperlink ref="J27" location="'W-Assets_Data&amp;Method_2012'!F60" display="'W-Assets_Data&amp;Method_2012'!F60"/>
    <hyperlink ref="K28" location="'W-Assets_Data&amp;Method_2012'!F62" display="'W-Assets_Data&amp;Method_2012'!F62"/>
    <hyperlink ref="E24" location="'W-Assets_Data&amp;Method_2012'!F55" display="'W-Assets_Data&amp;Method_2012'!F55"/>
    <hyperlink ref="C24" location="'W-Assets_Data&amp;Method_2012'!F53" display="'W-Assets_Data&amp;Method_2012'!F53"/>
    <hyperlink ref="F24" location="'W-Assets_Data&amp;Method_2012'!F56" display="'W-Assets_Data&amp;Method_2012'!F56"/>
    <hyperlink ref="G24" location="'W-Assets_Data&amp;Method_2012'!F57" display="'W-Assets_Data&amp;Method_2012'!F57"/>
  </hyperlinks>
  <pageMargins left="0.51181102362204722" right="0.51181102362204722" top="0.74803149606299213" bottom="0.74803149606299213" header="0.31496062992125984" footer="0.31496062992125984"/>
  <pageSetup paperSize="9" scale="69" orientation="landscape" r:id="rId1"/>
  <headerFooter>
    <oddHeader>&amp;L&amp;F    &amp;&amp;&amp;A&amp;C&amp;D&amp;RPage &amp;P of &amp;N</oddHeader>
  </headerFooter>
  <ignoredErrors>
    <ignoredError sqref="E24" formula="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B1:I62"/>
  <sheetViews>
    <sheetView topLeftCell="F1" workbookViewId="0">
      <pane ySplit="2" topLeftCell="A34" activePane="bottomLeft" state="frozen"/>
      <selection activeCell="D15" sqref="D15"/>
      <selection pane="bottomLeft" activeCell="I36" sqref="I36"/>
    </sheetView>
  </sheetViews>
  <sheetFormatPr defaultRowHeight="15" x14ac:dyDescent="0.25"/>
  <cols>
    <col min="1" max="1" width="1.7109375" customWidth="1"/>
    <col min="2" max="2" width="12.140625" customWidth="1"/>
    <col min="3" max="3" width="1.42578125" customWidth="1"/>
    <col min="4" max="4" width="3.5703125" bestFit="1" customWidth="1"/>
    <col min="5" max="5" width="71.7109375" bestFit="1" customWidth="1"/>
    <col min="6" max="6" width="13.5703125" bestFit="1" customWidth="1"/>
    <col min="7" max="7" width="15" customWidth="1"/>
    <col min="8" max="8" width="9.5703125" bestFit="1" customWidth="1"/>
    <col min="9" max="9" width="112.85546875" customWidth="1"/>
    <col min="10" max="10" width="10.140625" customWidth="1"/>
  </cols>
  <sheetData>
    <row r="1" spans="2:9" ht="6.75" customHeight="1" thickBot="1" x14ac:dyDescent="0.3"/>
    <row r="2" spans="2:9" ht="45.75" thickBot="1" x14ac:dyDescent="0.3">
      <c r="B2" s="14" t="s">
        <v>77</v>
      </c>
      <c r="D2" s="28" t="s">
        <v>73</v>
      </c>
      <c r="E2" s="11" t="s">
        <v>133</v>
      </c>
      <c r="F2" s="12" t="s">
        <v>440</v>
      </c>
      <c r="G2" s="12" t="s">
        <v>134</v>
      </c>
      <c r="H2" s="12" t="s">
        <v>135</v>
      </c>
      <c r="I2" s="13" t="s">
        <v>467</v>
      </c>
    </row>
    <row r="3" spans="2:9" ht="409.5" x14ac:dyDescent="0.25">
      <c r="B3" s="1729" t="s">
        <v>74</v>
      </c>
      <c r="D3" s="29">
        <v>1</v>
      </c>
      <c r="E3" s="20" t="s">
        <v>80</v>
      </c>
      <c r="F3" s="462">
        <f>Lakes!N61/1000000</f>
        <v>258131.69363122003</v>
      </c>
      <c r="G3" s="20" t="s">
        <v>168</v>
      </c>
      <c r="H3" s="20">
        <v>2012</v>
      </c>
      <c r="I3" s="21" t="s">
        <v>707</v>
      </c>
    </row>
    <row r="4" spans="2:9" ht="25.5" customHeight="1" x14ac:dyDescent="0.25">
      <c r="B4" s="1730"/>
      <c r="D4" s="30">
        <v>2</v>
      </c>
      <c r="E4" s="18" t="s">
        <v>81</v>
      </c>
      <c r="F4" s="454">
        <f>Rivers!D4</f>
        <v>1264</v>
      </c>
      <c r="G4" s="18" t="s">
        <v>168</v>
      </c>
      <c r="H4" s="18">
        <v>2012</v>
      </c>
      <c r="I4" s="19" t="s">
        <v>738</v>
      </c>
    </row>
    <row r="5" spans="2:9" ht="300" x14ac:dyDescent="0.25">
      <c r="B5" s="1730"/>
      <c r="D5" s="30">
        <v>3</v>
      </c>
      <c r="E5" s="18" t="s">
        <v>82</v>
      </c>
      <c r="F5" s="454">
        <f>Artificial_reserv!Q112</f>
        <v>60.39146637882353</v>
      </c>
      <c r="G5" s="18" t="s">
        <v>168</v>
      </c>
      <c r="H5" s="18">
        <v>2016</v>
      </c>
      <c r="I5" s="19" t="s">
        <v>945</v>
      </c>
    </row>
    <row r="6" spans="2:9" ht="195" x14ac:dyDescent="0.25">
      <c r="B6" s="1730"/>
      <c r="D6" s="30">
        <v>4</v>
      </c>
      <c r="E6" s="18" t="s">
        <v>83</v>
      </c>
      <c r="F6" s="454">
        <f>'GW&amp;SOILW_2012'!A58</f>
        <v>3388.8607500000003</v>
      </c>
      <c r="G6" s="175" t="s">
        <v>169</v>
      </c>
      <c r="H6" s="18">
        <v>2012</v>
      </c>
      <c r="I6" s="19" t="s">
        <v>165</v>
      </c>
    </row>
    <row r="7" spans="2:9" ht="225.75" thickBot="1" x14ac:dyDescent="0.3">
      <c r="B7" s="1731"/>
      <c r="D7" s="31">
        <v>5</v>
      </c>
      <c r="E7" s="22" t="s">
        <v>84</v>
      </c>
      <c r="F7" s="455">
        <f>'GW&amp;SOILW_2012'!A75</f>
        <v>62127</v>
      </c>
      <c r="G7" s="22" t="s">
        <v>168</v>
      </c>
      <c r="H7" s="22">
        <v>2012</v>
      </c>
      <c r="I7" s="23" t="s">
        <v>708</v>
      </c>
    </row>
    <row r="8" spans="2:9" ht="45" x14ac:dyDescent="0.25">
      <c r="B8" s="1732" t="s">
        <v>78</v>
      </c>
      <c r="D8" s="32">
        <v>6</v>
      </c>
      <c r="E8" s="560" t="s">
        <v>85</v>
      </c>
      <c r="F8" s="561">
        <f>(SUM(PSUT_2012!AA12:'PSUT_2012'!AA16)/1000)*(70%*0.2%)</f>
        <v>0.918674462618018</v>
      </c>
      <c r="G8" s="560"/>
      <c r="H8" s="560">
        <v>2012</v>
      </c>
      <c r="I8" s="562" t="s">
        <v>732</v>
      </c>
    </row>
    <row r="9" spans="2:9" ht="63" customHeight="1" x14ac:dyDescent="0.25">
      <c r="B9" s="1733"/>
      <c r="D9" s="30">
        <v>7</v>
      </c>
      <c r="E9" s="10" t="s">
        <v>86</v>
      </c>
      <c r="F9" s="457">
        <f>(SUM(PSUT_2012!AA12:'PSUT_2012'!AA16)/1000)*(70%*70%)</f>
        <v>321.53606191630627</v>
      </c>
      <c r="G9" s="10"/>
      <c r="H9" s="10">
        <v>2012</v>
      </c>
      <c r="I9" s="16" t="s">
        <v>736</v>
      </c>
    </row>
    <row r="10" spans="2:9" ht="30" x14ac:dyDescent="0.25">
      <c r="B10" s="1733"/>
      <c r="D10" s="30">
        <v>8</v>
      </c>
      <c r="E10" s="10" t="s">
        <v>87</v>
      </c>
      <c r="F10" s="457">
        <f>((SUM(PSUT_2012!AA12:'PSUT_2012'!AA16)+(PSUT_2012!AA21)/1000))*(70%*0%)</f>
        <v>0</v>
      </c>
      <c r="G10" s="10"/>
      <c r="H10" s="10">
        <v>2012</v>
      </c>
      <c r="I10" s="16" t="s">
        <v>733</v>
      </c>
    </row>
    <row r="11" spans="2:9" ht="65.25" customHeight="1" x14ac:dyDescent="0.25">
      <c r="B11" s="1733"/>
      <c r="D11" s="30">
        <v>9</v>
      </c>
      <c r="E11" s="10" t="s">
        <v>88</v>
      </c>
      <c r="F11" s="457">
        <f>(SUM(PSUT_2012!AA12:'PSUT_2012'!AA16)/1000)*(70%*29.55%)</f>
        <v>135.73415185181216</v>
      </c>
      <c r="G11" s="10"/>
      <c r="H11" s="10">
        <v>2012</v>
      </c>
      <c r="I11" s="16" t="s">
        <v>737</v>
      </c>
    </row>
    <row r="12" spans="2:9" ht="30.75" thickBot="1" x14ac:dyDescent="0.3">
      <c r="B12" s="1733"/>
      <c r="D12" s="31">
        <v>10</v>
      </c>
      <c r="E12" s="15" t="s">
        <v>89</v>
      </c>
      <c r="F12" s="458">
        <f>(SUM(PSUT_2012!AA12:'PSUT_2012'!AA16)/1000)*(70%*0.25%)</f>
        <v>1.1483430782725224</v>
      </c>
      <c r="G12" s="15"/>
      <c r="H12" s="15">
        <v>2012</v>
      </c>
      <c r="I12" s="17" t="s">
        <v>734</v>
      </c>
    </row>
    <row r="13" spans="2:9" ht="150" x14ac:dyDescent="0.25">
      <c r="B13" s="1733"/>
      <c r="D13" s="29">
        <v>11</v>
      </c>
      <c r="E13" s="20" t="s">
        <v>90</v>
      </c>
      <c r="F13" s="461">
        <f>+('Prec&amp;ET2012'!E16/1000000)</f>
        <v>2204.8333346716727</v>
      </c>
      <c r="G13" s="20"/>
      <c r="H13" s="20"/>
      <c r="I13" s="21" t="s">
        <v>501</v>
      </c>
    </row>
    <row r="14" spans="2:9" ht="90" x14ac:dyDescent="0.25">
      <c r="B14" s="1733"/>
      <c r="D14" s="30">
        <v>12</v>
      </c>
      <c r="E14" s="18" t="s">
        <v>91</v>
      </c>
      <c r="F14" s="459">
        <f>+('Prec&amp;ET2012'!E17/1000000)</f>
        <v>2626.9653899641216</v>
      </c>
      <c r="G14" s="18"/>
      <c r="H14" s="18"/>
      <c r="I14" s="253" t="s">
        <v>499</v>
      </c>
    </row>
    <row r="15" spans="2:9" ht="115.5" customHeight="1" x14ac:dyDescent="0.25">
      <c r="B15" s="1733"/>
      <c r="D15" s="30">
        <v>13</v>
      </c>
      <c r="E15" s="18" t="s">
        <v>92</v>
      </c>
      <c r="F15" s="459">
        <f>+('Prec&amp;ET2012'!E18/1000000)</f>
        <v>107.78171835098837</v>
      </c>
      <c r="G15" s="18"/>
      <c r="H15" s="18"/>
      <c r="I15" s="19" t="s">
        <v>500</v>
      </c>
    </row>
    <row r="16" spans="2:9" ht="150" x14ac:dyDescent="0.25">
      <c r="B16" s="1733"/>
      <c r="D16" s="30">
        <v>14</v>
      </c>
      <c r="E16" s="18" t="s">
        <v>93</v>
      </c>
      <c r="F16" s="459">
        <f>('Prec&amp;ET2012'!D23/1000000)</f>
        <v>28620.299157013218</v>
      </c>
      <c r="G16" s="18"/>
      <c r="H16" s="18"/>
      <c r="I16" s="19" t="s">
        <v>504</v>
      </c>
    </row>
    <row r="17" spans="2:9" ht="30.75" thickBot="1" x14ac:dyDescent="0.3">
      <c r="B17" s="1733"/>
      <c r="D17" s="31">
        <v>15</v>
      </c>
      <c r="E17" s="22" t="s">
        <v>94</v>
      </c>
      <c r="F17" s="340"/>
      <c r="G17" s="341"/>
      <c r="H17" s="341"/>
      <c r="I17" s="23" t="s">
        <v>381</v>
      </c>
    </row>
    <row r="18" spans="2:9" ht="210" x14ac:dyDescent="0.25">
      <c r="B18" s="1733"/>
      <c r="D18" s="29">
        <v>16</v>
      </c>
      <c r="E18" s="24" t="s">
        <v>95</v>
      </c>
      <c r="F18" s="125"/>
      <c r="G18" s="24"/>
      <c r="H18" s="24"/>
      <c r="I18" s="25" t="s">
        <v>709</v>
      </c>
    </row>
    <row r="19" spans="2:9" ht="135" x14ac:dyDescent="0.25">
      <c r="B19" s="1733"/>
      <c r="D19" s="30">
        <v>17</v>
      </c>
      <c r="E19" s="10" t="s">
        <v>96</v>
      </c>
      <c r="F19" s="460">
        <f>(Inflow!C10)</f>
        <v>850.20267600000011</v>
      </c>
      <c r="G19" s="10"/>
      <c r="H19" s="10">
        <v>2012</v>
      </c>
      <c r="I19" s="16" t="s">
        <v>652</v>
      </c>
    </row>
    <row r="20" spans="2:9" x14ac:dyDescent="0.25">
      <c r="B20" s="1733"/>
      <c r="D20" s="30">
        <v>18</v>
      </c>
      <c r="E20" s="10" t="s">
        <v>97</v>
      </c>
      <c r="F20" s="126"/>
      <c r="G20" s="10"/>
      <c r="H20" s="10"/>
      <c r="I20" s="16"/>
    </row>
    <row r="21" spans="2:9" x14ac:dyDescent="0.25">
      <c r="B21" s="1733"/>
      <c r="D21" s="30">
        <v>19</v>
      </c>
      <c r="E21" s="10" t="s">
        <v>98</v>
      </c>
      <c r="F21" s="339"/>
      <c r="G21" s="342"/>
      <c r="H21" s="342"/>
      <c r="I21" s="16"/>
    </row>
    <row r="22" spans="2:9" ht="15.75" thickBot="1" x14ac:dyDescent="0.3">
      <c r="B22" s="1733"/>
      <c r="D22" s="31">
        <v>20</v>
      </c>
      <c r="E22" s="15" t="s">
        <v>99</v>
      </c>
      <c r="F22" s="127"/>
      <c r="G22" s="15"/>
      <c r="H22" s="15"/>
      <c r="I22" s="17"/>
    </row>
    <row r="23" spans="2:9" ht="270" x14ac:dyDescent="0.25">
      <c r="B23" s="1733"/>
      <c r="D23" s="29">
        <v>21</v>
      </c>
      <c r="E23" s="20" t="s">
        <v>927</v>
      </c>
      <c r="F23" s="559">
        <v>1636</v>
      </c>
      <c r="G23" s="20"/>
      <c r="H23" s="20"/>
      <c r="I23" s="21" t="s">
        <v>1039</v>
      </c>
    </row>
    <row r="24" spans="2:9" ht="90" x14ac:dyDescent="0.25">
      <c r="B24" s="1733"/>
      <c r="D24" s="30">
        <v>22</v>
      </c>
      <c r="E24" s="18" t="s">
        <v>100</v>
      </c>
      <c r="F24" s="454">
        <f>(('2012NWRMP'!J34)*70%)+(F23*70%)+(221*40%)</f>
        <v>4422.5199999999995</v>
      </c>
      <c r="G24" s="18"/>
      <c r="H24" s="18"/>
      <c r="I24" s="19" t="s">
        <v>1069</v>
      </c>
    </row>
    <row r="25" spans="2:9" ht="54.75" customHeight="1" x14ac:dyDescent="0.25">
      <c r="B25" s="1733"/>
      <c r="D25" s="30">
        <v>23</v>
      </c>
      <c r="E25" s="18" t="s">
        <v>101</v>
      </c>
      <c r="F25" s="454">
        <f>F24*5%</f>
        <v>221.12599999999998</v>
      </c>
      <c r="G25" s="18"/>
      <c r="H25" s="18"/>
      <c r="I25" s="19" t="s">
        <v>1045</v>
      </c>
    </row>
    <row r="26" spans="2:9" ht="409.5" x14ac:dyDescent="0.25">
      <c r="B26" s="1733"/>
      <c r="D26" s="30">
        <v>24</v>
      </c>
      <c r="E26" s="18" t="s">
        <v>102</v>
      </c>
      <c r="F26" s="454">
        <f>('2012NWRMP'!J34)*20%</f>
        <v>911.12000000000012</v>
      </c>
      <c r="G26" s="18"/>
      <c r="H26" s="18"/>
      <c r="I26" s="19" t="s">
        <v>741</v>
      </c>
    </row>
    <row r="27" spans="2:9" ht="45.75" thickBot="1" x14ac:dyDescent="0.3">
      <c r="B27" s="1734"/>
      <c r="D27" s="31">
        <v>25</v>
      </c>
      <c r="E27" s="22" t="s">
        <v>103</v>
      </c>
      <c r="F27" s="455">
        <f>('2012NWRMP'!J34)*80%</f>
        <v>3644.4800000000005</v>
      </c>
      <c r="G27" s="22"/>
      <c r="H27" s="22"/>
      <c r="I27" s="23" t="s">
        <v>742</v>
      </c>
    </row>
    <row r="28" spans="2:9" ht="60" x14ac:dyDescent="0.25">
      <c r="B28" s="1729" t="s">
        <v>79</v>
      </c>
      <c r="D28" s="29">
        <v>26</v>
      </c>
      <c r="E28" s="24" t="s">
        <v>104</v>
      </c>
      <c r="F28" s="1051">
        <f>SUM(PSUT_2012!AA12)/1000</f>
        <v>18.292297238757076</v>
      </c>
      <c r="G28" s="24"/>
      <c r="H28" s="24">
        <v>2012</v>
      </c>
      <c r="I28" s="25" t="s">
        <v>575</v>
      </c>
    </row>
    <row r="29" spans="2:9" ht="75" x14ac:dyDescent="0.25">
      <c r="B29" s="1730"/>
      <c r="D29" s="30">
        <v>27</v>
      </c>
      <c r="E29" s="10" t="s">
        <v>105</v>
      </c>
      <c r="F29" s="747">
        <f>SUM(PSUT_2012!AA13)/1000</f>
        <v>314.34786563005042</v>
      </c>
      <c r="G29" s="10"/>
      <c r="H29" s="10">
        <v>2012</v>
      </c>
      <c r="I29" s="16" t="s">
        <v>576</v>
      </c>
    </row>
    <row r="30" spans="2:9" x14ac:dyDescent="0.25">
      <c r="B30" s="1730"/>
      <c r="D30" s="30">
        <v>28</v>
      </c>
      <c r="E30" s="10" t="s">
        <v>106</v>
      </c>
      <c r="F30" s="747">
        <f>SUM(PSUT_2012!AA14,PSUT_2012!AA15)/1000</f>
        <v>260.10506483625124</v>
      </c>
      <c r="G30" s="10"/>
      <c r="H30" s="10">
        <v>2012</v>
      </c>
      <c r="I30" s="16" t="s">
        <v>166</v>
      </c>
    </row>
    <row r="31" spans="2:9" x14ac:dyDescent="0.25">
      <c r="B31" s="1730"/>
      <c r="D31" s="30">
        <v>29</v>
      </c>
      <c r="E31" s="10" t="s">
        <v>107</v>
      </c>
      <c r="F31" s="456"/>
      <c r="G31" s="10"/>
      <c r="H31" s="10"/>
      <c r="I31" s="16" t="s">
        <v>167</v>
      </c>
    </row>
    <row r="32" spans="2:9" ht="15.75" thickBot="1" x14ac:dyDescent="0.3">
      <c r="B32" s="1730"/>
      <c r="D32" s="31">
        <v>30</v>
      </c>
      <c r="E32" s="15" t="s">
        <v>108</v>
      </c>
      <c r="F32" s="1052">
        <f>SUM(PSUT_2012!AA16)/1000</f>
        <v>63.450817022096935</v>
      </c>
      <c r="G32" s="15"/>
      <c r="H32" s="15">
        <v>2012</v>
      </c>
      <c r="I32" s="17" t="s">
        <v>460</v>
      </c>
    </row>
    <row r="33" spans="2:9" ht="60" x14ac:dyDescent="0.25">
      <c r="B33" s="1730"/>
      <c r="D33" s="29">
        <v>31</v>
      </c>
      <c r="E33" s="20" t="s">
        <v>109</v>
      </c>
      <c r="F33" s="461">
        <f>+('Prec&amp;ET2012'!E40)/1000000</f>
        <v>1400.9385338818297</v>
      </c>
      <c r="G33" s="20"/>
      <c r="H33" s="20">
        <v>2012</v>
      </c>
      <c r="I33" s="21" t="s">
        <v>394</v>
      </c>
    </row>
    <row r="34" spans="2:9" ht="30" x14ac:dyDescent="0.25">
      <c r="B34" s="1730"/>
      <c r="D34" s="30">
        <v>32</v>
      </c>
      <c r="E34" s="18" t="s">
        <v>110</v>
      </c>
      <c r="F34" s="453">
        <f>+('Prec&amp;ET2012'!E41)/1000000</f>
        <v>55.818756</v>
      </c>
      <c r="G34" s="18"/>
      <c r="H34" s="18">
        <v>2012</v>
      </c>
      <c r="I34" s="19" t="s">
        <v>395</v>
      </c>
    </row>
    <row r="35" spans="2:9" ht="33" customHeight="1" x14ac:dyDescent="0.25">
      <c r="B35" s="1730"/>
      <c r="D35" s="30">
        <v>33</v>
      </c>
      <c r="E35" s="18" t="s">
        <v>111</v>
      </c>
      <c r="F35" s="453">
        <f>+('Prec&amp;ET2012'!E42)/1000000</f>
        <v>16.815535662600585</v>
      </c>
      <c r="G35" s="18"/>
      <c r="H35" s="18">
        <v>2012</v>
      </c>
      <c r="I35" s="19" t="s">
        <v>396</v>
      </c>
    </row>
    <row r="36" spans="2:9" ht="180" x14ac:dyDescent="0.25">
      <c r="B36" s="1730"/>
      <c r="D36" s="30">
        <v>34</v>
      </c>
      <c r="E36" s="18" t="s">
        <v>1719</v>
      </c>
      <c r="F36" s="453">
        <f>+('Prec&amp;ET2012'!E44)/1000000</f>
        <v>21277.19157445557</v>
      </c>
      <c r="G36" s="18"/>
      <c r="H36" s="18">
        <v>2012</v>
      </c>
      <c r="I36" s="19" t="s">
        <v>606</v>
      </c>
    </row>
    <row r="37" spans="2:9" ht="15.75" thickBot="1" x14ac:dyDescent="0.3">
      <c r="B37" s="1730"/>
      <c r="D37" s="31">
        <v>35</v>
      </c>
      <c r="E37" s="22" t="s">
        <v>112</v>
      </c>
      <c r="F37" s="340"/>
      <c r="G37" s="341"/>
      <c r="H37" s="341"/>
      <c r="I37" s="17"/>
    </row>
    <row r="38" spans="2:9" ht="150" x14ac:dyDescent="0.25">
      <c r="B38" s="1730"/>
      <c r="D38" s="29">
        <v>36</v>
      </c>
      <c r="E38" s="24" t="s">
        <v>113</v>
      </c>
      <c r="F38" s="345">
        <v>0</v>
      </c>
      <c r="G38" s="346"/>
      <c r="H38" s="346"/>
      <c r="I38" s="25" t="s">
        <v>651</v>
      </c>
    </row>
    <row r="39" spans="2:9" ht="180" x14ac:dyDescent="0.25">
      <c r="B39" s="1730"/>
      <c r="D39" s="30">
        <v>37</v>
      </c>
      <c r="E39" s="10" t="s">
        <v>114</v>
      </c>
      <c r="F39" s="460">
        <f>+(Outflow!H14)</f>
        <v>6439.2872421415941</v>
      </c>
      <c r="G39" s="10"/>
      <c r="H39" s="10">
        <v>2012</v>
      </c>
      <c r="I39" s="16" t="s">
        <v>1065</v>
      </c>
    </row>
    <row r="40" spans="2:9" x14ac:dyDescent="0.25">
      <c r="B40" s="1730"/>
      <c r="D40" s="30">
        <v>38</v>
      </c>
      <c r="E40" s="10" t="s">
        <v>115</v>
      </c>
      <c r="F40" s="126"/>
      <c r="G40" s="10"/>
      <c r="H40" s="10"/>
      <c r="I40" s="16"/>
    </row>
    <row r="41" spans="2:9" x14ac:dyDescent="0.25">
      <c r="B41" s="1730"/>
      <c r="D41" s="30">
        <v>39</v>
      </c>
      <c r="E41" s="10" t="s">
        <v>116</v>
      </c>
      <c r="F41" s="343"/>
      <c r="G41" s="344"/>
      <c r="H41" s="344"/>
      <c r="I41" s="16"/>
    </row>
    <row r="42" spans="2:9" ht="15.75" thickBot="1" x14ac:dyDescent="0.3">
      <c r="B42" s="1730"/>
      <c r="D42" s="31">
        <v>40</v>
      </c>
      <c r="E42" s="15" t="s">
        <v>117</v>
      </c>
      <c r="F42" s="127"/>
      <c r="G42" s="15"/>
      <c r="H42" s="15"/>
      <c r="I42" s="17"/>
    </row>
    <row r="43" spans="2:9" x14ac:dyDescent="0.25">
      <c r="B43" s="1730"/>
      <c r="D43" s="29">
        <v>41</v>
      </c>
      <c r="E43" s="20" t="s">
        <v>118</v>
      </c>
      <c r="F43" s="345"/>
      <c r="G43" s="346"/>
      <c r="H43" s="346"/>
      <c r="I43" s="21"/>
    </row>
    <row r="44" spans="2:9" x14ac:dyDescent="0.25">
      <c r="B44" s="1730"/>
      <c r="D44" s="30">
        <v>42</v>
      </c>
      <c r="E44" s="18" t="s">
        <v>119</v>
      </c>
      <c r="F44" s="128"/>
      <c r="G44" s="18"/>
      <c r="H44" s="18"/>
      <c r="I44" s="19" t="s">
        <v>673</v>
      </c>
    </row>
    <row r="45" spans="2:9" x14ac:dyDescent="0.25">
      <c r="B45" s="1730"/>
      <c r="D45" s="30">
        <v>43</v>
      </c>
      <c r="E45" s="18" t="s">
        <v>120</v>
      </c>
      <c r="F45" s="128"/>
      <c r="G45" s="18"/>
      <c r="H45" s="18"/>
      <c r="I45" s="19" t="s">
        <v>673</v>
      </c>
    </row>
    <row r="46" spans="2:9" x14ac:dyDescent="0.25">
      <c r="B46" s="1730"/>
      <c r="D46" s="30">
        <v>44</v>
      </c>
      <c r="E46" s="18" t="s">
        <v>121</v>
      </c>
      <c r="F46" s="343"/>
      <c r="G46" s="344"/>
      <c r="H46" s="344"/>
      <c r="I46" s="19"/>
    </row>
    <row r="47" spans="2:9" ht="15.75" thickBot="1" x14ac:dyDescent="0.3">
      <c r="B47" s="1730"/>
      <c r="D47" s="31">
        <v>45</v>
      </c>
      <c r="E47" s="22" t="s">
        <v>122</v>
      </c>
      <c r="F47" s="129"/>
      <c r="G47" s="22"/>
      <c r="H47" s="22"/>
      <c r="I47" s="19" t="s">
        <v>673</v>
      </c>
    </row>
    <row r="48" spans="2:9" ht="195" x14ac:dyDescent="0.25">
      <c r="B48" s="1730"/>
      <c r="D48" s="29">
        <v>46</v>
      </c>
      <c r="E48" s="24" t="s">
        <v>123</v>
      </c>
      <c r="F48" s="457">
        <f>SUM(Asset_2012_Table!C5,Asset_2012_Table!C12)-SUM(Asset_2012_Table!C24,Asset_2012_Table!C15,Asset_2012_Table!C16)</f>
        <v>2864.2141370574536</v>
      </c>
      <c r="G48" s="24"/>
      <c r="H48" s="24"/>
      <c r="I48" s="25" t="s">
        <v>1064</v>
      </c>
    </row>
    <row r="49" spans="2:9" ht="45" x14ac:dyDescent="0.25">
      <c r="B49" s="1730"/>
      <c r="D49" s="30">
        <v>47</v>
      </c>
      <c r="E49" s="10" t="s">
        <v>124</v>
      </c>
      <c r="F49" s="563">
        <f>F23+F25</f>
        <v>1857.126</v>
      </c>
      <c r="G49" s="10"/>
      <c r="H49" s="10"/>
      <c r="I49" s="558" t="s">
        <v>740</v>
      </c>
    </row>
    <row r="50" spans="2:9" ht="141" customHeight="1" x14ac:dyDescent="0.25">
      <c r="B50" s="1730"/>
      <c r="D50" s="30">
        <v>48</v>
      </c>
      <c r="E50" s="10" t="s">
        <v>125</v>
      </c>
      <c r="F50" s="457">
        <f>(F25+F15)*40%</f>
        <v>131.56308734039536</v>
      </c>
      <c r="G50" s="10"/>
      <c r="H50" s="10"/>
      <c r="I50" s="16" t="s">
        <v>1046</v>
      </c>
    </row>
    <row r="51" spans="2:9" ht="180" x14ac:dyDescent="0.25">
      <c r="B51" s="1730"/>
      <c r="D51" s="30">
        <v>49</v>
      </c>
      <c r="E51" s="10" t="s">
        <v>126</v>
      </c>
      <c r="F51" s="747">
        <f>('2012NWRMP'!J34)+((Asset_2012_Table!F9-Asset_2012_Table!F16)*50%)</f>
        <v>8227.1537912788244</v>
      </c>
      <c r="G51" s="10"/>
      <c r="H51" s="10"/>
      <c r="I51" s="16" t="s">
        <v>1071</v>
      </c>
    </row>
    <row r="52" spans="2:9" ht="63" customHeight="1" thickBot="1" x14ac:dyDescent="0.3">
      <c r="B52" s="1731"/>
      <c r="D52" s="31">
        <v>50</v>
      </c>
      <c r="E52" s="15" t="s">
        <v>127</v>
      </c>
      <c r="F52" s="458">
        <f>(('2012NWRMP'!J34))*70%+'GW&amp;SOILW_2012'!A73*2%</f>
        <v>3399.8873800000001</v>
      </c>
      <c r="G52" s="15"/>
      <c r="H52" s="15"/>
      <c r="I52" s="17" t="s">
        <v>739</v>
      </c>
    </row>
    <row r="53" spans="2:9" ht="30" x14ac:dyDescent="0.25">
      <c r="B53" s="1732" t="s">
        <v>136</v>
      </c>
      <c r="D53" s="29">
        <v>51</v>
      </c>
      <c r="E53" s="20" t="s">
        <v>128</v>
      </c>
      <c r="F53" s="732">
        <f>F3+(Lakes!F68/1000000)</f>
        <v>257690.00067217631</v>
      </c>
      <c r="G53" s="20"/>
      <c r="H53" s="20"/>
      <c r="I53" s="21" t="s">
        <v>946</v>
      </c>
    </row>
    <row r="54" spans="2:9" x14ac:dyDescent="0.25">
      <c r="B54" s="1733"/>
      <c r="D54" s="30">
        <v>52</v>
      </c>
      <c r="E54" s="18" t="s">
        <v>129</v>
      </c>
      <c r="F54" s="733">
        <f>Asset_2012_Table!D24</f>
        <v>1264</v>
      </c>
      <c r="G54" s="18"/>
      <c r="H54" s="18"/>
      <c r="I54" s="19"/>
    </row>
    <row r="55" spans="2:9" ht="300" x14ac:dyDescent="0.25">
      <c r="B55" s="1733"/>
      <c r="D55" s="30">
        <v>53</v>
      </c>
      <c r="E55" s="18" t="s">
        <v>130</v>
      </c>
      <c r="F55" s="454">
        <f>Artificial_reserv!R112</f>
        <v>62.613469534117641</v>
      </c>
      <c r="G55" s="731"/>
      <c r="H55" s="18"/>
      <c r="I55" s="19" t="s">
        <v>944</v>
      </c>
    </row>
    <row r="56" spans="2:9" ht="75" x14ac:dyDescent="0.25">
      <c r="B56" s="1733"/>
      <c r="D56" s="30">
        <v>54</v>
      </c>
      <c r="E56" s="18" t="s">
        <v>131</v>
      </c>
      <c r="F56" s="123">
        <f>Asset_2012_Table!F24</f>
        <v>3388.8607500000003</v>
      </c>
      <c r="G56" s="18"/>
      <c r="H56" s="18"/>
      <c r="I56" s="19" t="s">
        <v>1047</v>
      </c>
    </row>
    <row r="57" spans="2:9" ht="120.75" thickBot="1" x14ac:dyDescent="0.3">
      <c r="B57" s="1734"/>
      <c r="D57" s="31">
        <v>55</v>
      </c>
      <c r="E57" s="22" t="s">
        <v>132</v>
      </c>
      <c r="F57" s="735">
        <f>'GW&amp;SOILW_2012'!A75</f>
        <v>62127</v>
      </c>
      <c r="G57" s="22"/>
      <c r="H57" s="22"/>
      <c r="I57" s="23" t="s">
        <v>1042</v>
      </c>
    </row>
    <row r="58" spans="2:9" x14ac:dyDescent="0.25">
      <c r="B58" s="1735"/>
      <c r="D58" s="30">
        <v>56</v>
      </c>
      <c r="E58" s="18" t="s">
        <v>546</v>
      </c>
      <c r="F58" s="734">
        <f>Asset_2012_Table!J9</f>
        <v>33559.8796</v>
      </c>
      <c r="G58" s="18"/>
      <c r="H58" s="18"/>
      <c r="I58" s="19" t="s">
        <v>1379</v>
      </c>
    </row>
    <row r="59" spans="2:9" x14ac:dyDescent="0.25">
      <c r="B59" s="1736"/>
      <c r="D59" s="30">
        <v>57</v>
      </c>
      <c r="E59" s="308" t="s">
        <v>547</v>
      </c>
      <c r="F59" s="324">
        <f>Asset_2012_Table!J16</f>
        <v>22750.7644</v>
      </c>
      <c r="G59" s="18"/>
      <c r="H59" s="18"/>
      <c r="I59" s="19" t="s">
        <v>1380</v>
      </c>
    </row>
    <row r="60" spans="2:9" ht="30" x14ac:dyDescent="0.25">
      <c r="B60" s="1736"/>
      <c r="D60" s="33">
        <v>58</v>
      </c>
      <c r="E60" s="18" t="s">
        <v>548</v>
      </c>
      <c r="F60" s="307">
        <f>Asset_2012_Table!J27</f>
        <v>10809.1152</v>
      </c>
      <c r="G60" s="26"/>
      <c r="H60" s="26"/>
      <c r="I60" s="27" t="s">
        <v>1049</v>
      </c>
    </row>
    <row r="61" spans="2:9" x14ac:dyDescent="0.25">
      <c r="B61" s="1736"/>
      <c r="D61" s="33">
        <v>59</v>
      </c>
      <c r="E61" s="18" t="s">
        <v>549</v>
      </c>
      <c r="F61" s="307">
        <f>Asset_2012_Table!K10</f>
        <v>850.20267600000011</v>
      </c>
      <c r="G61" s="26"/>
      <c r="H61" s="26"/>
      <c r="I61" s="27" t="s">
        <v>1048</v>
      </c>
    </row>
    <row r="62" spans="2:9" ht="15.75" thickBot="1" x14ac:dyDescent="0.3">
      <c r="B62" s="1737"/>
      <c r="D62" s="31">
        <v>60</v>
      </c>
      <c r="E62" s="22" t="s">
        <v>550</v>
      </c>
      <c r="F62" s="124">
        <f>Asset_2012_Table!K28</f>
        <v>11659.317876000001</v>
      </c>
      <c r="G62" s="22"/>
      <c r="H62" s="22"/>
      <c r="I62" s="23" t="s">
        <v>1048</v>
      </c>
    </row>
  </sheetData>
  <mergeCells count="5">
    <mergeCell ref="B3:B7"/>
    <mergeCell ref="B53:B57"/>
    <mergeCell ref="B8:B27"/>
    <mergeCell ref="B28:B52"/>
    <mergeCell ref="B58:B62"/>
  </mergeCells>
  <hyperlinks>
    <hyperlink ref="F4" location="Rivers!D4" display="Rivers!D4"/>
    <hyperlink ref="F3" location="Lakes!N61" display="Lakes!N61"/>
    <hyperlink ref="F5" location="Artificial_reserv!Q112" display="Artificial_reserv!Q112"/>
    <hyperlink ref="F6" location="'GW&amp;SOILW_2012'!A57" display="'GW&amp;SOILW_2012'!A57"/>
    <hyperlink ref="F7" location="'GW&amp;SOILW_2012'!A74" display="'GW&amp;SOILW_2012'!A74"/>
    <hyperlink ref="F8" location="PSUT_2012!AB16" display="PSUT_2012!AB16"/>
    <hyperlink ref="F9" location="PSUT_2012!AA12" display="PSUT_2012!AA12"/>
    <hyperlink ref="F10" location="PSUT_2012!AB16" display="PSUT_2012!AB16"/>
    <hyperlink ref="F11" location="PSUT_2012!AB16" display="PSUT_2012!AB16"/>
    <hyperlink ref="F12" location="PSUT_2012!AB16" display="PSUT_2012!AB16"/>
    <hyperlink ref="F13" location="'Prec&amp;ET2012'!E15" display="'Prec&amp;ET2012'!E15"/>
    <hyperlink ref="F14" location="'Prec&amp;ET2012'!E16" display="'Prec&amp;ET2012'!E16"/>
    <hyperlink ref="F15" location="'Prec&amp;ET2012'!E17" display="'Prec&amp;ET2012'!E17"/>
    <hyperlink ref="F16" location="'Prec&amp;ET2012'!D23" display="'Prec&amp;ET2012'!D23"/>
    <hyperlink ref="F19" location="Inflow!C11" display="Inflow!C11"/>
    <hyperlink ref="F24" location="'2012NWRMP'!J34" display="'2012NWRMP'!J34"/>
    <hyperlink ref="F25" location="'W-Assets_Data&amp;Method_2012'!F24" display="'W-Assets_Data&amp;Method_2012'!F24"/>
    <hyperlink ref="F26" location="'GW&amp;SOILW_2012'!A72" display="'GW&amp;SOILW_2012'!A72"/>
    <hyperlink ref="F27" location="'2012NWRMP'!J34" display="'2012NWRMP'!J34"/>
    <hyperlink ref="F28" location="PSUT_2012!AA12" display="PSUT_2012!AA12"/>
    <hyperlink ref="F29" location="PSUT_2012!AA13" display="PSUT_2012!AA13"/>
    <hyperlink ref="F30" location="PSUT_2012!AA14" display="PSUT_2012!AA14"/>
    <hyperlink ref="F32" location="PSUT_2012!AA16" display="PSUT_2012!AA16"/>
    <hyperlink ref="F33" location="'Prec&amp;ET2012'!E39" display="'Prec&amp;ET2012'!E39"/>
    <hyperlink ref="F34" location="'Prec&amp;ET2012'!E40" display="'Prec&amp;ET2012'!E40"/>
    <hyperlink ref="F35" location="'Prec&amp;ET2012'!E41" display="'Prec&amp;ET2012'!E41"/>
    <hyperlink ref="F36" location="'Prec&amp;ET2012'!E43" display="'Prec&amp;ET2012'!E43"/>
    <hyperlink ref="F39" location="Outflow!H14" display="Outflow!H14"/>
    <hyperlink ref="F50" location="'RBM&amp;E-2017_S'!P15" display="'RBM&amp;E-2017_S'!P15"/>
    <hyperlink ref="F51" location="'2012NWRMP'!J34" display="'2012NWRMP'!J34"/>
    <hyperlink ref="F52" location="'2012NWRMP'!J34" display="'2012NWRMP'!J34"/>
    <hyperlink ref="F55" location="Artificial_reserv!R112" display="Artificial_reserv!R112"/>
    <hyperlink ref="F53" location="Lakes!F68" display="Lakes!F68"/>
    <hyperlink ref="F57" location="'GW&amp;SOILW_2012'!A74" display="'GW&amp;SOILW_2012'!A74"/>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AD47"/>
  <sheetViews>
    <sheetView zoomScale="120" zoomScaleNormal="120" workbookViewId="0">
      <pane ySplit="4" topLeftCell="A8" activePane="bottomLeft" state="frozen"/>
      <selection activeCell="D15" sqref="D15"/>
      <selection pane="bottomLeft" activeCell="D45" sqref="D45"/>
    </sheetView>
  </sheetViews>
  <sheetFormatPr defaultRowHeight="15" x14ac:dyDescent="0.25"/>
  <cols>
    <col min="1" max="1" width="1.42578125" customWidth="1"/>
    <col min="2" max="2" width="24.28515625" style="2" customWidth="1"/>
    <col min="3" max="3" width="10.28515625" style="2" customWidth="1"/>
    <col min="4" max="4" width="13.7109375" style="2" bestFit="1" customWidth="1"/>
    <col min="5" max="5" width="13.7109375" style="2" customWidth="1"/>
    <col min="6" max="6" width="9" style="2" customWidth="1"/>
    <col min="7" max="7" width="8.85546875" style="2" customWidth="1"/>
    <col min="8" max="8" width="9.28515625" style="2" customWidth="1"/>
    <col min="9" max="9" width="10.5703125" style="2" customWidth="1"/>
    <col min="10" max="10" width="9" style="2" customWidth="1"/>
    <col min="11" max="11" width="6.28515625" customWidth="1"/>
    <col min="12" max="13" width="9.85546875" customWidth="1"/>
    <col min="14" max="14" width="9" customWidth="1"/>
    <col min="15" max="15" width="11" customWidth="1"/>
    <col min="16" max="16" width="11.140625" customWidth="1"/>
    <col min="17" max="17" width="11.85546875" customWidth="1"/>
    <col min="21" max="16384" width="9.140625" style="2"/>
  </cols>
  <sheetData>
    <row r="1" spans="2:21" x14ac:dyDescent="0.25">
      <c r="B1" s="66" t="s">
        <v>1313</v>
      </c>
      <c r="C1" s="3"/>
      <c r="D1" s="3"/>
      <c r="E1" s="3"/>
      <c r="F1" s="3"/>
      <c r="G1" s="3"/>
      <c r="H1"/>
      <c r="I1"/>
      <c r="J1"/>
    </row>
    <row r="2" spans="2:21" customFormat="1" ht="3.75" customHeight="1" thickBot="1" x14ac:dyDescent="0.3"/>
    <row r="3" spans="2:21" ht="33" x14ac:dyDescent="0.25">
      <c r="B3" s="1134" t="s">
        <v>69</v>
      </c>
      <c r="C3" s="1738" t="s">
        <v>49</v>
      </c>
      <c r="D3" s="1738"/>
      <c r="E3" s="1738"/>
      <c r="F3" s="1135" t="s">
        <v>50</v>
      </c>
      <c r="G3" s="1136" t="s">
        <v>51</v>
      </c>
      <c r="H3" s="1136" t="s">
        <v>3</v>
      </c>
      <c r="I3" s="1136" t="s">
        <v>70</v>
      </c>
      <c r="J3" s="1136" t="s">
        <v>71</v>
      </c>
      <c r="U3" s="6"/>
    </row>
    <row r="4" spans="2:21" ht="18" customHeight="1" thickBot="1" x14ac:dyDescent="0.3">
      <c r="B4" s="1137"/>
      <c r="C4" s="1138" t="s">
        <v>52</v>
      </c>
      <c r="D4" s="1138" t="s">
        <v>68</v>
      </c>
      <c r="E4" s="1138" t="s">
        <v>53</v>
      </c>
      <c r="F4" s="1139"/>
      <c r="G4" s="1140"/>
      <c r="H4" s="1140"/>
      <c r="I4" s="1138"/>
      <c r="J4" s="1138"/>
      <c r="U4" s="6"/>
    </row>
    <row r="5" spans="2:21" ht="15.75" thickBot="1" x14ac:dyDescent="0.3">
      <c r="B5" s="1117" t="s">
        <v>54</v>
      </c>
      <c r="C5" s="1118">
        <f>SUM(Asset_2012_Table!C5)</f>
        <v>258131.69363122003</v>
      </c>
      <c r="D5" s="1118">
        <f>SUM(Asset_2012_Table!D5)</f>
        <v>1264</v>
      </c>
      <c r="E5" s="1118">
        <f>SUM(Asset_2012_Table!E5)</f>
        <v>60.39146637882353</v>
      </c>
      <c r="F5" s="1118">
        <f>SUM(Asset_2012_Table!F5)</f>
        <v>3388.8607500000003</v>
      </c>
      <c r="G5" s="1118">
        <f>SUM(Asset_2012_Table!G5)</f>
        <v>62127</v>
      </c>
      <c r="H5" s="1119">
        <f>SUM(C5:G5)</f>
        <v>324971.94584759884</v>
      </c>
      <c r="I5" s="1120"/>
      <c r="J5" s="1120"/>
      <c r="U5" s="5"/>
    </row>
    <row r="6" spans="2:21" ht="15.75" thickBot="1" x14ac:dyDescent="0.3">
      <c r="B6" s="1121" t="s">
        <v>55</v>
      </c>
      <c r="C6" s="105"/>
      <c r="D6" s="105"/>
      <c r="E6" s="105"/>
      <c r="F6" s="105"/>
      <c r="G6" s="105"/>
      <c r="H6" s="105"/>
      <c r="I6" s="1122"/>
      <c r="J6" s="1122"/>
      <c r="U6" s="4"/>
    </row>
    <row r="7" spans="2:21" x14ac:dyDescent="0.25">
      <c r="B7" s="1141" t="s">
        <v>56</v>
      </c>
      <c r="C7" s="1142">
        <f>SUM(Asset_2012_Table!C8,+(0))</f>
        <v>0.918674462618018</v>
      </c>
      <c r="D7" s="1142">
        <f>SUM(Asset_2012_Table!D8,+(0))</f>
        <v>321.53606191630627</v>
      </c>
      <c r="E7" s="1142">
        <f>SUM(Asset_2012_Table!E8,+(0))</f>
        <v>0</v>
      </c>
      <c r="F7" s="1142">
        <f>SUM(Asset_2012_Table!F8,+(0))</f>
        <v>135.73415185181216</v>
      </c>
      <c r="G7" s="1142">
        <f>SUM(Asset_2012_Table!G8,+(0))</f>
        <v>1.1483430782725224</v>
      </c>
      <c r="H7" s="1143">
        <f>SUM(C7:G7)</f>
        <v>459.33723130900898</v>
      </c>
      <c r="I7" s="1144"/>
      <c r="J7" s="1144"/>
      <c r="U7" s="4"/>
    </row>
    <row r="8" spans="2:21" x14ac:dyDescent="0.25">
      <c r="B8" s="1141" t="s">
        <v>48</v>
      </c>
      <c r="C8" s="1142">
        <f>SUM(Asset_2012_Table!C9,+(0))</f>
        <v>2204.8333346716727</v>
      </c>
      <c r="D8" s="1142">
        <f>SUM(Asset_2012_Table!D9,+(0))</f>
        <v>2626.9653899641216</v>
      </c>
      <c r="E8" s="1142">
        <f>SUM(Asset_2012_Table!E9,+(0))</f>
        <v>107.78171835098837</v>
      </c>
      <c r="F8" s="1142">
        <f>SUM(Asset_2012_Table!F9,+(0))</f>
        <v>28620.299157013218</v>
      </c>
      <c r="G8" s="1145"/>
      <c r="H8" s="1143">
        <f>SUM(C8:G8)</f>
        <v>33559.8796</v>
      </c>
      <c r="I8" s="1146">
        <f>+(H8)</f>
        <v>33559.8796</v>
      </c>
      <c r="J8" s="1146">
        <f>+(H8)</f>
        <v>33559.8796</v>
      </c>
      <c r="U8" s="4"/>
    </row>
    <row r="9" spans="2:21" x14ac:dyDescent="0.25">
      <c r="B9" s="1147" t="s">
        <v>57</v>
      </c>
      <c r="C9" s="1142">
        <f>SUM(Asset_2012_Table!C10,+(0))</f>
        <v>0</v>
      </c>
      <c r="D9" s="1148">
        <f>SUM(Asset_2012_Table!D10,+(0))</f>
        <v>850.20267600000011</v>
      </c>
      <c r="E9" s="1142">
        <f>SUM(Asset_2012_Table!E10,+(0))</f>
        <v>0</v>
      </c>
      <c r="F9" s="1145"/>
      <c r="G9" s="1142">
        <f>SUM(Asset_2012_Table!G10,+(0))</f>
        <v>0</v>
      </c>
      <c r="H9" s="1143">
        <f>SUM(C9:G9)</f>
        <v>850.20267600000011</v>
      </c>
      <c r="I9" s="1144"/>
      <c r="J9" s="1146">
        <f>+(H9)</f>
        <v>850.20267600000011</v>
      </c>
      <c r="U9" s="4"/>
    </row>
    <row r="10" spans="2:21" x14ac:dyDescent="0.25">
      <c r="B10" s="1123" t="s">
        <v>58</v>
      </c>
      <c r="C10" s="1124">
        <f>SUM(Asset_2012_Table!C11,+(0))</f>
        <v>1636</v>
      </c>
      <c r="D10" s="1124">
        <f>SUM(Asset_2012_Table!D11,+(503))</f>
        <v>4925.5199999999995</v>
      </c>
      <c r="E10" s="1149">
        <f>SUM(Asset_2012_Table!E11,+(47))</f>
        <v>268.12599999999998</v>
      </c>
      <c r="F10" s="1149">
        <f>SUM(Asset_2012_Table!F11,+(0))</f>
        <v>911.12000000000012</v>
      </c>
      <c r="G10" s="1149">
        <f>SUM(Asset_2012_Table!G11,+(0))</f>
        <v>3644.4800000000005</v>
      </c>
      <c r="H10" s="1125">
        <f>SUM(C10:G10)</f>
        <v>11385.245999999999</v>
      </c>
      <c r="I10" s="1126"/>
      <c r="J10" s="1126"/>
      <c r="U10" s="4"/>
    </row>
    <row r="11" spans="2:21" ht="15.75" thickBot="1" x14ac:dyDescent="0.3">
      <c r="B11" s="1128" t="s">
        <v>59</v>
      </c>
      <c r="C11" s="1127">
        <f>SUM(C7:C10)</f>
        <v>3841.7520091342908</v>
      </c>
      <c r="D11" s="1127">
        <f>SUM(D7:D10)</f>
        <v>8724.2241278804286</v>
      </c>
      <c r="E11" s="1127">
        <f>SUM(E7:E10)</f>
        <v>375.90771835098838</v>
      </c>
      <c r="F11" s="1127">
        <f>SUM(F7:F10)</f>
        <v>29667.153308865029</v>
      </c>
      <c r="G11" s="1127">
        <f>SUM(G7:G10)</f>
        <v>3645.6283430782728</v>
      </c>
      <c r="H11" s="1127">
        <f>SUM(C11:G11)</f>
        <v>46254.665507309008</v>
      </c>
      <c r="I11" s="1129">
        <f>SUM(I7:I10)</f>
        <v>33559.8796</v>
      </c>
      <c r="J11" s="1129">
        <f>SUM(J7:J10)</f>
        <v>34410.082276000001</v>
      </c>
      <c r="U11" s="4"/>
    </row>
    <row r="12" spans="2:21" ht="15.75" thickBot="1" x14ac:dyDescent="0.3">
      <c r="B12" s="1130" t="s">
        <v>60</v>
      </c>
      <c r="C12" s="114"/>
      <c r="D12" s="114"/>
      <c r="E12" s="114"/>
      <c r="F12" s="114"/>
      <c r="G12" s="114"/>
      <c r="H12" s="114"/>
      <c r="I12" s="1131"/>
      <c r="J12" s="1131"/>
      <c r="U12" s="4"/>
    </row>
    <row r="13" spans="2:21" x14ac:dyDescent="0.25">
      <c r="B13" s="1150" t="s">
        <v>61</v>
      </c>
      <c r="C13" s="1151">
        <f>SUM(Asset_2012_Table!C15,+(0))</f>
        <v>18.292297238757076</v>
      </c>
      <c r="D13" s="1142">
        <f>SUM(Asset_2012_Table!D15,+(0))</f>
        <v>314.34786563005042</v>
      </c>
      <c r="E13" s="1142">
        <f>SUM(Asset_2012_Table!E15,+(0))</f>
        <v>260.10506483625124</v>
      </c>
      <c r="F13" s="1142">
        <f>SUM(Asset_2012_Table!F15,+(0))</f>
        <v>0</v>
      </c>
      <c r="G13" s="1142">
        <f>SUM(Asset_2012_Table!G15,+(0))</f>
        <v>63.450817022096935</v>
      </c>
      <c r="H13" s="1152">
        <f t="shared" ref="H13:H18" si="0">SUM(C13:G13)</f>
        <v>656.19604472715571</v>
      </c>
      <c r="I13" s="1153"/>
      <c r="J13" s="1153"/>
      <c r="L13" s="67"/>
      <c r="U13" s="4"/>
    </row>
    <row r="14" spans="2:21" x14ac:dyDescent="0.25">
      <c r="B14" s="1150" t="s">
        <v>1718</v>
      </c>
      <c r="C14" s="1142">
        <f>SUM(Asset_2012_Table!C16,+(0))</f>
        <v>1400.9385338818297</v>
      </c>
      <c r="D14" s="1142">
        <f>SUM(Asset_2012_Table!D16,+(0))</f>
        <v>55.818756</v>
      </c>
      <c r="E14" s="1142">
        <f>SUM(Asset_2012_Table!E16,+(0))</f>
        <v>16.815535662600585</v>
      </c>
      <c r="F14" s="1142">
        <f>SUM(Asset_2012_Table!F16,+(0))</f>
        <v>21277.19157445557</v>
      </c>
      <c r="G14" s="1145"/>
      <c r="H14" s="1143">
        <f t="shared" si="0"/>
        <v>22750.7644</v>
      </c>
      <c r="I14" s="1146">
        <f>+(H14)</f>
        <v>22750.7644</v>
      </c>
      <c r="J14" s="1154">
        <f>+(H14)</f>
        <v>22750.7644</v>
      </c>
      <c r="U14" s="4"/>
    </row>
    <row r="15" spans="2:21" x14ac:dyDescent="0.25">
      <c r="B15" s="1150" t="s">
        <v>65</v>
      </c>
      <c r="C15" s="1145"/>
      <c r="D15" s="1142">
        <f>SUM(Asset_2012_Table!D17,+(0))</f>
        <v>6439.2872421415941</v>
      </c>
      <c r="E15" s="1142">
        <f>SUM(Asset_2012_Table!E17,+(0))</f>
        <v>0</v>
      </c>
      <c r="F15" s="1145"/>
      <c r="G15" s="1142">
        <f>SUM(Asset_2012_Table!G17,+(0))</f>
        <v>0</v>
      </c>
      <c r="H15" s="1152">
        <f t="shared" si="0"/>
        <v>6439.2872421415941</v>
      </c>
      <c r="I15" s="1153"/>
      <c r="J15" s="1153"/>
      <c r="U15" s="4"/>
    </row>
    <row r="16" spans="2:21" x14ac:dyDescent="0.25">
      <c r="B16" s="1150" t="s">
        <v>66</v>
      </c>
      <c r="C16" s="1145"/>
      <c r="D16" s="1142">
        <f>SUM(Asset_2012_Table!D18,+(0))</f>
        <v>0</v>
      </c>
      <c r="E16" s="1142">
        <f>SUM(Asset_2012_Table!E18,+(0))</f>
        <v>0</v>
      </c>
      <c r="F16" s="1145"/>
      <c r="G16" s="1142">
        <f>SUM(Asset_2012_Table!G18,+(0))</f>
        <v>0</v>
      </c>
      <c r="H16" s="1152">
        <f t="shared" si="0"/>
        <v>0</v>
      </c>
      <c r="I16" s="1153"/>
      <c r="J16" s="1153"/>
      <c r="U16" s="4"/>
    </row>
    <row r="17" spans="2:30" x14ac:dyDescent="0.25">
      <c r="B17" s="1150" t="s">
        <v>67</v>
      </c>
      <c r="C17" s="1142">
        <f>SUM(Asset_2012_Table!C19,+(0))</f>
        <v>2864.2141370574536</v>
      </c>
      <c r="D17" s="1142">
        <f>SUM(Asset_2012_Table!D19,+(0))</f>
        <v>1857.126</v>
      </c>
      <c r="E17" s="1142">
        <f>SUM(Asset_2012_Table!E19,+(0))</f>
        <v>131.56308734039536</v>
      </c>
      <c r="F17" s="1142">
        <f>SUM(Asset_2012_Table!F19,+(173))</f>
        <v>8400.1537912788244</v>
      </c>
      <c r="G17" s="1142">
        <f>SUM(Asset_2012_Table!G19,+(182))</f>
        <v>3581.8873800000001</v>
      </c>
      <c r="H17" s="1152">
        <f t="shared" si="0"/>
        <v>16834.944395676674</v>
      </c>
      <c r="I17" s="1153"/>
      <c r="J17" s="1153"/>
      <c r="U17" s="4"/>
    </row>
    <row r="18" spans="2:30" x14ac:dyDescent="0.25">
      <c r="B18" s="1133" t="s">
        <v>63</v>
      </c>
      <c r="C18" s="1132">
        <f>SUM(C13:C17)</f>
        <v>4283.4449681780407</v>
      </c>
      <c r="D18" s="1132">
        <f>SUM(D13:D17)</f>
        <v>8666.5798637716434</v>
      </c>
      <c r="E18" s="1132">
        <f>SUM(E13:E17)</f>
        <v>408.48368783924718</v>
      </c>
      <c r="F18" s="1132">
        <f>SUM(F13:F17)</f>
        <v>29677.345365734393</v>
      </c>
      <c r="G18" s="1132">
        <f>SUM(G13:G17)</f>
        <v>3645.3381970220971</v>
      </c>
      <c r="H18" s="1132">
        <f t="shared" si="0"/>
        <v>46681.192082545414</v>
      </c>
      <c r="I18" s="1158">
        <f>SUM(I13:I17)</f>
        <v>22750.7644</v>
      </c>
      <c r="J18" s="1158">
        <f>SUM(J13:J17)</f>
        <v>22750.7644</v>
      </c>
      <c r="U18" s="4"/>
    </row>
    <row r="19" spans="2:30" ht="15.75" thickBot="1" x14ac:dyDescent="0.3">
      <c r="B19" s="1156" t="s">
        <v>64</v>
      </c>
      <c r="C19" s="1157">
        <f>SUM(Asset_2012_Table!C24)</f>
        <v>257690.00067217631</v>
      </c>
      <c r="D19" s="1157">
        <f>SUM(Asset_2012_Table!D24)</f>
        <v>1264</v>
      </c>
      <c r="E19" s="1157">
        <f>SUM(Asset_2012_Table!E24)</f>
        <v>62.613469534117641</v>
      </c>
      <c r="F19" s="1157">
        <f>SUM(Asset_2012_Table!F24)</f>
        <v>3388.8607500000003</v>
      </c>
      <c r="G19" s="1157">
        <f>SUM(Asset_2012_Table!G24)</f>
        <v>62127</v>
      </c>
      <c r="H19" s="1157">
        <f>SUM(C19:G19)</f>
        <v>324532.47489171044</v>
      </c>
      <c r="I19" s="1155">
        <v>108099.1</v>
      </c>
      <c r="J19" s="1155">
        <v>11659.3</v>
      </c>
      <c r="U19" s="5"/>
    </row>
    <row r="20" spans="2:30" ht="15.75" thickBot="1" x14ac:dyDescent="0.3">
      <c r="B20" s="8"/>
      <c r="C20" s="9"/>
      <c r="D20" s="9"/>
      <c r="E20" s="9"/>
      <c r="F20" s="9"/>
      <c r="G20" s="9"/>
      <c r="H20" s="9"/>
      <c r="I20" s="441"/>
      <c r="J20" s="441"/>
      <c r="U20" s="5"/>
    </row>
    <row r="21" spans="2:30" ht="15.75" thickBot="1" x14ac:dyDescent="0.3">
      <c r="B21" s="8"/>
      <c r="C21" s="9"/>
      <c r="D21" s="9"/>
      <c r="E21" s="9"/>
      <c r="F21" s="9"/>
      <c r="G21" s="9"/>
      <c r="H21" s="9"/>
      <c r="I21" s="326" t="s">
        <v>607</v>
      </c>
      <c r="J21" s="327" t="s">
        <v>608</v>
      </c>
      <c r="U21" s="5"/>
    </row>
    <row r="22" spans="2:30" ht="15.75" thickBot="1" x14ac:dyDescent="0.3">
      <c r="B22" s="8"/>
      <c r="C22" s="9"/>
      <c r="D22" s="9"/>
      <c r="E22" s="9"/>
      <c r="F22" s="9"/>
      <c r="G22" s="9"/>
      <c r="H22" s="9"/>
      <c r="I22" s="403">
        <f>SUM(I11,-I18)</f>
        <v>10809.1152</v>
      </c>
      <c r="J22" s="442"/>
      <c r="U22" s="5"/>
    </row>
    <row r="23" spans="2:30" ht="15.75" thickBot="1" x14ac:dyDescent="0.3">
      <c r="B23" s="8"/>
      <c r="C23" s="9"/>
      <c r="D23" s="9"/>
      <c r="E23" s="9"/>
      <c r="F23" s="9"/>
      <c r="G23" s="9"/>
      <c r="H23" s="9"/>
      <c r="I23" s="325"/>
      <c r="J23" s="404">
        <f>SUM(J11,-J18)</f>
        <v>11659.317876000001</v>
      </c>
      <c r="U23" s="5"/>
    </row>
    <row r="24" spans="2:30" x14ac:dyDescent="0.25">
      <c r="H24" s="68"/>
    </row>
    <row r="25" spans="2:30" ht="15.75" thickBot="1" x14ac:dyDescent="0.3">
      <c r="B25" s="233" t="s">
        <v>947</v>
      </c>
      <c r="C25" s="233"/>
      <c r="D25" s="233"/>
      <c r="E25" s="233"/>
      <c r="F25" s="233"/>
      <c r="G25" s="233"/>
      <c r="H25" s="233"/>
      <c r="I25" s="233"/>
      <c r="J25" s="233"/>
    </row>
    <row r="26" spans="2:30" ht="33" x14ac:dyDescent="0.25">
      <c r="B26" s="34" t="s">
        <v>69</v>
      </c>
      <c r="C26" s="1726" t="s">
        <v>49</v>
      </c>
      <c r="D26" s="1727"/>
      <c r="E26" s="1728"/>
      <c r="F26" s="35" t="s">
        <v>50</v>
      </c>
      <c r="G26" s="36" t="s">
        <v>51</v>
      </c>
      <c r="H26" s="37" t="s">
        <v>3</v>
      </c>
      <c r="I26" s="61" t="s">
        <v>70</v>
      </c>
      <c r="J26" s="37" t="s">
        <v>71</v>
      </c>
    </row>
    <row r="27" spans="2:30" ht="17.25" thickBot="1" x14ac:dyDescent="0.3">
      <c r="B27" s="38"/>
      <c r="C27" s="39" t="s">
        <v>52</v>
      </c>
      <c r="D27" s="39" t="s">
        <v>68</v>
      </c>
      <c r="E27" s="39" t="s">
        <v>53</v>
      </c>
      <c r="F27" s="40"/>
      <c r="G27" s="41"/>
      <c r="H27" s="42"/>
      <c r="I27" s="62"/>
      <c r="J27" s="42"/>
    </row>
    <row r="28" spans="2:30" customFormat="1" x14ac:dyDescent="0.25">
      <c r="B28" s="43" t="s">
        <v>54</v>
      </c>
      <c r="C28" s="130">
        <f>SUM(C5,-Asset_2012_Table!C5)</f>
        <v>0</v>
      </c>
      <c r="D28" s="130">
        <f>SUM(D5,-Asset_2012_Table!D5)</f>
        <v>0</v>
      </c>
      <c r="E28" s="130">
        <f>SUM(E5,-Asset_2012_Table!E5)</f>
        <v>0</v>
      </c>
      <c r="F28" s="130">
        <f>SUM(F5,-Asset_2012_Table!F5)</f>
        <v>0</v>
      </c>
      <c r="G28" s="130">
        <f>SUM(G5,-Asset_2012_Table!G5)</f>
        <v>0</v>
      </c>
      <c r="H28" s="102">
        <f>SUM(H5,-Asset_2012_Table!H5)</f>
        <v>0</v>
      </c>
      <c r="I28" s="347">
        <f>SUM(I5,-Asset_2012_Table!J5)</f>
        <v>0</v>
      </c>
      <c r="J28" s="348">
        <f>SUM(J5,-Asset_2012_Table!K5)</f>
        <v>0</v>
      </c>
      <c r="U28" s="2"/>
      <c r="V28" s="2"/>
      <c r="W28" s="2"/>
      <c r="X28" s="2"/>
      <c r="Y28" s="2"/>
      <c r="Z28" s="2"/>
      <c r="AA28" s="2"/>
      <c r="AB28" s="2"/>
      <c r="AC28" s="2"/>
      <c r="AD28" s="2"/>
    </row>
    <row r="29" spans="2:30" customFormat="1" ht="15.75" thickBot="1" x14ac:dyDescent="0.3">
      <c r="B29" s="59"/>
      <c r="C29" s="103"/>
      <c r="D29" s="103"/>
      <c r="E29" s="103"/>
      <c r="F29" s="103"/>
      <c r="G29" s="103"/>
      <c r="H29" s="104"/>
      <c r="I29" s="64"/>
      <c r="J29" s="60"/>
      <c r="U29" s="2"/>
      <c r="V29" s="2"/>
      <c r="W29" s="2"/>
      <c r="X29" s="2"/>
      <c r="Y29" s="2"/>
      <c r="Z29" s="2"/>
      <c r="AA29" s="2"/>
      <c r="AB29" s="2"/>
      <c r="AC29" s="2"/>
      <c r="AD29" s="2"/>
    </row>
    <row r="30" spans="2:30" customFormat="1" ht="15.75" thickBot="1" x14ac:dyDescent="0.3">
      <c r="B30" s="52" t="s">
        <v>55</v>
      </c>
      <c r="C30" s="105"/>
      <c r="D30" s="105"/>
      <c r="E30" s="105"/>
      <c r="F30" s="105"/>
      <c r="G30" s="105"/>
      <c r="H30" s="106"/>
      <c r="I30" s="56"/>
      <c r="J30" s="57"/>
      <c r="U30" s="2"/>
      <c r="V30" s="2"/>
      <c r="W30" s="2"/>
      <c r="X30" s="2"/>
      <c r="Y30" s="2"/>
      <c r="Z30" s="2"/>
      <c r="AA30" s="2"/>
      <c r="AB30" s="2"/>
      <c r="AC30" s="2"/>
      <c r="AD30" s="2"/>
    </row>
    <row r="31" spans="2:30" customFormat="1" x14ac:dyDescent="0.25">
      <c r="B31" s="51" t="s">
        <v>56</v>
      </c>
      <c r="C31" s="107">
        <f>SUM(C7,-Asset_2012_Table!C8)</f>
        <v>0</v>
      </c>
      <c r="D31" s="107">
        <f>SUM(D7,-Asset_2012_Table!D8)</f>
        <v>0</v>
      </c>
      <c r="E31" s="107">
        <f>SUM(E7,-Asset_2012_Table!E8)</f>
        <v>0</v>
      </c>
      <c r="F31" s="107">
        <f>SUM(F7,-Asset_2012_Table!F8)</f>
        <v>0</v>
      </c>
      <c r="G31" s="107">
        <f>SUM(G7,-Asset_2012_Table!G8)</f>
        <v>0</v>
      </c>
      <c r="H31" s="108">
        <f>SUM(H7,-Asset_2012_Table!H8)</f>
        <v>0</v>
      </c>
      <c r="I31" s="65"/>
      <c r="J31" s="55"/>
      <c r="U31" s="2"/>
      <c r="V31" s="2"/>
      <c r="W31" s="2"/>
      <c r="X31" s="2"/>
      <c r="Y31" s="2"/>
      <c r="Z31" s="2"/>
      <c r="AA31" s="2"/>
      <c r="AB31" s="2"/>
      <c r="AC31" s="2"/>
      <c r="AD31" s="2"/>
    </row>
    <row r="32" spans="2:30" customFormat="1" x14ac:dyDescent="0.25">
      <c r="B32" s="44" t="s">
        <v>48</v>
      </c>
      <c r="C32" s="109">
        <f>SUM(C8,-Asset_2012_Table!C9)</f>
        <v>0</v>
      </c>
      <c r="D32" s="109">
        <f>SUM(D8,-Asset_2012_Table!D9)</f>
        <v>0</v>
      </c>
      <c r="E32" s="109">
        <f>SUM(E8,-Asset_2012_Table!E9)</f>
        <v>0</v>
      </c>
      <c r="F32" s="109">
        <f>SUM(F8,-Asset_2012_Table!F9)</f>
        <v>0</v>
      </c>
      <c r="G32" s="254"/>
      <c r="H32" s="110">
        <f>SUM(H8,-Asset_2012_Table!H9)</f>
        <v>0</v>
      </c>
      <c r="I32" s="349">
        <f>SUM(I8,-Asset_2012_Table!J9)</f>
        <v>0</v>
      </c>
      <c r="J32" s="350">
        <f>SUM(J8,-Asset_2012_Table!K9)</f>
        <v>0</v>
      </c>
      <c r="U32" s="2"/>
      <c r="V32" s="2"/>
      <c r="W32" s="2"/>
      <c r="X32" s="2"/>
      <c r="Y32" s="2"/>
      <c r="Z32" s="2"/>
      <c r="AA32" s="2"/>
      <c r="AB32" s="2"/>
      <c r="AC32" s="2"/>
      <c r="AD32" s="2"/>
    </row>
    <row r="33" spans="2:30" customFormat="1" x14ac:dyDescent="0.25">
      <c r="B33" s="45" t="s">
        <v>57</v>
      </c>
      <c r="C33" s="109">
        <f>SUM(C9,-Asset_2012_Table!C10)</f>
        <v>0</v>
      </c>
      <c r="D33" s="111">
        <f>SUM(D9,-Asset_2012_Table!D10)</f>
        <v>0</v>
      </c>
      <c r="E33" s="109">
        <f>SUM(E9,-Asset_2012_Table!E10)</f>
        <v>0</v>
      </c>
      <c r="F33" s="254"/>
      <c r="G33" s="109">
        <f>SUM(G9,-Asset_2012_Table!G10)</f>
        <v>0</v>
      </c>
      <c r="H33" s="110">
        <f>SUM(H9,-Asset_2012_Table!H10)</f>
        <v>0</v>
      </c>
      <c r="I33" s="349"/>
      <c r="J33" s="350">
        <f>SUM(J9,-Asset_2012_Table!K10)</f>
        <v>0</v>
      </c>
      <c r="U33" s="2"/>
      <c r="V33" s="2"/>
      <c r="W33" s="2"/>
      <c r="X33" s="2"/>
      <c r="Y33" s="2"/>
      <c r="Z33" s="2"/>
      <c r="AA33" s="2"/>
      <c r="AB33" s="2"/>
      <c r="AC33" s="2"/>
      <c r="AD33" s="2"/>
    </row>
    <row r="34" spans="2:30" customFormat="1" x14ac:dyDescent="0.25">
      <c r="B34" s="44" t="s">
        <v>58</v>
      </c>
      <c r="C34" s="109">
        <f>SUM(C10,-Asset_2012_Table!C11)</f>
        <v>0</v>
      </c>
      <c r="D34" s="109">
        <f>SUM(D10,-Asset_2012_Table!D11)</f>
        <v>503</v>
      </c>
      <c r="E34" s="112">
        <f>SUM(E10,-Asset_2012_Table!E11)</f>
        <v>47</v>
      </c>
      <c r="F34" s="112">
        <f>SUM(F10,-Asset_2012_Table!F11)</f>
        <v>0</v>
      </c>
      <c r="G34" s="112">
        <f>SUM(G10,-Asset_2012_Table!G11)</f>
        <v>0</v>
      </c>
      <c r="H34" s="110">
        <f>SUM(H10,-Asset_2012_Table!H11)</f>
        <v>550</v>
      </c>
      <c r="I34" s="349"/>
      <c r="J34" s="350"/>
      <c r="U34" s="2"/>
      <c r="V34" s="2"/>
      <c r="W34" s="2"/>
      <c r="X34" s="2"/>
      <c r="Y34" s="2"/>
      <c r="Z34" s="2"/>
      <c r="AA34" s="2"/>
      <c r="AB34" s="2"/>
      <c r="AC34" s="2"/>
      <c r="AD34" s="2"/>
    </row>
    <row r="35" spans="2:30" customFormat="1" x14ac:dyDescent="0.25">
      <c r="B35" s="46" t="s">
        <v>59</v>
      </c>
      <c r="C35" s="113">
        <f>SUM(C11,-Asset_2012_Table!C12)</f>
        <v>0</v>
      </c>
      <c r="D35" s="113">
        <f>SUM(D11,-Asset_2012_Table!D12)</f>
        <v>503</v>
      </c>
      <c r="E35" s="113">
        <f>SUM(E11,-Asset_2012_Table!E12)</f>
        <v>47</v>
      </c>
      <c r="F35" s="113">
        <f>SUM(F11,-Asset_2012_Table!F12)</f>
        <v>0</v>
      </c>
      <c r="G35" s="113">
        <f>SUM(G11,-Asset_2012_Table!G12)</f>
        <v>0</v>
      </c>
      <c r="H35" s="110">
        <f>SUM(H11,-Asset_2012_Table!H12)</f>
        <v>550</v>
      </c>
      <c r="I35" s="351">
        <f>SUM(I11,-Asset_2012_Table!J12)</f>
        <v>0</v>
      </c>
      <c r="J35" s="352">
        <f>SUM(J11,-Asset_2012_Table!K12)</f>
        <v>0</v>
      </c>
      <c r="U35" s="2"/>
      <c r="V35" s="2"/>
      <c r="W35" s="2"/>
      <c r="X35" s="2"/>
      <c r="Y35" s="2"/>
      <c r="Z35" s="2"/>
      <c r="AA35" s="2"/>
      <c r="AB35" s="2"/>
      <c r="AC35" s="2"/>
      <c r="AD35" s="2"/>
    </row>
    <row r="36" spans="2:30" customFormat="1" ht="15.75" thickBot="1" x14ac:dyDescent="0.3">
      <c r="B36" s="59"/>
      <c r="C36" s="103"/>
      <c r="D36" s="103"/>
      <c r="E36" s="103"/>
      <c r="F36" s="103"/>
      <c r="G36" s="103"/>
      <c r="H36" s="104"/>
      <c r="I36" s="353"/>
      <c r="J36" s="354"/>
      <c r="U36" s="2"/>
      <c r="V36" s="2"/>
      <c r="W36" s="2"/>
      <c r="X36" s="2"/>
      <c r="Y36" s="2"/>
      <c r="Z36" s="2"/>
      <c r="AA36" s="2"/>
      <c r="AB36" s="2"/>
      <c r="AC36" s="2"/>
      <c r="AD36" s="2"/>
    </row>
    <row r="37" spans="2:30" customFormat="1" ht="15.75" thickBot="1" x14ac:dyDescent="0.3">
      <c r="B37" s="54" t="s">
        <v>60</v>
      </c>
      <c r="C37" s="114"/>
      <c r="D37" s="114"/>
      <c r="E37" s="114"/>
      <c r="F37" s="114"/>
      <c r="G37" s="114"/>
      <c r="H37" s="115"/>
      <c r="I37" s="355"/>
      <c r="J37" s="356"/>
      <c r="U37" s="2"/>
      <c r="V37" s="2"/>
      <c r="W37" s="2"/>
      <c r="X37" s="2"/>
      <c r="Y37" s="2"/>
      <c r="Z37" s="2"/>
      <c r="AA37" s="2"/>
      <c r="AB37" s="2"/>
      <c r="AC37" s="2"/>
      <c r="AD37" s="2"/>
    </row>
    <row r="38" spans="2:30" customFormat="1" x14ac:dyDescent="0.25">
      <c r="B38" s="53" t="s">
        <v>61</v>
      </c>
      <c r="C38" s="109">
        <f>SUM(C13,-Asset_2012_Table!C15)</f>
        <v>0</v>
      </c>
      <c r="D38" s="107">
        <f>SUM(D13,-Asset_2012_Table!D15)</f>
        <v>0</v>
      </c>
      <c r="E38" s="107">
        <f>SUM(E13,-Asset_2012_Table!E15)</f>
        <v>0</v>
      </c>
      <c r="F38" s="107">
        <f>SUM(F13,-Asset_2012_Table!F15)</f>
        <v>0</v>
      </c>
      <c r="G38" s="107">
        <f>SUM(G13,-Asset_2012_Table!G15)</f>
        <v>0</v>
      </c>
      <c r="H38" s="116">
        <f>SUM(H13,-Asset_2012_Table!H15)</f>
        <v>0</v>
      </c>
      <c r="I38" s="357"/>
      <c r="J38" s="358"/>
      <c r="U38" s="2"/>
      <c r="V38" s="2"/>
      <c r="W38" s="2"/>
      <c r="X38" s="2"/>
      <c r="Y38" s="2"/>
      <c r="Z38" s="2"/>
      <c r="AA38" s="2"/>
      <c r="AB38" s="2"/>
      <c r="AC38" s="2"/>
      <c r="AD38" s="2"/>
    </row>
    <row r="39" spans="2:30" customFormat="1" x14ac:dyDescent="0.25">
      <c r="B39" s="48" t="s">
        <v>62</v>
      </c>
      <c r="C39" s="109">
        <f>SUM(C14,-Asset_2012_Table!C16)</f>
        <v>0</v>
      </c>
      <c r="D39" s="109">
        <f>SUM(D14,-Asset_2012_Table!D16)</f>
        <v>0</v>
      </c>
      <c r="E39" s="109">
        <f>SUM(E14,-Asset_2012_Table!E16)</f>
        <v>0</v>
      </c>
      <c r="F39" s="109">
        <f>SUM(F14,-Asset_2012_Table!F16)</f>
        <v>0</v>
      </c>
      <c r="G39" s="254"/>
      <c r="H39" s="110">
        <f>SUM(H14,-Asset_2012_Table!H16)</f>
        <v>0</v>
      </c>
      <c r="I39" s="359">
        <f>SUM(I14,-Asset_2012_Table!J16)</f>
        <v>0</v>
      </c>
      <c r="J39" s="360">
        <f>SUM(J14,-Asset_2012_Table!K16)</f>
        <v>0</v>
      </c>
      <c r="U39" s="2"/>
      <c r="V39" s="2"/>
      <c r="W39" s="2"/>
      <c r="X39" s="2"/>
      <c r="Y39" s="2"/>
      <c r="Z39" s="2"/>
      <c r="AA39" s="2"/>
      <c r="AB39" s="2"/>
      <c r="AC39" s="2"/>
      <c r="AD39" s="2"/>
    </row>
    <row r="40" spans="2:30" customFormat="1" x14ac:dyDescent="0.25">
      <c r="B40" s="48" t="s">
        <v>65</v>
      </c>
      <c r="C40" s="254"/>
      <c r="D40" s="109">
        <f>SUM(D15,-Asset_2012_Table!D17)</f>
        <v>0</v>
      </c>
      <c r="E40" s="109">
        <f>SUM(E15,-Asset_2012_Table!E17)</f>
        <v>0</v>
      </c>
      <c r="F40" s="254"/>
      <c r="G40" s="109">
        <f>SUM(G15,-Asset_2012_Table!G17)</f>
        <v>0</v>
      </c>
      <c r="H40" s="117">
        <f>SUM(H15,-Asset_2012_Table!H17)</f>
        <v>0</v>
      </c>
      <c r="I40" s="359"/>
      <c r="J40" s="360"/>
      <c r="U40" s="2"/>
      <c r="V40" s="2"/>
      <c r="W40" s="2"/>
      <c r="X40" s="2"/>
      <c r="Y40" s="2"/>
      <c r="Z40" s="2"/>
      <c r="AA40" s="2"/>
      <c r="AB40" s="2"/>
      <c r="AC40" s="2"/>
      <c r="AD40" s="2"/>
    </row>
    <row r="41" spans="2:30" customFormat="1" x14ac:dyDescent="0.25">
      <c r="B41" s="48" t="s">
        <v>66</v>
      </c>
      <c r="C41" s="254"/>
      <c r="D41" s="109">
        <f>SUM(D16,-Asset_2012_Table!D18)</f>
        <v>0</v>
      </c>
      <c r="E41" s="109">
        <f>SUM(E16,-Asset_2012_Table!E18)</f>
        <v>0</v>
      </c>
      <c r="F41" s="254"/>
      <c r="G41" s="109">
        <f>SUM(G16,-Asset_2012_Table!G18)</f>
        <v>0</v>
      </c>
      <c r="H41" s="117">
        <f>SUM(H16,-Asset_2012_Table!H18)</f>
        <v>0</v>
      </c>
      <c r="I41" s="359"/>
      <c r="J41" s="360"/>
      <c r="U41" s="2"/>
      <c r="V41" s="2"/>
      <c r="W41" s="2"/>
      <c r="X41" s="2"/>
      <c r="Y41" s="2"/>
      <c r="Z41" s="2"/>
      <c r="AA41" s="2"/>
      <c r="AB41" s="2"/>
      <c r="AC41" s="2"/>
      <c r="AD41" s="2"/>
    </row>
    <row r="42" spans="2:30" customFormat="1" x14ac:dyDescent="0.25">
      <c r="B42" s="48" t="s">
        <v>67</v>
      </c>
      <c r="C42" s="109">
        <f>SUM(C17,-Asset_2012_Table!C19)</f>
        <v>0</v>
      </c>
      <c r="D42" s="109">
        <f>SUM(D17,-Asset_2012_Table!D19)</f>
        <v>0</v>
      </c>
      <c r="E42" s="109">
        <f>SUM(E17,-Asset_2012_Table!E19)</f>
        <v>0</v>
      </c>
      <c r="F42" s="109">
        <f>SUM(F17,-Asset_2012_Table!F19)</f>
        <v>173</v>
      </c>
      <c r="G42" s="109">
        <f>SUM(G17,-Asset_2012_Table!G19)</f>
        <v>182</v>
      </c>
      <c r="H42" s="117">
        <f>SUM(H17,-Asset_2012_Table!H19)</f>
        <v>355</v>
      </c>
      <c r="I42" s="359"/>
      <c r="J42" s="360"/>
      <c r="U42" s="2"/>
      <c r="V42" s="2"/>
      <c r="W42" s="2"/>
      <c r="X42" s="2"/>
      <c r="Y42" s="2"/>
      <c r="Z42" s="2"/>
      <c r="AA42" s="2"/>
      <c r="AB42" s="2"/>
      <c r="AC42" s="2"/>
      <c r="AD42" s="2"/>
    </row>
    <row r="43" spans="2:30" customFormat="1" ht="15.75" thickBot="1" x14ac:dyDescent="0.3">
      <c r="B43" s="47" t="s">
        <v>63</v>
      </c>
      <c r="C43" s="118">
        <f>SUM(C18,-Asset_2012_Table!C20)</f>
        <v>0</v>
      </c>
      <c r="D43" s="118">
        <f>SUM(D18,-Asset_2012_Table!D20)</f>
        <v>0</v>
      </c>
      <c r="E43" s="118">
        <f>SUM(E18,-Asset_2012_Table!E20)</f>
        <v>0</v>
      </c>
      <c r="F43" s="118">
        <f>SUM(F18,-Asset_2012_Table!F20)</f>
        <v>173</v>
      </c>
      <c r="G43" s="118">
        <f>SUM(G18,-Asset_2012_Table!G20)</f>
        <v>182</v>
      </c>
      <c r="H43" s="117">
        <f>SUM(H18,-Asset_2012_Table!H20)</f>
        <v>355</v>
      </c>
      <c r="I43" s="361">
        <f>SUM(I18,-Asset_2012_Table!J20)</f>
        <v>0</v>
      </c>
      <c r="J43" s="362">
        <f>SUM(J18,-Asset_2012_Table!K20)</f>
        <v>0</v>
      </c>
      <c r="U43" s="2"/>
      <c r="V43" s="2"/>
      <c r="W43" s="2"/>
      <c r="X43" s="2"/>
      <c r="Y43" s="2"/>
      <c r="Z43" s="2"/>
      <c r="AA43" s="2"/>
      <c r="AB43" s="2"/>
      <c r="AC43" s="2"/>
      <c r="AD43" s="2"/>
    </row>
    <row r="44" spans="2:30" x14ac:dyDescent="0.25">
      <c r="B44" s="59"/>
      <c r="C44" s="103"/>
      <c r="D44" s="103"/>
      <c r="E44" s="103"/>
      <c r="F44" s="103"/>
      <c r="G44" s="103"/>
      <c r="H44" s="104"/>
    </row>
    <row r="45" spans="2:30" x14ac:dyDescent="0.25">
      <c r="B45" s="69" t="s">
        <v>72</v>
      </c>
      <c r="C45" s="119">
        <f>-SUM(C28,C35,-C43,-C47)</f>
        <v>0</v>
      </c>
      <c r="D45" s="119" t="e">
        <f>SUM(#REF!,-Asset_2012_Table!D22)</f>
        <v>#REF!</v>
      </c>
      <c r="E45" s="119" t="e">
        <f>SUM(#REF!,-Asset_2012_Table!E22)</f>
        <v>#REF!</v>
      </c>
      <c r="F45" s="119" t="e">
        <f>SUM(#REF!,-Asset_2012_Table!F22)</f>
        <v>#REF!</v>
      </c>
      <c r="G45" s="119" t="e">
        <f>SUM(#REF!,-Asset_2012_Table!G22)</f>
        <v>#REF!</v>
      </c>
      <c r="H45" s="120" t="e">
        <f>SUM(#REF!,-Asset_2012_Table!H22)</f>
        <v>#REF!</v>
      </c>
    </row>
    <row r="46" spans="2:30" x14ac:dyDescent="0.25">
      <c r="B46" s="59"/>
      <c r="C46" s="103"/>
      <c r="D46" s="103"/>
      <c r="E46" s="103"/>
      <c r="F46" s="103"/>
      <c r="G46" s="103"/>
      <c r="H46" s="104"/>
    </row>
    <row r="47" spans="2:30" ht="15.75" thickBot="1" x14ac:dyDescent="0.3">
      <c r="B47" s="49" t="s">
        <v>64</v>
      </c>
      <c r="C47" s="121">
        <f>SUM(Asset_2012_Table!C49)</f>
        <v>0</v>
      </c>
      <c r="D47" s="121">
        <f>SUM(Asset_2012_Table!D49)</f>
        <v>0</v>
      </c>
      <c r="E47" s="121">
        <f>SUM(Asset_2012_Table!E49)</f>
        <v>0</v>
      </c>
      <c r="F47" s="121">
        <f>SUM(Asset_2012_Table!F49)</f>
        <v>0</v>
      </c>
      <c r="G47" s="121">
        <f>SUM(Asset_2012_Table!G49)</f>
        <v>0</v>
      </c>
      <c r="H47" s="122">
        <f>SUM(C47:G47)</f>
        <v>0</v>
      </c>
    </row>
  </sheetData>
  <mergeCells count="2">
    <mergeCell ref="C3:E3"/>
    <mergeCell ref="C26:E26"/>
  </mergeCells>
  <hyperlinks>
    <hyperlink ref="I8" location="'W-Assets_Data&amp;Method_2012'!F58" display="'W-Assets_Data&amp;Method_2012'!F58"/>
    <hyperlink ref="I14" location="'W-Assets_Data&amp;Method_2012'!F59" display="'W-Assets_Data&amp;Method_2012'!F59"/>
    <hyperlink ref="J8" location="'W-Assets_Data&amp;Method_2012'!F58" display="'W-Assets_Data&amp;Method_2012'!F58"/>
    <hyperlink ref="J9" location="'W-Assets_Data&amp;Method_2012'!F61" display="'W-Assets_Data&amp;Method_2012'!F61"/>
    <hyperlink ref="J14" location="'W-Assets_Data&amp;Method_2012'!F59" display="'W-Assets_Data&amp;Method_2012'!F59"/>
    <hyperlink ref="I22" location="'W-Assets_Data&amp;Method_2012'!F60" display="'W-Assets_Data&amp;Method_2012'!F60"/>
    <hyperlink ref="J23" location="'W-Assets_Data&amp;Method_2012'!F62" display="'W-Assets_Data&amp;Method_2012'!F62"/>
  </hyperlink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V52"/>
  <sheetViews>
    <sheetView zoomScale="110" zoomScaleNormal="110" workbookViewId="0">
      <pane ySplit="4" topLeftCell="A5" activePane="bottomLeft" state="frozen"/>
      <selection activeCell="D15" sqref="D15"/>
      <selection pane="bottomLeft" activeCell="M13" sqref="M13"/>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6.28515625" customWidth="1"/>
    <col min="13" max="14" width="9.85546875" customWidth="1"/>
    <col min="15" max="15" width="9" customWidth="1"/>
    <col min="16" max="16" width="11" customWidth="1"/>
    <col min="17" max="17" width="11.140625" customWidth="1"/>
    <col min="18" max="18" width="11.85546875" customWidth="1"/>
    <col min="22" max="16384" width="9.140625" style="2"/>
  </cols>
  <sheetData>
    <row r="1" spans="2:22" x14ac:dyDescent="0.25">
      <c r="B1" s="66" t="s">
        <v>1313</v>
      </c>
      <c r="C1" s="3"/>
      <c r="D1" s="3"/>
      <c r="E1" s="3"/>
      <c r="F1" s="3"/>
      <c r="G1" s="3"/>
      <c r="H1"/>
      <c r="J1"/>
      <c r="K1"/>
    </row>
    <row r="2" spans="2:22" customFormat="1" ht="3.75" customHeight="1" thickBot="1" x14ac:dyDescent="0.3"/>
    <row r="3" spans="2:22" ht="24.75" x14ac:dyDescent="0.25">
      <c r="B3" s="34" t="s">
        <v>69</v>
      </c>
      <c r="C3" s="1726" t="s">
        <v>49</v>
      </c>
      <c r="D3" s="1727"/>
      <c r="E3" s="1728"/>
      <c r="F3" s="366" t="s">
        <v>50</v>
      </c>
      <c r="G3" s="367" t="s">
        <v>51</v>
      </c>
      <c r="H3" s="363" t="s">
        <v>3</v>
      </c>
      <c r="I3" s="58"/>
      <c r="J3" s="365" t="s">
        <v>70</v>
      </c>
      <c r="K3" s="363" t="s">
        <v>71</v>
      </c>
      <c r="V3" s="6"/>
    </row>
    <row r="4" spans="2:22" ht="18" customHeight="1" thickBot="1" x14ac:dyDescent="0.3">
      <c r="B4" s="38"/>
      <c r="C4" s="370" t="s">
        <v>52</v>
      </c>
      <c r="D4" s="370" t="s">
        <v>68</v>
      </c>
      <c r="E4" s="370" t="s">
        <v>53</v>
      </c>
      <c r="F4" s="40"/>
      <c r="G4" s="41"/>
      <c r="H4" s="42"/>
      <c r="I4" s="58"/>
      <c r="J4" s="369"/>
      <c r="K4" s="372"/>
      <c r="V4" s="6"/>
    </row>
    <row r="5" spans="2:22" x14ac:dyDescent="0.25">
      <c r="B5" s="43" t="s">
        <v>54</v>
      </c>
      <c r="C5" s="130">
        <f>SUM(Asset_2012_Table!C5)</f>
        <v>258131.69363122003</v>
      </c>
      <c r="D5" s="130">
        <f>SUM(Asset_2012_Table!D5)</f>
        <v>1264</v>
      </c>
      <c r="E5" s="130">
        <f>SUM(Asset_2012_Table!E5)</f>
        <v>60.39146637882353</v>
      </c>
      <c r="F5" s="130">
        <f>SUM(Asset_2012_Table!F5)</f>
        <v>3388.8607500000003</v>
      </c>
      <c r="G5" s="130">
        <f>SUM(Asset_2012_Table!G5)</f>
        <v>62127</v>
      </c>
      <c r="H5" s="102">
        <f>SUM(C5:G5)</f>
        <v>324971.94584759884</v>
      </c>
      <c r="I5" s="58"/>
      <c r="J5" s="63"/>
      <c r="K5" s="50"/>
      <c r="V5" s="5"/>
    </row>
    <row r="6" spans="2:22" ht="3" customHeight="1" thickBot="1" x14ac:dyDescent="0.3">
      <c r="B6" s="59"/>
      <c r="C6" s="103"/>
      <c r="D6" s="103"/>
      <c r="E6" s="103"/>
      <c r="F6" s="103"/>
      <c r="G6" s="103"/>
      <c r="H6" s="104"/>
      <c r="I6" s="58"/>
      <c r="J6" s="439"/>
      <c r="K6" s="439"/>
      <c r="V6" s="4"/>
    </row>
    <row r="7" spans="2:22" ht="15.75" thickBot="1" x14ac:dyDescent="0.3">
      <c r="B7" s="52" t="s">
        <v>55</v>
      </c>
      <c r="C7" s="105"/>
      <c r="D7" s="105"/>
      <c r="E7" s="105"/>
      <c r="F7" s="105"/>
      <c r="G7" s="105"/>
      <c r="H7" s="106"/>
      <c r="I7" s="58"/>
      <c r="J7" s="56"/>
      <c r="K7" s="57"/>
      <c r="V7" s="4"/>
    </row>
    <row r="8" spans="2:22" x14ac:dyDescent="0.25">
      <c r="B8" s="51" t="s">
        <v>56</v>
      </c>
      <c r="C8" s="107">
        <f>SUM(Asset_2012_Table!C8,+(0))</f>
        <v>0.918674462618018</v>
      </c>
      <c r="D8" s="107">
        <f>SUM(Asset_2012_Table!D8,+(0))</f>
        <v>321.53606191630627</v>
      </c>
      <c r="E8" s="107">
        <f>SUM(Asset_2012_Table!E8,+(0))</f>
        <v>0</v>
      </c>
      <c r="F8" s="107">
        <f>SUM(Asset_2012_Table!F8,+(0))</f>
        <v>135.73415185181216</v>
      </c>
      <c r="G8" s="107">
        <f>SUM(Asset_2012_Table!G8,+(0))</f>
        <v>1.1483430782725224</v>
      </c>
      <c r="H8" s="108">
        <f>SUM(C8:G8)</f>
        <v>459.33723130900898</v>
      </c>
      <c r="I8" s="58"/>
      <c r="J8" s="384"/>
      <c r="K8" s="385"/>
      <c r="V8" s="4"/>
    </row>
    <row r="9" spans="2:22" x14ac:dyDescent="0.25">
      <c r="B9" s="44" t="s">
        <v>48</v>
      </c>
      <c r="C9" s="109">
        <f>SUM(Asset_2012_Table!C9,+(0))</f>
        <v>2204.8333346716727</v>
      </c>
      <c r="D9" s="109">
        <f>SUM(Asset_2012_Table!D9,+(0))</f>
        <v>2626.9653899641216</v>
      </c>
      <c r="E9" s="109">
        <f>SUM(Asset_2012_Table!E9,+(0))</f>
        <v>107.78171835098837</v>
      </c>
      <c r="F9" s="109">
        <f>SUM(Asset_2012_Table!F9,+(0))</f>
        <v>28620.299157013218</v>
      </c>
      <c r="G9" s="254"/>
      <c r="H9" s="110">
        <f>SUM(C9:G9)</f>
        <v>33559.8796</v>
      </c>
      <c r="I9" s="58"/>
      <c r="J9" s="392">
        <f>+(H9)</f>
        <v>33559.8796</v>
      </c>
      <c r="K9" s="393">
        <f>+(H9)</f>
        <v>33559.8796</v>
      </c>
      <c r="V9" s="4"/>
    </row>
    <row r="10" spans="2:22" x14ac:dyDescent="0.25">
      <c r="B10" s="45" t="s">
        <v>57</v>
      </c>
      <c r="C10" s="109">
        <f>SUM(Asset_2012_Table!C10,+(0))</f>
        <v>0</v>
      </c>
      <c r="D10" s="111">
        <f>SUM(Asset_2012_Table!D10,+(0))</f>
        <v>850.20267600000011</v>
      </c>
      <c r="E10" s="109">
        <f>SUM(Asset_2012_Table!E10,+(0))</f>
        <v>0</v>
      </c>
      <c r="F10" s="254"/>
      <c r="G10" s="109">
        <f>SUM(Asset_2012_Table!G10,+(0))</f>
        <v>0</v>
      </c>
      <c r="H10" s="110">
        <f>SUM(C10:G10)</f>
        <v>850.20267600000011</v>
      </c>
      <c r="I10" s="58"/>
      <c r="J10" s="386"/>
      <c r="K10" s="393">
        <f>+(H10)</f>
        <v>850.20267600000011</v>
      </c>
      <c r="M10" s="1680">
        <f>+H10/H17</f>
        <v>0.13221845992012665</v>
      </c>
      <c r="N10" s="400">
        <f>+H17/H10</f>
        <v>7.5632404174432324</v>
      </c>
      <c r="V10" s="4"/>
    </row>
    <row r="11" spans="2:22" x14ac:dyDescent="0.25">
      <c r="B11" s="44" t="s">
        <v>58</v>
      </c>
      <c r="C11" s="109">
        <f>SUM(Asset_2012_Table!C11,+(0))</f>
        <v>1636</v>
      </c>
      <c r="D11" s="109">
        <f>SUM(Asset_2012_Table!D11,+(436))</f>
        <v>4858.5199999999995</v>
      </c>
      <c r="E11" s="112">
        <f>SUM(Asset_2012_Table!E11,+(67.2))</f>
        <v>288.32599999999996</v>
      </c>
      <c r="F11" s="112">
        <f>SUM(Asset_2012_Table!F11,+(0))</f>
        <v>911.12000000000012</v>
      </c>
      <c r="G11" s="112">
        <f>SUM(Asset_2012_Table!G11,+(0))</f>
        <v>3644.4800000000005</v>
      </c>
      <c r="H11" s="110">
        <f>SUM(C11:G11)</f>
        <v>11338.446</v>
      </c>
      <c r="I11" s="58"/>
      <c r="J11" s="386"/>
      <c r="K11" s="387"/>
      <c r="V11" s="4"/>
    </row>
    <row r="12" spans="2:22" x14ac:dyDescent="0.25">
      <c r="B12" s="46" t="s">
        <v>59</v>
      </c>
      <c r="C12" s="113">
        <f>SUM(C8:C11)</f>
        <v>3841.7520091342908</v>
      </c>
      <c r="D12" s="113">
        <f>SUM(D8:D11)</f>
        <v>8657.2241278804286</v>
      </c>
      <c r="E12" s="113">
        <f>SUM(E8:E11)</f>
        <v>396.10771835098831</v>
      </c>
      <c r="F12" s="113">
        <f>SUM(F8:F11)</f>
        <v>29667.153308865029</v>
      </c>
      <c r="G12" s="113">
        <f>SUM(G8:G11)</f>
        <v>3645.6283430782728</v>
      </c>
      <c r="H12" s="110">
        <f>SUM(C12:G12)</f>
        <v>46207.865507309005</v>
      </c>
      <c r="I12" s="58"/>
      <c r="J12" s="351">
        <f>SUM(J8:J11)</f>
        <v>33559.8796</v>
      </c>
      <c r="K12" s="352">
        <f>SUM(K8:K11)</f>
        <v>34410.082276000001</v>
      </c>
      <c r="V12" s="4"/>
    </row>
    <row r="13" spans="2:22" customFormat="1" ht="6" customHeight="1" thickBot="1" x14ac:dyDescent="0.3">
      <c r="B13" s="59"/>
      <c r="C13" s="103"/>
      <c r="D13" s="103"/>
      <c r="E13" s="103"/>
      <c r="F13" s="103"/>
      <c r="G13" s="103"/>
      <c r="H13" s="104"/>
      <c r="I13" s="58"/>
      <c r="J13" s="353"/>
      <c r="K13" s="354"/>
    </row>
    <row r="14" spans="2:22" ht="15.75" thickBot="1" x14ac:dyDescent="0.3">
      <c r="B14" s="54" t="s">
        <v>60</v>
      </c>
      <c r="C14" s="114"/>
      <c r="D14" s="114"/>
      <c r="E14" s="114"/>
      <c r="F14" s="114"/>
      <c r="G14" s="114"/>
      <c r="H14" s="115"/>
      <c r="I14" s="58"/>
      <c r="J14" s="355"/>
      <c r="K14" s="356"/>
      <c r="V14" s="4"/>
    </row>
    <row r="15" spans="2:22" x14ac:dyDescent="0.25">
      <c r="B15" s="53" t="s">
        <v>61</v>
      </c>
      <c r="C15" s="109">
        <f>SUM(Asset_2012_Table!C15,+(0))</f>
        <v>18.292297238757076</v>
      </c>
      <c r="D15" s="107">
        <f>SUM(Asset_2012_Table!D15,+(0))</f>
        <v>314.34786563005042</v>
      </c>
      <c r="E15" s="107">
        <f>SUM(Asset_2012_Table!E15,+(0))</f>
        <v>260.10506483625124</v>
      </c>
      <c r="F15" s="107">
        <f>SUM(Asset_2012_Table!F15,+(0))</f>
        <v>0</v>
      </c>
      <c r="G15" s="107">
        <f>SUM(Asset_2012_Table!G15,+(0))</f>
        <v>63.450817022096935</v>
      </c>
      <c r="H15" s="116">
        <f t="shared" ref="H15:H20" si="0">SUM(C15:G15)</f>
        <v>656.19604472715571</v>
      </c>
      <c r="I15" s="58"/>
      <c r="J15" s="357"/>
      <c r="K15" s="358"/>
      <c r="M15" s="67"/>
      <c r="V15" s="4"/>
    </row>
    <row r="16" spans="2:22" x14ac:dyDescent="0.25">
      <c r="B16" s="48" t="s">
        <v>1718</v>
      </c>
      <c r="C16" s="109">
        <f>SUM(Asset_2012_Table!C16,+(0))</f>
        <v>1400.9385338818297</v>
      </c>
      <c r="D16" s="109">
        <f>SUM(Asset_2012_Table!D16,+(0))</f>
        <v>55.818756</v>
      </c>
      <c r="E16" s="109">
        <f>SUM(Asset_2012_Table!E16,+(0))</f>
        <v>16.815535662600585</v>
      </c>
      <c r="F16" s="109">
        <f>SUM(Asset_2012_Table!F16,+(0))</f>
        <v>21277.19157445557</v>
      </c>
      <c r="G16" s="254"/>
      <c r="H16" s="110">
        <f t="shared" si="0"/>
        <v>22750.7644</v>
      </c>
      <c r="I16" s="58"/>
      <c r="J16" s="392">
        <f>+(H16)</f>
        <v>22750.7644</v>
      </c>
      <c r="K16" s="394">
        <f>+(H16)</f>
        <v>22750.7644</v>
      </c>
      <c r="V16" s="4"/>
    </row>
    <row r="17" spans="2:22" x14ac:dyDescent="0.25">
      <c r="B17" s="48" t="s">
        <v>65</v>
      </c>
      <c r="C17" s="254"/>
      <c r="D17" s="109">
        <f>SUM(Asset_2012_Table!D17,+(-9))</f>
        <v>6430.2872421415941</v>
      </c>
      <c r="E17" s="109">
        <f>SUM(Asset_2012_Table!E17,+(0))</f>
        <v>0</v>
      </c>
      <c r="F17" s="254"/>
      <c r="G17" s="109">
        <f>SUM(Asset_2012_Table!G17,+(0))</f>
        <v>0</v>
      </c>
      <c r="H17" s="117">
        <f t="shared" si="0"/>
        <v>6430.2872421415941</v>
      </c>
      <c r="I17" s="58"/>
      <c r="J17" s="359"/>
      <c r="K17" s="360"/>
      <c r="N17" s="4">
        <f>+H17-H10</f>
        <v>5580.0845661415942</v>
      </c>
      <c r="O17" s="1680">
        <f>+N17/H5</f>
        <v>1.7170973179200123E-2</v>
      </c>
      <c r="P17" s="1680">
        <f>+N17/K9</f>
        <v>0.16627248466474218</v>
      </c>
      <c r="V17" s="4"/>
    </row>
    <row r="18" spans="2:22" x14ac:dyDescent="0.25">
      <c r="B18" s="48" t="s">
        <v>66</v>
      </c>
      <c r="C18" s="254"/>
      <c r="D18" s="109">
        <f>SUM(Asset_2012_Table!D18,+(0))</f>
        <v>0</v>
      </c>
      <c r="E18" s="109">
        <f>SUM(Asset_2012_Table!E18,+(0))</f>
        <v>0</v>
      </c>
      <c r="F18" s="254"/>
      <c r="G18" s="109">
        <f>SUM(Asset_2012_Table!G18,+(0))</f>
        <v>0</v>
      </c>
      <c r="H18" s="117">
        <f t="shared" si="0"/>
        <v>0</v>
      </c>
      <c r="I18" s="58"/>
      <c r="J18" s="359"/>
      <c r="K18" s="360"/>
      <c r="P18" s="1680">
        <f>+N17/K28</f>
        <v>0.47859442769185151</v>
      </c>
      <c r="V18" s="4"/>
    </row>
    <row r="19" spans="2:22" x14ac:dyDescent="0.25">
      <c r="B19" s="48" t="s">
        <v>67</v>
      </c>
      <c r="C19" s="109">
        <f>SUM(Asset_2012_Table!C19,+(0))</f>
        <v>2864.2141370574536</v>
      </c>
      <c r="D19" s="109">
        <f>SUM(Asset_2012_Table!D19,+(0))</f>
        <v>1857.126</v>
      </c>
      <c r="E19" s="109">
        <f>SUM(Asset_2012_Table!E19,+(-15))</f>
        <v>116.56308734039536</v>
      </c>
      <c r="F19" s="109">
        <f>SUM(Asset_2012_Table!F19,+(163))</f>
        <v>8390.1537912788244</v>
      </c>
      <c r="G19" s="109">
        <f>SUM(Asset_2012_Table!G19,+(182))</f>
        <v>3581.8873800000001</v>
      </c>
      <c r="H19" s="117">
        <f t="shared" si="0"/>
        <v>16809.944395676674</v>
      </c>
      <c r="I19" s="58"/>
      <c r="J19" s="359"/>
      <c r="K19" s="360"/>
      <c r="V19" s="4"/>
    </row>
    <row r="20" spans="2:22" ht="15.75" thickBot="1" x14ac:dyDescent="0.3">
      <c r="B20" s="47" t="s">
        <v>63</v>
      </c>
      <c r="C20" s="118">
        <f>SUM(C15:C19)</f>
        <v>4283.4449681780407</v>
      </c>
      <c r="D20" s="118">
        <f>SUM(D15:D19)</f>
        <v>8657.5798637716434</v>
      </c>
      <c r="E20" s="118">
        <f>SUM(E15:E19)</f>
        <v>393.48368783924718</v>
      </c>
      <c r="F20" s="118">
        <f>SUM(F15:F19)</f>
        <v>29667.345365734393</v>
      </c>
      <c r="G20" s="118">
        <f>SUM(G15:G19)</f>
        <v>3645.3381970220971</v>
      </c>
      <c r="H20" s="117">
        <f t="shared" si="0"/>
        <v>46647.192082545414</v>
      </c>
      <c r="I20" s="58"/>
      <c r="J20" s="361">
        <f>SUM(J15:J19)</f>
        <v>22750.7644</v>
      </c>
      <c r="K20" s="362">
        <f>SUM(K15:K19)</f>
        <v>22750.7644</v>
      </c>
      <c r="V20" s="4"/>
    </row>
    <row r="21" spans="2:22" customFormat="1" ht="3" customHeight="1" x14ac:dyDescent="0.25">
      <c r="B21" s="59"/>
      <c r="C21" s="103"/>
      <c r="D21" s="103"/>
      <c r="E21" s="103"/>
      <c r="F21" s="103"/>
      <c r="G21" s="103"/>
      <c r="H21" s="104"/>
      <c r="I21" s="58"/>
      <c r="J21" s="439"/>
      <c r="K21" s="439"/>
    </row>
    <row r="22" spans="2:22" x14ac:dyDescent="0.25">
      <c r="B22" s="69" t="s">
        <v>72</v>
      </c>
      <c r="C22" s="119">
        <f>-SUM(C5,C12,-C20,-C24)</f>
        <v>0</v>
      </c>
      <c r="D22" s="119">
        <f>-SUM(D5,D12,-D20,-D24)</f>
        <v>0.35573589121486293</v>
      </c>
      <c r="E22" s="119">
        <f>-SUM(E5,E12,-E20,-E24)</f>
        <v>-0.40202735644699317</v>
      </c>
      <c r="F22" s="119">
        <f>-SUM(F5,F12,-F20,-F24)</f>
        <v>0.19205686936084021</v>
      </c>
      <c r="G22" s="119">
        <f>-SUM(G5,G12,-G20,-G24)</f>
        <v>-0.29014605618431233</v>
      </c>
      <c r="H22" s="120">
        <f>SUM(C22:G22)</f>
        <v>-0.14438065205560235</v>
      </c>
      <c r="I22" s="58"/>
      <c r="J22" s="441"/>
      <c r="K22" s="441"/>
      <c r="V22" s="4"/>
    </row>
    <row r="23" spans="2:22" customFormat="1" ht="3" customHeight="1" x14ac:dyDescent="0.25">
      <c r="B23" s="59"/>
      <c r="C23" s="103"/>
      <c r="D23" s="103"/>
      <c r="E23" s="103"/>
      <c r="F23" s="103"/>
      <c r="G23" s="103"/>
      <c r="H23" s="104"/>
      <c r="I23" s="58"/>
      <c r="J23" s="441"/>
      <c r="K23" s="441"/>
    </row>
    <row r="24" spans="2:22" ht="15.75" thickBot="1" x14ac:dyDescent="0.3">
      <c r="B24" s="49" t="s">
        <v>64</v>
      </c>
      <c r="C24" s="121">
        <f>SUM(Asset_2012_Table!C24)</f>
        <v>257690.00067217631</v>
      </c>
      <c r="D24" s="121">
        <f>SUM(Asset_2012_Table!D24)</f>
        <v>1264</v>
      </c>
      <c r="E24" s="121">
        <f>SUM(Asset_2012_Table!E24)</f>
        <v>62.613469534117641</v>
      </c>
      <c r="F24" s="121">
        <f>SUM(Asset_2012_Table!F24)</f>
        <v>3388.8607500000003</v>
      </c>
      <c r="G24" s="121">
        <f>SUM(Asset_2012_Table!G24)</f>
        <v>62127</v>
      </c>
      <c r="H24" s="122">
        <f>SUM(C24:G24)</f>
        <v>324532.47489171044</v>
      </c>
      <c r="I24" s="58"/>
      <c r="J24" s="441"/>
      <c r="K24" s="441"/>
      <c r="M24" s="4">
        <f>+H24-H5</f>
        <v>-439.47095588839147</v>
      </c>
      <c r="N24" s="1675">
        <f>+M24/H5</f>
        <v>-1.3523350600069611E-3</v>
      </c>
      <c r="V24" s="5"/>
    </row>
    <row r="25" spans="2:22" ht="15.75" thickBot="1" x14ac:dyDescent="0.3">
      <c r="B25" s="8"/>
      <c r="C25" s="9"/>
      <c r="D25" s="9"/>
      <c r="E25" s="9"/>
      <c r="F25" s="9"/>
      <c r="G25" s="9"/>
      <c r="H25" s="9"/>
      <c r="J25" s="441"/>
      <c r="K25" s="441"/>
      <c r="V25" s="5"/>
    </row>
    <row r="26" spans="2:22" ht="15.75" thickBot="1" x14ac:dyDescent="0.3">
      <c r="B26" s="8"/>
      <c r="C26" s="9"/>
      <c r="D26" s="9"/>
      <c r="E26" s="9"/>
      <c r="F26" s="9"/>
      <c r="G26" s="9"/>
      <c r="H26" s="9"/>
      <c r="J26" s="326" t="s">
        <v>607</v>
      </c>
      <c r="K26" s="327" t="s">
        <v>608</v>
      </c>
      <c r="V26" s="5"/>
    </row>
    <row r="27" spans="2:22" ht="15.75" thickBot="1" x14ac:dyDescent="0.3">
      <c r="B27" s="8"/>
      <c r="C27" s="9"/>
      <c r="D27" s="9"/>
      <c r="E27" s="9"/>
      <c r="F27" s="9"/>
      <c r="G27" s="9"/>
      <c r="H27" s="9"/>
      <c r="J27" s="403">
        <f>SUM(J12,-J20)</f>
        <v>10809.1152</v>
      </c>
      <c r="K27" s="442"/>
      <c r="V27" s="5"/>
    </row>
    <row r="28" spans="2:22" ht="15.75" thickBot="1" x14ac:dyDescent="0.3">
      <c r="B28" s="8"/>
      <c r="C28" s="9"/>
      <c r="D28" s="9"/>
      <c r="E28" s="9"/>
      <c r="F28" s="9"/>
      <c r="G28" s="9"/>
      <c r="H28" s="9"/>
      <c r="J28" s="325"/>
      <c r="K28" s="404">
        <f>SUM(K12,-K20)</f>
        <v>11659.317876000001</v>
      </c>
      <c r="V28" s="5"/>
    </row>
    <row r="29" spans="2:22" x14ac:dyDescent="0.25">
      <c r="H29" s="68"/>
    </row>
    <row r="30" spans="2:22" ht="15.75" thickBot="1" x14ac:dyDescent="0.3">
      <c r="B30" s="233" t="s">
        <v>947</v>
      </c>
      <c r="C30" s="233"/>
      <c r="D30" s="233"/>
      <c r="E30" s="233"/>
      <c r="F30" s="233"/>
      <c r="G30" s="233"/>
      <c r="H30" s="233"/>
      <c r="I30" s="232"/>
      <c r="J30" s="233"/>
      <c r="K30" s="233"/>
    </row>
    <row r="31" spans="2:22" ht="24.75" x14ac:dyDescent="0.25">
      <c r="B31" s="34" t="s">
        <v>69</v>
      </c>
      <c r="C31" s="1726" t="s">
        <v>49</v>
      </c>
      <c r="D31" s="1727"/>
      <c r="E31" s="1728"/>
      <c r="F31" s="35" t="s">
        <v>50</v>
      </c>
      <c r="G31" s="36" t="s">
        <v>51</v>
      </c>
      <c r="H31" s="37" t="s">
        <v>3</v>
      </c>
      <c r="I31" s="58"/>
      <c r="J31" s="61" t="s">
        <v>70</v>
      </c>
      <c r="K31" s="37" t="s">
        <v>71</v>
      </c>
    </row>
    <row r="32" spans="2:22" ht="17.25" thickBot="1" x14ac:dyDescent="0.3">
      <c r="B32" s="38"/>
      <c r="C32" s="39" t="s">
        <v>52</v>
      </c>
      <c r="D32" s="39" t="s">
        <v>68</v>
      </c>
      <c r="E32" s="39" t="s">
        <v>53</v>
      </c>
      <c r="F32" s="40"/>
      <c r="G32" s="41"/>
      <c r="H32" s="42"/>
      <c r="I32" s="58"/>
      <c r="J32" s="62"/>
      <c r="K32" s="42"/>
    </row>
    <row r="33" spans="2:11" x14ac:dyDescent="0.25">
      <c r="B33" s="43" t="s">
        <v>54</v>
      </c>
      <c r="C33" s="130">
        <f>SUM(C5,-Asset_2012_Table!C5)</f>
        <v>0</v>
      </c>
      <c r="D33" s="130">
        <f>SUM(D5,-Asset_2012_Table!D5)</f>
        <v>0</v>
      </c>
      <c r="E33" s="130">
        <f>SUM(E5,-Asset_2012_Table!E5)</f>
        <v>0</v>
      </c>
      <c r="F33" s="130">
        <f>SUM(F5,-Asset_2012_Table!F5)</f>
        <v>0</v>
      </c>
      <c r="G33" s="130">
        <f>SUM(G5,-Asset_2012_Table!G5)</f>
        <v>0</v>
      </c>
      <c r="H33" s="102">
        <f>SUM(H5,-Asset_2012_Table!H5)</f>
        <v>0</v>
      </c>
      <c r="I33" s="58"/>
      <c r="J33" s="347">
        <f>SUM(J5,-Asset_2012_Table!J5)</f>
        <v>0</v>
      </c>
      <c r="K33" s="348">
        <f>SUM(K5,-Asset_2012_Table!K5)</f>
        <v>0</v>
      </c>
    </row>
    <row r="34" spans="2:11" ht="15.75" thickBot="1" x14ac:dyDescent="0.3">
      <c r="B34" s="59"/>
      <c r="C34" s="103"/>
      <c r="D34" s="103"/>
      <c r="E34" s="103"/>
      <c r="F34" s="103"/>
      <c r="G34" s="103"/>
      <c r="H34" s="104"/>
      <c r="I34" s="58"/>
      <c r="J34" s="64"/>
      <c r="K34" s="60"/>
    </row>
    <row r="35" spans="2:11" ht="15.75" thickBot="1" x14ac:dyDescent="0.3">
      <c r="B35" s="52" t="s">
        <v>55</v>
      </c>
      <c r="C35" s="105"/>
      <c r="D35" s="105"/>
      <c r="E35" s="105"/>
      <c r="F35" s="105"/>
      <c r="G35" s="105"/>
      <c r="H35" s="106"/>
      <c r="I35" s="58"/>
      <c r="J35" s="56"/>
      <c r="K35" s="57"/>
    </row>
    <row r="36" spans="2:11" x14ac:dyDescent="0.25">
      <c r="B36" s="51" t="s">
        <v>56</v>
      </c>
      <c r="C36" s="107">
        <f>SUM(C8,-Asset_2012_Table!C8)</f>
        <v>0</v>
      </c>
      <c r="D36" s="107">
        <f>SUM(D8,-Asset_2012_Table!D8)</f>
        <v>0</v>
      </c>
      <c r="E36" s="107">
        <f>SUM(E8,-Asset_2012_Table!E8)</f>
        <v>0</v>
      </c>
      <c r="F36" s="107">
        <f>SUM(F8,-Asset_2012_Table!F8)</f>
        <v>0</v>
      </c>
      <c r="G36" s="107">
        <f>SUM(G8,-Asset_2012_Table!G8)</f>
        <v>0</v>
      </c>
      <c r="H36" s="108">
        <f>SUM(H8,-Asset_2012_Table!H8)</f>
        <v>0</v>
      </c>
      <c r="I36" s="58"/>
      <c r="J36" s="65"/>
      <c r="K36" s="55"/>
    </row>
    <row r="37" spans="2:11" x14ac:dyDescent="0.25">
      <c r="B37" s="44" t="s">
        <v>48</v>
      </c>
      <c r="C37" s="109">
        <f>SUM(C9,-Asset_2012_Table!C9)</f>
        <v>0</v>
      </c>
      <c r="D37" s="109">
        <f>SUM(D9,-Asset_2012_Table!D9)</f>
        <v>0</v>
      </c>
      <c r="E37" s="109">
        <f>SUM(E9,-Asset_2012_Table!E9)</f>
        <v>0</v>
      </c>
      <c r="F37" s="109">
        <f>SUM(F9,-Asset_2012_Table!F9)</f>
        <v>0</v>
      </c>
      <c r="G37" s="254"/>
      <c r="H37" s="110">
        <f>SUM(H9,-Asset_2012_Table!H9)</f>
        <v>0</v>
      </c>
      <c r="I37" s="58"/>
      <c r="J37" s="349">
        <f>SUM(J9,-Asset_2012_Table!J9)</f>
        <v>0</v>
      </c>
      <c r="K37" s="350">
        <f>SUM(K9,-Asset_2012_Table!K9)</f>
        <v>0</v>
      </c>
    </row>
    <row r="38" spans="2:11" x14ac:dyDescent="0.25">
      <c r="B38" s="45" t="s">
        <v>57</v>
      </c>
      <c r="C38" s="109">
        <f>SUM(C10,-Asset_2012_Table!C10)</f>
        <v>0</v>
      </c>
      <c r="D38" s="111">
        <f>SUM(D10,-Asset_2012_Table!D10)</f>
        <v>0</v>
      </c>
      <c r="E38" s="109">
        <f>SUM(E10,-Asset_2012_Table!E10)</f>
        <v>0</v>
      </c>
      <c r="F38" s="254"/>
      <c r="G38" s="109">
        <f>SUM(G10,-Asset_2012_Table!G10)</f>
        <v>0</v>
      </c>
      <c r="H38" s="110">
        <f>SUM(H10,-Asset_2012_Table!H10)</f>
        <v>0</v>
      </c>
      <c r="I38" s="58"/>
      <c r="J38" s="349"/>
      <c r="K38" s="350">
        <f>SUM(K10,-Asset_2012_Table!K10)</f>
        <v>0</v>
      </c>
    </row>
    <row r="39" spans="2:11" x14ac:dyDescent="0.25">
      <c r="B39" s="44" t="s">
        <v>58</v>
      </c>
      <c r="C39" s="109">
        <f>SUM(C11,-Asset_2012_Table!C11)</f>
        <v>0</v>
      </c>
      <c r="D39" s="109">
        <f>SUM(D11,-Asset_2012_Table!D11)</f>
        <v>436</v>
      </c>
      <c r="E39" s="112">
        <f>SUM(E11,-Asset_2012_Table!E11)</f>
        <v>67.199999999999989</v>
      </c>
      <c r="F39" s="112">
        <f>SUM(F11,-Asset_2012_Table!F11)</f>
        <v>0</v>
      </c>
      <c r="G39" s="112">
        <f>SUM(G11,-Asset_2012_Table!G11)</f>
        <v>0</v>
      </c>
      <c r="H39" s="110">
        <f>SUM(H11,-Asset_2012_Table!H11)</f>
        <v>503.20000000000073</v>
      </c>
      <c r="I39" s="58"/>
      <c r="J39" s="349"/>
      <c r="K39" s="350"/>
    </row>
    <row r="40" spans="2:11" x14ac:dyDescent="0.25">
      <c r="B40" s="46" t="s">
        <v>59</v>
      </c>
      <c r="C40" s="113">
        <f>SUM(C12,-Asset_2012_Table!C12)</f>
        <v>0</v>
      </c>
      <c r="D40" s="113">
        <f>SUM(D12,-Asset_2012_Table!D12)</f>
        <v>436</v>
      </c>
      <c r="E40" s="113">
        <f>SUM(E12,-Asset_2012_Table!E12)</f>
        <v>67.199999999999932</v>
      </c>
      <c r="F40" s="113">
        <f>SUM(F12,-Asset_2012_Table!F12)</f>
        <v>0</v>
      </c>
      <c r="G40" s="113">
        <f>SUM(G12,-Asset_2012_Table!G12)</f>
        <v>0</v>
      </c>
      <c r="H40" s="110">
        <f>SUM(H12,-Asset_2012_Table!H12)</f>
        <v>503.19999999999709</v>
      </c>
      <c r="I40" s="58"/>
      <c r="J40" s="351">
        <f>SUM(J12,-Asset_2012_Table!J12)</f>
        <v>0</v>
      </c>
      <c r="K40" s="352">
        <f>SUM(K12,-Asset_2012_Table!K12)</f>
        <v>0</v>
      </c>
    </row>
    <row r="41" spans="2:11" ht="15.75" thickBot="1" x14ac:dyDescent="0.3">
      <c r="B41" s="59"/>
      <c r="C41" s="103"/>
      <c r="D41" s="103"/>
      <c r="E41" s="103"/>
      <c r="F41" s="103"/>
      <c r="G41" s="103"/>
      <c r="H41" s="104"/>
      <c r="I41" s="58"/>
      <c r="J41" s="353"/>
      <c r="K41" s="354"/>
    </row>
    <row r="42" spans="2:11" ht="15.75" thickBot="1" x14ac:dyDescent="0.3">
      <c r="B42" s="54" t="s">
        <v>60</v>
      </c>
      <c r="C42" s="114"/>
      <c r="D42" s="114"/>
      <c r="E42" s="114"/>
      <c r="F42" s="114"/>
      <c r="G42" s="114"/>
      <c r="H42" s="115"/>
      <c r="I42" s="58"/>
      <c r="J42" s="355"/>
      <c r="K42" s="356"/>
    </row>
    <row r="43" spans="2:11" x14ac:dyDescent="0.25">
      <c r="B43" s="53" t="s">
        <v>61</v>
      </c>
      <c r="C43" s="109">
        <f>SUM(C15,-Asset_2012_Table!C15)</f>
        <v>0</v>
      </c>
      <c r="D43" s="107">
        <f>SUM(D15,-Asset_2012_Table!D15)</f>
        <v>0</v>
      </c>
      <c r="E43" s="107">
        <f>SUM(E15,-Asset_2012_Table!E15)</f>
        <v>0</v>
      </c>
      <c r="F43" s="107">
        <f>SUM(F15,-Asset_2012_Table!F15)</f>
        <v>0</v>
      </c>
      <c r="G43" s="107">
        <f>SUM(G15,-Asset_2012_Table!G15)</f>
        <v>0</v>
      </c>
      <c r="H43" s="116">
        <f>SUM(H15,-Asset_2012_Table!H15)</f>
        <v>0</v>
      </c>
      <c r="I43" s="58"/>
      <c r="J43" s="357"/>
      <c r="K43" s="358"/>
    </row>
    <row r="44" spans="2:11" x14ac:dyDescent="0.25">
      <c r="B44" s="48" t="s">
        <v>62</v>
      </c>
      <c r="C44" s="109">
        <f>SUM(C16,-Asset_2012_Table!C16)</f>
        <v>0</v>
      </c>
      <c r="D44" s="109">
        <f>SUM(D16,-Asset_2012_Table!D16)</f>
        <v>0</v>
      </c>
      <c r="E44" s="109">
        <f>SUM(E16,-Asset_2012_Table!E16)</f>
        <v>0</v>
      </c>
      <c r="F44" s="109">
        <f>SUM(F16,-Asset_2012_Table!F16)</f>
        <v>0</v>
      </c>
      <c r="G44" s="254"/>
      <c r="H44" s="110">
        <f>SUM(H16,-Asset_2012_Table!H16)</f>
        <v>0</v>
      </c>
      <c r="I44" s="58"/>
      <c r="J44" s="359">
        <f>SUM(J16,-Asset_2012_Table!J16)</f>
        <v>0</v>
      </c>
      <c r="K44" s="360">
        <f>SUM(K16,-Asset_2012_Table!K16)</f>
        <v>0</v>
      </c>
    </row>
    <row r="45" spans="2:11" x14ac:dyDescent="0.25">
      <c r="B45" s="48" t="s">
        <v>65</v>
      </c>
      <c r="C45" s="254"/>
      <c r="D45" s="109">
        <f>SUM(D17,-Asset_2012_Table!D17)</f>
        <v>-9</v>
      </c>
      <c r="E45" s="109">
        <f>SUM(E17,-Asset_2012_Table!E17)</f>
        <v>0</v>
      </c>
      <c r="F45" s="254"/>
      <c r="G45" s="109">
        <f>SUM(G17,-Asset_2012_Table!G17)</f>
        <v>0</v>
      </c>
      <c r="H45" s="117">
        <f>SUM(H17,-Asset_2012_Table!H17)</f>
        <v>-9</v>
      </c>
      <c r="I45" s="58"/>
      <c r="J45" s="359"/>
      <c r="K45" s="360"/>
    </row>
    <row r="46" spans="2:11" x14ac:dyDescent="0.25">
      <c r="B46" s="48" t="s">
        <v>66</v>
      </c>
      <c r="C46" s="254"/>
      <c r="D46" s="109">
        <f>SUM(D18,-Asset_2012_Table!D18)</f>
        <v>0</v>
      </c>
      <c r="E46" s="109">
        <f>SUM(E18,-Asset_2012_Table!E18)</f>
        <v>0</v>
      </c>
      <c r="F46" s="254"/>
      <c r="G46" s="109">
        <f>SUM(G18,-Asset_2012_Table!G18)</f>
        <v>0</v>
      </c>
      <c r="H46" s="117">
        <f>SUM(H18,-Asset_2012_Table!H18)</f>
        <v>0</v>
      </c>
      <c r="I46" s="58"/>
      <c r="J46" s="359"/>
      <c r="K46" s="360"/>
    </row>
    <row r="47" spans="2:11" x14ac:dyDescent="0.25">
      <c r="B47" s="48" t="s">
        <v>67</v>
      </c>
      <c r="C47" s="109">
        <f>SUM(C19,-Asset_2012_Table!C19)</f>
        <v>0</v>
      </c>
      <c r="D47" s="109">
        <f>SUM(D19,-Asset_2012_Table!D19)</f>
        <v>0</v>
      </c>
      <c r="E47" s="109">
        <f>SUM(E19,-Asset_2012_Table!E19)</f>
        <v>-15</v>
      </c>
      <c r="F47" s="109">
        <f>SUM(F19,-Asset_2012_Table!F19)</f>
        <v>163</v>
      </c>
      <c r="G47" s="109">
        <f>SUM(G19,-Asset_2012_Table!G19)</f>
        <v>182</v>
      </c>
      <c r="H47" s="117">
        <f>SUM(H19,-Asset_2012_Table!H19)</f>
        <v>330</v>
      </c>
      <c r="I47" s="58"/>
      <c r="J47" s="359"/>
      <c r="K47" s="360"/>
    </row>
    <row r="48" spans="2:11" ht="15.75" thickBot="1" x14ac:dyDescent="0.3">
      <c r="B48" s="47" t="s">
        <v>63</v>
      </c>
      <c r="C48" s="118">
        <f>SUM(C20,-Asset_2012_Table!C20)</f>
        <v>0</v>
      </c>
      <c r="D48" s="118">
        <f>SUM(D20,-Asset_2012_Table!D20)</f>
        <v>-9</v>
      </c>
      <c r="E48" s="118">
        <f>SUM(E20,-Asset_2012_Table!E20)</f>
        <v>-15</v>
      </c>
      <c r="F48" s="118">
        <f>SUM(F20,-Asset_2012_Table!F20)</f>
        <v>163</v>
      </c>
      <c r="G48" s="118">
        <f>SUM(G20,-Asset_2012_Table!G20)</f>
        <v>182</v>
      </c>
      <c r="H48" s="117">
        <f>SUM(H20,-Asset_2012_Table!H20)</f>
        <v>321</v>
      </c>
      <c r="I48" s="58"/>
      <c r="J48" s="361">
        <f>SUM(J20,-Asset_2012_Table!J20)</f>
        <v>0</v>
      </c>
      <c r="K48" s="362">
        <f>SUM(K20,-Asset_2012_Table!K20)</f>
        <v>0</v>
      </c>
    </row>
    <row r="49" spans="2:9" x14ac:dyDescent="0.25">
      <c r="B49" s="59"/>
      <c r="C49" s="103"/>
      <c r="D49" s="103"/>
      <c r="E49" s="103"/>
      <c r="F49" s="103"/>
      <c r="G49" s="103"/>
      <c r="H49" s="104"/>
      <c r="I49" s="58"/>
    </row>
    <row r="50" spans="2:9" x14ac:dyDescent="0.25">
      <c r="B50" s="69" t="s">
        <v>72</v>
      </c>
      <c r="C50" s="119">
        <f>-SUM(C33,C40,-C48,-C52)</f>
        <v>0</v>
      </c>
      <c r="D50" s="119">
        <f>SUM(D22,-Asset_2012_Table!D22)</f>
        <v>-445</v>
      </c>
      <c r="E50" s="119">
        <f>SUM(E22,-Asset_2012_Table!E22)</f>
        <v>-82.199999999999932</v>
      </c>
      <c r="F50" s="119">
        <f>SUM(F22,-Asset_2012_Table!F22)</f>
        <v>163</v>
      </c>
      <c r="G50" s="119">
        <f>SUM(G22,-Asset_2012_Table!G22)</f>
        <v>182</v>
      </c>
      <c r="H50" s="120">
        <f>SUM(H22,-Asset_2012_Table!H22)</f>
        <v>-182.19999999999993</v>
      </c>
      <c r="I50" s="58"/>
    </row>
    <row r="51" spans="2:9" x14ac:dyDescent="0.25">
      <c r="B51" s="59"/>
      <c r="C51" s="103"/>
      <c r="D51" s="103"/>
      <c r="E51" s="103"/>
      <c r="F51" s="103"/>
      <c r="G51" s="103"/>
      <c r="H51" s="104"/>
      <c r="I51" s="58"/>
    </row>
    <row r="52" spans="2:9" ht="15.75" thickBot="1" x14ac:dyDescent="0.3">
      <c r="B52" s="49" t="s">
        <v>64</v>
      </c>
      <c r="C52" s="121">
        <f>SUM(Asset_2012_Table!C49)</f>
        <v>0</v>
      </c>
      <c r="D52" s="121">
        <f>SUM(Asset_2012_Table!D49)</f>
        <v>0</v>
      </c>
      <c r="E52" s="121">
        <f>SUM(Asset_2012_Table!E49)</f>
        <v>0</v>
      </c>
      <c r="F52" s="121">
        <f>SUM(Asset_2012_Table!F49)</f>
        <v>0</v>
      </c>
      <c r="G52" s="121">
        <f>SUM(Asset_2012_Table!G49)</f>
        <v>0</v>
      </c>
      <c r="H52" s="122">
        <f>SUM(C52:G52)</f>
        <v>0</v>
      </c>
      <c r="I52" s="58"/>
    </row>
  </sheetData>
  <mergeCells count="2">
    <mergeCell ref="C3:E3"/>
    <mergeCell ref="C31:E31"/>
  </mergeCells>
  <hyperlinks>
    <hyperlink ref="J9" location="'W-Assets_Data&amp;Method_2012'!F58" display="'W-Assets_Data&amp;Method_2012'!F58"/>
    <hyperlink ref="J16" location="'W-Assets_Data&amp;Method_2012'!F59" display="'W-Assets_Data&amp;Method_2012'!F59"/>
    <hyperlink ref="K9" location="'W-Assets_Data&amp;Method_2012'!F58" display="'W-Assets_Data&amp;Method_2012'!F58"/>
    <hyperlink ref="K10" location="'W-Assets_Data&amp;Method_2012'!F61" display="'W-Assets_Data&amp;Method_2012'!F61"/>
    <hyperlink ref="K16" location="'W-Assets_Data&amp;Method_2012'!F59" display="'W-Assets_Data&amp;Method_2012'!F59"/>
    <hyperlink ref="J27" location="'W-Assets_Data&amp;Method_2012'!F60" display="'W-Assets_Data&amp;Method_2012'!F60"/>
    <hyperlink ref="K28" location="'W-Assets_Data&amp;Method_2012'!F62" display="'W-Assets_Data&amp;Method_2012'!F62"/>
  </hyperlink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K605"/>
  <sheetViews>
    <sheetView topLeftCell="F1" workbookViewId="0">
      <pane ySplit="1" topLeftCell="A15" activePane="bottomLeft" state="frozen"/>
      <selection activeCell="D15" sqref="D15"/>
      <selection pane="bottomLeft" activeCell="H15" sqref="H15"/>
    </sheetView>
  </sheetViews>
  <sheetFormatPr defaultRowHeight="15" x14ac:dyDescent="0.25"/>
  <cols>
    <col min="1" max="1" width="1.85546875" customWidth="1"/>
    <col min="2" max="2" width="6.42578125" bestFit="1" customWidth="1"/>
    <col min="3" max="3" width="0.7109375" customWidth="1"/>
    <col min="4" max="4" width="5.5703125" bestFit="1" customWidth="1"/>
    <col min="5" max="5" width="11" customWidth="1"/>
    <col min="6" max="6" width="1" customWidth="1"/>
    <col min="7" max="7" width="71.7109375" bestFit="1" customWidth="1"/>
    <col min="8" max="8" width="11.140625" bestFit="1" customWidth="1"/>
    <col min="9" max="9" width="15" customWidth="1"/>
    <col min="10" max="10" width="10" customWidth="1"/>
    <col min="11" max="11" width="105.5703125" customWidth="1"/>
    <col min="12" max="12" width="10.140625" customWidth="1"/>
  </cols>
  <sheetData>
    <row r="1" spans="2:11" ht="57" customHeight="1" thickBot="1" x14ac:dyDescent="0.3">
      <c r="B1" s="98"/>
      <c r="D1" s="14" t="s">
        <v>147</v>
      </c>
      <c r="E1" s="84" t="s">
        <v>12</v>
      </c>
      <c r="G1" s="28" t="s">
        <v>133</v>
      </c>
      <c r="H1" s="12" t="s">
        <v>1339</v>
      </c>
      <c r="I1" s="12" t="s">
        <v>134</v>
      </c>
      <c r="J1" s="12" t="s">
        <v>135</v>
      </c>
      <c r="K1" s="13" t="s">
        <v>76</v>
      </c>
    </row>
    <row r="2" spans="2:11" ht="15" customHeight="1" x14ac:dyDescent="0.25">
      <c r="B2" s="1749" t="s">
        <v>11</v>
      </c>
      <c r="D2" s="1745" t="s">
        <v>15</v>
      </c>
      <c r="E2" s="1746" t="s">
        <v>148</v>
      </c>
      <c r="G2" s="86" t="s">
        <v>145</v>
      </c>
      <c r="H2" s="131">
        <f>SUM(H3:H4)</f>
        <v>13563380.505039312</v>
      </c>
      <c r="I2" s="87"/>
      <c r="J2" s="87"/>
      <c r="K2" s="88"/>
    </row>
    <row r="3" spans="2:11" x14ac:dyDescent="0.25">
      <c r="B3" s="1750"/>
      <c r="D3" s="1740"/>
      <c r="E3" s="1747"/>
      <c r="G3" s="30" t="s">
        <v>23</v>
      </c>
      <c r="H3" s="126">
        <f>+(H5)</f>
        <v>13563380.505039312</v>
      </c>
      <c r="I3" s="10"/>
      <c r="J3" s="10"/>
      <c r="K3" s="16" t="s">
        <v>170</v>
      </c>
    </row>
    <row r="4" spans="2:11" x14ac:dyDescent="0.25">
      <c r="B4" s="1750"/>
      <c r="D4" s="1740"/>
      <c r="E4" s="1747"/>
      <c r="G4" s="30" t="s">
        <v>24</v>
      </c>
      <c r="H4" s="126">
        <v>0</v>
      </c>
      <c r="I4" s="10"/>
      <c r="J4" s="10"/>
      <c r="K4" s="16"/>
    </row>
    <row r="5" spans="2:11" x14ac:dyDescent="0.25">
      <c r="B5" s="1750"/>
      <c r="D5" s="1740"/>
      <c r="E5" s="1747"/>
      <c r="G5" s="89" t="s">
        <v>146</v>
      </c>
      <c r="H5" s="132">
        <f>SUM(H6+H16)</f>
        <v>13563380.505039312</v>
      </c>
      <c r="I5" s="90"/>
      <c r="J5" s="90"/>
      <c r="K5" s="91"/>
    </row>
    <row r="6" spans="2:11" x14ac:dyDescent="0.25">
      <c r="B6" s="1750"/>
      <c r="D6" s="1740"/>
      <c r="E6" s="1747"/>
      <c r="G6" s="89" t="s">
        <v>25</v>
      </c>
      <c r="H6" s="132">
        <f>SUM(H7,H12,H15)</f>
        <v>13562573.505039312</v>
      </c>
      <c r="I6" s="90"/>
      <c r="J6" s="90"/>
      <c r="K6" s="91"/>
    </row>
    <row r="7" spans="2:11" x14ac:dyDescent="0.25">
      <c r="B7" s="1750"/>
      <c r="D7" s="1740"/>
      <c r="E7" s="1747"/>
      <c r="G7" s="89" t="s">
        <v>26</v>
      </c>
      <c r="H7" s="132">
        <f>SUM(H8:H11)</f>
        <v>189335.69415585385</v>
      </c>
      <c r="I7" s="90"/>
      <c r="J7" s="90"/>
      <c r="K7" s="91"/>
    </row>
    <row r="8" spans="2:11" ht="30" x14ac:dyDescent="0.25">
      <c r="B8" s="1750"/>
      <c r="D8" s="1740"/>
      <c r="E8" s="1747"/>
      <c r="G8" s="30" t="s">
        <v>27</v>
      </c>
      <c r="H8" s="747">
        <f>+('RBM&amp;E-2017_S'!T$30*7%)</f>
        <v>13252.297238757075</v>
      </c>
      <c r="I8" s="10"/>
      <c r="J8" s="10"/>
      <c r="K8" s="16" t="s">
        <v>1044</v>
      </c>
    </row>
    <row r="9" spans="2:11" ht="30" x14ac:dyDescent="0.25">
      <c r="B9" s="1750"/>
      <c r="D9" s="1740"/>
      <c r="E9" s="1747"/>
      <c r="G9" s="30" t="s">
        <v>28</v>
      </c>
      <c r="H9" s="747">
        <f>+('RBM&amp;E-2017_S'!T$30*58%)</f>
        <v>109804.74854970146</v>
      </c>
      <c r="I9" s="10"/>
      <c r="J9" s="10"/>
      <c r="K9" s="16" t="s">
        <v>1043</v>
      </c>
    </row>
    <row r="10" spans="2:11" ht="150" x14ac:dyDescent="0.25">
      <c r="B10" s="1750"/>
      <c r="D10" s="1740"/>
      <c r="E10" s="1747"/>
      <c r="G10" s="30" t="s">
        <v>29</v>
      </c>
      <c r="H10" s="747">
        <f>+('RBM&amp;E-2017_S'!T$30*25%)+('RBM&amp;E-2017_S'!T$34*60%)</f>
        <v>47346.795169170924</v>
      </c>
      <c r="I10" s="10"/>
      <c r="J10" s="10"/>
      <c r="K10" s="16" t="s">
        <v>1088</v>
      </c>
    </row>
    <row r="11" spans="2:11" ht="45" x14ac:dyDescent="0.25">
      <c r="B11" s="1750"/>
      <c r="D11" s="1740"/>
      <c r="E11" s="1747"/>
      <c r="G11" s="30" t="s">
        <v>30</v>
      </c>
      <c r="H11" s="747">
        <f>+('RBM&amp;E-2017_S'!T$30*10%)</f>
        <v>18931.853198224391</v>
      </c>
      <c r="I11" s="10"/>
      <c r="J11" s="10"/>
      <c r="K11" s="16" t="s">
        <v>1087</v>
      </c>
    </row>
    <row r="12" spans="2:11" x14ac:dyDescent="0.25">
      <c r="B12" s="1750"/>
      <c r="D12" s="1740"/>
      <c r="E12" s="1747"/>
      <c r="G12" s="89" t="s">
        <v>31</v>
      </c>
      <c r="H12" s="132">
        <f>SUM(H13:H14)</f>
        <v>13829.735230138118</v>
      </c>
      <c r="I12" s="90"/>
      <c r="J12" s="90"/>
      <c r="K12" s="91"/>
    </row>
    <row r="13" spans="2:11" ht="195" x14ac:dyDescent="0.25">
      <c r="B13" s="1750"/>
      <c r="D13" s="1740"/>
      <c r="E13" s="1747"/>
      <c r="G13" s="30" t="s">
        <v>640</v>
      </c>
      <c r="H13" s="126">
        <f>(5657.79959)*(75%*100%)</f>
        <v>4243.3496924999999</v>
      </c>
      <c r="I13" s="10"/>
      <c r="J13" s="10"/>
      <c r="K13" s="16" t="s">
        <v>1292</v>
      </c>
    </row>
    <row r="14" spans="2:11" ht="180" x14ac:dyDescent="0.25">
      <c r="B14" s="1750"/>
      <c r="D14" s="1740"/>
      <c r="E14" s="1747"/>
      <c r="G14" s="30" t="s">
        <v>641</v>
      </c>
      <c r="H14" s="747">
        <f>+('RBM&amp;E-2017_S'!T$33*25%)</f>
        <v>9586.385537638118</v>
      </c>
      <c r="I14" s="10"/>
      <c r="J14" s="10"/>
      <c r="K14" s="16" t="s">
        <v>1293</v>
      </c>
    </row>
    <row r="15" spans="2:11" x14ac:dyDescent="0.25">
      <c r="B15" s="1750"/>
      <c r="D15" s="1740"/>
      <c r="E15" s="1747"/>
      <c r="G15" s="1043" t="s">
        <v>32</v>
      </c>
      <c r="H15" s="1566">
        <f>+('GW&amp;SOILW_2012'!B20)</f>
        <v>13359408.07565332</v>
      </c>
      <c r="I15" s="1044"/>
      <c r="J15" s="1044"/>
      <c r="K15" s="1045"/>
    </row>
    <row r="16" spans="2:11" x14ac:dyDescent="0.25">
      <c r="B16" s="1750"/>
      <c r="D16" s="1740"/>
      <c r="E16" s="1747"/>
      <c r="G16" s="89" t="s">
        <v>33</v>
      </c>
      <c r="H16" s="132">
        <f>SUM(H17:H18)</f>
        <v>807</v>
      </c>
      <c r="I16" s="90"/>
      <c r="J16" s="90"/>
      <c r="K16" s="91"/>
    </row>
    <row r="17" spans="2:11" x14ac:dyDescent="0.25">
      <c r="B17" s="1750"/>
      <c r="D17" s="1740"/>
      <c r="E17" s="1747"/>
      <c r="G17" s="30" t="s">
        <v>34</v>
      </c>
      <c r="H17" s="126">
        <v>807</v>
      </c>
      <c r="I17" s="10"/>
      <c r="J17" s="10"/>
      <c r="K17" s="16" t="s">
        <v>1268</v>
      </c>
    </row>
    <row r="18" spans="2:11" x14ac:dyDescent="0.25">
      <c r="B18" s="1750"/>
      <c r="D18" s="1740"/>
      <c r="E18" s="1747"/>
      <c r="G18" s="30" t="s">
        <v>35</v>
      </c>
      <c r="H18" s="126">
        <v>0</v>
      </c>
      <c r="I18" s="10"/>
      <c r="J18" s="10"/>
      <c r="K18" s="16"/>
    </row>
    <row r="19" spans="2:11" ht="15.75" thickBot="1" x14ac:dyDescent="0.3">
      <c r="B19" s="1750"/>
      <c r="D19" s="1741"/>
      <c r="E19" s="1748"/>
      <c r="G19" s="1047" t="s">
        <v>36</v>
      </c>
      <c r="H19" s="1048">
        <v>90250</v>
      </c>
      <c r="I19" s="1049"/>
      <c r="J19" s="1049"/>
      <c r="K19" s="1050" t="s">
        <v>1268</v>
      </c>
    </row>
    <row r="20" spans="2:11" x14ac:dyDescent="0.25">
      <c r="B20" s="1750"/>
      <c r="D20" s="1745" t="s">
        <v>16</v>
      </c>
      <c r="E20" s="1746" t="s">
        <v>149</v>
      </c>
      <c r="G20" s="86" t="s">
        <v>145</v>
      </c>
      <c r="H20" s="131">
        <f>SUM(H21:H22)</f>
        <v>22390.658857794173</v>
      </c>
      <c r="I20" s="87"/>
      <c r="J20" s="87"/>
      <c r="K20" s="88"/>
    </row>
    <row r="21" spans="2:11" ht="45" x14ac:dyDescent="0.25">
      <c r="B21" s="1750"/>
      <c r="D21" s="1740"/>
      <c r="E21" s="1747"/>
      <c r="G21" s="30" t="s">
        <v>23</v>
      </c>
      <c r="H21" s="1640">
        <f>SUM(H23,-H22)</f>
        <v>22390.658857794173</v>
      </c>
      <c r="I21" s="10"/>
      <c r="J21" s="10"/>
      <c r="K21" s="1639" t="s">
        <v>1734</v>
      </c>
    </row>
    <row r="22" spans="2:11" x14ac:dyDescent="0.25">
      <c r="B22" s="1750"/>
      <c r="D22" s="1740"/>
      <c r="E22" s="1747"/>
      <c r="G22" s="30" t="s">
        <v>24</v>
      </c>
      <c r="H22" s="126">
        <v>0</v>
      </c>
      <c r="I22" s="10"/>
      <c r="J22" s="10"/>
      <c r="K22" s="1641" t="s">
        <v>1733</v>
      </c>
    </row>
    <row r="23" spans="2:11" x14ac:dyDescent="0.25">
      <c r="B23" s="1750"/>
      <c r="D23" s="1740"/>
      <c r="E23" s="1747"/>
      <c r="G23" s="89" t="s">
        <v>146</v>
      </c>
      <c r="H23" s="132">
        <f>SUM(H24+H34)</f>
        <v>22390.658857794173</v>
      </c>
      <c r="I23" s="90"/>
      <c r="J23" s="90"/>
      <c r="K23" s="1641" t="s">
        <v>1733</v>
      </c>
    </row>
    <row r="24" spans="2:11" x14ac:dyDescent="0.25">
      <c r="B24" s="1750"/>
      <c r="D24" s="1740"/>
      <c r="E24" s="1747"/>
      <c r="G24" s="89" t="s">
        <v>25</v>
      </c>
      <c r="H24" s="132">
        <f>SUM(H25,H30,H33)</f>
        <v>1030.8588577941744</v>
      </c>
      <c r="I24" s="90"/>
      <c r="J24" s="90"/>
      <c r="K24" s="91"/>
    </row>
    <row r="25" spans="2:11" x14ac:dyDescent="0.25">
      <c r="B25" s="1750"/>
      <c r="D25" s="1740"/>
      <c r="E25" s="1747"/>
      <c r="G25" s="89" t="s">
        <v>26</v>
      </c>
      <c r="H25" s="132">
        <f>SUM(H26:H29)</f>
        <v>967.07072779417433</v>
      </c>
      <c r="I25" s="90"/>
      <c r="J25" s="90"/>
      <c r="K25" s="91"/>
    </row>
    <row r="26" spans="2:11" x14ac:dyDescent="0.25">
      <c r="B26" s="1750"/>
      <c r="D26" s="1740"/>
      <c r="E26" s="1747"/>
      <c r="G26" s="30" t="s">
        <v>27</v>
      </c>
      <c r="H26" s="126">
        <v>0</v>
      </c>
      <c r="I26" s="10"/>
      <c r="J26" s="10"/>
      <c r="K26" s="16"/>
    </row>
    <row r="27" spans="2:11" ht="30" x14ac:dyDescent="0.25">
      <c r="B27" s="1750"/>
      <c r="D27" s="1740"/>
      <c r="E27" s="1747"/>
      <c r="G27" s="30" t="s">
        <v>28</v>
      </c>
      <c r="H27" s="747">
        <f>+('RBM&amp;E-2017_S'!T$32*100%)</f>
        <v>967.07072779417433</v>
      </c>
      <c r="I27" s="10"/>
      <c r="J27" s="10"/>
      <c r="K27" s="16" t="s">
        <v>1295</v>
      </c>
    </row>
    <row r="28" spans="2:11" x14ac:dyDescent="0.25">
      <c r="B28" s="1750"/>
      <c r="D28" s="1740"/>
      <c r="E28" s="1747"/>
      <c r="G28" s="30" t="s">
        <v>29</v>
      </c>
      <c r="H28" s="126">
        <v>0</v>
      </c>
      <c r="I28" s="10"/>
      <c r="J28" s="10"/>
      <c r="K28" s="16"/>
    </row>
    <row r="29" spans="2:11" x14ac:dyDescent="0.25">
      <c r="B29" s="1750"/>
      <c r="D29" s="1740"/>
      <c r="E29" s="1747"/>
      <c r="G29" s="30" t="s">
        <v>30</v>
      </c>
      <c r="H29" s="126">
        <v>0</v>
      </c>
      <c r="I29" s="10"/>
      <c r="J29" s="10"/>
      <c r="K29" s="16"/>
    </row>
    <row r="30" spans="2:11" ht="60" x14ac:dyDescent="0.25">
      <c r="B30" s="1750"/>
      <c r="D30" s="1740"/>
      <c r="E30" s="1747"/>
      <c r="G30" s="89" t="s">
        <v>31</v>
      </c>
      <c r="H30" s="132">
        <v>63.788130000000002</v>
      </c>
      <c r="I30" s="90"/>
      <c r="J30" s="90"/>
      <c r="K30" s="91" t="s">
        <v>1318</v>
      </c>
    </row>
    <row r="31" spans="2:11" ht="15" customHeight="1" x14ac:dyDescent="0.25">
      <c r="B31" s="1750"/>
      <c r="D31" s="1740"/>
      <c r="E31" s="1747"/>
      <c r="G31" s="30" t="s">
        <v>640</v>
      </c>
      <c r="H31" s="126"/>
      <c r="I31" s="10"/>
      <c r="J31" s="10"/>
      <c r="K31" s="16"/>
    </row>
    <row r="32" spans="2:11" ht="15" customHeight="1" x14ac:dyDescent="0.25">
      <c r="B32" s="1750"/>
      <c r="D32" s="1740"/>
      <c r="E32" s="1747"/>
      <c r="G32" s="30" t="s">
        <v>641</v>
      </c>
      <c r="H32" s="126">
        <f>SUM(H30,-H31)</f>
        <v>63.788130000000002</v>
      </c>
      <c r="I32" s="10"/>
      <c r="J32" s="10"/>
      <c r="K32" s="16"/>
    </row>
    <row r="33" spans="2:11" x14ac:dyDescent="0.25">
      <c r="B33" s="1750"/>
      <c r="D33" s="1740"/>
      <c r="E33" s="1747"/>
      <c r="G33" s="1043" t="s">
        <v>32</v>
      </c>
      <c r="H33" s="1036">
        <v>0</v>
      </c>
      <c r="I33" s="1044"/>
      <c r="J33" s="1044"/>
      <c r="K33" s="1045"/>
    </row>
    <row r="34" spans="2:11" x14ac:dyDescent="0.25">
      <c r="B34" s="1750"/>
      <c r="D34" s="1740"/>
      <c r="E34" s="1747"/>
      <c r="G34" s="89" t="s">
        <v>33</v>
      </c>
      <c r="H34" s="132">
        <f>SUM(H35:H36)</f>
        <v>21359.8</v>
      </c>
      <c r="I34" s="90"/>
      <c r="J34" s="90"/>
      <c r="K34" s="91"/>
    </row>
    <row r="35" spans="2:11" x14ac:dyDescent="0.25">
      <c r="B35" s="1750"/>
      <c r="D35" s="1740"/>
      <c r="E35" s="1747"/>
      <c r="G35" s="30" t="s">
        <v>34</v>
      </c>
      <c r="H35" s="126">
        <v>21359.8</v>
      </c>
      <c r="I35" s="10"/>
      <c r="J35" s="10"/>
      <c r="K35" s="16" t="s">
        <v>1729</v>
      </c>
    </row>
    <row r="36" spans="2:11" x14ac:dyDescent="0.25">
      <c r="B36" s="1750"/>
      <c r="D36" s="1740"/>
      <c r="E36" s="1747"/>
      <c r="G36" s="30" t="s">
        <v>35</v>
      </c>
      <c r="H36" s="126">
        <v>0</v>
      </c>
      <c r="I36" s="10"/>
      <c r="J36" s="10"/>
      <c r="K36" s="16"/>
    </row>
    <row r="37" spans="2:11" ht="15.75" thickBot="1" x14ac:dyDescent="0.3">
      <c r="B37" s="1750"/>
      <c r="D37" s="1741"/>
      <c r="E37" s="1748"/>
      <c r="G37" s="1047" t="s">
        <v>36</v>
      </c>
      <c r="H37" s="1048">
        <v>0</v>
      </c>
      <c r="I37" s="1049"/>
      <c r="J37" s="1049"/>
      <c r="K37" s="1050"/>
    </row>
    <row r="38" spans="2:11" ht="15" customHeight="1" x14ac:dyDescent="0.25">
      <c r="B38" s="1750"/>
      <c r="D38" s="1745" t="s">
        <v>160</v>
      </c>
      <c r="E38" s="1746" t="s">
        <v>150</v>
      </c>
      <c r="G38" s="86" t="s">
        <v>145</v>
      </c>
      <c r="H38" s="131">
        <f>SUM(H39:H40)</f>
        <v>23638.124916130942</v>
      </c>
      <c r="I38" s="87"/>
      <c r="J38" s="87"/>
      <c r="K38" s="88"/>
    </row>
    <row r="39" spans="2:11" ht="30" x14ac:dyDescent="0.25">
      <c r="B39" s="1750"/>
      <c r="D39" s="1740"/>
      <c r="E39" s="1747"/>
      <c r="G39" s="30" t="s">
        <v>23</v>
      </c>
      <c r="H39" s="126">
        <f>SUM(H41,-H40)</f>
        <v>23552.349916130941</v>
      </c>
      <c r="I39" s="10"/>
      <c r="J39" s="10"/>
      <c r="K39" s="16" t="s">
        <v>1731</v>
      </c>
    </row>
    <row r="40" spans="2:11" x14ac:dyDescent="0.25">
      <c r="B40" s="1750"/>
      <c r="D40" s="1740"/>
      <c r="E40" s="1747"/>
      <c r="G40" s="30" t="s">
        <v>24</v>
      </c>
      <c r="H40" s="126">
        <v>85.774999999999991</v>
      </c>
      <c r="I40" s="10"/>
      <c r="J40" s="10"/>
      <c r="K40" s="16" t="s">
        <v>1730</v>
      </c>
    </row>
    <row r="41" spans="2:11" x14ac:dyDescent="0.25">
      <c r="B41" s="1750"/>
      <c r="D41" s="1740"/>
      <c r="E41" s="1747"/>
      <c r="G41" s="89" t="s">
        <v>146</v>
      </c>
      <c r="H41" s="132">
        <f>SUM(H42+H52)</f>
        <v>23638.124916130942</v>
      </c>
      <c r="I41" s="90"/>
      <c r="J41" s="90"/>
      <c r="K41" s="91"/>
    </row>
    <row r="42" spans="2:11" x14ac:dyDescent="0.25">
      <c r="B42" s="1750"/>
      <c r="D42" s="1740"/>
      <c r="E42" s="1747"/>
      <c r="G42" s="89" t="s">
        <v>25</v>
      </c>
      <c r="H42" s="132">
        <f>SUM(H43,H48,H51)</f>
        <v>23609.924916130942</v>
      </c>
      <c r="I42" s="90"/>
      <c r="J42" s="90"/>
      <c r="K42" s="91" t="s">
        <v>1727</v>
      </c>
    </row>
    <row r="43" spans="2:11" x14ac:dyDescent="0.25">
      <c r="B43" s="1750"/>
      <c r="D43" s="1740"/>
      <c r="E43" s="1747"/>
      <c r="G43" s="89" t="s">
        <v>26</v>
      </c>
      <c r="H43" s="132">
        <f>SUM(H44:H47)</f>
        <v>14844.847980982084</v>
      </c>
      <c r="I43" s="90"/>
      <c r="J43" s="90"/>
      <c r="K43" s="91"/>
    </row>
    <row r="44" spans="2:11" x14ac:dyDescent="0.25">
      <c r="B44" s="1750"/>
      <c r="D44" s="1740"/>
      <c r="E44" s="1747"/>
      <c r="G44" s="30" t="s">
        <v>27</v>
      </c>
      <c r="H44" s="126">
        <v>0</v>
      </c>
      <c r="I44" s="10"/>
      <c r="J44" s="10"/>
      <c r="K44" s="16"/>
    </row>
    <row r="45" spans="2:11" ht="45" x14ac:dyDescent="0.25">
      <c r="B45" s="1750"/>
      <c r="D45" s="1740"/>
      <c r="E45" s="1747"/>
      <c r="G45" s="30" t="s">
        <v>28</v>
      </c>
      <c r="H45" s="747">
        <f>+('RBM&amp;E-2017_S'!T$28*100%)+(0)</f>
        <v>11482.404943443362</v>
      </c>
      <c r="I45" s="10"/>
      <c r="J45" s="10"/>
      <c r="K45" s="16" t="s">
        <v>1308</v>
      </c>
    </row>
    <row r="46" spans="2:11" x14ac:dyDescent="0.25">
      <c r="B46" s="1750"/>
      <c r="D46" s="1740"/>
      <c r="E46" s="1747"/>
      <c r="G46" s="30" t="s">
        <v>29</v>
      </c>
      <c r="H46" s="126">
        <v>0</v>
      </c>
      <c r="I46" s="10"/>
      <c r="J46" s="10"/>
      <c r="K46" s="16"/>
    </row>
    <row r="47" spans="2:11" x14ac:dyDescent="0.25">
      <c r="B47" s="1750"/>
      <c r="D47" s="1740"/>
      <c r="E47" s="1747"/>
      <c r="G47" s="30" t="s">
        <v>30</v>
      </c>
      <c r="H47" s="747">
        <f>+('RBM&amp;E-2017_S'!T$31*50%)</f>
        <v>3362.4430375387224</v>
      </c>
      <c r="I47" s="10"/>
      <c r="J47" s="10"/>
      <c r="K47" s="16" t="s">
        <v>1310</v>
      </c>
    </row>
    <row r="48" spans="2:11" x14ac:dyDescent="0.25">
      <c r="B48" s="1750"/>
      <c r="D48" s="1740"/>
      <c r="E48" s="1747"/>
      <c r="G48" s="89" t="s">
        <v>31</v>
      </c>
      <c r="H48" s="1036">
        <f>SUM(H49:H50)</f>
        <v>8765.0769351488561</v>
      </c>
      <c r="I48" s="90"/>
      <c r="J48" s="90"/>
      <c r="K48" s="91" t="s">
        <v>1307</v>
      </c>
    </row>
    <row r="49" spans="2:11" ht="195" x14ac:dyDescent="0.25">
      <c r="B49" s="1750"/>
      <c r="D49" s="1740"/>
      <c r="E49" s="1747"/>
      <c r="G49" s="30" t="s">
        <v>640</v>
      </c>
      <c r="H49" s="747">
        <f>+('RBM&amp;E-2017_S'!T$27*30%)+('RBM&amp;E-2017_S'!T$31*25%)</f>
        <v>3249.3012013242487</v>
      </c>
      <c r="I49" s="10"/>
      <c r="J49" s="10"/>
      <c r="K49" s="16" t="s">
        <v>1309</v>
      </c>
    </row>
    <row r="50" spans="2:11" ht="195" x14ac:dyDescent="0.25">
      <c r="B50" s="1750"/>
      <c r="D50" s="1740"/>
      <c r="E50" s="1747"/>
      <c r="G50" s="30" t="s">
        <v>641</v>
      </c>
      <c r="H50" s="747">
        <f>+('RBM&amp;E-2017_S'!T$33*10%)+('RBM&amp;E-2017_S'!T$31*25%)</f>
        <v>5515.7757338246083</v>
      </c>
      <c r="I50" s="10"/>
      <c r="J50" s="10"/>
      <c r="K50" s="16" t="s">
        <v>1294</v>
      </c>
    </row>
    <row r="51" spans="2:11" x14ac:dyDescent="0.25">
      <c r="B51" s="1750"/>
      <c r="D51" s="1740"/>
      <c r="E51" s="1747"/>
      <c r="G51" s="1043" t="s">
        <v>32</v>
      </c>
      <c r="H51" s="1036">
        <v>0</v>
      </c>
      <c r="I51" s="1044"/>
      <c r="J51" s="1044"/>
      <c r="K51" s="1045"/>
    </row>
    <row r="52" spans="2:11" x14ac:dyDescent="0.25">
      <c r="B52" s="1750"/>
      <c r="D52" s="1740"/>
      <c r="E52" s="1747"/>
      <c r="G52" s="89" t="s">
        <v>33</v>
      </c>
      <c r="H52" s="132">
        <f>SUM(H53:H54)</f>
        <v>28.2</v>
      </c>
      <c r="I52" s="90"/>
      <c r="J52" s="90"/>
      <c r="K52" s="91"/>
    </row>
    <row r="53" spans="2:11" x14ac:dyDescent="0.25">
      <c r="B53" s="1750"/>
      <c r="D53" s="1740"/>
      <c r="E53" s="1747"/>
      <c r="G53" s="30" t="s">
        <v>34</v>
      </c>
      <c r="H53" s="126">
        <v>28.2</v>
      </c>
      <c r="I53" s="10"/>
      <c r="J53" s="10"/>
      <c r="K53" s="16" t="s">
        <v>1728</v>
      </c>
    </row>
    <row r="54" spans="2:11" x14ac:dyDescent="0.25">
      <c r="B54" s="1750"/>
      <c r="D54" s="1740"/>
      <c r="E54" s="1747"/>
      <c r="G54" s="30" t="s">
        <v>35</v>
      </c>
      <c r="H54" s="126">
        <v>0</v>
      </c>
      <c r="I54" s="10"/>
      <c r="J54" s="10"/>
      <c r="K54" s="16"/>
    </row>
    <row r="55" spans="2:11" ht="15.75" thickBot="1" x14ac:dyDescent="0.3">
      <c r="B55" s="1750"/>
      <c r="D55" s="1741"/>
      <c r="E55" s="1748"/>
      <c r="G55" s="1047" t="s">
        <v>36</v>
      </c>
      <c r="H55" s="1048">
        <v>642763.78523033194</v>
      </c>
      <c r="I55" s="1049"/>
      <c r="J55" s="1049"/>
      <c r="K55" s="1050" t="s">
        <v>1268</v>
      </c>
    </row>
    <row r="56" spans="2:11" ht="15" customHeight="1" x14ac:dyDescent="0.25">
      <c r="B56" s="1750"/>
      <c r="D56" s="1739">
        <v>35</v>
      </c>
      <c r="E56" s="1746" t="s">
        <v>151</v>
      </c>
      <c r="G56" s="86" t="s">
        <v>145</v>
      </c>
      <c r="H56" s="131">
        <f>SUM(H57:H58)</f>
        <v>335270.16889591428</v>
      </c>
      <c r="I56" s="87"/>
      <c r="J56" s="87"/>
      <c r="K56" s="88"/>
    </row>
    <row r="57" spans="2:11" x14ac:dyDescent="0.25">
      <c r="B57" s="1750"/>
      <c r="D57" s="1740"/>
      <c r="E57" s="1747"/>
      <c r="G57" s="30" t="s">
        <v>23</v>
      </c>
      <c r="H57" s="126">
        <f>SUM(H59,-H58)</f>
        <v>335270.16889591428</v>
      </c>
      <c r="I57" s="10"/>
      <c r="J57" s="10"/>
      <c r="K57" s="16"/>
    </row>
    <row r="58" spans="2:11" x14ac:dyDescent="0.25">
      <c r="B58" s="1750"/>
      <c r="D58" s="1740"/>
      <c r="E58" s="1747"/>
      <c r="G58" s="30" t="s">
        <v>24</v>
      </c>
      <c r="H58" s="126">
        <v>0</v>
      </c>
      <c r="I58" s="10"/>
      <c r="J58" s="10"/>
      <c r="K58" s="16"/>
    </row>
    <row r="59" spans="2:11" x14ac:dyDescent="0.25">
      <c r="B59" s="1750"/>
      <c r="D59" s="1740"/>
      <c r="E59" s="1747"/>
      <c r="G59" s="89" t="s">
        <v>146</v>
      </c>
      <c r="H59" s="132">
        <f>SUM(H60+H70)</f>
        <v>335270.16889591428</v>
      </c>
      <c r="I59" s="90"/>
      <c r="J59" s="90"/>
      <c r="K59" s="91"/>
    </row>
    <row r="60" spans="2:11" x14ac:dyDescent="0.25">
      <c r="B60" s="1750"/>
      <c r="D60" s="1740"/>
      <c r="E60" s="1747"/>
      <c r="G60" s="89" t="s">
        <v>25</v>
      </c>
      <c r="H60" s="132">
        <f>SUM(H61,H66,H69)</f>
        <v>335270.16889591428</v>
      </c>
      <c r="I60" s="90"/>
      <c r="J60" s="90"/>
      <c r="K60" s="91"/>
    </row>
    <row r="61" spans="2:11" x14ac:dyDescent="0.25">
      <c r="B61" s="1750"/>
      <c r="D61" s="1740"/>
      <c r="E61" s="1747"/>
      <c r="G61" s="89" t="s">
        <v>26</v>
      </c>
      <c r="H61" s="132">
        <f>SUM(H62:H65)</f>
        <v>335270.16889591428</v>
      </c>
      <c r="I61" s="90"/>
      <c r="J61" s="90"/>
      <c r="K61" s="91"/>
    </row>
    <row r="62" spans="2:11" x14ac:dyDescent="0.25">
      <c r="B62" s="1750"/>
      <c r="D62" s="1740"/>
      <c r="E62" s="1747"/>
      <c r="G62" s="30" t="s">
        <v>27</v>
      </c>
      <c r="H62" s="126">
        <v>0</v>
      </c>
      <c r="I62" s="10"/>
      <c r="J62" s="10"/>
      <c r="K62" s="16"/>
    </row>
    <row r="63" spans="2:11" ht="90" x14ac:dyDescent="0.25">
      <c r="B63" s="1750"/>
      <c r="D63" s="1740"/>
      <c r="E63" s="1747"/>
      <c r="G63" s="30" t="s">
        <v>28</v>
      </c>
      <c r="H63" s="1035">
        <f>+(('RBM&amp;E-2017_S'!T29)*100%)</f>
        <v>145951.63691367037</v>
      </c>
      <c r="I63" s="10"/>
      <c r="J63" s="10"/>
      <c r="K63" s="16" t="s">
        <v>1311</v>
      </c>
    </row>
    <row r="64" spans="2:11" ht="75" x14ac:dyDescent="0.25">
      <c r="B64" s="1750"/>
      <c r="D64" s="1740"/>
      <c r="E64" s="1747"/>
      <c r="G64" s="30" t="s">
        <v>29</v>
      </c>
      <c r="H64" s="1035">
        <f>+(('RBM&amp;E-2017_S'!T30)*100%)</f>
        <v>189318.53198224391</v>
      </c>
      <c r="I64" s="10"/>
      <c r="J64" s="10"/>
      <c r="K64" s="16" t="s">
        <v>1312</v>
      </c>
    </row>
    <row r="65" spans="2:11" x14ac:dyDescent="0.25">
      <c r="B65" s="1750"/>
      <c r="D65" s="1740"/>
      <c r="E65" s="1747"/>
      <c r="G65" s="30" t="s">
        <v>30</v>
      </c>
      <c r="H65" s="1034">
        <v>0</v>
      </c>
      <c r="I65" s="10"/>
      <c r="J65" s="10"/>
      <c r="K65" s="16"/>
    </row>
    <row r="66" spans="2:11" x14ac:dyDescent="0.25">
      <c r="B66" s="1750"/>
      <c r="D66" s="1740"/>
      <c r="E66" s="1747"/>
      <c r="G66" s="89" t="s">
        <v>31</v>
      </c>
      <c r="H66" s="1036">
        <f>SUM(H67:H68)</f>
        <v>0</v>
      </c>
      <c r="I66" s="90"/>
      <c r="J66" s="90"/>
      <c r="K66" s="91"/>
    </row>
    <row r="67" spans="2:11" x14ac:dyDescent="0.25">
      <c r="B67" s="1750"/>
      <c r="D67" s="1740"/>
      <c r="E67" s="1747"/>
      <c r="G67" s="30" t="s">
        <v>640</v>
      </c>
      <c r="H67" s="747"/>
      <c r="I67" s="10"/>
      <c r="J67" s="10"/>
      <c r="K67" s="16"/>
    </row>
    <row r="68" spans="2:11" x14ac:dyDescent="0.25">
      <c r="B68" s="1750"/>
      <c r="D68" s="1740"/>
      <c r="E68" s="1747"/>
      <c r="G68" s="30" t="s">
        <v>641</v>
      </c>
      <c r="H68" s="126"/>
      <c r="I68" s="10"/>
      <c r="J68" s="10"/>
      <c r="K68" s="16"/>
    </row>
    <row r="69" spans="2:11" x14ac:dyDescent="0.25">
      <c r="B69" s="1750"/>
      <c r="D69" s="1740"/>
      <c r="E69" s="1747"/>
      <c r="G69" s="1043" t="s">
        <v>32</v>
      </c>
      <c r="H69" s="1036">
        <v>0</v>
      </c>
      <c r="I69" s="1044"/>
      <c r="J69" s="1044"/>
      <c r="K69" s="1045"/>
    </row>
    <row r="70" spans="2:11" x14ac:dyDescent="0.25">
      <c r="B70" s="1750"/>
      <c r="D70" s="1740"/>
      <c r="E70" s="1747"/>
      <c r="G70" s="89" t="s">
        <v>33</v>
      </c>
      <c r="H70" s="132">
        <f>SUM(H71:H72)</f>
        <v>0</v>
      </c>
      <c r="I70" s="90"/>
      <c r="J70" s="90"/>
      <c r="K70" s="91"/>
    </row>
    <row r="71" spans="2:11" x14ac:dyDescent="0.25">
      <c r="B71" s="1750"/>
      <c r="D71" s="1740"/>
      <c r="E71" s="1747"/>
      <c r="G71" s="30" t="s">
        <v>34</v>
      </c>
      <c r="H71" s="126">
        <v>0</v>
      </c>
      <c r="I71" s="10"/>
      <c r="J71" s="10"/>
      <c r="K71" s="16"/>
    </row>
    <row r="72" spans="2:11" x14ac:dyDescent="0.25">
      <c r="B72" s="1750"/>
      <c r="D72" s="1740"/>
      <c r="E72" s="1747"/>
      <c r="G72" s="30" t="s">
        <v>35</v>
      </c>
      <c r="H72" s="126">
        <v>0</v>
      </c>
      <c r="I72" s="10"/>
      <c r="J72" s="10"/>
      <c r="K72" s="16"/>
    </row>
    <row r="73" spans="2:11" ht="15.75" thickBot="1" x14ac:dyDescent="0.3">
      <c r="B73" s="1750"/>
      <c r="D73" s="1741"/>
      <c r="E73" s="1748"/>
      <c r="G73" s="1047" t="s">
        <v>36</v>
      </c>
      <c r="H73" s="1048">
        <v>0</v>
      </c>
      <c r="I73" s="1049"/>
      <c r="J73" s="1049"/>
      <c r="K73" s="1050"/>
    </row>
    <row r="74" spans="2:11" ht="15" customHeight="1" x14ac:dyDescent="0.25">
      <c r="B74" s="1750"/>
      <c r="D74" s="1745" t="s">
        <v>18</v>
      </c>
      <c r="E74" s="1746" t="s">
        <v>152</v>
      </c>
      <c r="G74" s="86" t="s">
        <v>145</v>
      </c>
      <c r="H74" s="131">
        <f>SUM(H75:H76)</f>
        <v>53008.786416190094</v>
      </c>
      <c r="I74" s="87"/>
      <c r="J74" s="87"/>
      <c r="K74" s="88"/>
    </row>
    <row r="75" spans="2:11" x14ac:dyDescent="0.25">
      <c r="B75" s="1750"/>
      <c r="D75" s="1740"/>
      <c r="E75" s="1747"/>
      <c r="G75" s="30" t="s">
        <v>23</v>
      </c>
      <c r="H75" s="126">
        <v>3212.9127999999982</v>
      </c>
      <c r="I75" s="10"/>
      <c r="J75" s="10"/>
      <c r="K75" s="16" t="s">
        <v>1296</v>
      </c>
    </row>
    <row r="76" spans="2:11" ht="195" x14ac:dyDescent="0.25">
      <c r="B76" s="1750"/>
      <c r="D76" s="1740"/>
      <c r="E76" s="1747"/>
      <c r="G76" s="30" t="s">
        <v>24</v>
      </c>
      <c r="H76" s="747">
        <f>+('RBM&amp;E-2017_S'!T$35*100%)-(3212.9128)</f>
        <v>49795.873616190096</v>
      </c>
      <c r="I76" s="10"/>
      <c r="J76" s="10"/>
      <c r="K76" s="16" t="s">
        <v>1297</v>
      </c>
    </row>
    <row r="77" spans="2:11" ht="195" x14ac:dyDescent="0.25">
      <c r="B77" s="1750"/>
      <c r="D77" s="1740"/>
      <c r="E77" s="1747"/>
      <c r="G77" s="89" t="s">
        <v>146</v>
      </c>
      <c r="H77" s="132">
        <f>SUM(H78+H88)</f>
        <v>53008.786416190094</v>
      </c>
      <c r="I77" s="90"/>
      <c r="J77" s="90"/>
      <c r="K77" s="91" t="s">
        <v>1298</v>
      </c>
    </row>
    <row r="78" spans="2:11" x14ac:dyDescent="0.25">
      <c r="B78" s="1750"/>
      <c r="D78" s="1740"/>
      <c r="E78" s="1747"/>
      <c r="G78" s="89" t="s">
        <v>25</v>
      </c>
      <c r="H78" s="132">
        <f>SUM(H79,H84,H87)</f>
        <v>53008.786416190094</v>
      </c>
      <c r="I78" s="90"/>
      <c r="J78" s="90"/>
      <c r="K78" s="91"/>
    </row>
    <row r="79" spans="2:11" x14ac:dyDescent="0.25">
      <c r="B79" s="1750"/>
      <c r="D79" s="1740"/>
      <c r="E79" s="1747"/>
      <c r="G79" s="89" t="s">
        <v>26</v>
      </c>
      <c r="H79" s="132">
        <f>SUM(H80:H83)</f>
        <v>41023.930895441081</v>
      </c>
      <c r="I79" s="90"/>
      <c r="J79" s="90"/>
      <c r="K79" s="91"/>
    </row>
    <row r="80" spans="2:11" ht="30" x14ac:dyDescent="0.25">
      <c r="B80" s="1750"/>
      <c r="D80" s="1740"/>
      <c r="E80" s="1747"/>
      <c r="G80" s="30" t="s">
        <v>27</v>
      </c>
      <c r="H80" s="126">
        <v>0</v>
      </c>
      <c r="I80" s="10"/>
      <c r="J80" s="10"/>
      <c r="K80" s="16" t="s">
        <v>503</v>
      </c>
    </row>
    <row r="81" spans="2:11" ht="75" x14ac:dyDescent="0.25">
      <c r="B81" s="1750"/>
      <c r="D81" s="1740"/>
      <c r="E81" s="1747"/>
      <c r="G81" s="30" t="s">
        <v>28</v>
      </c>
      <c r="H81" s="747">
        <f>+('RBM&amp;E-2017_S'!T$35*(31092229.6/40175607.8))</f>
        <v>41023.930895441081</v>
      </c>
      <c r="I81" s="10"/>
      <c r="J81" s="10"/>
      <c r="K81" s="16" t="s">
        <v>1299</v>
      </c>
    </row>
    <row r="82" spans="2:11" x14ac:dyDescent="0.25">
      <c r="B82" s="1750"/>
      <c r="D82" s="1740"/>
      <c r="E82" s="1747"/>
      <c r="G82" s="30" t="s">
        <v>29</v>
      </c>
      <c r="H82" s="126">
        <v>0</v>
      </c>
      <c r="I82" s="10"/>
      <c r="J82" s="10"/>
      <c r="K82" s="16"/>
    </row>
    <row r="83" spans="2:11" x14ac:dyDescent="0.25">
      <c r="B83" s="1750"/>
      <c r="D83" s="1740"/>
      <c r="E83" s="1747"/>
      <c r="G83" s="30" t="s">
        <v>30</v>
      </c>
      <c r="H83" s="126">
        <v>0</v>
      </c>
      <c r="I83" s="10"/>
      <c r="J83" s="10"/>
      <c r="K83" s="16"/>
    </row>
    <row r="84" spans="2:11" ht="120" x14ac:dyDescent="0.25">
      <c r="B84" s="1750"/>
      <c r="D84" s="1740"/>
      <c r="E84" s="1747"/>
      <c r="G84" s="89" t="s">
        <v>31</v>
      </c>
      <c r="H84" s="1037">
        <f>+('RBM&amp;E-2017_S'!T$35*(9083378.2/40175607.8))</f>
        <v>11984.855520749015</v>
      </c>
      <c r="I84" s="90"/>
      <c r="J84" s="90"/>
      <c r="K84" s="91" t="s">
        <v>1319</v>
      </c>
    </row>
    <row r="85" spans="2:11" x14ac:dyDescent="0.25">
      <c r="B85" s="1750"/>
      <c r="D85" s="1740"/>
      <c r="E85" s="1747"/>
      <c r="G85" s="30" t="s">
        <v>640</v>
      </c>
      <c r="H85" s="126"/>
      <c r="I85" s="10"/>
      <c r="J85" s="10"/>
      <c r="K85" s="16" t="s">
        <v>1316</v>
      </c>
    </row>
    <row r="86" spans="2:11" x14ac:dyDescent="0.25">
      <c r="B86" s="1750"/>
      <c r="D86" s="1740"/>
      <c r="E86" s="1747"/>
      <c r="G86" s="30" t="s">
        <v>641</v>
      </c>
      <c r="H86" s="126">
        <f>SUM(H84,-H85)</f>
        <v>11984.855520749015</v>
      </c>
      <c r="I86" s="10"/>
      <c r="J86" s="10"/>
      <c r="K86" s="16" t="s">
        <v>1316</v>
      </c>
    </row>
    <row r="87" spans="2:11" x14ac:dyDescent="0.25">
      <c r="B87" s="1750"/>
      <c r="D87" s="1740"/>
      <c r="E87" s="1747"/>
      <c r="G87" s="1043" t="s">
        <v>32</v>
      </c>
      <c r="H87" s="1036">
        <v>0</v>
      </c>
      <c r="I87" s="1044"/>
      <c r="J87" s="1044"/>
      <c r="K87" s="1045"/>
    </row>
    <row r="88" spans="2:11" x14ac:dyDescent="0.25">
      <c r="B88" s="1750"/>
      <c r="D88" s="1740"/>
      <c r="E88" s="1747"/>
      <c r="G88" s="89" t="s">
        <v>33</v>
      </c>
      <c r="H88" s="132">
        <f>SUM(H89:H90)</f>
        <v>0</v>
      </c>
      <c r="I88" s="90"/>
      <c r="J88" s="90"/>
      <c r="K88" s="91"/>
    </row>
    <row r="89" spans="2:11" x14ac:dyDescent="0.25">
      <c r="B89" s="1750"/>
      <c r="D89" s="1740"/>
      <c r="E89" s="1747"/>
      <c r="G89" s="30" t="s">
        <v>34</v>
      </c>
      <c r="H89" s="126">
        <v>0</v>
      </c>
      <c r="I89" s="10"/>
      <c r="J89" s="10"/>
      <c r="K89" s="16"/>
    </row>
    <row r="90" spans="2:11" x14ac:dyDescent="0.25">
      <c r="B90" s="1750"/>
      <c r="D90" s="1740"/>
      <c r="E90" s="1747"/>
      <c r="G90" s="30" t="s">
        <v>35</v>
      </c>
      <c r="H90" s="126">
        <v>0</v>
      </c>
      <c r="I90" s="10"/>
      <c r="J90" s="10"/>
      <c r="K90" s="16"/>
    </row>
    <row r="91" spans="2:11" ht="15.75" thickBot="1" x14ac:dyDescent="0.3">
      <c r="B91" s="1750"/>
      <c r="D91" s="1741"/>
      <c r="E91" s="1748"/>
      <c r="G91" s="1047" t="s">
        <v>36</v>
      </c>
      <c r="H91" s="1048">
        <v>0</v>
      </c>
      <c r="I91" s="1049"/>
      <c r="J91" s="1049"/>
      <c r="K91" s="1050"/>
    </row>
    <row r="92" spans="2:11" ht="15" customHeight="1" x14ac:dyDescent="0.25">
      <c r="B92" s="1750"/>
      <c r="D92" s="1745"/>
      <c r="E92" s="1742" t="s">
        <v>615</v>
      </c>
      <c r="G92" s="86" t="s">
        <v>145</v>
      </c>
      <c r="H92" s="131">
        <f>SUM(H93:H94)</f>
        <v>0</v>
      </c>
      <c r="I92" s="87"/>
      <c r="J92" s="87"/>
      <c r="K92" s="88"/>
    </row>
    <row r="93" spans="2:11" x14ac:dyDescent="0.25">
      <c r="B93" s="1750"/>
      <c r="D93" s="1740"/>
      <c r="E93" s="1743"/>
      <c r="G93" s="30" t="s">
        <v>23</v>
      </c>
      <c r="H93" s="126"/>
      <c r="I93" s="10"/>
      <c r="J93" s="10"/>
      <c r="K93" s="16"/>
    </row>
    <row r="94" spans="2:11" x14ac:dyDescent="0.25">
      <c r="B94" s="1750"/>
      <c r="D94" s="1740"/>
      <c r="E94" s="1743"/>
      <c r="G94" s="30" t="s">
        <v>24</v>
      </c>
      <c r="H94" s="126"/>
      <c r="I94" s="10"/>
      <c r="J94" s="10"/>
      <c r="K94" s="16"/>
    </row>
    <row r="95" spans="2:11" x14ac:dyDescent="0.25">
      <c r="B95" s="1750"/>
      <c r="D95" s="1740"/>
      <c r="E95" s="1743"/>
      <c r="G95" s="89" t="s">
        <v>146</v>
      </c>
      <c r="H95" s="132">
        <f>SUM(H96+H106)</f>
        <v>0</v>
      </c>
      <c r="I95" s="90"/>
      <c r="J95" s="90"/>
      <c r="K95" s="91"/>
    </row>
    <row r="96" spans="2:11" x14ac:dyDescent="0.25">
      <c r="B96" s="1750"/>
      <c r="D96" s="1740"/>
      <c r="E96" s="1743"/>
      <c r="G96" s="89" t="s">
        <v>25</v>
      </c>
      <c r="H96" s="132">
        <f>SUM(H97,H102,H105)</f>
        <v>0</v>
      </c>
      <c r="I96" s="90"/>
      <c r="J96" s="90"/>
      <c r="K96" s="91"/>
    </row>
    <row r="97" spans="2:11" x14ac:dyDescent="0.25">
      <c r="B97" s="1750"/>
      <c r="D97" s="1740"/>
      <c r="E97" s="1743"/>
      <c r="G97" s="89" t="s">
        <v>26</v>
      </c>
      <c r="H97" s="132">
        <f>SUM(H98:H101)</f>
        <v>0</v>
      </c>
      <c r="I97" s="90"/>
      <c r="J97" s="90"/>
      <c r="K97" s="91"/>
    </row>
    <row r="98" spans="2:11" x14ac:dyDescent="0.25">
      <c r="B98" s="1750"/>
      <c r="D98" s="1740"/>
      <c r="E98" s="1743"/>
      <c r="G98" s="30" t="s">
        <v>27</v>
      </c>
      <c r="H98" s="126"/>
      <c r="I98" s="10"/>
      <c r="J98" s="10"/>
      <c r="K98" s="16"/>
    </row>
    <row r="99" spans="2:11" x14ac:dyDescent="0.25">
      <c r="B99" s="1750"/>
      <c r="D99" s="1740"/>
      <c r="E99" s="1743"/>
      <c r="G99" s="30" t="s">
        <v>28</v>
      </c>
      <c r="H99" s="126"/>
      <c r="I99" s="10"/>
      <c r="J99" s="10"/>
      <c r="K99" s="16"/>
    </row>
    <row r="100" spans="2:11" x14ac:dyDescent="0.25">
      <c r="B100" s="1750"/>
      <c r="D100" s="1740"/>
      <c r="E100" s="1743"/>
      <c r="G100" s="30" t="s">
        <v>29</v>
      </c>
      <c r="H100" s="126"/>
      <c r="I100" s="10"/>
      <c r="J100" s="10"/>
      <c r="K100" s="16"/>
    </row>
    <row r="101" spans="2:11" x14ac:dyDescent="0.25">
      <c r="B101" s="1750"/>
      <c r="D101" s="1740"/>
      <c r="E101" s="1743"/>
      <c r="G101" s="30" t="s">
        <v>30</v>
      </c>
      <c r="H101" s="126"/>
      <c r="I101" s="10"/>
      <c r="J101" s="10"/>
      <c r="K101" s="16"/>
    </row>
    <row r="102" spans="2:11" x14ac:dyDescent="0.25">
      <c r="B102" s="1750"/>
      <c r="D102" s="1740"/>
      <c r="E102" s="1743"/>
      <c r="G102" s="89" t="s">
        <v>31</v>
      </c>
      <c r="H102" s="1036">
        <f>SUM(H103:H104)</f>
        <v>0</v>
      </c>
      <c r="I102" s="90"/>
      <c r="J102" s="90"/>
      <c r="K102" s="91"/>
    </row>
    <row r="103" spans="2:11" x14ac:dyDescent="0.25">
      <c r="B103" s="1750"/>
      <c r="D103" s="1740"/>
      <c r="E103" s="1743"/>
      <c r="G103" s="30" t="s">
        <v>640</v>
      </c>
      <c r="H103" s="126"/>
      <c r="I103" s="10"/>
      <c r="J103" s="10"/>
      <c r="K103" s="16"/>
    </row>
    <row r="104" spans="2:11" x14ac:dyDescent="0.25">
      <c r="B104" s="1750"/>
      <c r="D104" s="1740"/>
      <c r="E104" s="1743"/>
      <c r="G104" s="30" t="s">
        <v>641</v>
      </c>
      <c r="H104" s="126"/>
      <c r="I104" s="10"/>
      <c r="J104" s="10"/>
      <c r="K104" s="16"/>
    </row>
    <row r="105" spans="2:11" x14ac:dyDescent="0.25">
      <c r="B105" s="1750"/>
      <c r="D105" s="1740"/>
      <c r="E105" s="1743"/>
      <c r="G105" s="1043" t="s">
        <v>32</v>
      </c>
      <c r="H105" s="1036"/>
      <c r="I105" s="1044"/>
      <c r="J105" s="1044"/>
      <c r="K105" s="1045"/>
    </row>
    <row r="106" spans="2:11" x14ac:dyDescent="0.25">
      <c r="B106" s="1750"/>
      <c r="D106" s="1740"/>
      <c r="E106" s="1743"/>
      <c r="G106" s="89" t="s">
        <v>33</v>
      </c>
      <c r="H106" s="132">
        <f>SUM(H107:H108)</f>
        <v>0</v>
      </c>
      <c r="I106" s="90"/>
      <c r="J106" s="90"/>
      <c r="K106" s="91"/>
    </row>
    <row r="107" spans="2:11" x14ac:dyDescent="0.25">
      <c r="B107" s="1750"/>
      <c r="D107" s="1740"/>
      <c r="E107" s="1743"/>
      <c r="G107" s="30" t="s">
        <v>34</v>
      </c>
      <c r="H107" s="126"/>
      <c r="I107" s="10"/>
      <c r="J107" s="10"/>
      <c r="K107" s="16"/>
    </row>
    <row r="108" spans="2:11" x14ac:dyDescent="0.25">
      <c r="B108" s="1750"/>
      <c r="D108" s="1740"/>
      <c r="E108" s="1743"/>
      <c r="G108" s="30" t="s">
        <v>35</v>
      </c>
      <c r="H108" s="126"/>
      <c r="I108" s="10"/>
      <c r="J108" s="10"/>
      <c r="K108" s="16"/>
    </row>
    <row r="109" spans="2:11" ht="15.75" thickBot="1" x14ac:dyDescent="0.3">
      <c r="B109" s="1750"/>
      <c r="D109" s="1741"/>
      <c r="E109" s="1744"/>
      <c r="G109" s="1047" t="s">
        <v>36</v>
      </c>
      <c r="H109" s="1048"/>
      <c r="I109" s="1049"/>
      <c r="J109" s="1049"/>
      <c r="K109" s="1050"/>
    </row>
    <row r="110" spans="2:11" ht="15" customHeight="1" x14ac:dyDescent="0.25">
      <c r="B110" s="1750"/>
      <c r="D110" s="1745"/>
      <c r="E110" s="1742" t="s">
        <v>616</v>
      </c>
      <c r="G110" s="86" t="s">
        <v>145</v>
      </c>
      <c r="H110" s="131">
        <f>SUM(H111:H112)</f>
        <v>0</v>
      </c>
      <c r="I110" s="87"/>
      <c r="J110" s="87"/>
      <c r="K110" s="88"/>
    </row>
    <row r="111" spans="2:11" x14ac:dyDescent="0.25">
      <c r="B111" s="1750"/>
      <c r="D111" s="1740"/>
      <c r="E111" s="1743"/>
      <c r="G111" s="30" t="s">
        <v>23</v>
      </c>
      <c r="H111" s="126"/>
      <c r="I111" s="10"/>
      <c r="J111" s="10"/>
      <c r="K111" s="16"/>
    </row>
    <row r="112" spans="2:11" x14ac:dyDescent="0.25">
      <c r="B112" s="1750"/>
      <c r="D112" s="1740"/>
      <c r="E112" s="1743"/>
      <c r="G112" s="30" t="s">
        <v>24</v>
      </c>
      <c r="H112" s="126"/>
      <c r="I112" s="10"/>
      <c r="J112" s="10"/>
      <c r="K112" s="16"/>
    </row>
    <row r="113" spans="2:11" x14ac:dyDescent="0.25">
      <c r="B113" s="1750"/>
      <c r="D113" s="1740"/>
      <c r="E113" s="1743"/>
      <c r="G113" s="89" t="s">
        <v>146</v>
      </c>
      <c r="H113" s="132">
        <f>SUM(H114+H124)</f>
        <v>0</v>
      </c>
      <c r="I113" s="90"/>
      <c r="J113" s="90"/>
      <c r="K113" s="91"/>
    </row>
    <row r="114" spans="2:11" x14ac:dyDescent="0.25">
      <c r="B114" s="1750"/>
      <c r="D114" s="1740"/>
      <c r="E114" s="1743"/>
      <c r="G114" s="89" t="s">
        <v>25</v>
      </c>
      <c r="H114" s="132">
        <f>SUM(H115,H120,H123)</f>
        <v>0</v>
      </c>
      <c r="I114" s="90"/>
      <c r="J114" s="90"/>
      <c r="K114" s="91"/>
    </row>
    <row r="115" spans="2:11" x14ac:dyDescent="0.25">
      <c r="B115" s="1750"/>
      <c r="D115" s="1740"/>
      <c r="E115" s="1743"/>
      <c r="G115" s="89" t="s">
        <v>26</v>
      </c>
      <c r="H115" s="132">
        <f>SUM(H116:H119)</f>
        <v>0</v>
      </c>
      <c r="I115" s="90"/>
      <c r="J115" s="90"/>
      <c r="K115" s="91"/>
    </row>
    <row r="116" spans="2:11" x14ac:dyDescent="0.25">
      <c r="B116" s="1750"/>
      <c r="D116" s="1740"/>
      <c r="E116" s="1743"/>
      <c r="G116" s="30" t="s">
        <v>27</v>
      </c>
      <c r="H116" s="126"/>
      <c r="I116" s="10"/>
      <c r="J116" s="10"/>
      <c r="K116" s="16"/>
    </row>
    <row r="117" spans="2:11" x14ac:dyDescent="0.25">
      <c r="B117" s="1750"/>
      <c r="D117" s="1740"/>
      <c r="E117" s="1743"/>
      <c r="G117" s="30" t="s">
        <v>28</v>
      </c>
      <c r="H117" s="126"/>
      <c r="I117" s="10"/>
      <c r="J117" s="10"/>
      <c r="K117" s="16"/>
    </row>
    <row r="118" spans="2:11" x14ac:dyDescent="0.25">
      <c r="B118" s="1750"/>
      <c r="D118" s="1740"/>
      <c r="E118" s="1743"/>
      <c r="G118" s="30" t="s">
        <v>29</v>
      </c>
      <c r="H118" s="126"/>
      <c r="I118" s="10"/>
      <c r="J118" s="10"/>
      <c r="K118" s="16"/>
    </row>
    <row r="119" spans="2:11" x14ac:dyDescent="0.25">
      <c r="B119" s="1750"/>
      <c r="D119" s="1740"/>
      <c r="E119" s="1743"/>
      <c r="G119" s="30" t="s">
        <v>30</v>
      </c>
      <c r="H119" s="126"/>
      <c r="I119" s="10"/>
      <c r="J119" s="10"/>
      <c r="K119" s="16"/>
    </row>
    <row r="120" spans="2:11" x14ac:dyDescent="0.25">
      <c r="B120" s="1750"/>
      <c r="D120" s="1740"/>
      <c r="E120" s="1743"/>
      <c r="G120" s="89" t="s">
        <v>31</v>
      </c>
      <c r="H120" s="1036">
        <f>SUM(H121:H122)</f>
        <v>0</v>
      </c>
      <c r="I120" s="90"/>
      <c r="J120" s="90"/>
      <c r="K120" s="91"/>
    </row>
    <row r="121" spans="2:11" x14ac:dyDescent="0.25">
      <c r="B121" s="1750"/>
      <c r="D121" s="1740"/>
      <c r="E121" s="1743"/>
      <c r="G121" s="30" t="s">
        <v>640</v>
      </c>
      <c r="H121" s="126"/>
      <c r="I121" s="10"/>
      <c r="J121" s="10"/>
      <c r="K121" s="16"/>
    </row>
    <row r="122" spans="2:11" x14ac:dyDescent="0.25">
      <c r="B122" s="1750"/>
      <c r="D122" s="1740"/>
      <c r="E122" s="1743"/>
      <c r="G122" s="30" t="s">
        <v>641</v>
      </c>
      <c r="H122" s="126"/>
      <c r="I122" s="10"/>
      <c r="J122" s="10"/>
      <c r="K122" s="16"/>
    </row>
    <row r="123" spans="2:11" x14ac:dyDescent="0.25">
      <c r="B123" s="1750"/>
      <c r="D123" s="1740"/>
      <c r="E123" s="1743"/>
      <c r="G123" s="1043" t="s">
        <v>32</v>
      </c>
      <c r="H123" s="1036"/>
      <c r="I123" s="1044"/>
      <c r="J123" s="1044"/>
      <c r="K123" s="1045"/>
    </row>
    <row r="124" spans="2:11" x14ac:dyDescent="0.25">
      <c r="B124" s="1750"/>
      <c r="D124" s="1740"/>
      <c r="E124" s="1743"/>
      <c r="G124" s="89" t="s">
        <v>33</v>
      </c>
      <c r="H124" s="132">
        <f>SUM(H125:H126)</f>
        <v>0</v>
      </c>
      <c r="I124" s="90"/>
      <c r="J124" s="90"/>
      <c r="K124" s="91"/>
    </row>
    <row r="125" spans="2:11" x14ac:dyDescent="0.25">
      <c r="B125" s="1750"/>
      <c r="D125" s="1740"/>
      <c r="E125" s="1743"/>
      <c r="G125" s="30" t="s">
        <v>34</v>
      </c>
      <c r="H125" s="126"/>
      <c r="I125" s="10"/>
      <c r="J125" s="10"/>
      <c r="K125" s="16"/>
    </row>
    <row r="126" spans="2:11" x14ac:dyDescent="0.25">
      <c r="B126" s="1750"/>
      <c r="D126" s="1740"/>
      <c r="E126" s="1743"/>
      <c r="G126" s="30" t="s">
        <v>35</v>
      </c>
      <c r="H126" s="126"/>
      <c r="I126" s="10"/>
      <c r="J126" s="10"/>
      <c r="K126" s="16"/>
    </row>
    <row r="127" spans="2:11" ht="15.75" thickBot="1" x14ac:dyDescent="0.3">
      <c r="B127" s="1750"/>
      <c r="D127" s="1741"/>
      <c r="E127" s="1744"/>
      <c r="G127" s="1047" t="s">
        <v>36</v>
      </c>
      <c r="H127" s="1048"/>
      <c r="I127" s="1049"/>
      <c r="J127" s="1049"/>
      <c r="K127" s="1050"/>
    </row>
    <row r="128" spans="2:11" ht="15" customHeight="1" x14ac:dyDescent="0.25">
      <c r="B128" s="1750"/>
      <c r="D128" s="1739"/>
      <c r="E128" s="1742" t="s">
        <v>617</v>
      </c>
      <c r="G128" s="86" t="s">
        <v>145</v>
      </c>
      <c r="H128" s="131">
        <f>SUM(H129:H130)</f>
        <v>0</v>
      </c>
      <c r="I128" s="87"/>
      <c r="J128" s="87"/>
      <c r="K128" s="88"/>
    </row>
    <row r="129" spans="2:11" x14ac:dyDescent="0.25">
      <c r="B129" s="1750"/>
      <c r="D129" s="1740"/>
      <c r="E129" s="1743"/>
      <c r="G129" s="30" t="s">
        <v>23</v>
      </c>
      <c r="H129" s="126"/>
      <c r="I129" s="10"/>
      <c r="J129" s="10"/>
      <c r="K129" s="16"/>
    </row>
    <row r="130" spans="2:11" x14ac:dyDescent="0.25">
      <c r="B130" s="1750"/>
      <c r="D130" s="1740"/>
      <c r="E130" s="1743"/>
      <c r="G130" s="30" t="s">
        <v>24</v>
      </c>
      <c r="H130" s="126">
        <v>0</v>
      </c>
      <c r="I130" s="10"/>
      <c r="J130" s="10"/>
      <c r="K130" s="16"/>
    </row>
    <row r="131" spans="2:11" x14ac:dyDescent="0.25">
      <c r="B131" s="1750"/>
      <c r="D131" s="1740"/>
      <c r="E131" s="1743"/>
      <c r="G131" s="89" t="s">
        <v>146</v>
      </c>
      <c r="H131" s="132">
        <f>SUM(H132+H142)</f>
        <v>0</v>
      </c>
      <c r="I131" s="90"/>
      <c r="J131" s="90"/>
      <c r="K131" s="91"/>
    </row>
    <row r="132" spans="2:11" x14ac:dyDescent="0.25">
      <c r="B132" s="1750"/>
      <c r="D132" s="1740"/>
      <c r="E132" s="1743"/>
      <c r="G132" s="89" t="s">
        <v>25</v>
      </c>
      <c r="H132" s="132">
        <f>SUM(H133,H138,H141)</f>
        <v>0</v>
      </c>
      <c r="I132" s="90"/>
      <c r="J132" s="90"/>
      <c r="K132" s="91"/>
    </row>
    <row r="133" spans="2:11" x14ac:dyDescent="0.25">
      <c r="B133" s="1750"/>
      <c r="D133" s="1740"/>
      <c r="E133" s="1743"/>
      <c r="G133" s="89" t="s">
        <v>26</v>
      </c>
      <c r="H133" s="132">
        <f>SUM(H134:H137)</f>
        <v>0</v>
      </c>
      <c r="I133" s="90"/>
      <c r="J133" s="90"/>
      <c r="K133" s="91"/>
    </row>
    <row r="134" spans="2:11" x14ac:dyDescent="0.25">
      <c r="B134" s="1750"/>
      <c r="D134" s="1740"/>
      <c r="E134" s="1743"/>
      <c r="G134" s="30" t="s">
        <v>27</v>
      </c>
      <c r="H134" s="126"/>
      <c r="I134" s="10"/>
      <c r="J134" s="10"/>
      <c r="K134" s="16"/>
    </row>
    <row r="135" spans="2:11" x14ac:dyDescent="0.25">
      <c r="B135" s="1750"/>
      <c r="D135" s="1740"/>
      <c r="E135" s="1743"/>
      <c r="G135" s="30" t="s">
        <v>28</v>
      </c>
      <c r="H135" s="126"/>
      <c r="I135" s="10"/>
      <c r="J135" s="10"/>
      <c r="K135" s="16"/>
    </row>
    <row r="136" spans="2:11" x14ac:dyDescent="0.25">
      <c r="B136" s="1750"/>
      <c r="D136" s="1740"/>
      <c r="E136" s="1743"/>
      <c r="G136" s="30" t="s">
        <v>29</v>
      </c>
      <c r="H136" s="126"/>
      <c r="I136" s="10"/>
      <c r="J136" s="10"/>
      <c r="K136" s="16"/>
    </row>
    <row r="137" spans="2:11" x14ac:dyDescent="0.25">
      <c r="B137" s="1750"/>
      <c r="D137" s="1740"/>
      <c r="E137" s="1743"/>
      <c r="G137" s="30" t="s">
        <v>30</v>
      </c>
      <c r="H137" s="126"/>
      <c r="I137" s="10"/>
      <c r="J137" s="10"/>
      <c r="K137" s="16"/>
    </row>
    <row r="138" spans="2:11" x14ac:dyDescent="0.25">
      <c r="B138" s="1750"/>
      <c r="D138" s="1740"/>
      <c r="E138" s="1743"/>
      <c r="G138" s="89" t="s">
        <v>31</v>
      </c>
      <c r="H138" s="1036">
        <f>SUM(H139:H140)</f>
        <v>0</v>
      </c>
      <c r="I138" s="90"/>
      <c r="J138" s="90"/>
      <c r="K138" s="91"/>
    </row>
    <row r="139" spans="2:11" x14ac:dyDescent="0.25">
      <c r="B139" s="1750"/>
      <c r="D139" s="1740"/>
      <c r="E139" s="1743"/>
      <c r="G139" s="30" t="s">
        <v>640</v>
      </c>
      <c r="H139" s="126"/>
      <c r="I139" s="10"/>
      <c r="J139" s="10"/>
      <c r="K139" s="16"/>
    </row>
    <row r="140" spans="2:11" x14ac:dyDescent="0.25">
      <c r="B140" s="1750"/>
      <c r="D140" s="1740"/>
      <c r="E140" s="1743"/>
      <c r="G140" s="30" t="s">
        <v>641</v>
      </c>
      <c r="H140" s="126"/>
      <c r="I140" s="10"/>
      <c r="J140" s="10"/>
      <c r="K140" s="16"/>
    </row>
    <row r="141" spans="2:11" x14ac:dyDescent="0.25">
      <c r="B141" s="1750"/>
      <c r="D141" s="1740"/>
      <c r="E141" s="1743"/>
      <c r="G141" s="1043" t="s">
        <v>32</v>
      </c>
      <c r="H141" s="1036">
        <v>0</v>
      </c>
      <c r="I141" s="1044"/>
      <c r="J141" s="1044"/>
      <c r="K141" s="1045"/>
    </row>
    <row r="142" spans="2:11" x14ac:dyDescent="0.25">
      <c r="B142" s="1750"/>
      <c r="D142" s="1740"/>
      <c r="E142" s="1743"/>
      <c r="G142" s="89" t="s">
        <v>33</v>
      </c>
      <c r="H142" s="132">
        <f>SUM(H143:H144)</f>
        <v>0</v>
      </c>
      <c r="I142" s="90"/>
      <c r="J142" s="90"/>
      <c r="K142" s="91"/>
    </row>
    <row r="143" spans="2:11" x14ac:dyDescent="0.25">
      <c r="B143" s="1750"/>
      <c r="D143" s="1740"/>
      <c r="E143" s="1743"/>
      <c r="G143" s="30" t="s">
        <v>34</v>
      </c>
      <c r="H143" s="126"/>
      <c r="I143" s="10"/>
      <c r="J143" s="10"/>
      <c r="K143" s="16"/>
    </row>
    <row r="144" spans="2:11" x14ac:dyDescent="0.25">
      <c r="B144" s="1750"/>
      <c r="D144" s="1740"/>
      <c r="E144" s="1743"/>
      <c r="G144" s="30" t="s">
        <v>35</v>
      </c>
      <c r="H144" s="126"/>
      <c r="I144" s="10"/>
      <c r="J144" s="10"/>
      <c r="K144" s="16"/>
    </row>
    <row r="145" spans="2:11" ht="15.75" thickBot="1" x14ac:dyDescent="0.3">
      <c r="B145" s="1750"/>
      <c r="D145" s="1741"/>
      <c r="E145" s="1744"/>
      <c r="G145" s="1047" t="s">
        <v>36</v>
      </c>
      <c r="H145" s="1048"/>
      <c r="I145" s="1049"/>
      <c r="J145" s="1049"/>
      <c r="K145" s="1050"/>
    </row>
    <row r="146" spans="2:11" ht="15" customHeight="1" x14ac:dyDescent="0.25">
      <c r="B146" s="1750"/>
      <c r="D146" s="1745" t="s">
        <v>19</v>
      </c>
      <c r="E146" s="1746" t="s">
        <v>153</v>
      </c>
      <c r="G146" s="86" t="s">
        <v>145</v>
      </c>
      <c r="H146" s="131">
        <f>SUM(H147:H148)</f>
        <v>0</v>
      </c>
      <c r="I146" s="87"/>
      <c r="J146" s="87"/>
      <c r="K146" s="88"/>
    </row>
    <row r="147" spans="2:11" x14ac:dyDescent="0.25">
      <c r="B147" s="1750"/>
      <c r="D147" s="1740"/>
      <c r="E147" s="1747"/>
      <c r="G147" s="30" t="s">
        <v>23</v>
      </c>
      <c r="H147" s="126">
        <v>0</v>
      </c>
      <c r="I147" s="10"/>
      <c r="J147" s="10"/>
      <c r="K147" s="16"/>
    </row>
    <row r="148" spans="2:11" x14ac:dyDescent="0.25">
      <c r="B148" s="1750"/>
      <c r="D148" s="1740"/>
      <c r="E148" s="1747"/>
      <c r="G148" s="30" t="s">
        <v>24</v>
      </c>
      <c r="H148" s="126">
        <v>0</v>
      </c>
      <c r="I148" s="10"/>
      <c r="J148" s="10"/>
      <c r="K148" s="16"/>
    </row>
    <row r="149" spans="2:11" x14ac:dyDescent="0.25">
      <c r="B149" s="1750"/>
      <c r="D149" s="1740"/>
      <c r="E149" s="1747"/>
      <c r="G149" s="89" t="s">
        <v>146</v>
      </c>
      <c r="H149" s="132">
        <f>SUM(H150+H160)</f>
        <v>0</v>
      </c>
      <c r="I149" s="90"/>
      <c r="J149" s="90"/>
      <c r="K149" s="91"/>
    </row>
    <row r="150" spans="2:11" x14ac:dyDescent="0.25">
      <c r="B150" s="1750"/>
      <c r="D150" s="1740"/>
      <c r="E150" s="1747"/>
      <c r="G150" s="89" t="s">
        <v>25</v>
      </c>
      <c r="H150" s="132">
        <f>SUM(H151,H156,H159)</f>
        <v>0</v>
      </c>
      <c r="I150" s="90"/>
      <c r="J150" s="90"/>
      <c r="K150" s="91"/>
    </row>
    <row r="151" spans="2:11" x14ac:dyDescent="0.25">
      <c r="B151" s="1750"/>
      <c r="D151" s="1740"/>
      <c r="E151" s="1747"/>
      <c r="G151" s="89" t="s">
        <v>26</v>
      </c>
      <c r="H151" s="132">
        <f>SUM(H152:H155)</f>
        <v>0</v>
      </c>
      <c r="I151" s="90"/>
      <c r="J151" s="90"/>
      <c r="K151" s="91"/>
    </row>
    <row r="152" spans="2:11" x14ac:dyDescent="0.25">
      <c r="B152" s="1750"/>
      <c r="D152" s="1740"/>
      <c r="E152" s="1747"/>
      <c r="G152" s="30" t="s">
        <v>27</v>
      </c>
      <c r="H152" s="126">
        <v>0</v>
      </c>
      <c r="I152" s="10"/>
      <c r="J152" s="10"/>
      <c r="K152" s="16"/>
    </row>
    <row r="153" spans="2:11" x14ac:dyDescent="0.25">
      <c r="B153" s="1750"/>
      <c r="D153" s="1740"/>
      <c r="E153" s="1747"/>
      <c r="G153" s="30" t="s">
        <v>28</v>
      </c>
      <c r="H153" s="126">
        <v>0</v>
      </c>
      <c r="I153" s="10"/>
      <c r="J153" s="10"/>
      <c r="K153" s="16"/>
    </row>
    <row r="154" spans="2:11" x14ac:dyDescent="0.25">
      <c r="B154" s="1750"/>
      <c r="D154" s="1740"/>
      <c r="E154" s="1747"/>
      <c r="G154" s="30" t="s">
        <v>29</v>
      </c>
      <c r="H154" s="126">
        <v>0</v>
      </c>
      <c r="I154" s="10"/>
      <c r="J154" s="10"/>
      <c r="K154" s="16"/>
    </row>
    <row r="155" spans="2:11" x14ac:dyDescent="0.25">
      <c r="B155" s="1750"/>
      <c r="D155" s="1740"/>
      <c r="E155" s="1747"/>
      <c r="G155" s="30" t="s">
        <v>30</v>
      </c>
      <c r="H155" s="126">
        <v>0</v>
      </c>
      <c r="I155" s="10"/>
      <c r="J155" s="10"/>
      <c r="K155" s="16"/>
    </row>
    <row r="156" spans="2:11" x14ac:dyDescent="0.25">
      <c r="B156" s="1750"/>
      <c r="D156" s="1740"/>
      <c r="E156" s="1747"/>
      <c r="G156" s="89" t="s">
        <v>31</v>
      </c>
      <c r="H156" s="1036">
        <f>SUM(H157:H158)</f>
        <v>0</v>
      </c>
      <c r="I156" s="90"/>
      <c r="J156" s="90"/>
      <c r="K156" s="91"/>
    </row>
    <row r="157" spans="2:11" x14ac:dyDescent="0.25">
      <c r="B157" s="1750"/>
      <c r="D157" s="1740"/>
      <c r="E157" s="1747"/>
      <c r="G157" s="30" t="s">
        <v>640</v>
      </c>
      <c r="H157" s="126"/>
      <c r="I157" s="10"/>
      <c r="J157" s="10"/>
      <c r="K157" s="16"/>
    </row>
    <row r="158" spans="2:11" x14ac:dyDescent="0.25">
      <c r="B158" s="1750"/>
      <c r="D158" s="1740"/>
      <c r="E158" s="1747"/>
      <c r="G158" s="30" t="s">
        <v>641</v>
      </c>
      <c r="H158" s="126"/>
      <c r="I158" s="10"/>
      <c r="J158" s="10"/>
      <c r="K158" s="16"/>
    </row>
    <row r="159" spans="2:11" x14ac:dyDescent="0.25">
      <c r="B159" s="1750"/>
      <c r="D159" s="1740"/>
      <c r="E159" s="1747"/>
      <c r="G159" s="1043" t="s">
        <v>32</v>
      </c>
      <c r="H159" s="1036">
        <v>0</v>
      </c>
      <c r="I159" s="1044"/>
      <c r="J159" s="1044"/>
      <c r="K159" s="1045"/>
    </row>
    <row r="160" spans="2:11" x14ac:dyDescent="0.25">
      <c r="B160" s="1750"/>
      <c r="D160" s="1740"/>
      <c r="E160" s="1747"/>
      <c r="G160" s="89" t="s">
        <v>33</v>
      </c>
      <c r="H160" s="132">
        <f>SUM(H161:H162)</f>
        <v>0</v>
      </c>
      <c r="I160" s="90"/>
      <c r="J160" s="90"/>
      <c r="K160" s="91"/>
    </row>
    <row r="161" spans="2:11" x14ac:dyDescent="0.25">
      <c r="B161" s="1750"/>
      <c r="D161" s="1740"/>
      <c r="E161" s="1747"/>
      <c r="G161" s="30" t="s">
        <v>34</v>
      </c>
      <c r="H161" s="126">
        <v>0</v>
      </c>
      <c r="I161" s="10"/>
      <c r="J161" s="10"/>
      <c r="K161" s="16"/>
    </row>
    <row r="162" spans="2:11" x14ac:dyDescent="0.25">
      <c r="B162" s="1750"/>
      <c r="D162" s="1740"/>
      <c r="E162" s="1747"/>
      <c r="G162" s="30" t="s">
        <v>35</v>
      </c>
      <c r="H162" s="126">
        <v>0</v>
      </c>
      <c r="I162" s="10"/>
      <c r="J162" s="10"/>
      <c r="K162" s="16"/>
    </row>
    <row r="163" spans="2:11" ht="15.75" thickBot="1" x14ac:dyDescent="0.3">
      <c r="B163" s="1750"/>
      <c r="D163" s="1741"/>
      <c r="E163" s="1748"/>
      <c r="G163" s="1047" t="s">
        <v>36</v>
      </c>
      <c r="H163" s="1048">
        <v>16672.61</v>
      </c>
      <c r="I163" s="1049"/>
      <c r="J163" s="1049"/>
      <c r="K163" s="1050" t="s">
        <v>1317</v>
      </c>
    </row>
    <row r="164" spans="2:11" ht="15" customHeight="1" x14ac:dyDescent="0.25">
      <c r="B164" s="1750"/>
      <c r="D164" s="1745"/>
      <c r="E164" s="1742" t="s">
        <v>639</v>
      </c>
      <c r="G164" s="86" t="s">
        <v>145</v>
      </c>
      <c r="H164" s="131">
        <f>SUM(H165:H166)</f>
        <v>0</v>
      </c>
      <c r="I164" s="87"/>
      <c r="J164" s="87"/>
      <c r="K164" s="88"/>
    </row>
    <row r="165" spans="2:11" x14ac:dyDescent="0.25">
      <c r="B165" s="1750"/>
      <c r="D165" s="1740"/>
      <c r="E165" s="1743"/>
      <c r="G165" s="30" t="s">
        <v>23</v>
      </c>
      <c r="H165" s="126"/>
      <c r="I165" s="10"/>
      <c r="J165" s="10"/>
      <c r="K165" s="16"/>
    </row>
    <row r="166" spans="2:11" x14ac:dyDescent="0.25">
      <c r="B166" s="1750"/>
      <c r="D166" s="1740"/>
      <c r="E166" s="1743"/>
      <c r="G166" s="30" t="s">
        <v>24</v>
      </c>
      <c r="H166" s="126"/>
      <c r="I166" s="10"/>
      <c r="J166" s="10"/>
      <c r="K166" s="16"/>
    </row>
    <row r="167" spans="2:11" x14ac:dyDescent="0.25">
      <c r="B167" s="1750"/>
      <c r="D167" s="1740"/>
      <c r="E167" s="1743"/>
      <c r="G167" s="89" t="s">
        <v>146</v>
      </c>
      <c r="H167" s="132">
        <f>SUM(H168+H178)</f>
        <v>0</v>
      </c>
      <c r="I167" s="90"/>
      <c r="J167" s="90"/>
      <c r="K167" s="91"/>
    </row>
    <row r="168" spans="2:11" x14ac:dyDescent="0.25">
      <c r="B168" s="1750"/>
      <c r="D168" s="1740"/>
      <c r="E168" s="1743"/>
      <c r="G168" s="89" t="s">
        <v>25</v>
      </c>
      <c r="H168" s="132">
        <f>SUM(H169,H174,H177)</f>
        <v>0</v>
      </c>
      <c r="I168" s="90"/>
      <c r="J168" s="90"/>
      <c r="K168" s="91"/>
    </row>
    <row r="169" spans="2:11" x14ac:dyDescent="0.25">
      <c r="B169" s="1750"/>
      <c r="D169" s="1740"/>
      <c r="E169" s="1743"/>
      <c r="G169" s="89" t="s">
        <v>26</v>
      </c>
      <c r="H169" s="132">
        <f>SUM(H170:H173)</f>
        <v>0</v>
      </c>
      <c r="I169" s="90"/>
      <c r="J169" s="90"/>
      <c r="K169" s="91"/>
    </row>
    <row r="170" spans="2:11" x14ac:dyDescent="0.25">
      <c r="B170" s="1750"/>
      <c r="D170" s="1740"/>
      <c r="E170" s="1743"/>
      <c r="G170" s="30" t="s">
        <v>27</v>
      </c>
      <c r="H170" s="126"/>
      <c r="I170" s="10"/>
      <c r="J170" s="10"/>
      <c r="K170" s="16"/>
    </row>
    <row r="171" spans="2:11" x14ac:dyDescent="0.25">
      <c r="B171" s="1750"/>
      <c r="D171" s="1740"/>
      <c r="E171" s="1743"/>
      <c r="G171" s="30" t="s">
        <v>28</v>
      </c>
      <c r="H171" s="126"/>
      <c r="I171" s="10"/>
      <c r="J171" s="10"/>
      <c r="K171" s="16"/>
    </row>
    <row r="172" spans="2:11" x14ac:dyDescent="0.25">
      <c r="B172" s="1750"/>
      <c r="D172" s="1740"/>
      <c r="E172" s="1743"/>
      <c r="G172" s="30" t="s">
        <v>29</v>
      </c>
      <c r="H172" s="126"/>
      <c r="I172" s="10"/>
      <c r="J172" s="10"/>
      <c r="K172" s="16"/>
    </row>
    <row r="173" spans="2:11" x14ac:dyDescent="0.25">
      <c r="B173" s="1750"/>
      <c r="D173" s="1740"/>
      <c r="E173" s="1743"/>
      <c r="G173" s="30" t="s">
        <v>30</v>
      </c>
      <c r="H173" s="126"/>
      <c r="I173" s="10"/>
      <c r="J173" s="10"/>
      <c r="K173" s="16"/>
    </row>
    <row r="174" spans="2:11" x14ac:dyDescent="0.25">
      <c r="B174" s="1750"/>
      <c r="D174" s="1740"/>
      <c r="E174" s="1743"/>
      <c r="G174" s="89" t="s">
        <v>31</v>
      </c>
      <c r="H174" s="1036">
        <f>SUM(H175:H176)</f>
        <v>0</v>
      </c>
      <c r="I174" s="90"/>
      <c r="J174" s="90"/>
      <c r="K174" s="91"/>
    </row>
    <row r="175" spans="2:11" x14ac:dyDescent="0.25">
      <c r="B175" s="1750"/>
      <c r="D175" s="1740"/>
      <c r="E175" s="1743"/>
      <c r="G175" s="30" t="s">
        <v>640</v>
      </c>
      <c r="H175" s="126"/>
      <c r="I175" s="10"/>
      <c r="J175" s="10"/>
      <c r="K175" s="16"/>
    </row>
    <row r="176" spans="2:11" x14ac:dyDescent="0.25">
      <c r="B176" s="1750"/>
      <c r="D176" s="1740"/>
      <c r="E176" s="1743"/>
      <c r="G176" s="30" t="s">
        <v>641</v>
      </c>
      <c r="H176" s="126"/>
      <c r="I176" s="10"/>
      <c r="J176" s="10"/>
      <c r="K176" s="16"/>
    </row>
    <row r="177" spans="2:11" x14ac:dyDescent="0.25">
      <c r="B177" s="1750"/>
      <c r="D177" s="1740"/>
      <c r="E177" s="1743"/>
      <c r="G177" s="1043" t="s">
        <v>32</v>
      </c>
      <c r="H177" s="1036"/>
      <c r="I177" s="1044"/>
      <c r="J177" s="1044"/>
      <c r="K177" s="1045"/>
    </row>
    <row r="178" spans="2:11" x14ac:dyDescent="0.25">
      <c r="B178" s="1750"/>
      <c r="D178" s="1740"/>
      <c r="E178" s="1743"/>
      <c r="G178" s="89" t="s">
        <v>33</v>
      </c>
      <c r="H178" s="132">
        <f>SUM(H179:H180)</f>
        <v>0</v>
      </c>
      <c r="I178" s="90"/>
      <c r="J178" s="90"/>
      <c r="K178" s="91"/>
    </row>
    <row r="179" spans="2:11" x14ac:dyDescent="0.25">
      <c r="B179" s="1750"/>
      <c r="D179" s="1740"/>
      <c r="E179" s="1743"/>
      <c r="G179" s="30" t="s">
        <v>34</v>
      </c>
      <c r="H179" s="126"/>
      <c r="I179" s="10"/>
      <c r="J179" s="10"/>
      <c r="K179" s="16"/>
    </row>
    <row r="180" spans="2:11" x14ac:dyDescent="0.25">
      <c r="B180" s="1750"/>
      <c r="D180" s="1740"/>
      <c r="E180" s="1743"/>
      <c r="G180" s="30" t="s">
        <v>35</v>
      </c>
      <c r="H180" s="126"/>
      <c r="I180" s="10"/>
      <c r="J180" s="10"/>
      <c r="K180" s="16"/>
    </row>
    <row r="181" spans="2:11" ht="15.75" thickBot="1" x14ac:dyDescent="0.3">
      <c r="B181" s="1750"/>
      <c r="D181" s="1741"/>
      <c r="E181" s="1744"/>
      <c r="G181" s="1047" t="s">
        <v>36</v>
      </c>
      <c r="H181" s="1048"/>
      <c r="I181" s="1049"/>
      <c r="J181" s="1049"/>
      <c r="K181" s="1050"/>
    </row>
    <row r="182" spans="2:11" ht="15" customHeight="1" x14ac:dyDescent="0.25">
      <c r="B182" s="1750"/>
      <c r="D182" s="1745" t="s">
        <v>20</v>
      </c>
      <c r="E182" s="1746" t="s">
        <v>154</v>
      </c>
      <c r="G182" s="86" t="s">
        <v>145</v>
      </c>
      <c r="H182" s="131">
        <f>SUM(H183:H184)</f>
        <v>0.06</v>
      </c>
      <c r="I182" s="87"/>
      <c r="J182" s="87"/>
      <c r="K182" s="88"/>
    </row>
    <row r="183" spans="2:11" x14ac:dyDescent="0.25">
      <c r="B183" s="1750"/>
      <c r="D183" s="1740"/>
      <c r="E183" s="1747"/>
      <c r="G183" s="30" t="s">
        <v>23</v>
      </c>
      <c r="H183" s="126">
        <v>0.06</v>
      </c>
      <c r="I183" s="10"/>
      <c r="J183" s="10"/>
      <c r="K183" s="16"/>
    </row>
    <row r="184" spans="2:11" x14ac:dyDescent="0.25">
      <c r="B184" s="1750"/>
      <c r="D184" s="1740"/>
      <c r="E184" s="1747"/>
      <c r="G184" s="30" t="s">
        <v>24</v>
      </c>
      <c r="H184" s="126">
        <v>0</v>
      </c>
      <c r="I184" s="10"/>
      <c r="J184" s="10"/>
      <c r="K184" s="16"/>
    </row>
    <row r="185" spans="2:11" x14ac:dyDescent="0.25">
      <c r="B185" s="1750"/>
      <c r="D185" s="1740"/>
      <c r="E185" s="1747"/>
      <c r="G185" s="89" t="s">
        <v>146</v>
      </c>
      <c r="H185" s="132">
        <f>SUM(H186+H196)</f>
        <v>0.06</v>
      </c>
      <c r="I185" s="90"/>
      <c r="J185" s="90"/>
      <c r="K185" s="91"/>
    </row>
    <row r="186" spans="2:11" x14ac:dyDescent="0.25">
      <c r="B186" s="1750"/>
      <c r="D186" s="1740"/>
      <c r="E186" s="1747"/>
      <c r="G186" s="89" t="s">
        <v>25</v>
      </c>
      <c r="H186" s="132">
        <f>SUM(H187,H192,H195)</f>
        <v>0</v>
      </c>
      <c r="I186" s="90"/>
      <c r="J186" s="90"/>
      <c r="K186" s="91"/>
    </row>
    <row r="187" spans="2:11" x14ac:dyDescent="0.25">
      <c r="B187" s="1750"/>
      <c r="D187" s="1740"/>
      <c r="E187" s="1747"/>
      <c r="G187" s="89" t="s">
        <v>26</v>
      </c>
      <c r="H187" s="132">
        <f>SUM(H188:H191)</f>
        <v>0</v>
      </c>
      <c r="I187" s="90"/>
      <c r="J187" s="90"/>
      <c r="K187" s="91"/>
    </row>
    <row r="188" spans="2:11" x14ac:dyDescent="0.25">
      <c r="B188" s="1750"/>
      <c r="D188" s="1740"/>
      <c r="E188" s="1747"/>
      <c r="G188" s="30" t="s">
        <v>27</v>
      </c>
      <c r="H188" s="126">
        <v>0</v>
      </c>
      <c r="I188" s="10"/>
      <c r="J188" s="10"/>
      <c r="K188" s="16"/>
    </row>
    <row r="189" spans="2:11" x14ac:dyDescent="0.25">
      <c r="B189" s="1750"/>
      <c r="D189" s="1740"/>
      <c r="E189" s="1747"/>
      <c r="G189" s="30" t="s">
        <v>28</v>
      </c>
      <c r="H189" s="126">
        <v>0</v>
      </c>
      <c r="I189" s="10"/>
      <c r="J189" s="10"/>
      <c r="K189" s="16"/>
    </row>
    <row r="190" spans="2:11" x14ac:dyDescent="0.25">
      <c r="B190" s="1750"/>
      <c r="D190" s="1740"/>
      <c r="E190" s="1747"/>
      <c r="G190" s="30" t="s">
        <v>29</v>
      </c>
      <c r="H190" s="126">
        <v>0</v>
      </c>
      <c r="I190" s="10"/>
      <c r="J190" s="10"/>
      <c r="K190" s="16"/>
    </row>
    <row r="191" spans="2:11" x14ac:dyDescent="0.25">
      <c r="B191" s="1750"/>
      <c r="D191" s="1740"/>
      <c r="E191" s="1747"/>
      <c r="G191" s="30" t="s">
        <v>30</v>
      </c>
      <c r="H191" s="126">
        <v>0</v>
      </c>
      <c r="I191" s="10"/>
      <c r="J191" s="10"/>
      <c r="K191" s="16"/>
    </row>
    <row r="192" spans="2:11" x14ac:dyDescent="0.25">
      <c r="B192" s="1750"/>
      <c r="D192" s="1740"/>
      <c r="E192" s="1747"/>
      <c r="G192" s="89" t="s">
        <v>31</v>
      </c>
      <c r="H192" s="1036">
        <f>SUM(H193:H194)</f>
        <v>0</v>
      </c>
      <c r="I192" s="90"/>
      <c r="J192" s="90"/>
      <c r="K192" s="91"/>
    </row>
    <row r="193" spans="2:11" x14ac:dyDescent="0.25">
      <c r="B193" s="1750"/>
      <c r="D193" s="1740"/>
      <c r="E193" s="1747"/>
      <c r="G193" s="30" t="s">
        <v>640</v>
      </c>
      <c r="H193" s="126"/>
      <c r="I193" s="10"/>
      <c r="J193" s="10"/>
      <c r="K193" s="16"/>
    </row>
    <row r="194" spans="2:11" x14ac:dyDescent="0.25">
      <c r="B194" s="1750"/>
      <c r="D194" s="1740"/>
      <c r="E194" s="1747"/>
      <c r="G194" s="30" t="s">
        <v>641</v>
      </c>
      <c r="H194" s="126"/>
      <c r="I194" s="10"/>
      <c r="J194" s="10"/>
      <c r="K194" s="16"/>
    </row>
    <row r="195" spans="2:11" x14ac:dyDescent="0.25">
      <c r="B195" s="1750"/>
      <c r="D195" s="1740"/>
      <c r="E195" s="1747"/>
      <c r="G195" s="1043" t="s">
        <v>32</v>
      </c>
      <c r="H195" s="1036">
        <v>0</v>
      </c>
      <c r="I195" s="1044"/>
      <c r="J195" s="1044"/>
      <c r="K195" s="1045"/>
    </row>
    <row r="196" spans="2:11" x14ac:dyDescent="0.25">
      <c r="B196" s="1750"/>
      <c r="D196" s="1740"/>
      <c r="E196" s="1747"/>
      <c r="G196" s="89" t="s">
        <v>33</v>
      </c>
      <c r="H196" s="132">
        <f>SUM(H197:H198)</f>
        <v>0.06</v>
      </c>
      <c r="I196" s="90"/>
      <c r="J196" s="90"/>
      <c r="K196" s="91"/>
    </row>
    <row r="197" spans="2:11" x14ac:dyDescent="0.25">
      <c r="B197" s="1750"/>
      <c r="D197" s="1740"/>
      <c r="E197" s="1747"/>
      <c r="G197" s="30" t="s">
        <v>34</v>
      </c>
      <c r="H197" s="126">
        <v>0.06</v>
      </c>
      <c r="I197" s="10"/>
      <c r="J197" s="10"/>
      <c r="K197" s="16"/>
    </row>
    <row r="198" spans="2:11" x14ac:dyDescent="0.25">
      <c r="B198" s="1750"/>
      <c r="D198" s="1740"/>
      <c r="E198" s="1747"/>
      <c r="G198" s="30" t="s">
        <v>35</v>
      </c>
      <c r="H198" s="126">
        <v>0</v>
      </c>
      <c r="I198" s="10"/>
      <c r="J198" s="10"/>
      <c r="K198" s="16"/>
    </row>
    <row r="199" spans="2:11" ht="15.75" thickBot="1" x14ac:dyDescent="0.3">
      <c r="B199" s="1750"/>
      <c r="D199" s="1741"/>
      <c r="E199" s="1748"/>
      <c r="G199" s="1047" t="s">
        <v>36</v>
      </c>
      <c r="H199" s="1048">
        <v>76.030545405347283</v>
      </c>
      <c r="I199" s="1049"/>
      <c r="J199" s="1049"/>
      <c r="K199" s="1050"/>
    </row>
    <row r="200" spans="2:11" ht="15" customHeight="1" x14ac:dyDescent="0.25">
      <c r="B200" s="1750"/>
      <c r="D200" s="1745"/>
      <c r="E200" s="1742" t="s">
        <v>619</v>
      </c>
      <c r="G200" s="86" t="s">
        <v>145</v>
      </c>
      <c r="H200" s="131">
        <f>SUM(H201:H202)</f>
        <v>0</v>
      </c>
      <c r="I200" s="87"/>
      <c r="J200" s="87"/>
      <c r="K200" s="88"/>
    </row>
    <row r="201" spans="2:11" x14ac:dyDescent="0.25">
      <c r="B201" s="1750"/>
      <c r="D201" s="1740"/>
      <c r="E201" s="1743"/>
      <c r="G201" s="30" t="s">
        <v>23</v>
      </c>
      <c r="H201" s="126"/>
      <c r="I201" s="10"/>
      <c r="J201" s="10"/>
      <c r="K201" s="16"/>
    </row>
    <row r="202" spans="2:11" x14ac:dyDescent="0.25">
      <c r="B202" s="1750"/>
      <c r="D202" s="1740"/>
      <c r="E202" s="1743"/>
      <c r="G202" s="30" t="s">
        <v>24</v>
      </c>
      <c r="H202" s="126"/>
      <c r="I202" s="10"/>
      <c r="J202" s="10"/>
      <c r="K202" s="16"/>
    </row>
    <row r="203" spans="2:11" x14ac:dyDescent="0.25">
      <c r="B203" s="1750"/>
      <c r="D203" s="1740"/>
      <c r="E203" s="1743"/>
      <c r="G203" s="89" t="s">
        <v>146</v>
      </c>
      <c r="H203" s="132">
        <f>SUM(H204+H214)</f>
        <v>0</v>
      </c>
      <c r="I203" s="90"/>
      <c r="J203" s="90"/>
      <c r="K203" s="91"/>
    </row>
    <row r="204" spans="2:11" x14ac:dyDescent="0.25">
      <c r="B204" s="1750"/>
      <c r="D204" s="1740"/>
      <c r="E204" s="1743"/>
      <c r="G204" s="89" t="s">
        <v>25</v>
      </c>
      <c r="H204" s="132">
        <f>SUM(H205,H210,H213)</f>
        <v>0</v>
      </c>
      <c r="I204" s="90"/>
      <c r="J204" s="90"/>
      <c r="K204" s="91"/>
    </row>
    <row r="205" spans="2:11" x14ac:dyDescent="0.25">
      <c r="B205" s="1750"/>
      <c r="D205" s="1740"/>
      <c r="E205" s="1743"/>
      <c r="G205" s="89" t="s">
        <v>26</v>
      </c>
      <c r="H205" s="132">
        <f>SUM(H206:H209)</f>
        <v>0</v>
      </c>
      <c r="I205" s="90"/>
      <c r="J205" s="90"/>
      <c r="K205" s="91"/>
    </row>
    <row r="206" spans="2:11" x14ac:dyDescent="0.25">
      <c r="B206" s="1750"/>
      <c r="D206" s="1740"/>
      <c r="E206" s="1743"/>
      <c r="G206" s="30" t="s">
        <v>27</v>
      </c>
      <c r="H206" s="126"/>
      <c r="I206" s="10"/>
      <c r="J206" s="10"/>
      <c r="K206" s="16"/>
    </row>
    <row r="207" spans="2:11" x14ac:dyDescent="0.25">
      <c r="B207" s="1750"/>
      <c r="D207" s="1740"/>
      <c r="E207" s="1743"/>
      <c r="G207" s="30" t="s">
        <v>28</v>
      </c>
      <c r="H207" s="126"/>
      <c r="I207" s="10"/>
      <c r="J207" s="10"/>
      <c r="K207" s="16"/>
    </row>
    <row r="208" spans="2:11" x14ac:dyDescent="0.25">
      <c r="B208" s="1750"/>
      <c r="D208" s="1740"/>
      <c r="E208" s="1743"/>
      <c r="G208" s="30" t="s">
        <v>29</v>
      </c>
      <c r="H208" s="126"/>
      <c r="I208" s="10"/>
      <c r="J208" s="10"/>
      <c r="K208" s="16"/>
    </row>
    <row r="209" spans="2:11" x14ac:dyDescent="0.25">
      <c r="B209" s="1750"/>
      <c r="D209" s="1740"/>
      <c r="E209" s="1743"/>
      <c r="G209" s="30" t="s">
        <v>30</v>
      </c>
      <c r="H209" s="126"/>
      <c r="I209" s="10"/>
      <c r="J209" s="10"/>
      <c r="K209" s="16"/>
    </row>
    <row r="210" spans="2:11" x14ac:dyDescent="0.25">
      <c r="B210" s="1750"/>
      <c r="D210" s="1740"/>
      <c r="E210" s="1743"/>
      <c r="G210" s="89" t="s">
        <v>31</v>
      </c>
      <c r="H210" s="1036">
        <f>SUM(H211:H212)</f>
        <v>0</v>
      </c>
      <c r="I210" s="90"/>
      <c r="J210" s="90"/>
      <c r="K210" s="91"/>
    </row>
    <row r="211" spans="2:11" x14ac:dyDescent="0.25">
      <c r="B211" s="1750"/>
      <c r="D211" s="1740"/>
      <c r="E211" s="1743"/>
      <c r="G211" s="30" t="s">
        <v>640</v>
      </c>
      <c r="H211" s="126"/>
      <c r="I211" s="10"/>
      <c r="J211" s="10"/>
      <c r="K211" s="16"/>
    </row>
    <row r="212" spans="2:11" x14ac:dyDescent="0.25">
      <c r="B212" s="1750"/>
      <c r="D212" s="1740"/>
      <c r="E212" s="1743"/>
      <c r="G212" s="30" t="s">
        <v>641</v>
      </c>
      <c r="H212" s="126"/>
      <c r="I212" s="10"/>
      <c r="J212" s="10"/>
      <c r="K212" s="16"/>
    </row>
    <row r="213" spans="2:11" x14ac:dyDescent="0.25">
      <c r="B213" s="1750"/>
      <c r="D213" s="1740"/>
      <c r="E213" s="1743"/>
      <c r="G213" s="1043" t="s">
        <v>32</v>
      </c>
      <c r="H213" s="1036"/>
      <c r="I213" s="1044"/>
      <c r="J213" s="1044"/>
      <c r="K213" s="1045"/>
    </row>
    <row r="214" spans="2:11" x14ac:dyDescent="0.25">
      <c r="B214" s="1750"/>
      <c r="D214" s="1740"/>
      <c r="E214" s="1743"/>
      <c r="G214" s="89" t="s">
        <v>33</v>
      </c>
      <c r="H214" s="132">
        <f>SUM(H215:H216)</f>
        <v>0</v>
      </c>
      <c r="I214" s="90"/>
      <c r="J214" s="90"/>
      <c r="K214" s="91"/>
    </row>
    <row r="215" spans="2:11" x14ac:dyDescent="0.25">
      <c r="B215" s="1750"/>
      <c r="D215" s="1740"/>
      <c r="E215" s="1743"/>
      <c r="G215" s="30" t="s">
        <v>34</v>
      </c>
      <c r="H215" s="126"/>
      <c r="I215" s="10"/>
      <c r="J215" s="10"/>
      <c r="K215" s="16"/>
    </row>
    <row r="216" spans="2:11" x14ac:dyDescent="0.25">
      <c r="B216" s="1750"/>
      <c r="D216" s="1740"/>
      <c r="E216" s="1743"/>
      <c r="G216" s="30" t="s">
        <v>35</v>
      </c>
      <c r="H216" s="126"/>
      <c r="I216" s="10"/>
      <c r="J216" s="10"/>
      <c r="K216" s="16"/>
    </row>
    <row r="217" spans="2:11" ht="15.75" thickBot="1" x14ac:dyDescent="0.3">
      <c r="B217" s="1750"/>
      <c r="D217" s="1741"/>
      <c r="E217" s="1744"/>
      <c r="G217" s="1047" t="s">
        <v>36</v>
      </c>
      <c r="H217" s="1048"/>
      <c r="I217" s="1049"/>
      <c r="J217" s="1049"/>
      <c r="K217" s="1050"/>
    </row>
    <row r="218" spans="2:11" ht="15" customHeight="1" x14ac:dyDescent="0.25">
      <c r="B218" s="1750"/>
      <c r="D218" s="1745"/>
      <c r="E218" s="1742" t="s">
        <v>620</v>
      </c>
      <c r="G218" s="86" t="s">
        <v>145</v>
      </c>
      <c r="H218" s="131">
        <f>SUM(H219:H220)</f>
        <v>0</v>
      </c>
      <c r="I218" s="87"/>
      <c r="J218" s="87"/>
      <c r="K218" s="88"/>
    </row>
    <row r="219" spans="2:11" x14ac:dyDescent="0.25">
      <c r="B219" s="1750"/>
      <c r="D219" s="1740"/>
      <c r="E219" s="1743"/>
      <c r="G219" s="30" t="s">
        <v>23</v>
      </c>
      <c r="H219" s="126"/>
      <c r="I219" s="10"/>
      <c r="J219" s="10"/>
      <c r="K219" s="16"/>
    </row>
    <row r="220" spans="2:11" x14ac:dyDescent="0.25">
      <c r="B220" s="1750"/>
      <c r="D220" s="1740"/>
      <c r="E220" s="1743"/>
      <c r="G220" s="30" t="s">
        <v>24</v>
      </c>
      <c r="H220" s="126"/>
      <c r="I220" s="10"/>
      <c r="J220" s="10"/>
      <c r="K220" s="16"/>
    </row>
    <row r="221" spans="2:11" x14ac:dyDescent="0.25">
      <c r="B221" s="1750"/>
      <c r="D221" s="1740"/>
      <c r="E221" s="1743"/>
      <c r="G221" s="89" t="s">
        <v>146</v>
      </c>
      <c r="H221" s="132">
        <f>SUM(H222+H232)</f>
        <v>0</v>
      </c>
      <c r="I221" s="90"/>
      <c r="J221" s="90"/>
      <c r="K221" s="91"/>
    </row>
    <row r="222" spans="2:11" x14ac:dyDescent="0.25">
      <c r="B222" s="1750"/>
      <c r="D222" s="1740"/>
      <c r="E222" s="1743"/>
      <c r="G222" s="89" t="s">
        <v>25</v>
      </c>
      <c r="H222" s="132">
        <f>SUM(H223,H228,H231)</f>
        <v>0</v>
      </c>
      <c r="I222" s="90"/>
      <c r="J222" s="90"/>
      <c r="K222" s="91"/>
    </row>
    <row r="223" spans="2:11" x14ac:dyDescent="0.25">
      <c r="B223" s="1750"/>
      <c r="D223" s="1740"/>
      <c r="E223" s="1743"/>
      <c r="G223" s="89" t="s">
        <v>26</v>
      </c>
      <c r="H223" s="132">
        <f>SUM(H224:H227)</f>
        <v>0</v>
      </c>
      <c r="I223" s="90"/>
      <c r="J223" s="90"/>
      <c r="K223" s="91"/>
    </row>
    <row r="224" spans="2:11" x14ac:dyDescent="0.25">
      <c r="B224" s="1750"/>
      <c r="D224" s="1740"/>
      <c r="E224" s="1743"/>
      <c r="G224" s="30" t="s">
        <v>27</v>
      </c>
      <c r="H224" s="126"/>
      <c r="I224" s="10"/>
      <c r="J224" s="10"/>
      <c r="K224" s="16"/>
    </row>
    <row r="225" spans="2:11" x14ac:dyDescent="0.25">
      <c r="B225" s="1750"/>
      <c r="D225" s="1740"/>
      <c r="E225" s="1743"/>
      <c r="G225" s="30" t="s">
        <v>28</v>
      </c>
      <c r="H225" s="126"/>
      <c r="I225" s="10"/>
      <c r="J225" s="10"/>
      <c r="K225" s="16"/>
    </row>
    <row r="226" spans="2:11" x14ac:dyDescent="0.25">
      <c r="B226" s="1750"/>
      <c r="D226" s="1740"/>
      <c r="E226" s="1743"/>
      <c r="G226" s="30" t="s">
        <v>29</v>
      </c>
      <c r="H226" s="126"/>
      <c r="I226" s="10"/>
      <c r="J226" s="10"/>
      <c r="K226" s="16"/>
    </row>
    <row r="227" spans="2:11" x14ac:dyDescent="0.25">
      <c r="B227" s="1750"/>
      <c r="D227" s="1740"/>
      <c r="E227" s="1743"/>
      <c r="G227" s="30" t="s">
        <v>30</v>
      </c>
      <c r="H227" s="126"/>
      <c r="I227" s="10"/>
      <c r="J227" s="10"/>
      <c r="K227" s="16"/>
    </row>
    <row r="228" spans="2:11" x14ac:dyDescent="0.25">
      <c r="B228" s="1750"/>
      <c r="D228" s="1740"/>
      <c r="E228" s="1743"/>
      <c r="G228" s="89" t="s">
        <v>31</v>
      </c>
      <c r="H228" s="1036">
        <f>SUM(H229:H230)</f>
        <v>0</v>
      </c>
      <c r="I228" s="90"/>
      <c r="J228" s="90"/>
      <c r="K228" s="91"/>
    </row>
    <row r="229" spans="2:11" x14ac:dyDescent="0.25">
      <c r="B229" s="1750"/>
      <c r="D229" s="1740"/>
      <c r="E229" s="1743"/>
      <c r="G229" s="30" t="s">
        <v>640</v>
      </c>
      <c r="H229" s="126"/>
      <c r="I229" s="10"/>
      <c r="J229" s="10"/>
      <c r="K229" s="16"/>
    </row>
    <row r="230" spans="2:11" x14ac:dyDescent="0.25">
      <c r="B230" s="1750"/>
      <c r="D230" s="1740"/>
      <c r="E230" s="1743"/>
      <c r="G230" s="30" t="s">
        <v>641</v>
      </c>
      <c r="H230" s="126"/>
      <c r="I230" s="10"/>
      <c r="J230" s="10"/>
      <c r="K230" s="16"/>
    </row>
    <row r="231" spans="2:11" x14ac:dyDescent="0.25">
      <c r="B231" s="1750"/>
      <c r="D231" s="1740"/>
      <c r="E231" s="1743"/>
      <c r="G231" s="1043" t="s">
        <v>32</v>
      </c>
      <c r="H231" s="1036"/>
      <c r="I231" s="1044"/>
      <c r="J231" s="1044"/>
      <c r="K231" s="1045"/>
    </row>
    <row r="232" spans="2:11" x14ac:dyDescent="0.25">
      <c r="B232" s="1750"/>
      <c r="D232" s="1740"/>
      <c r="E232" s="1743"/>
      <c r="G232" s="89" t="s">
        <v>33</v>
      </c>
      <c r="H232" s="132">
        <f>SUM(H233:H234)</f>
        <v>0</v>
      </c>
      <c r="I232" s="90"/>
      <c r="J232" s="90"/>
      <c r="K232" s="91"/>
    </row>
    <row r="233" spans="2:11" x14ac:dyDescent="0.25">
      <c r="B233" s="1750"/>
      <c r="D233" s="1740"/>
      <c r="E233" s="1743"/>
      <c r="G233" s="30" t="s">
        <v>34</v>
      </c>
      <c r="H233" s="126"/>
      <c r="I233" s="10"/>
      <c r="J233" s="10"/>
      <c r="K233" s="16"/>
    </row>
    <row r="234" spans="2:11" x14ac:dyDescent="0.25">
      <c r="B234" s="1750"/>
      <c r="D234" s="1740"/>
      <c r="E234" s="1743"/>
      <c r="G234" s="30" t="s">
        <v>35</v>
      </c>
      <c r="H234" s="126"/>
      <c r="I234" s="10"/>
      <c r="J234" s="10"/>
      <c r="K234" s="16"/>
    </row>
    <row r="235" spans="2:11" ht="15.75" thickBot="1" x14ac:dyDescent="0.3">
      <c r="B235" s="1750"/>
      <c r="D235" s="1741"/>
      <c r="E235" s="1744"/>
      <c r="G235" s="1047" t="s">
        <v>36</v>
      </c>
      <c r="H235" s="1048"/>
      <c r="I235" s="1049"/>
      <c r="J235" s="1049"/>
      <c r="K235" s="1050"/>
    </row>
    <row r="236" spans="2:11" ht="15" customHeight="1" x14ac:dyDescent="0.25">
      <c r="B236" s="1750"/>
      <c r="D236" s="1739"/>
      <c r="E236" s="1742" t="s">
        <v>621</v>
      </c>
      <c r="G236" s="86" t="s">
        <v>145</v>
      </c>
      <c r="H236" s="131">
        <f>SUM(H237:H238)</f>
        <v>0</v>
      </c>
      <c r="I236" s="87"/>
      <c r="J236" s="87"/>
      <c r="K236" s="88"/>
    </row>
    <row r="237" spans="2:11" x14ac:dyDescent="0.25">
      <c r="B237" s="1750"/>
      <c r="D237" s="1740"/>
      <c r="E237" s="1743"/>
      <c r="G237" s="30" t="s">
        <v>23</v>
      </c>
      <c r="H237" s="126"/>
      <c r="I237" s="10"/>
      <c r="J237" s="10"/>
      <c r="K237" s="16"/>
    </row>
    <row r="238" spans="2:11" x14ac:dyDescent="0.25">
      <c r="B238" s="1750"/>
      <c r="D238" s="1740"/>
      <c r="E238" s="1743"/>
      <c r="G238" s="30" t="s">
        <v>24</v>
      </c>
      <c r="H238" s="126"/>
      <c r="I238" s="10"/>
      <c r="J238" s="10"/>
      <c r="K238" s="16"/>
    </row>
    <row r="239" spans="2:11" x14ac:dyDescent="0.25">
      <c r="B239" s="1750"/>
      <c r="D239" s="1740"/>
      <c r="E239" s="1743"/>
      <c r="G239" s="89" t="s">
        <v>146</v>
      </c>
      <c r="H239" s="132">
        <f>SUM(H240+H250)</f>
        <v>0</v>
      </c>
      <c r="I239" s="90"/>
      <c r="J239" s="90"/>
      <c r="K239" s="91"/>
    </row>
    <row r="240" spans="2:11" x14ac:dyDescent="0.25">
      <c r="B240" s="1750"/>
      <c r="D240" s="1740"/>
      <c r="E240" s="1743"/>
      <c r="G240" s="89" t="s">
        <v>25</v>
      </c>
      <c r="H240" s="132">
        <f>SUM(H241,H246,H249)</f>
        <v>0</v>
      </c>
      <c r="I240" s="90"/>
      <c r="J240" s="90"/>
      <c r="K240" s="91"/>
    </row>
    <row r="241" spans="2:11" x14ac:dyDescent="0.25">
      <c r="B241" s="1750"/>
      <c r="D241" s="1740"/>
      <c r="E241" s="1743"/>
      <c r="G241" s="89" t="s">
        <v>26</v>
      </c>
      <c r="H241" s="132">
        <f>SUM(H242:H245)</f>
        <v>0</v>
      </c>
      <c r="I241" s="90"/>
      <c r="J241" s="90"/>
      <c r="K241" s="91"/>
    </row>
    <row r="242" spans="2:11" x14ac:dyDescent="0.25">
      <c r="B242" s="1750"/>
      <c r="D242" s="1740"/>
      <c r="E242" s="1743"/>
      <c r="G242" s="30" t="s">
        <v>27</v>
      </c>
      <c r="H242" s="126"/>
      <c r="I242" s="10"/>
      <c r="J242" s="10"/>
      <c r="K242" s="16"/>
    </row>
    <row r="243" spans="2:11" x14ac:dyDescent="0.25">
      <c r="B243" s="1750"/>
      <c r="D243" s="1740"/>
      <c r="E243" s="1743"/>
      <c r="G243" s="30" t="s">
        <v>28</v>
      </c>
      <c r="H243" s="126"/>
      <c r="I243" s="10"/>
      <c r="J243" s="10"/>
      <c r="K243" s="16"/>
    </row>
    <row r="244" spans="2:11" x14ac:dyDescent="0.25">
      <c r="B244" s="1750"/>
      <c r="D244" s="1740"/>
      <c r="E244" s="1743"/>
      <c r="G244" s="30" t="s">
        <v>29</v>
      </c>
      <c r="H244" s="126"/>
      <c r="I244" s="10"/>
      <c r="J244" s="10"/>
      <c r="K244" s="16"/>
    </row>
    <row r="245" spans="2:11" x14ac:dyDescent="0.25">
      <c r="B245" s="1750"/>
      <c r="D245" s="1740"/>
      <c r="E245" s="1743"/>
      <c r="G245" s="30" t="s">
        <v>30</v>
      </c>
      <c r="H245" s="126"/>
      <c r="I245" s="10"/>
      <c r="J245" s="10"/>
      <c r="K245" s="16"/>
    </row>
    <row r="246" spans="2:11" x14ac:dyDescent="0.25">
      <c r="B246" s="1750"/>
      <c r="D246" s="1740"/>
      <c r="E246" s="1743"/>
      <c r="G246" s="89" t="s">
        <v>31</v>
      </c>
      <c r="H246" s="1036">
        <f>SUM(H247:H248)</f>
        <v>0</v>
      </c>
      <c r="I246" s="90"/>
      <c r="J246" s="90"/>
      <c r="K246" s="91"/>
    </row>
    <row r="247" spans="2:11" x14ac:dyDescent="0.25">
      <c r="B247" s="1750"/>
      <c r="D247" s="1740"/>
      <c r="E247" s="1743"/>
      <c r="G247" s="30" t="s">
        <v>640</v>
      </c>
      <c r="H247" s="126"/>
      <c r="I247" s="10"/>
      <c r="J247" s="10"/>
      <c r="K247" s="16"/>
    </row>
    <row r="248" spans="2:11" x14ac:dyDescent="0.25">
      <c r="B248" s="1750"/>
      <c r="D248" s="1740"/>
      <c r="E248" s="1743"/>
      <c r="G248" s="30" t="s">
        <v>641</v>
      </c>
      <c r="H248" s="126"/>
      <c r="I248" s="10"/>
      <c r="J248" s="10"/>
      <c r="K248" s="16"/>
    </row>
    <row r="249" spans="2:11" x14ac:dyDescent="0.25">
      <c r="B249" s="1750"/>
      <c r="D249" s="1740"/>
      <c r="E249" s="1743"/>
      <c r="G249" s="1043" t="s">
        <v>32</v>
      </c>
      <c r="H249" s="1036"/>
      <c r="I249" s="1044"/>
      <c r="J249" s="1044"/>
      <c r="K249" s="1045"/>
    </row>
    <row r="250" spans="2:11" x14ac:dyDescent="0.25">
      <c r="B250" s="1750"/>
      <c r="D250" s="1740"/>
      <c r="E250" s="1743"/>
      <c r="G250" s="89" t="s">
        <v>33</v>
      </c>
      <c r="H250" s="132">
        <f>SUM(H251:H252)</f>
        <v>0</v>
      </c>
      <c r="I250" s="90"/>
      <c r="J250" s="90"/>
      <c r="K250" s="91"/>
    </row>
    <row r="251" spans="2:11" x14ac:dyDescent="0.25">
      <c r="B251" s="1750"/>
      <c r="D251" s="1740"/>
      <c r="E251" s="1743"/>
      <c r="G251" s="30" t="s">
        <v>34</v>
      </c>
      <c r="H251" s="126"/>
      <c r="I251" s="10"/>
      <c r="J251" s="10"/>
      <c r="K251" s="16"/>
    </row>
    <row r="252" spans="2:11" x14ac:dyDescent="0.25">
      <c r="B252" s="1750"/>
      <c r="D252" s="1740"/>
      <c r="E252" s="1743"/>
      <c r="G252" s="30" t="s">
        <v>35</v>
      </c>
      <c r="H252" s="126"/>
      <c r="I252" s="10"/>
      <c r="J252" s="10"/>
      <c r="K252" s="16"/>
    </row>
    <row r="253" spans="2:11" ht="15.75" thickBot="1" x14ac:dyDescent="0.3">
      <c r="B253" s="1750"/>
      <c r="D253" s="1741"/>
      <c r="E253" s="1744"/>
      <c r="G253" s="1047" t="s">
        <v>36</v>
      </c>
      <c r="H253" s="1048"/>
      <c r="I253" s="1049"/>
      <c r="J253" s="1049"/>
      <c r="K253" s="1050"/>
    </row>
    <row r="254" spans="2:11" ht="15" customHeight="1" x14ac:dyDescent="0.25">
      <c r="B254" s="1750"/>
      <c r="D254" s="1739"/>
      <c r="E254" s="1742" t="s">
        <v>622</v>
      </c>
      <c r="G254" s="86" t="s">
        <v>145</v>
      </c>
      <c r="H254" s="131">
        <f>SUM(H255:H256)</f>
        <v>0</v>
      </c>
      <c r="I254" s="87"/>
      <c r="J254" s="87"/>
      <c r="K254" s="88"/>
    </row>
    <row r="255" spans="2:11" x14ac:dyDescent="0.25">
      <c r="B255" s="1750"/>
      <c r="D255" s="1740"/>
      <c r="E255" s="1743"/>
      <c r="G255" s="30" t="s">
        <v>23</v>
      </c>
      <c r="H255" s="126"/>
      <c r="I255" s="10"/>
      <c r="J255" s="10"/>
      <c r="K255" s="16"/>
    </row>
    <row r="256" spans="2:11" x14ac:dyDescent="0.25">
      <c r="B256" s="1750"/>
      <c r="D256" s="1740"/>
      <c r="E256" s="1743"/>
      <c r="G256" s="30" t="s">
        <v>24</v>
      </c>
      <c r="H256" s="126"/>
      <c r="I256" s="10"/>
      <c r="J256" s="10"/>
      <c r="K256" s="16"/>
    </row>
    <row r="257" spans="2:11" x14ac:dyDescent="0.25">
      <c r="B257" s="1750"/>
      <c r="D257" s="1740"/>
      <c r="E257" s="1743"/>
      <c r="G257" s="89" t="s">
        <v>146</v>
      </c>
      <c r="H257" s="132">
        <f>SUM(H258+H268)</f>
        <v>0</v>
      </c>
      <c r="I257" s="90"/>
      <c r="J257" s="90"/>
      <c r="K257" s="91"/>
    </row>
    <row r="258" spans="2:11" x14ac:dyDescent="0.25">
      <c r="B258" s="1750"/>
      <c r="D258" s="1740"/>
      <c r="E258" s="1743"/>
      <c r="G258" s="89" t="s">
        <v>25</v>
      </c>
      <c r="H258" s="132">
        <f>SUM(H259,H264,H267)</f>
        <v>0</v>
      </c>
      <c r="I258" s="90"/>
      <c r="J258" s="90"/>
      <c r="K258" s="91"/>
    </row>
    <row r="259" spans="2:11" x14ac:dyDescent="0.25">
      <c r="B259" s="1750"/>
      <c r="D259" s="1740"/>
      <c r="E259" s="1743"/>
      <c r="G259" s="89" t="s">
        <v>26</v>
      </c>
      <c r="H259" s="132">
        <f>SUM(H260:H263)</f>
        <v>0</v>
      </c>
      <c r="I259" s="90"/>
      <c r="J259" s="90"/>
      <c r="K259" s="91"/>
    </row>
    <row r="260" spans="2:11" x14ac:dyDescent="0.25">
      <c r="B260" s="1750"/>
      <c r="D260" s="1740"/>
      <c r="E260" s="1743"/>
      <c r="G260" s="30" t="s">
        <v>27</v>
      </c>
      <c r="H260" s="126"/>
      <c r="I260" s="10"/>
      <c r="J260" s="10"/>
      <c r="K260" s="16"/>
    </row>
    <row r="261" spans="2:11" x14ac:dyDescent="0.25">
      <c r="B261" s="1750"/>
      <c r="D261" s="1740"/>
      <c r="E261" s="1743"/>
      <c r="G261" s="30" t="s">
        <v>28</v>
      </c>
      <c r="H261" s="126"/>
      <c r="I261" s="10"/>
      <c r="J261" s="10"/>
      <c r="K261" s="16"/>
    </row>
    <row r="262" spans="2:11" x14ac:dyDescent="0.25">
      <c r="B262" s="1750"/>
      <c r="D262" s="1740"/>
      <c r="E262" s="1743"/>
      <c r="G262" s="30" t="s">
        <v>29</v>
      </c>
      <c r="H262" s="126"/>
      <c r="I262" s="10"/>
      <c r="J262" s="10"/>
      <c r="K262" s="16"/>
    </row>
    <row r="263" spans="2:11" x14ac:dyDescent="0.25">
      <c r="B263" s="1750"/>
      <c r="D263" s="1740"/>
      <c r="E263" s="1743"/>
      <c r="G263" s="30" t="s">
        <v>30</v>
      </c>
      <c r="H263" s="126"/>
      <c r="I263" s="10"/>
      <c r="J263" s="10"/>
      <c r="K263" s="16"/>
    </row>
    <row r="264" spans="2:11" x14ac:dyDescent="0.25">
      <c r="B264" s="1750"/>
      <c r="D264" s="1740"/>
      <c r="E264" s="1743"/>
      <c r="G264" s="89" t="s">
        <v>31</v>
      </c>
      <c r="H264" s="1036">
        <f>SUM(H265:H266)</f>
        <v>0</v>
      </c>
      <c r="I264" s="90"/>
      <c r="J264" s="90"/>
      <c r="K264" s="91"/>
    </row>
    <row r="265" spans="2:11" x14ac:dyDescent="0.25">
      <c r="B265" s="1750"/>
      <c r="D265" s="1740"/>
      <c r="E265" s="1743"/>
      <c r="G265" s="30" t="s">
        <v>640</v>
      </c>
      <c r="H265" s="126"/>
      <c r="I265" s="10"/>
      <c r="J265" s="10"/>
      <c r="K265" s="16"/>
    </row>
    <row r="266" spans="2:11" x14ac:dyDescent="0.25">
      <c r="B266" s="1750"/>
      <c r="D266" s="1740"/>
      <c r="E266" s="1743"/>
      <c r="G266" s="30" t="s">
        <v>641</v>
      </c>
      <c r="H266" s="126"/>
      <c r="I266" s="10"/>
      <c r="J266" s="10"/>
      <c r="K266" s="16"/>
    </row>
    <row r="267" spans="2:11" x14ac:dyDescent="0.25">
      <c r="B267" s="1750"/>
      <c r="D267" s="1740"/>
      <c r="E267" s="1743"/>
      <c r="G267" s="1043" t="s">
        <v>32</v>
      </c>
      <c r="H267" s="1036"/>
      <c r="I267" s="1044"/>
      <c r="J267" s="1044"/>
      <c r="K267" s="1045"/>
    </row>
    <row r="268" spans="2:11" x14ac:dyDescent="0.25">
      <c r="B268" s="1750"/>
      <c r="D268" s="1740"/>
      <c r="E268" s="1743"/>
      <c r="G268" s="89" t="s">
        <v>33</v>
      </c>
      <c r="H268" s="132">
        <f>SUM(H269:H270)</f>
        <v>0</v>
      </c>
      <c r="I268" s="90"/>
      <c r="J268" s="90"/>
      <c r="K268" s="91"/>
    </row>
    <row r="269" spans="2:11" x14ac:dyDescent="0.25">
      <c r="B269" s="1750"/>
      <c r="D269" s="1740"/>
      <c r="E269" s="1743"/>
      <c r="G269" s="30" t="s">
        <v>34</v>
      </c>
      <c r="H269" s="126"/>
      <c r="I269" s="10"/>
      <c r="J269" s="10"/>
      <c r="K269" s="16"/>
    </row>
    <row r="270" spans="2:11" x14ac:dyDescent="0.25">
      <c r="B270" s="1750"/>
      <c r="D270" s="1740"/>
      <c r="E270" s="1743"/>
      <c r="G270" s="30" t="s">
        <v>35</v>
      </c>
      <c r="H270" s="126"/>
      <c r="I270" s="10"/>
      <c r="J270" s="10"/>
      <c r="K270" s="16"/>
    </row>
    <row r="271" spans="2:11" ht="15.75" thickBot="1" x14ac:dyDescent="0.3">
      <c r="B271" s="1750"/>
      <c r="D271" s="1741"/>
      <c r="E271" s="1744"/>
      <c r="G271" s="1047" t="s">
        <v>36</v>
      </c>
      <c r="H271" s="1048"/>
      <c r="I271" s="1049"/>
      <c r="J271" s="1049"/>
      <c r="K271" s="1050"/>
    </row>
    <row r="272" spans="2:11" ht="15" customHeight="1" x14ac:dyDescent="0.25">
      <c r="B272" s="1750"/>
      <c r="D272" s="1739">
        <v>85</v>
      </c>
      <c r="E272" s="1746" t="s">
        <v>155</v>
      </c>
      <c r="G272" s="86" t="s">
        <v>145</v>
      </c>
      <c r="H272" s="131">
        <f>SUM(H273:H274)</f>
        <v>133.11539999999999</v>
      </c>
      <c r="I272" s="87"/>
      <c r="J272" s="87"/>
      <c r="K272" s="88"/>
    </row>
    <row r="273" spans="2:11" x14ac:dyDescent="0.25">
      <c r="B273" s="1750"/>
      <c r="D273" s="1740"/>
      <c r="E273" s="1747"/>
      <c r="G273" s="30" t="s">
        <v>23</v>
      </c>
      <c r="H273" s="126">
        <v>133.11539999999999</v>
      </c>
      <c r="I273" s="10"/>
      <c r="J273" s="10"/>
      <c r="K273" s="16"/>
    </row>
    <row r="274" spans="2:11" x14ac:dyDescent="0.25">
      <c r="B274" s="1750"/>
      <c r="D274" s="1740"/>
      <c r="E274" s="1747"/>
      <c r="G274" s="30" t="s">
        <v>24</v>
      </c>
      <c r="H274" s="126">
        <v>0</v>
      </c>
      <c r="I274" s="10"/>
      <c r="J274" s="10"/>
      <c r="K274" s="16"/>
    </row>
    <row r="275" spans="2:11" x14ac:dyDescent="0.25">
      <c r="B275" s="1750"/>
      <c r="D275" s="1740"/>
      <c r="E275" s="1747"/>
      <c r="G275" s="89" t="s">
        <v>146</v>
      </c>
      <c r="H275" s="132">
        <f>SUM(H276+H286)</f>
        <v>133.11539999999999</v>
      </c>
      <c r="I275" s="90"/>
      <c r="J275" s="90"/>
      <c r="K275" s="91"/>
    </row>
    <row r="276" spans="2:11" x14ac:dyDescent="0.25">
      <c r="B276" s="1750"/>
      <c r="D276" s="1740"/>
      <c r="E276" s="1747"/>
      <c r="G276" s="89" t="s">
        <v>25</v>
      </c>
      <c r="H276" s="132">
        <f>SUM(H277,H282,H285)</f>
        <v>133.11539999999999</v>
      </c>
      <c r="I276" s="90"/>
      <c r="J276" s="90"/>
      <c r="K276" s="91"/>
    </row>
    <row r="277" spans="2:11" x14ac:dyDescent="0.25">
      <c r="B277" s="1750"/>
      <c r="D277" s="1740"/>
      <c r="E277" s="1747"/>
      <c r="G277" s="89" t="s">
        <v>26</v>
      </c>
      <c r="H277" s="132">
        <f>SUM(H278:H281)</f>
        <v>0</v>
      </c>
      <c r="I277" s="90"/>
      <c r="J277" s="90"/>
      <c r="K277" s="91"/>
    </row>
    <row r="278" spans="2:11" x14ac:dyDescent="0.25">
      <c r="B278" s="1750"/>
      <c r="D278" s="1740"/>
      <c r="E278" s="1747"/>
      <c r="G278" s="30" t="s">
        <v>27</v>
      </c>
      <c r="H278" s="126">
        <v>0</v>
      </c>
      <c r="I278" s="10"/>
      <c r="J278" s="10"/>
      <c r="K278" s="16"/>
    </row>
    <row r="279" spans="2:11" x14ac:dyDescent="0.25">
      <c r="B279" s="1750"/>
      <c r="D279" s="1740"/>
      <c r="E279" s="1747"/>
      <c r="G279" s="30" t="s">
        <v>28</v>
      </c>
      <c r="H279" s="126">
        <v>0</v>
      </c>
      <c r="I279" s="10"/>
      <c r="J279" s="10"/>
      <c r="K279" s="16"/>
    </row>
    <row r="280" spans="2:11" x14ac:dyDescent="0.25">
      <c r="B280" s="1750"/>
      <c r="D280" s="1740"/>
      <c r="E280" s="1747"/>
      <c r="G280" s="30" t="s">
        <v>29</v>
      </c>
      <c r="H280" s="126">
        <v>0</v>
      </c>
      <c r="I280" s="10"/>
      <c r="J280" s="10"/>
      <c r="K280" s="16"/>
    </row>
    <row r="281" spans="2:11" x14ac:dyDescent="0.25">
      <c r="B281" s="1750"/>
      <c r="D281" s="1740"/>
      <c r="E281" s="1747"/>
      <c r="G281" s="30" t="s">
        <v>30</v>
      </c>
      <c r="H281" s="126">
        <v>0</v>
      </c>
      <c r="I281" s="10"/>
      <c r="J281" s="10"/>
      <c r="K281" s="16"/>
    </row>
    <row r="282" spans="2:11" x14ac:dyDescent="0.25">
      <c r="B282" s="1750"/>
      <c r="D282" s="1740"/>
      <c r="E282" s="1747"/>
      <c r="G282" s="89" t="s">
        <v>31</v>
      </c>
      <c r="H282" s="132">
        <v>133.11539999999999</v>
      </c>
      <c r="I282" s="90"/>
      <c r="J282" s="90"/>
      <c r="K282" s="91" t="s">
        <v>1305</v>
      </c>
    </row>
    <row r="283" spans="2:11" x14ac:dyDescent="0.25">
      <c r="B283" s="1750"/>
      <c r="D283" s="1740"/>
      <c r="E283" s="1747"/>
      <c r="G283" s="30" t="s">
        <v>640</v>
      </c>
      <c r="H283" s="126">
        <f>H282*95%</f>
        <v>126.45962999999999</v>
      </c>
      <c r="I283" s="10"/>
      <c r="J283" s="10"/>
      <c r="K283" s="16"/>
    </row>
    <row r="284" spans="2:11" x14ac:dyDescent="0.25">
      <c r="B284" s="1750"/>
      <c r="D284" s="1740"/>
      <c r="E284" s="1747"/>
      <c r="G284" s="30" t="s">
        <v>641</v>
      </c>
      <c r="H284" s="126">
        <f>H282*5%</f>
        <v>6.6557700000000004</v>
      </c>
      <c r="I284" s="10"/>
      <c r="J284" s="10"/>
      <c r="K284" s="16"/>
    </row>
    <row r="285" spans="2:11" x14ac:dyDescent="0.25">
      <c r="B285" s="1750"/>
      <c r="D285" s="1740"/>
      <c r="E285" s="1747"/>
      <c r="G285" s="1043" t="s">
        <v>32</v>
      </c>
      <c r="H285" s="1036">
        <v>0</v>
      </c>
      <c r="I285" s="1044"/>
      <c r="J285" s="1044"/>
      <c r="K285" s="1045"/>
    </row>
    <row r="286" spans="2:11" x14ac:dyDescent="0.25">
      <c r="B286" s="1750"/>
      <c r="D286" s="1740"/>
      <c r="E286" s="1747"/>
      <c r="G286" s="89" t="s">
        <v>33</v>
      </c>
      <c r="H286" s="132">
        <f>SUM(H287:H288)</f>
        <v>0</v>
      </c>
      <c r="I286" s="90"/>
      <c r="J286" s="90"/>
      <c r="K286" s="91"/>
    </row>
    <row r="287" spans="2:11" x14ac:dyDescent="0.25">
      <c r="B287" s="1750"/>
      <c r="D287" s="1740"/>
      <c r="E287" s="1747"/>
      <c r="G287" s="30" t="s">
        <v>34</v>
      </c>
      <c r="H287" s="126">
        <v>0</v>
      </c>
      <c r="I287" s="10"/>
      <c r="J287" s="10"/>
      <c r="K287" s="16"/>
    </row>
    <row r="288" spans="2:11" x14ac:dyDescent="0.25">
      <c r="B288" s="1750"/>
      <c r="D288" s="1740"/>
      <c r="E288" s="1747"/>
      <c r="G288" s="30" t="s">
        <v>35</v>
      </c>
      <c r="H288" s="126">
        <v>0</v>
      </c>
      <c r="I288" s="10"/>
      <c r="J288" s="10"/>
      <c r="K288" s="16"/>
    </row>
    <row r="289" spans="2:11" ht="15.75" thickBot="1" x14ac:dyDescent="0.3">
      <c r="B289" s="1750"/>
      <c r="D289" s="1741"/>
      <c r="E289" s="1748"/>
      <c r="G289" s="1047" t="s">
        <v>36</v>
      </c>
      <c r="H289" s="1048">
        <v>224372.33</v>
      </c>
      <c r="I289" s="1049"/>
      <c r="J289" s="1049"/>
      <c r="K289" s="1050" t="s">
        <v>1268</v>
      </c>
    </row>
    <row r="290" spans="2:11" ht="15" customHeight="1" x14ac:dyDescent="0.25">
      <c r="B290" s="1750"/>
      <c r="D290" s="1745" t="s">
        <v>21</v>
      </c>
      <c r="E290" s="1746" t="s">
        <v>156</v>
      </c>
      <c r="G290" s="86" t="s">
        <v>145</v>
      </c>
      <c r="H290" s="131">
        <f>SUM(H291:H292)</f>
        <v>588.7795155737706</v>
      </c>
      <c r="I290" s="87"/>
      <c r="J290" s="87"/>
      <c r="K290" s="88"/>
    </row>
    <row r="291" spans="2:11" x14ac:dyDescent="0.25">
      <c r="B291" s="1750"/>
      <c r="D291" s="1740"/>
      <c r="E291" s="1747"/>
      <c r="G291" s="30" t="s">
        <v>23</v>
      </c>
      <c r="H291" s="126">
        <v>588.7795155737706</v>
      </c>
      <c r="I291" s="10"/>
      <c r="J291" s="10"/>
      <c r="K291" s="16"/>
    </row>
    <row r="292" spans="2:11" x14ac:dyDescent="0.25">
      <c r="B292" s="1750"/>
      <c r="D292" s="1740"/>
      <c r="E292" s="1747"/>
      <c r="G292" s="30" t="s">
        <v>24</v>
      </c>
      <c r="H292" s="126">
        <v>0</v>
      </c>
      <c r="I292" s="10"/>
      <c r="J292" s="10"/>
      <c r="K292" s="16"/>
    </row>
    <row r="293" spans="2:11" x14ac:dyDescent="0.25">
      <c r="B293" s="1750"/>
      <c r="D293" s="1740"/>
      <c r="E293" s="1747"/>
      <c r="G293" s="89" t="s">
        <v>146</v>
      </c>
      <c r="H293" s="132">
        <f>SUM(H294+H304)</f>
        <v>588.7795155737706</v>
      </c>
      <c r="I293" s="90"/>
      <c r="J293" s="90"/>
      <c r="K293" s="91"/>
    </row>
    <row r="294" spans="2:11" x14ac:dyDescent="0.25">
      <c r="B294" s="1750"/>
      <c r="D294" s="1740"/>
      <c r="E294" s="1747"/>
      <c r="G294" s="89" t="s">
        <v>25</v>
      </c>
      <c r="H294" s="132">
        <f>SUM(H295,H300,H303)</f>
        <v>90.790815573770487</v>
      </c>
      <c r="I294" s="90"/>
      <c r="J294" s="90"/>
      <c r="K294" s="91"/>
    </row>
    <row r="295" spans="2:11" x14ac:dyDescent="0.25">
      <c r="B295" s="1750"/>
      <c r="D295" s="1740"/>
      <c r="E295" s="1747"/>
      <c r="G295" s="89" t="s">
        <v>26</v>
      </c>
      <c r="H295" s="132">
        <f>SUM(H296:H299)</f>
        <v>0</v>
      </c>
      <c r="I295" s="90"/>
      <c r="J295" s="90"/>
      <c r="K295" s="91"/>
    </row>
    <row r="296" spans="2:11" x14ac:dyDescent="0.25">
      <c r="B296" s="1750"/>
      <c r="D296" s="1740"/>
      <c r="E296" s="1747"/>
      <c r="G296" s="30" t="s">
        <v>27</v>
      </c>
      <c r="H296" s="126">
        <v>0</v>
      </c>
      <c r="I296" s="10"/>
      <c r="J296" s="10"/>
      <c r="K296" s="16"/>
    </row>
    <row r="297" spans="2:11" x14ac:dyDescent="0.25">
      <c r="B297" s="1750"/>
      <c r="D297" s="1740"/>
      <c r="E297" s="1747"/>
      <c r="G297" s="30" t="s">
        <v>28</v>
      </c>
      <c r="H297" s="126">
        <v>0</v>
      </c>
      <c r="I297" s="10"/>
      <c r="J297" s="10"/>
      <c r="K297" s="16"/>
    </row>
    <row r="298" spans="2:11" x14ac:dyDescent="0.25">
      <c r="B298" s="1750"/>
      <c r="D298" s="1740"/>
      <c r="E298" s="1747"/>
      <c r="G298" s="30" t="s">
        <v>29</v>
      </c>
      <c r="H298" s="126">
        <v>0</v>
      </c>
      <c r="I298" s="10"/>
      <c r="J298" s="10"/>
      <c r="K298" s="16"/>
    </row>
    <row r="299" spans="2:11" x14ac:dyDescent="0.25">
      <c r="B299" s="1750"/>
      <c r="D299" s="1740"/>
      <c r="E299" s="1747"/>
      <c r="G299" s="30" t="s">
        <v>30</v>
      </c>
      <c r="H299" s="126">
        <v>0</v>
      </c>
      <c r="I299" s="10"/>
      <c r="J299" s="10"/>
      <c r="K299" s="16"/>
    </row>
    <row r="300" spans="2:11" x14ac:dyDescent="0.25">
      <c r="B300" s="1750"/>
      <c r="D300" s="1740"/>
      <c r="E300" s="1747"/>
      <c r="G300" s="89" t="s">
        <v>31</v>
      </c>
      <c r="H300" s="132">
        <v>90.790815573770487</v>
      </c>
      <c r="I300" s="90"/>
      <c r="J300" s="90"/>
      <c r="K300" s="91" t="s">
        <v>1306</v>
      </c>
    </row>
    <row r="301" spans="2:11" x14ac:dyDescent="0.25">
      <c r="B301" s="1750"/>
      <c r="D301" s="1740"/>
      <c r="E301" s="1747"/>
      <c r="G301" s="30" t="s">
        <v>640</v>
      </c>
      <c r="H301" s="126">
        <f>H300*20%</f>
        <v>18.1581631147541</v>
      </c>
      <c r="I301" s="10"/>
      <c r="J301" s="10"/>
      <c r="K301" s="16"/>
    </row>
    <row r="302" spans="2:11" x14ac:dyDescent="0.25">
      <c r="B302" s="1750"/>
      <c r="D302" s="1740"/>
      <c r="E302" s="1747"/>
      <c r="G302" s="30" t="s">
        <v>641</v>
      </c>
      <c r="H302" s="126">
        <f>H300*80%</f>
        <v>72.632652459016398</v>
      </c>
      <c r="I302" s="10"/>
      <c r="J302" s="10"/>
      <c r="K302" s="16"/>
    </row>
    <row r="303" spans="2:11" x14ac:dyDescent="0.25">
      <c r="B303" s="1750"/>
      <c r="D303" s="1740"/>
      <c r="E303" s="1747"/>
      <c r="G303" s="1043" t="s">
        <v>32</v>
      </c>
      <c r="H303" s="1036">
        <v>0</v>
      </c>
      <c r="I303" s="1044"/>
      <c r="J303" s="1044"/>
      <c r="K303" s="1045"/>
    </row>
    <row r="304" spans="2:11" x14ac:dyDescent="0.25">
      <c r="B304" s="1750"/>
      <c r="D304" s="1740"/>
      <c r="E304" s="1747"/>
      <c r="G304" s="89" t="s">
        <v>33</v>
      </c>
      <c r="H304" s="132">
        <f>SUM(H305:H306)</f>
        <v>497.98870000000005</v>
      </c>
      <c r="I304" s="90"/>
      <c r="J304" s="90"/>
      <c r="K304" s="91"/>
    </row>
    <row r="305" spans="2:11" x14ac:dyDescent="0.25">
      <c r="B305" s="1750"/>
      <c r="D305" s="1740"/>
      <c r="E305" s="1747"/>
      <c r="G305" s="30" t="s">
        <v>34</v>
      </c>
      <c r="H305" s="126">
        <v>497.98870000000005</v>
      </c>
      <c r="I305" s="10"/>
      <c r="J305" s="10"/>
      <c r="K305" s="16" t="s">
        <v>1268</v>
      </c>
    </row>
    <row r="306" spans="2:11" x14ac:dyDescent="0.25">
      <c r="B306" s="1750"/>
      <c r="D306" s="1740"/>
      <c r="E306" s="1747"/>
      <c r="G306" s="30" t="s">
        <v>35</v>
      </c>
      <c r="H306" s="126">
        <v>0</v>
      </c>
      <c r="I306" s="10"/>
      <c r="J306" s="10"/>
      <c r="K306" s="16"/>
    </row>
    <row r="307" spans="2:11" ht="15.75" thickBot="1" x14ac:dyDescent="0.3">
      <c r="B307" s="1750"/>
      <c r="D307" s="1741"/>
      <c r="E307" s="1748"/>
      <c r="G307" s="1047" t="s">
        <v>36</v>
      </c>
      <c r="H307" s="1048">
        <v>3720.9427500000002</v>
      </c>
      <c r="I307" s="1049"/>
      <c r="J307" s="1049"/>
      <c r="K307" s="1050" t="s">
        <v>1268</v>
      </c>
    </row>
    <row r="308" spans="2:11" ht="15" customHeight="1" x14ac:dyDescent="0.25">
      <c r="B308" s="1750"/>
      <c r="D308" s="1739"/>
      <c r="E308" s="1742" t="s">
        <v>623</v>
      </c>
      <c r="G308" s="86" t="s">
        <v>145</v>
      </c>
      <c r="H308" s="131">
        <f>SUM(H309:H310)</f>
        <v>0</v>
      </c>
      <c r="I308" s="87"/>
      <c r="J308" s="87"/>
      <c r="K308" s="88"/>
    </row>
    <row r="309" spans="2:11" x14ac:dyDescent="0.25">
      <c r="B309" s="1750"/>
      <c r="D309" s="1740"/>
      <c r="E309" s="1743"/>
      <c r="G309" s="30" t="s">
        <v>23</v>
      </c>
      <c r="H309" s="126"/>
      <c r="I309" s="10"/>
      <c r="J309" s="10"/>
      <c r="K309" s="16"/>
    </row>
    <row r="310" spans="2:11" x14ac:dyDescent="0.25">
      <c r="B310" s="1750"/>
      <c r="D310" s="1740"/>
      <c r="E310" s="1743"/>
      <c r="G310" s="30" t="s">
        <v>24</v>
      </c>
      <c r="H310" s="126"/>
      <c r="I310" s="10"/>
      <c r="J310" s="10"/>
      <c r="K310" s="16"/>
    </row>
    <row r="311" spans="2:11" x14ac:dyDescent="0.25">
      <c r="B311" s="1750"/>
      <c r="D311" s="1740"/>
      <c r="E311" s="1743"/>
      <c r="G311" s="89" t="s">
        <v>146</v>
      </c>
      <c r="H311" s="132">
        <f>SUM(H312+H322)</f>
        <v>0</v>
      </c>
      <c r="I311" s="90"/>
      <c r="J311" s="90"/>
      <c r="K311" s="91"/>
    </row>
    <row r="312" spans="2:11" x14ac:dyDescent="0.25">
      <c r="B312" s="1750"/>
      <c r="D312" s="1740"/>
      <c r="E312" s="1743"/>
      <c r="G312" s="89" t="s">
        <v>25</v>
      </c>
      <c r="H312" s="132">
        <f>SUM(H313,H318,H321)</f>
        <v>0</v>
      </c>
      <c r="I312" s="90"/>
      <c r="J312" s="90"/>
      <c r="K312" s="91"/>
    </row>
    <row r="313" spans="2:11" x14ac:dyDescent="0.25">
      <c r="B313" s="1750"/>
      <c r="D313" s="1740"/>
      <c r="E313" s="1743"/>
      <c r="G313" s="89" t="s">
        <v>26</v>
      </c>
      <c r="H313" s="132">
        <f>SUM(H314:H317)</f>
        <v>0</v>
      </c>
      <c r="I313" s="90"/>
      <c r="J313" s="90"/>
      <c r="K313" s="91"/>
    </row>
    <row r="314" spans="2:11" x14ac:dyDescent="0.25">
      <c r="B314" s="1750"/>
      <c r="D314" s="1740"/>
      <c r="E314" s="1743"/>
      <c r="G314" s="30" t="s">
        <v>27</v>
      </c>
      <c r="H314" s="126"/>
      <c r="I314" s="10"/>
      <c r="J314" s="10"/>
      <c r="K314" s="16"/>
    </row>
    <row r="315" spans="2:11" x14ac:dyDescent="0.25">
      <c r="B315" s="1750"/>
      <c r="D315" s="1740"/>
      <c r="E315" s="1743"/>
      <c r="G315" s="30" t="s">
        <v>28</v>
      </c>
      <c r="H315" s="126"/>
      <c r="I315" s="10"/>
      <c r="J315" s="10"/>
      <c r="K315" s="16"/>
    </row>
    <row r="316" spans="2:11" x14ac:dyDescent="0.25">
      <c r="B316" s="1750"/>
      <c r="D316" s="1740"/>
      <c r="E316" s="1743"/>
      <c r="G316" s="30" t="s">
        <v>29</v>
      </c>
      <c r="H316" s="126"/>
      <c r="I316" s="10"/>
      <c r="J316" s="10"/>
      <c r="K316" s="16"/>
    </row>
    <row r="317" spans="2:11" x14ac:dyDescent="0.25">
      <c r="B317" s="1750"/>
      <c r="D317" s="1740"/>
      <c r="E317" s="1743"/>
      <c r="G317" s="30" t="s">
        <v>30</v>
      </c>
      <c r="H317" s="126"/>
      <c r="I317" s="10"/>
      <c r="J317" s="10"/>
      <c r="K317" s="16"/>
    </row>
    <row r="318" spans="2:11" x14ac:dyDescent="0.25">
      <c r="B318" s="1750"/>
      <c r="D318" s="1740"/>
      <c r="E318" s="1743"/>
      <c r="G318" s="89" t="s">
        <v>31</v>
      </c>
      <c r="H318" s="1036">
        <f>SUM(H319:H320)</f>
        <v>0</v>
      </c>
      <c r="I318" s="90"/>
      <c r="J318" s="90"/>
      <c r="K318" s="91"/>
    </row>
    <row r="319" spans="2:11" x14ac:dyDescent="0.25">
      <c r="B319" s="1750"/>
      <c r="D319" s="1740"/>
      <c r="E319" s="1743"/>
      <c r="G319" s="30" t="s">
        <v>640</v>
      </c>
      <c r="H319" s="126"/>
      <c r="I319" s="10"/>
      <c r="J319" s="10"/>
      <c r="K319" s="16"/>
    </row>
    <row r="320" spans="2:11" x14ac:dyDescent="0.25">
      <c r="B320" s="1750"/>
      <c r="D320" s="1740"/>
      <c r="E320" s="1743"/>
      <c r="G320" s="30" t="s">
        <v>641</v>
      </c>
      <c r="H320" s="126"/>
      <c r="I320" s="10"/>
      <c r="J320" s="10"/>
      <c r="K320" s="16"/>
    </row>
    <row r="321" spans="2:11" x14ac:dyDescent="0.25">
      <c r="B321" s="1750"/>
      <c r="D321" s="1740"/>
      <c r="E321" s="1743"/>
      <c r="G321" s="1043" t="s">
        <v>32</v>
      </c>
      <c r="H321" s="1036"/>
      <c r="I321" s="1044"/>
      <c r="J321" s="1044"/>
      <c r="K321" s="1045"/>
    </row>
    <row r="322" spans="2:11" x14ac:dyDescent="0.25">
      <c r="B322" s="1750"/>
      <c r="D322" s="1740"/>
      <c r="E322" s="1743"/>
      <c r="G322" s="89" t="s">
        <v>33</v>
      </c>
      <c r="H322" s="132">
        <f>SUM(H323:H324)</f>
        <v>0</v>
      </c>
      <c r="I322" s="90"/>
      <c r="J322" s="90"/>
      <c r="K322" s="91"/>
    </row>
    <row r="323" spans="2:11" x14ac:dyDescent="0.25">
      <c r="B323" s="1750"/>
      <c r="D323" s="1740"/>
      <c r="E323" s="1743"/>
      <c r="G323" s="30" t="s">
        <v>34</v>
      </c>
      <c r="H323" s="126"/>
      <c r="I323" s="10"/>
      <c r="J323" s="10"/>
      <c r="K323" s="16"/>
    </row>
    <row r="324" spans="2:11" x14ac:dyDescent="0.25">
      <c r="B324" s="1750"/>
      <c r="D324" s="1740"/>
      <c r="E324" s="1743"/>
      <c r="G324" s="30" t="s">
        <v>35</v>
      </c>
      <c r="H324" s="126"/>
      <c r="I324" s="10"/>
      <c r="J324" s="10"/>
      <c r="K324" s="16"/>
    </row>
    <row r="325" spans="2:11" ht="15.75" thickBot="1" x14ac:dyDescent="0.3">
      <c r="B325" s="1750"/>
      <c r="D325" s="1741"/>
      <c r="E325" s="1744"/>
      <c r="G325" s="1047" t="s">
        <v>36</v>
      </c>
      <c r="H325" s="1048"/>
      <c r="I325" s="1049"/>
      <c r="J325" s="1049"/>
      <c r="K325" s="1050"/>
    </row>
    <row r="326" spans="2:11" ht="15" customHeight="1" x14ac:dyDescent="0.25">
      <c r="B326" s="1750"/>
      <c r="D326" s="1745" t="s">
        <v>22</v>
      </c>
      <c r="E326" s="1746" t="s">
        <v>157</v>
      </c>
      <c r="G326" s="86" t="s">
        <v>145</v>
      </c>
      <c r="H326" s="131">
        <f>SUM(H327:H328)</f>
        <v>11.709600000000002</v>
      </c>
      <c r="I326" s="87"/>
      <c r="J326" s="87"/>
      <c r="K326" s="88"/>
    </row>
    <row r="327" spans="2:11" x14ac:dyDescent="0.25">
      <c r="B327" s="1750"/>
      <c r="D327" s="1740"/>
      <c r="E327" s="1747"/>
      <c r="G327" s="30" t="s">
        <v>23</v>
      </c>
      <c r="H327" s="126">
        <v>11.709600000000002</v>
      </c>
      <c r="I327" s="10"/>
      <c r="J327" s="10"/>
      <c r="K327" s="16"/>
    </row>
    <row r="328" spans="2:11" x14ac:dyDescent="0.25">
      <c r="B328" s="1750"/>
      <c r="D328" s="1740"/>
      <c r="E328" s="1747"/>
      <c r="G328" s="30" t="s">
        <v>24</v>
      </c>
      <c r="H328" s="126">
        <v>0</v>
      </c>
      <c r="I328" s="10"/>
      <c r="J328" s="10"/>
      <c r="K328" s="16"/>
    </row>
    <row r="329" spans="2:11" x14ac:dyDescent="0.25">
      <c r="B329" s="1750"/>
      <c r="D329" s="1740"/>
      <c r="E329" s="1747"/>
      <c r="G329" s="89" t="s">
        <v>146</v>
      </c>
      <c r="H329" s="132">
        <f>SUM(H330+H340)</f>
        <v>11.709600000000002</v>
      </c>
      <c r="I329" s="90"/>
      <c r="J329" s="90"/>
      <c r="K329" s="91"/>
    </row>
    <row r="330" spans="2:11" x14ac:dyDescent="0.25">
      <c r="B330" s="1750"/>
      <c r="D330" s="1740"/>
      <c r="E330" s="1747"/>
      <c r="G330" s="89" t="s">
        <v>25</v>
      </c>
      <c r="H330" s="132">
        <f>SUM(H331,H336,H339)</f>
        <v>2.0736000000000003</v>
      </c>
      <c r="I330" s="90"/>
      <c r="J330" s="90"/>
      <c r="K330" s="91"/>
    </row>
    <row r="331" spans="2:11" x14ac:dyDescent="0.25">
      <c r="B331" s="1750"/>
      <c r="D331" s="1740"/>
      <c r="E331" s="1747"/>
      <c r="G331" s="89" t="s">
        <v>26</v>
      </c>
      <c r="H331" s="132">
        <f>SUM(H332:H335)</f>
        <v>2.0736000000000003</v>
      </c>
      <c r="I331" s="90"/>
      <c r="J331" s="90"/>
      <c r="K331" s="91"/>
    </row>
    <row r="332" spans="2:11" x14ac:dyDescent="0.25">
      <c r="B332" s="1750"/>
      <c r="D332" s="1740"/>
      <c r="E332" s="1747"/>
      <c r="G332" s="30" t="s">
        <v>27</v>
      </c>
      <c r="H332" s="126">
        <v>0</v>
      </c>
      <c r="I332" s="10"/>
      <c r="J332" s="10"/>
      <c r="K332" s="16"/>
    </row>
    <row r="333" spans="2:11" x14ac:dyDescent="0.25">
      <c r="B333" s="1750"/>
      <c r="D333" s="1740"/>
      <c r="E333" s="1747"/>
      <c r="G333" s="30" t="s">
        <v>28</v>
      </c>
      <c r="H333" s="126">
        <v>2.0736000000000003</v>
      </c>
      <c r="I333" s="10"/>
      <c r="J333" s="10"/>
      <c r="K333" s="16"/>
    </row>
    <row r="334" spans="2:11" x14ac:dyDescent="0.25">
      <c r="B334" s="1750"/>
      <c r="D334" s="1740"/>
      <c r="E334" s="1747"/>
      <c r="G334" s="30" t="s">
        <v>29</v>
      </c>
      <c r="H334" s="126">
        <v>0</v>
      </c>
      <c r="I334" s="10"/>
      <c r="J334" s="10"/>
      <c r="K334" s="16"/>
    </row>
    <row r="335" spans="2:11" x14ac:dyDescent="0.25">
      <c r="B335" s="1750"/>
      <c r="D335" s="1740"/>
      <c r="E335" s="1747"/>
      <c r="G335" s="30" t="s">
        <v>30</v>
      </c>
      <c r="H335" s="126">
        <v>0</v>
      </c>
      <c r="I335" s="10"/>
      <c r="J335" s="10"/>
      <c r="K335" s="16"/>
    </row>
    <row r="336" spans="2:11" x14ac:dyDescent="0.25">
      <c r="B336" s="1750"/>
      <c r="D336" s="1740"/>
      <c r="E336" s="1747"/>
      <c r="G336" s="89" t="s">
        <v>31</v>
      </c>
      <c r="H336" s="1036">
        <f>SUM(H337:H338)</f>
        <v>0</v>
      </c>
      <c r="I336" s="90"/>
      <c r="J336" s="90"/>
      <c r="K336" s="91"/>
    </row>
    <row r="337" spans="2:11" x14ac:dyDescent="0.25">
      <c r="B337" s="1750"/>
      <c r="D337" s="1740"/>
      <c r="E337" s="1747"/>
      <c r="G337" s="30" t="s">
        <v>640</v>
      </c>
      <c r="H337" s="126"/>
      <c r="I337" s="10"/>
      <c r="J337" s="10"/>
      <c r="K337" s="16"/>
    </row>
    <row r="338" spans="2:11" x14ac:dyDescent="0.25">
      <c r="B338" s="1750"/>
      <c r="D338" s="1740"/>
      <c r="E338" s="1747"/>
      <c r="G338" s="30" t="s">
        <v>641</v>
      </c>
      <c r="H338" s="126"/>
      <c r="I338" s="10"/>
      <c r="J338" s="10"/>
      <c r="K338" s="16"/>
    </row>
    <row r="339" spans="2:11" x14ac:dyDescent="0.25">
      <c r="B339" s="1750"/>
      <c r="D339" s="1740"/>
      <c r="E339" s="1747"/>
      <c r="G339" s="1043" t="s">
        <v>32</v>
      </c>
      <c r="H339" s="1036">
        <v>0</v>
      </c>
      <c r="I339" s="1044"/>
      <c r="J339" s="1044"/>
      <c r="K339" s="1045"/>
    </row>
    <row r="340" spans="2:11" x14ac:dyDescent="0.25">
      <c r="B340" s="1750"/>
      <c r="D340" s="1740"/>
      <c r="E340" s="1747"/>
      <c r="G340" s="89" t="s">
        <v>33</v>
      </c>
      <c r="H340" s="132">
        <f>SUM(H341:H342)</f>
        <v>9.636000000000001</v>
      </c>
      <c r="I340" s="90"/>
      <c r="J340" s="90"/>
      <c r="K340" s="91"/>
    </row>
    <row r="341" spans="2:11" x14ac:dyDescent="0.25">
      <c r="B341" s="1750"/>
      <c r="D341" s="1740"/>
      <c r="E341" s="1747"/>
      <c r="G341" s="30" t="s">
        <v>34</v>
      </c>
      <c r="H341" s="126">
        <v>9.636000000000001</v>
      </c>
      <c r="I341" s="10"/>
      <c r="J341" s="10"/>
      <c r="K341" s="16"/>
    </row>
    <row r="342" spans="2:11" x14ac:dyDescent="0.25">
      <c r="B342" s="1750"/>
      <c r="D342" s="1740"/>
      <c r="E342" s="1747"/>
      <c r="G342" s="30" t="s">
        <v>35</v>
      </c>
      <c r="H342" s="126">
        <v>0</v>
      </c>
      <c r="I342" s="10"/>
      <c r="J342" s="10"/>
      <c r="K342" s="16"/>
    </row>
    <row r="343" spans="2:11" ht="15.75" thickBot="1" x14ac:dyDescent="0.3">
      <c r="B343" s="1750"/>
      <c r="D343" s="1741"/>
      <c r="E343" s="1748"/>
      <c r="G343" s="1047" t="s">
        <v>36</v>
      </c>
      <c r="H343" s="1048">
        <v>131.69367175295594</v>
      </c>
      <c r="I343" s="1049"/>
      <c r="J343" s="1049"/>
      <c r="K343" s="1050" t="s">
        <v>1268</v>
      </c>
    </row>
    <row r="344" spans="2:11" ht="15" customHeight="1" x14ac:dyDescent="0.25">
      <c r="B344" s="1750"/>
      <c r="D344" s="1739"/>
      <c r="E344" s="1742" t="s">
        <v>624</v>
      </c>
      <c r="G344" s="86" t="s">
        <v>145</v>
      </c>
      <c r="H344" s="131">
        <f>SUM(H345:H346)</f>
        <v>0</v>
      </c>
      <c r="I344" s="87"/>
      <c r="J344" s="87"/>
      <c r="K344" s="88"/>
    </row>
    <row r="345" spans="2:11" x14ac:dyDescent="0.25">
      <c r="B345" s="1750"/>
      <c r="D345" s="1740"/>
      <c r="E345" s="1743"/>
      <c r="G345" s="30" t="s">
        <v>23</v>
      </c>
      <c r="H345" s="126"/>
      <c r="I345" s="10"/>
      <c r="J345" s="10"/>
      <c r="K345" s="16"/>
    </row>
    <row r="346" spans="2:11" x14ac:dyDescent="0.25">
      <c r="B346" s="1750"/>
      <c r="D346" s="1740"/>
      <c r="E346" s="1743"/>
      <c r="G346" s="30" t="s">
        <v>24</v>
      </c>
      <c r="H346" s="126"/>
      <c r="I346" s="10"/>
      <c r="J346" s="10"/>
      <c r="K346" s="16"/>
    </row>
    <row r="347" spans="2:11" x14ac:dyDescent="0.25">
      <c r="B347" s="1750"/>
      <c r="D347" s="1740"/>
      <c r="E347" s="1743"/>
      <c r="G347" s="89" t="s">
        <v>146</v>
      </c>
      <c r="H347" s="132">
        <f>SUM(H348+H358)</f>
        <v>0</v>
      </c>
      <c r="I347" s="90"/>
      <c r="J347" s="90"/>
      <c r="K347" s="91"/>
    </row>
    <row r="348" spans="2:11" x14ac:dyDescent="0.25">
      <c r="B348" s="1750"/>
      <c r="D348" s="1740"/>
      <c r="E348" s="1743"/>
      <c r="G348" s="89" t="s">
        <v>25</v>
      </c>
      <c r="H348" s="132">
        <f>SUM(H349,H354,H357)</f>
        <v>0</v>
      </c>
      <c r="I348" s="90"/>
      <c r="J348" s="90"/>
      <c r="K348" s="91"/>
    </row>
    <row r="349" spans="2:11" x14ac:dyDescent="0.25">
      <c r="B349" s="1750"/>
      <c r="D349" s="1740"/>
      <c r="E349" s="1743"/>
      <c r="G349" s="89" t="s">
        <v>26</v>
      </c>
      <c r="H349" s="132">
        <f>SUM(H350:H353)</f>
        <v>0</v>
      </c>
      <c r="I349" s="90"/>
      <c r="J349" s="90"/>
      <c r="K349" s="91"/>
    </row>
    <row r="350" spans="2:11" x14ac:dyDescent="0.25">
      <c r="B350" s="1750"/>
      <c r="D350" s="1740"/>
      <c r="E350" s="1743"/>
      <c r="G350" s="30" t="s">
        <v>27</v>
      </c>
      <c r="H350" s="126"/>
      <c r="I350" s="10"/>
      <c r="J350" s="10"/>
      <c r="K350" s="16"/>
    </row>
    <row r="351" spans="2:11" x14ac:dyDescent="0.25">
      <c r="B351" s="1750"/>
      <c r="D351" s="1740"/>
      <c r="E351" s="1743"/>
      <c r="G351" s="30" t="s">
        <v>28</v>
      </c>
      <c r="H351" s="126"/>
      <c r="I351" s="10"/>
      <c r="J351" s="10"/>
      <c r="K351" s="16"/>
    </row>
    <row r="352" spans="2:11" x14ac:dyDescent="0.25">
      <c r="B352" s="1750"/>
      <c r="D352" s="1740"/>
      <c r="E352" s="1743"/>
      <c r="G352" s="30" t="s">
        <v>29</v>
      </c>
      <c r="H352" s="126"/>
      <c r="I352" s="10"/>
      <c r="J352" s="10"/>
      <c r="K352" s="16"/>
    </row>
    <row r="353" spans="2:11" x14ac:dyDescent="0.25">
      <c r="B353" s="1750"/>
      <c r="D353" s="1740"/>
      <c r="E353" s="1743"/>
      <c r="G353" s="30" t="s">
        <v>30</v>
      </c>
      <c r="H353" s="126"/>
      <c r="I353" s="10"/>
      <c r="J353" s="10"/>
      <c r="K353" s="16"/>
    </row>
    <row r="354" spans="2:11" x14ac:dyDescent="0.25">
      <c r="B354" s="1750"/>
      <c r="D354" s="1740"/>
      <c r="E354" s="1743"/>
      <c r="G354" s="89" t="s">
        <v>31</v>
      </c>
      <c r="H354" s="1036">
        <f>SUM(H355:H356)</f>
        <v>0</v>
      </c>
      <c r="I354" s="90"/>
      <c r="J354" s="90"/>
      <c r="K354" s="91"/>
    </row>
    <row r="355" spans="2:11" x14ac:dyDescent="0.25">
      <c r="B355" s="1750"/>
      <c r="D355" s="1740"/>
      <c r="E355" s="1743"/>
      <c r="G355" s="30" t="s">
        <v>640</v>
      </c>
      <c r="H355" s="126"/>
      <c r="I355" s="10"/>
      <c r="J355" s="10"/>
      <c r="K355" s="16"/>
    </row>
    <row r="356" spans="2:11" x14ac:dyDescent="0.25">
      <c r="B356" s="1750"/>
      <c r="D356" s="1740"/>
      <c r="E356" s="1743"/>
      <c r="G356" s="30" t="s">
        <v>641</v>
      </c>
      <c r="H356" s="126"/>
      <c r="I356" s="10"/>
      <c r="J356" s="10"/>
      <c r="K356" s="16"/>
    </row>
    <row r="357" spans="2:11" x14ac:dyDescent="0.25">
      <c r="B357" s="1750"/>
      <c r="D357" s="1740"/>
      <c r="E357" s="1743"/>
      <c r="G357" s="1043" t="s">
        <v>32</v>
      </c>
      <c r="H357" s="1036"/>
      <c r="I357" s="1044"/>
      <c r="J357" s="1044"/>
      <c r="K357" s="1045"/>
    </row>
    <row r="358" spans="2:11" x14ac:dyDescent="0.25">
      <c r="B358" s="1750"/>
      <c r="D358" s="1740"/>
      <c r="E358" s="1743"/>
      <c r="G358" s="89" t="s">
        <v>33</v>
      </c>
      <c r="H358" s="132">
        <f>SUM(H359:H360)</f>
        <v>0</v>
      </c>
      <c r="I358" s="90"/>
      <c r="J358" s="90"/>
      <c r="K358" s="91"/>
    </row>
    <row r="359" spans="2:11" x14ac:dyDescent="0.25">
      <c r="B359" s="1750"/>
      <c r="D359" s="1740"/>
      <c r="E359" s="1743"/>
      <c r="G359" s="30" t="s">
        <v>34</v>
      </c>
      <c r="H359" s="126"/>
      <c r="I359" s="10"/>
      <c r="J359" s="10"/>
      <c r="K359" s="16"/>
    </row>
    <row r="360" spans="2:11" x14ac:dyDescent="0.25">
      <c r="B360" s="1750"/>
      <c r="D360" s="1740"/>
      <c r="E360" s="1743"/>
      <c r="G360" s="30" t="s">
        <v>35</v>
      </c>
      <c r="H360" s="126"/>
      <c r="I360" s="10"/>
      <c r="J360" s="10"/>
      <c r="K360" s="16"/>
    </row>
    <row r="361" spans="2:11" ht="15.75" thickBot="1" x14ac:dyDescent="0.3">
      <c r="B361" s="1750"/>
      <c r="D361" s="1741"/>
      <c r="E361" s="1744"/>
      <c r="G361" s="1047" t="s">
        <v>36</v>
      </c>
      <c r="H361" s="1048"/>
      <c r="I361" s="1049"/>
      <c r="J361" s="1049"/>
      <c r="K361" s="1050"/>
    </row>
    <row r="362" spans="2:11" ht="5.25" customHeight="1" x14ac:dyDescent="0.25">
      <c r="B362" s="1750"/>
      <c r="D362" s="95"/>
      <c r="E362" s="93"/>
      <c r="G362" s="94"/>
      <c r="H362" s="133"/>
      <c r="I362" s="94"/>
      <c r="J362" s="94"/>
      <c r="K362" s="85"/>
    </row>
    <row r="363" spans="2:11" x14ac:dyDescent="0.25">
      <c r="B363" s="1750"/>
      <c r="C363" s="92"/>
      <c r="D363" s="96"/>
      <c r="E363" s="92"/>
      <c r="F363" s="92"/>
      <c r="G363" s="92"/>
      <c r="H363" s="134"/>
      <c r="I363" s="92"/>
      <c r="J363" s="92"/>
      <c r="K363" s="92"/>
    </row>
    <row r="364" spans="2:11" ht="5.25" customHeight="1" thickBot="1" x14ac:dyDescent="0.3">
      <c r="B364" s="1750"/>
      <c r="D364" s="97"/>
      <c r="H364" s="4"/>
    </row>
    <row r="365" spans="2:11" ht="15" customHeight="1" x14ac:dyDescent="0.25">
      <c r="B365" s="1750"/>
      <c r="D365" s="1739">
        <v>98</v>
      </c>
      <c r="E365" s="1746" t="s">
        <v>158</v>
      </c>
      <c r="G365" s="86" t="s">
        <v>145</v>
      </c>
      <c r="H365" s="131">
        <f>H368</f>
        <v>40434.896439560478</v>
      </c>
      <c r="I365" s="87"/>
      <c r="J365" s="87"/>
      <c r="K365" s="88"/>
    </row>
    <row r="366" spans="2:11" ht="30" x14ac:dyDescent="0.25">
      <c r="B366" s="1750"/>
      <c r="D366" s="1740"/>
      <c r="E366" s="1747"/>
      <c r="G366" s="30" t="s">
        <v>23</v>
      </c>
      <c r="H366" s="126">
        <f>SUM(H365,-H367)</f>
        <v>40434.896439560478</v>
      </c>
      <c r="I366" s="10"/>
      <c r="J366" s="10"/>
      <c r="K366" s="1639" t="s">
        <v>1732</v>
      </c>
    </row>
    <row r="367" spans="2:11" x14ac:dyDescent="0.25">
      <c r="B367" s="1750"/>
      <c r="D367" s="1740"/>
      <c r="E367" s="1747"/>
      <c r="G367" s="30" t="s">
        <v>24</v>
      </c>
      <c r="H367" s="126"/>
      <c r="I367" s="10"/>
      <c r="J367" s="10"/>
      <c r="K367" s="16"/>
    </row>
    <row r="368" spans="2:11" x14ac:dyDescent="0.25">
      <c r="B368" s="1750"/>
      <c r="D368" s="1740"/>
      <c r="E368" s="1747"/>
      <c r="G368" s="89" t="s">
        <v>146</v>
      </c>
      <c r="H368" s="132">
        <f>SUM(H369+H379)</f>
        <v>40434.896439560478</v>
      </c>
      <c r="I368" s="90"/>
      <c r="J368" s="90"/>
      <c r="K368" s="91"/>
    </row>
    <row r="369" spans="2:11" x14ac:dyDescent="0.25">
      <c r="B369" s="1750"/>
      <c r="D369" s="1740"/>
      <c r="E369" s="1747"/>
      <c r="G369" s="89" t="s">
        <v>25</v>
      </c>
      <c r="H369" s="132">
        <f>SUM(H370,H375,H378)</f>
        <v>39884.896439560478</v>
      </c>
      <c r="I369" s="90"/>
      <c r="J369" s="90"/>
      <c r="K369" s="91"/>
    </row>
    <row r="370" spans="2:11" x14ac:dyDescent="0.25">
      <c r="B370" s="1750"/>
      <c r="D370" s="1740"/>
      <c r="E370" s="1747"/>
      <c r="G370" s="89" t="s">
        <v>26</v>
      </c>
      <c r="H370" s="132">
        <f>SUM(H371:H374)</f>
        <v>11301.441449073298</v>
      </c>
      <c r="I370" s="90"/>
      <c r="J370" s="90"/>
      <c r="K370" s="91"/>
    </row>
    <row r="371" spans="2:11" x14ac:dyDescent="0.25">
      <c r="B371" s="1750"/>
      <c r="D371" s="1740"/>
      <c r="E371" s="1747"/>
      <c r="G371" s="30" t="s">
        <v>27</v>
      </c>
      <c r="H371" s="126">
        <v>5040</v>
      </c>
      <c r="I371" s="10"/>
      <c r="J371" s="10"/>
      <c r="K371" s="1639" t="s">
        <v>1268</v>
      </c>
    </row>
    <row r="372" spans="2:11" x14ac:dyDescent="0.25">
      <c r="B372" s="1750"/>
      <c r="D372" s="1740"/>
      <c r="E372" s="1747"/>
      <c r="G372" s="30" t="s">
        <v>28</v>
      </c>
      <c r="H372" s="126">
        <v>5116</v>
      </c>
      <c r="I372" s="10"/>
      <c r="J372" s="10"/>
      <c r="K372" s="1639" t="s">
        <v>1268</v>
      </c>
    </row>
    <row r="373" spans="2:11" x14ac:dyDescent="0.25">
      <c r="B373" s="1750"/>
      <c r="D373" s="1740"/>
      <c r="E373" s="1747"/>
      <c r="G373" s="30" t="s">
        <v>29</v>
      </c>
      <c r="H373" s="747">
        <f>+('RBM&amp;E-2017_S'!T$34*40%)</f>
        <v>11.441449073297617</v>
      </c>
      <c r="I373" s="10"/>
      <c r="J373" s="10"/>
      <c r="K373" s="16"/>
    </row>
    <row r="374" spans="2:11" x14ac:dyDescent="0.25">
      <c r="B374" s="1750"/>
      <c r="D374" s="1740"/>
      <c r="E374" s="1747"/>
      <c r="G374" s="30" t="s">
        <v>30</v>
      </c>
      <c r="H374" s="126">
        <v>1134</v>
      </c>
      <c r="I374" s="10"/>
      <c r="J374" s="10"/>
      <c r="K374" s="1639" t="s">
        <v>1268</v>
      </c>
    </row>
    <row r="375" spans="2:11" x14ac:dyDescent="0.25">
      <c r="B375" s="1750"/>
      <c r="D375" s="1740"/>
      <c r="E375" s="1747"/>
      <c r="G375" s="89" t="s">
        <v>31</v>
      </c>
      <c r="H375" s="132">
        <f>SUM(H376:H377)</f>
        <v>28583.454990487178</v>
      </c>
      <c r="I375" s="90"/>
      <c r="J375" s="90"/>
      <c r="K375" s="91" t="s">
        <v>1304</v>
      </c>
    </row>
    <row r="376" spans="2:11" ht="120" x14ac:dyDescent="0.25">
      <c r="B376" s="1750"/>
      <c r="D376" s="1740"/>
      <c r="E376" s="1747"/>
      <c r="G376" s="30" t="s">
        <v>640</v>
      </c>
      <c r="H376" s="747">
        <f>+('RBM&amp;E-2017_S'!T$27*70%)</f>
        <v>3658.8525926280699</v>
      </c>
      <c r="I376" s="10"/>
      <c r="J376" s="10"/>
      <c r="K376" s="16" t="s">
        <v>1089</v>
      </c>
    </row>
    <row r="377" spans="2:11" ht="120" x14ac:dyDescent="0.25">
      <c r="B377" s="1750"/>
      <c r="D377" s="1740"/>
      <c r="E377" s="1747"/>
      <c r="G377" s="30" t="s">
        <v>641</v>
      </c>
      <c r="H377" s="747">
        <f>+('RBM&amp;E-2017_S'!T$33*65%)</f>
        <v>24924.602397859107</v>
      </c>
      <c r="I377" s="10"/>
      <c r="J377" s="10"/>
      <c r="K377" s="16" t="s">
        <v>1089</v>
      </c>
    </row>
    <row r="378" spans="2:11" ht="30" x14ac:dyDescent="0.25">
      <c r="B378" s="1750"/>
      <c r="D378" s="1740"/>
      <c r="E378" s="1747"/>
      <c r="G378" s="1043" t="s">
        <v>32</v>
      </c>
      <c r="H378" s="1034"/>
      <c r="I378" s="1044"/>
      <c r="J378" s="1044"/>
      <c r="K378" s="1045" t="s">
        <v>1314</v>
      </c>
    </row>
    <row r="379" spans="2:11" x14ac:dyDescent="0.25">
      <c r="B379" s="1750"/>
      <c r="D379" s="1740"/>
      <c r="E379" s="1747"/>
      <c r="G379" s="89" t="s">
        <v>33</v>
      </c>
      <c r="H379" s="132">
        <f>SUM(H380:H381)</f>
        <v>550</v>
      </c>
      <c r="I379" s="90"/>
      <c r="J379" s="90"/>
      <c r="K379" s="91"/>
    </row>
    <row r="380" spans="2:11" x14ac:dyDescent="0.25">
      <c r="B380" s="1750"/>
      <c r="D380" s="1740"/>
      <c r="E380" s="1747"/>
      <c r="G380" s="30" t="s">
        <v>34</v>
      </c>
      <c r="H380" s="126">
        <v>550</v>
      </c>
      <c r="I380" s="10"/>
      <c r="J380" s="10"/>
      <c r="K380" s="1639" t="s">
        <v>1268</v>
      </c>
    </row>
    <row r="381" spans="2:11" x14ac:dyDescent="0.25">
      <c r="B381" s="1750"/>
      <c r="D381" s="1740"/>
      <c r="E381" s="1747"/>
      <c r="G381" s="30" t="s">
        <v>35</v>
      </c>
      <c r="H381" s="126"/>
      <c r="I381" s="10"/>
      <c r="J381" s="10"/>
      <c r="K381" s="16"/>
    </row>
    <row r="382" spans="2:11" ht="15.75" thickBot="1" x14ac:dyDescent="0.3">
      <c r="B382" s="1750"/>
      <c r="D382" s="1741"/>
      <c r="E382" s="1748"/>
      <c r="G382" s="1047" t="s">
        <v>36</v>
      </c>
      <c r="H382" s="1048">
        <v>176061</v>
      </c>
      <c r="I382" s="1049"/>
      <c r="J382" s="1049"/>
      <c r="K382" s="1050" t="s">
        <v>1268</v>
      </c>
    </row>
    <row r="383" spans="2:11" ht="15" customHeight="1" x14ac:dyDescent="0.25">
      <c r="B383" s="1750"/>
      <c r="D383" s="1739">
        <v>99</v>
      </c>
      <c r="E383" s="1746" t="s">
        <v>159</v>
      </c>
      <c r="G383" s="86" t="s">
        <v>145</v>
      </c>
      <c r="H383" s="131">
        <f>SUM(H384:H385)</f>
        <v>0</v>
      </c>
      <c r="I383" s="87"/>
      <c r="J383" s="87"/>
      <c r="K383" s="88"/>
    </row>
    <row r="384" spans="2:11" x14ac:dyDescent="0.25">
      <c r="B384" s="1750"/>
      <c r="D384" s="1740"/>
      <c r="E384" s="1747"/>
      <c r="G384" s="30" t="s">
        <v>23</v>
      </c>
      <c r="H384" s="126"/>
      <c r="I384" s="10"/>
      <c r="J384" s="10"/>
      <c r="K384" s="16"/>
    </row>
    <row r="385" spans="2:11" x14ac:dyDescent="0.25">
      <c r="B385" s="1750"/>
      <c r="D385" s="1740"/>
      <c r="E385" s="1747"/>
      <c r="G385" s="30" t="s">
        <v>24</v>
      </c>
      <c r="H385" s="126"/>
      <c r="I385" s="10"/>
      <c r="J385" s="10"/>
      <c r="K385" s="16"/>
    </row>
    <row r="386" spans="2:11" x14ac:dyDescent="0.25">
      <c r="B386" s="1750"/>
      <c r="D386" s="1740"/>
      <c r="E386" s="1747"/>
      <c r="G386" s="89" t="s">
        <v>146</v>
      </c>
      <c r="H386" s="132">
        <f>SUM(H387+H397)</f>
        <v>0</v>
      </c>
      <c r="I386" s="90"/>
      <c r="J386" s="90"/>
      <c r="K386" s="91"/>
    </row>
    <row r="387" spans="2:11" x14ac:dyDescent="0.25">
      <c r="B387" s="1750"/>
      <c r="D387" s="1740"/>
      <c r="E387" s="1747"/>
      <c r="G387" s="89" t="s">
        <v>25</v>
      </c>
      <c r="H387" s="132">
        <f>SUM(H388,H393,H396)</f>
        <v>0</v>
      </c>
      <c r="I387" s="90"/>
      <c r="J387" s="90"/>
      <c r="K387" s="91"/>
    </row>
    <row r="388" spans="2:11" x14ac:dyDescent="0.25">
      <c r="B388" s="1750"/>
      <c r="D388" s="1740"/>
      <c r="E388" s="1747"/>
      <c r="G388" s="89" t="s">
        <v>26</v>
      </c>
      <c r="H388" s="132">
        <f>SUM(H389:H392)</f>
        <v>0</v>
      </c>
      <c r="I388" s="90"/>
      <c r="J388" s="90"/>
      <c r="K388" s="91"/>
    </row>
    <row r="389" spans="2:11" x14ac:dyDescent="0.25">
      <c r="B389" s="1750"/>
      <c r="D389" s="1740"/>
      <c r="E389" s="1747"/>
      <c r="G389" s="30" t="s">
        <v>27</v>
      </c>
      <c r="H389" s="126"/>
      <c r="I389" s="10"/>
      <c r="J389" s="10"/>
      <c r="K389" s="16"/>
    </row>
    <row r="390" spans="2:11" x14ac:dyDescent="0.25">
      <c r="B390" s="1750"/>
      <c r="D390" s="1740"/>
      <c r="E390" s="1747"/>
      <c r="G390" s="30" t="s">
        <v>28</v>
      </c>
      <c r="H390" s="126"/>
      <c r="I390" s="10"/>
      <c r="J390" s="10"/>
      <c r="K390" s="16"/>
    </row>
    <row r="391" spans="2:11" x14ac:dyDescent="0.25">
      <c r="B391" s="1750"/>
      <c r="D391" s="1740"/>
      <c r="E391" s="1747"/>
      <c r="G391" s="30" t="s">
        <v>29</v>
      </c>
      <c r="H391" s="126"/>
      <c r="I391" s="10"/>
      <c r="J391" s="10"/>
      <c r="K391" s="16"/>
    </row>
    <row r="392" spans="2:11" x14ac:dyDescent="0.25">
      <c r="B392" s="1750"/>
      <c r="D392" s="1740"/>
      <c r="E392" s="1747"/>
      <c r="G392" s="30" t="s">
        <v>30</v>
      </c>
      <c r="H392" s="126"/>
      <c r="I392" s="10"/>
      <c r="J392" s="10"/>
      <c r="K392" s="16"/>
    </row>
    <row r="393" spans="2:11" x14ac:dyDescent="0.25">
      <c r="B393" s="1750"/>
      <c r="D393" s="1740"/>
      <c r="E393" s="1747"/>
      <c r="G393" s="89" t="s">
        <v>31</v>
      </c>
      <c r="H393" s="132"/>
      <c r="I393" s="90"/>
      <c r="J393" s="90"/>
      <c r="K393" s="91"/>
    </row>
    <row r="394" spans="2:11" x14ac:dyDescent="0.25">
      <c r="B394" s="1750"/>
      <c r="D394" s="1740"/>
      <c r="E394" s="1747"/>
      <c r="G394" s="30" t="s">
        <v>640</v>
      </c>
      <c r="H394" s="126"/>
      <c r="I394" s="10"/>
      <c r="J394" s="10"/>
      <c r="K394" s="16"/>
    </row>
    <row r="395" spans="2:11" x14ac:dyDescent="0.25">
      <c r="B395" s="1750"/>
      <c r="D395" s="1740"/>
      <c r="E395" s="1747"/>
      <c r="G395" s="30" t="s">
        <v>641</v>
      </c>
      <c r="H395" s="126"/>
      <c r="I395" s="10"/>
      <c r="J395" s="10"/>
      <c r="K395" s="16"/>
    </row>
    <row r="396" spans="2:11" x14ac:dyDescent="0.25">
      <c r="B396" s="1750"/>
      <c r="D396" s="1740"/>
      <c r="E396" s="1747"/>
      <c r="G396" s="1043" t="s">
        <v>32</v>
      </c>
      <c r="H396" s="1036"/>
      <c r="I396" s="1044"/>
      <c r="J396" s="1044"/>
      <c r="K396" s="1045"/>
    </row>
    <row r="397" spans="2:11" x14ac:dyDescent="0.25">
      <c r="B397" s="1750"/>
      <c r="D397" s="1740"/>
      <c r="E397" s="1747"/>
      <c r="G397" s="89" t="s">
        <v>33</v>
      </c>
      <c r="H397" s="132">
        <f>SUM(H398:H399)</f>
        <v>0</v>
      </c>
      <c r="I397" s="90"/>
      <c r="J397" s="90"/>
      <c r="K397" s="91"/>
    </row>
    <row r="398" spans="2:11" x14ac:dyDescent="0.25">
      <c r="B398" s="1750"/>
      <c r="D398" s="1740"/>
      <c r="E398" s="1747"/>
      <c r="G398" s="30" t="s">
        <v>34</v>
      </c>
      <c r="H398" s="126"/>
      <c r="I398" s="10"/>
      <c r="J398" s="10"/>
      <c r="K398" s="16"/>
    </row>
    <row r="399" spans="2:11" x14ac:dyDescent="0.25">
      <c r="B399" s="1750"/>
      <c r="D399" s="1740"/>
      <c r="E399" s="1747"/>
      <c r="G399" s="30" t="s">
        <v>35</v>
      </c>
      <c r="H399" s="126"/>
      <c r="I399" s="10"/>
      <c r="J399" s="10"/>
      <c r="K399" s="16"/>
    </row>
    <row r="400" spans="2:11" ht="15.75" thickBot="1" x14ac:dyDescent="0.3">
      <c r="B400" s="1751"/>
      <c r="D400" s="1741"/>
      <c r="E400" s="1748"/>
      <c r="G400" s="1047" t="s">
        <v>36</v>
      </c>
      <c r="H400" s="1048">
        <v>6514.5680899999998</v>
      </c>
      <c r="I400" s="1049"/>
      <c r="J400" s="1049"/>
      <c r="K400" s="1050" t="s">
        <v>1268</v>
      </c>
    </row>
    <row r="401" spans="1:11" x14ac:dyDescent="0.25">
      <c r="H401" s="4"/>
    </row>
    <row r="402" spans="1:11" ht="38.25" customHeight="1" x14ac:dyDescent="0.25">
      <c r="A402" s="83"/>
      <c r="B402" s="83"/>
      <c r="C402" s="83"/>
      <c r="D402" s="83"/>
      <c r="E402" s="83"/>
      <c r="F402" s="83"/>
      <c r="G402" s="83"/>
      <c r="H402" s="135"/>
      <c r="I402" s="83"/>
      <c r="J402" s="83"/>
      <c r="K402" s="83"/>
    </row>
    <row r="403" spans="1:11" ht="15.75" thickBot="1" x14ac:dyDescent="0.3">
      <c r="H403" s="4"/>
    </row>
    <row r="404" spans="1:11" ht="45.75" thickBot="1" x14ac:dyDescent="0.3">
      <c r="B404" s="98"/>
      <c r="D404" s="14" t="s">
        <v>147</v>
      </c>
      <c r="E404" s="84" t="s">
        <v>12</v>
      </c>
      <c r="G404" s="28" t="s">
        <v>133</v>
      </c>
      <c r="H404" s="136" t="s">
        <v>75</v>
      </c>
      <c r="I404" s="12" t="s">
        <v>134</v>
      </c>
      <c r="J404" s="12" t="s">
        <v>135</v>
      </c>
      <c r="K404" s="13" t="s">
        <v>76</v>
      </c>
    </row>
    <row r="405" spans="1:11" ht="15" customHeight="1" x14ac:dyDescent="0.25">
      <c r="B405" s="1749" t="s">
        <v>38</v>
      </c>
      <c r="D405" s="1745" t="s">
        <v>15</v>
      </c>
      <c r="E405" s="1746" t="s">
        <v>148</v>
      </c>
      <c r="G405" s="86" t="s">
        <v>39</v>
      </c>
      <c r="H405" s="131">
        <f>SUM(H406:H407)</f>
        <v>0</v>
      </c>
      <c r="I405" s="87"/>
      <c r="J405" s="87"/>
      <c r="K405" s="88"/>
    </row>
    <row r="406" spans="1:11" x14ac:dyDescent="0.25">
      <c r="B406" s="1750"/>
      <c r="D406" s="1740"/>
      <c r="E406" s="1747"/>
      <c r="G406" s="30" t="s">
        <v>40</v>
      </c>
      <c r="H406" s="126"/>
      <c r="I406" s="10"/>
      <c r="J406" s="10"/>
      <c r="K406" s="16"/>
    </row>
    <row r="407" spans="1:11" x14ac:dyDescent="0.25">
      <c r="B407" s="1750"/>
      <c r="D407" s="1740"/>
      <c r="E407" s="1747"/>
      <c r="G407" s="30" t="s">
        <v>41</v>
      </c>
      <c r="H407" s="126"/>
      <c r="I407" s="10"/>
      <c r="J407" s="10"/>
      <c r="K407" s="16"/>
    </row>
    <row r="408" spans="1:11" x14ac:dyDescent="0.25">
      <c r="B408" s="1750"/>
      <c r="D408" s="1740"/>
      <c r="E408" s="1747"/>
      <c r="G408" s="89" t="s">
        <v>161</v>
      </c>
      <c r="H408" s="132">
        <f>SUM(H409,H413)</f>
        <v>1529661.7232789313</v>
      </c>
      <c r="I408" s="90"/>
      <c r="J408" s="90"/>
      <c r="K408" s="91"/>
    </row>
    <row r="409" spans="1:11" x14ac:dyDescent="0.25">
      <c r="B409" s="1750"/>
      <c r="D409" s="1740"/>
      <c r="E409" s="1747"/>
      <c r="G409" s="89" t="s">
        <v>43</v>
      </c>
      <c r="H409" s="132">
        <f>SUM(H410:H412)</f>
        <v>1529661.7232789313</v>
      </c>
      <c r="I409" s="90"/>
      <c r="J409" s="90"/>
      <c r="K409" s="91"/>
    </row>
    <row r="410" spans="1:11" x14ac:dyDescent="0.25">
      <c r="B410" s="1750"/>
      <c r="D410" s="1740"/>
      <c r="E410" s="1747"/>
      <c r="G410" s="30" t="s">
        <v>44</v>
      </c>
      <c r="H410" s="437">
        <f>91372.372775+(H3*0.05)</f>
        <v>769541.39802696556</v>
      </c>
      <c r="I410" s="10"/>
      <c r="J410" s="10"/>
      <c r="K410" s="16"/>
    </row>
    <row r="411" spans="1:11" x14ac:dyDescent="0.25">
      <c r="B411" s="1750"/>
      <c r="D411" s="1740"/>
      <c r="E411" s="1747"/>
      <c r="G411" s="30" t="s">
        <v>45</v>
      </c>
      <c r="H411" s="126">
        <v>81951.3</v>
      </c>
      <c r="I411" s="10"/>
      <c r="J411" s="10"/>
      <c r="K411" s="16"/>
    </row>
    <row r="412" spans="1:11" x14ac:dyDescent="0.25">
      <c r="B412" s="1750"/>
      <c r="D412" s="1740"/>
      <c r="E412" s="1747"/>
      <c r="G412" s="30" t="s">
        <v>46</v>
      </c>
      <c r="H412" s="438">
        <f>H3*0.05</f>
        <v>678169.02525196562</v>
      </c>
      <c r="I412" s="10"/>
      <c r="J412" s="10"/>
      <c r="K412" s="16"/>
    </row>
    <row r="413" spans="1:11" ht="15.75" thickBot="1" x14ac:dyDescent="0.3">
      <c r="B413" s="1750"/>
      <c r="D413" s="1741"/>
      <c r="E413" s="1748"/>
      <c r="G413" s="31" t="s">
        <v>47</v>
      </c>
      <c r="H413" s="127"/>
      <c r="I413" s="15"/>
      <c r="J413" s="15"/>
      <c r="K413" s="17"/>
    </row>
    <row r="414" spans="1:11" ht="15" customHeight="1" x14ac:dyDescent="0.25">
      <c r="B414" s="1750"/>
      <c r="D414" s="1745" t="s">
        <v>16</v>
      </c>
      <c r="E414" s="1746" t="s">
        <v>149</v>
      </c>
      <c r="G414" s="86" t="s">
        <v>39</v>
      </c>
      <c r="H414" s="131">
        <f>SUM(H415:H416)</f>
        <v>21271.125914904464</v>
      </c>
      <c r="I414" s="87"/>
      <c r="J414" s="87"/>
      <c r="K414" s="88"/>
    </row>
    <row r="415" spans="1:11" ht="45" x14ac:dyDescent="0.25">
      <c r="B415" s="1750"/>
      <c r="D415" s="1740"/>
      <c r="E415" s="1747"/>
      <c r="G415" s="30" t="s">
        <v>40</v>
      </c>
      <c r="H415" s="126">
        <f>H20*95%</f>
        <v>21271.125914904464</v>
      </c>
      <c r="I415" s="10"/>
      <c r="J415" s="10"/>
      <c r="K415" s="1639" t="s">
        <v>1735</v>
      </c>
    </row>
    <row r="416" spans="1:11" x14ac:dyDescent="0.25">
      <c r="B416" s="1750"/>
      <c r="D416" s="1740"/>
      <c r="E416" s="1747"/>
      <c r="G416" s="30" t="s">
        <v>41</v>
      </c>
      <c r="H416" s="126"/>
      <c r="I416" s="10"/>
      <c r="J416" s="10"/>
      <c r="K416" s="16"/>
    </row>
    <row r="417" spans="2:11" x14ac:dyDescent="0.25">
      <c r="B417" s="1750"/>
      <c r="D417" s="1740"/>
      <c r="E417" s="1747"/>
      <c r="G417" s="89" t="s">
        <v>161</v>
      </c>
      <c r="H417" s="132">
        <f>SUM(H418,H422)</f>
        <v>54.219910499999997</v>
      </c>
      <c r="I417" s="90"/>
      <c r="J417" s="90"/>
      <c r="K417" s="91"/>
    </row>
    <row r="418" spans="2:11" x14ac:dyDescent="0.25">
      <c r="B418" s="1750"/>
      <c r="D418" s="1740"/>
      <c r="E418" s="1747"/>
      <c r="G418" s="89" t="s">
        <v>43</v>
      </c>
      <c r="H418" s="132">
        <f>SUM(H419:H421)</f>
        <v>54.219910499999997</v>
      </c>
      <c r="I418" s="90"/>
      <c r="J418" s="90"/>
      <c r="K418" s="91"/>
    </row>
    <row r="419" spans="2:11" x14ac:dyDescent="0.25">
      <c r="B419" s="1750"/>
      <c r="D419" s="1740"/>
      <c r="E419" s="1747"/>
      <c r="G419" s="30" t="s">
        <v>44</v>
      </c>
      <c r="H419" s="126">
        <f>H30*2%</f>
        <v>1.2757626</v>
      </c>
      <c r="I419" s="10"/>
      <c r="J419" s="10"/>
      <c r="K419" s="16"/>
    </row>
    <row r="420" spans="2:11" x14ac:dyDescent="0.25">
      <c r="B420" s="1750"/>
      <c r="D420" s="1740"/>
      <c r="E420" s="1747"/>
      <c r="G420" s="30" t="s">
        <v>45</v>
      </c>
      <c r="H420" s="126">
        <f>H30*3%</f>
        <v>1.9136439000000001</v>
      </c>
      <c r="I420" s="10"/>
      <c r="J420" s="10"/>
      <c r="K420" s="16"/>
    </row>
    <row r="421" spans="2:11" x14ac:dyDescent="0.25">
      <c r="B421" s="1750"/>
      <c r="D421" s="1740"/>
      <c r="E421" s="1747"/>
      <c r="G421" s="30" t="s">
        <v>46</v>
      </c>
      <c r="H421" s="126">
        <v>51.030504000000001</v>
      </c>
      <c r="I421" s="10"/>
      <c r="J421" s="10"/>
      <c r="K421" s="16"/>
    </row>
    <row r="422" spans="2:11" ht="15.75" thickBot="1" x14ac:dyDescent="0.3">
      <c r="B422" s="1750"/>
      <c r="D422" s="1741"/>
      <c r="E422" s="1748"/>
      <c r="G422" s="31" t="s">
        <v>47</v>
      </c>
      <c r="H422" s="127"/>
      <c r="I422" s="15"/>
      <c r="J422" s="15"/>
      <c r="K422" s="17"/>
    </row>
    <row r="423" spans="2:11" ht="15" customHeight="1" x14ac:dyDescent="0.25">
      <c r="B423" s="1750"/>
      <c r="D423" s="1745" t="s">
        <v>160</v>
      </c>
      <c r="E423" s="1746" t="s">
        <v>150</v>
      </c>
      <c r="G423" s="86" t="s">
        <v>39</v>
      </c>
      <c r="H423" s="131">
        <f>SUM(H424:H425)</f>
        <v>816.87563283886971</v>
      </c>
      <c r="I423" s="87"/>
      <c r="J423" s="87"/>
      <c r="K423" s="88"/>
    </row>
    <row r="424" spans="2:11" x14ac:dyDescent="0.25">
      <c r="B424" s="1750"/>
      <c r="D424" s="1740"/>
      <c r="E424" s="1747"/>
      <c r="G424" s="30" t="s">
        <v>40</v>
      </c>
      <c r="H424" s="126">
        <v>346.29059499999994</v>
      </c>
      <c r="I424" s="10"/>
      <c r="J424" s="10"/>
      <c r="K424" s="16"/>
    </row>
    <row r="425" spans="2:11" x14ac:dyDescent="0.25">
      <c r="B425" s="1750"/>
      <c r="D425" s="1740"/>
      <c r="E425" s="1747"/>
      <c r="G425" s="30" t="s">
        <v>41</v>
      </c>
      <c r="H425" s="126">
        <v>470.58503783886977</v>
      </c>
      <c r="I425" s="10"/>
      <c r="J425" s="10"/>
      <c r="K425" s="16"/>
    </row>
    <row r="426" spans="2:11" x14ac:dyDescent="0.25">
      <c r="B426" s="1750"/>
      <c r="D426" s="1740"/>
      <c r="E426" s="1747"/>
      <c r="G426" s="89" t="s">
        <v>161</v>
      </c>
      <c r="H426" s="132">
        <f>SUM(H427,H431)</f>
        <v>514699.26072578493</v>
      </c>
      <c r="I426" s="90"/>
      <c r="J426" s="90"/>
      <c r="K426" s="91"/>
    </row>
    <row r="427" spans="2:11" x14ac:dyDescent="0.25">
      <c r="B427" s="1750"/>
      <c r="D427" s="1740"/>
      <c r="E427" s="1747"/>
      <c r="G427" s="89" t="s">
        <v>43</v>
      </c>
      <c r="H427" s="132">
        <f>SUM(H428:H430)</f>
        <v>514699.26072578493</v>
      </c>
      <c r="I427" s="90"/>
      <c r="J427" s="90"/>
      <c r="K427" s="91"/>
    </row>
    <row r="428" spans="2:11" x14ac:dyDescent="0.25">
      <c r="B428" s="1750"/>
      <c r="D428" s="1740"/>
      <c r="E428" s="1747"/>
      <c r="G428" s="30" t="s">
        <v>44</v>
      </c>
      <c r="H428" s="126">
        <v>514526.07285221177</v>
      </c>
      <c r="I428" s="10"/>
      <c r="J428" s="10"/>
      <c r="K428" s="16"/>
    </row>
    <row r="429" spans="2:11" x14ac:dyDescent="0.25">
      <c r="B429" s="1750"/>
      <c r="D429" s="1740"/>
      <c r="E429" s="1747"/>
      <c r="G429" s="30" t="s">
        <v>45</v>
      </c>
      <c r="H429" s="126">
        <v>166.95464286320009</v>
      </c>
      <c r="I429" s="10"/>
      <c r="J429" s="10"/>
      <c r="K429" s="16"/>
    </row>
    <row r="430" spans="2:11" x14ac:dyDescent="0.25">
      <c r="B430" s="1750"/>
      <c r="D430" s="1740"/>
      <c r="E430" s="1747"/>
      <c r="G430" s="30" t="s">
        <v>46</v>
      </c>
      <c r="H430" s="126">
        <v>6.2332307099999991</v>
      </c>
      <c r="I430" s="10"/>
      <c r="J430" s="10"/>
      <c r="K430" s="16"/>
    </row>
    <row r="431" spans="2:11" ht="15.75" thickBot="1" x14ac:dyDescent="0.3">
      <c r="B431" s="1750"/>
      <c r="D431" s="1741"/>
      <c r="E431" s="1748"/>
      <c r="G431" s="31" t="s">
        <v>47</v>
      </c>
      <c r="H431" s="127"/>
      <c r="I431" s="15"/>
      <c r="J431" s="15"/>
      <c r="K431" s="17"/>
    </row>
    <row r="432" spans="2:11" ht="15" customHeight="1" x14ac:dyDescent="0.25">
      <c r="B432" s="1750"/>
      <c r="D432" s="1739">
        <v>35</v>
      </c>
      <c r="E432" s="1746" t="s">
        <v>151</v>
      </c>
      <c r="G432" s="86" t="s">
        <v>39</v>
      </c>
      <c r="H432" s="131">
        <f>SUM(H433:H434)</f>
        <v>0</v>
      </c>
      <c r="I432" s="87"/>
      <c r="J432" s="87"/>
      <c r="K432" s="88"/>
    </row>
    <row r="433" spans="2:11" x14ac:dyDescent="0.25">
      <c r="B433" s="1750"/>
      <c r="D433" s="1740"/>
      <c r="E433" s="1747"/>
      <c r="G433" s="30" t="s">
        <v>40</v>
      </c>
      <c r="H433" s="126"/>
      <c r="I433" s="10"/>
      <c r="J433" s="10"/>
      <c r="K433" s="16"/>
    </row>
    <row r="434" spans="2:11" x14ac:dyDescent="0.25">
      <c r="B434" s="1750"/>
      <c r="D434" s="1740"/>
      <c r="E434" s="1747"/>
      <c r="G434" s="30" t="s">
        <v>41</v>
      </c>
      <c r="H434" s="126"/>
      <c r="I434" s="10"/>
      <c r="J434" s="10"/>
      <c r="K434" s="16"/>
    </row>
    <row r="435" spans="2:11" x14ac:dyDescent="0.25">
      <c r="B435" s="1750"/>
      <c r="D435" s="1740"/>
      <c r="E435" s="1747"/>
      <c r="G435" s="89" t="s">
        <v>161</v>
      </c>
      <c r="H435" s="132">
        <f>SUM(H436,H440)</f>
        <v>318506.66045111854</v>
      </c>
      <c r="I435" s="90"/>
      <c r="J435" s="90"/>
      <c r="K435" s="91"/>
    </row>
    <row r="436" spans="2:11" x14ac:dyDescent="0.25">
      <c r="B436" s="1750"/>
      <c r="D436" s="1740"/>
      <c r="E436" s="1747"/>
      <c r="G436" s="89" t="s">
        <v>43</v>
      </c>
      <c r="H436" s="132">
        <f>SUM(H437:H439)</f>
        <v>318506.66045111854</v>
      </c>
      <c r="I436" s="90"/>
      <c r="J436" s="90"/>
      <c r="K436" s="91"/>
    </row>
    <row r="437" spans="2:11" x14ac:dyDescent="0.25">
      <c r="B437" s="1750"/>
      <c r="D437" s="1740"/>
      <c r="E437" s="1747"/>
      <c r="G437" s="30" t="s">
        <v>44</v>
      </c>
      <c r="H437" s="1034">
        <f>SUM(H61)*95%</f>
        <v>318506.66045111854</v>
      </c>
      <c r="I437" s="10"/>
      <c r="J437" s="10"/>
      <c r="K437" s="16" t="s">
        <v>1523</v>
      </c>
    </row>
    <row r="438" spans="2:11" x14ac:dyDescent="0.25">
      <c r="B438" s="1750"/>
      <c r="D438" s="1740"/>
      <c r="E438" s="1747"/>
      <c r="G438" s="30" t="s">
        <v>45</v>
      </c>
      <c r="H438" s="126"/>
      <c r="I438" s="10"/>
      <c r="J438" s="10"/>
      <c r="K438" s="16"/>
    </row>
    <row r="439" spans="2:11" x14ac:dyDescent="0.25">
      <c r="B439" s="1750"/>
      <c r="D439" s="1740"/>
      <c r="E439" s="1747"/>
      <c r="G439" s="30" t="s">
        <v>46</v>
      </c>
      <c r="H439" s="126"/>
      <c r="I439" s="10"/>
      <c r="J439" s="10"/>
      <c r="K439" s="16"/>
    </row>
    <row r="440" spans="2:11" ht="15.75" thickBot="1" x14ac:dyDescent="0.3">
      <c r="B440" s="1750"/>
      <c r="D440" s="1741"/>
      <c r="E440" s="1748"/>
      <c r="G440" s="31" t="s">
        <v>47</v>
      </c>
      <c r="H440" s="127"/>
      <c r="I440" s="15"/>
      <c r="J440" s="15"/>
      <c r="K440" s="17"/>
    </row>
    <row r="441" spans="2:11" ht="15" customHeight="1" x14ac:dyDescent="0.25">
      <c r="B441" s="1750"/>
      <c r="D441" s="1745" t="s">
        <v>18</v>
      </c>
      <c r="E441" s="1746" t="s">
        <v>152</v>
      </c>
      <c r="G441" s="86" t="s">
        <v>39</v>
      </c>
      <c r="H441" s="131">
        <f>SUM(H442:H443)</f>
        <v>0</v>
      </c>
      <c r="I441" s="87"/>
      <c r="J441" s="87"/>
      <c r="K441" s="88"/>
    </row>
    <row r="442" spans="2:11" x14ac:dyDescent="0.25">
      <c r="B442" s="1750"/>
      <c r="D442" s="1740"/>
      <c r="E442" s="1747"/>
      <c r="G442" s="30" t="s">
        <v>40</v>
      </c>
      <c r="H442" s="126"/>
      <c r="I442" s="10"/>
      <c r="J442" s="10"/>
      <c r="K442" s="16"/>
    </row>
    <row r="443" spans="2:11" x14ac:dyDescent="0.25">
      <c r="B443" s="1750"/>
      <c r="D443" s="1740"/>
      <c r="E443" s="1747"/>
      <c r="G443" s="30" t="s">
        <v>41</v>
      </c>
      <c r="H443" s="126"/>
      <c r="I443" s="10"/>
      <c r="J443" s="10"/>
      <c r="K443" s="16"/>
    </row>
    <row r="444" spans="2:11" x14ac:dyDescent="0.25">
      <c r="B444" s="1750"/>
      <c r="D444" s="1740"/>
      <c r="E444" s="1747"/>
      <c r="G444" s="89" t="s">
        <v>161</v>
      </c>
      <c r="H444" s="132">
        <f>SUM(H445,H449)</f>
        <v>2570.3302400000002</v>
      </c>
      <c r="I444" s="90"/>
      <c r="J444" s="90"/>
      <c r="K444" s="91"/>
    </row>
    <row r="445" spans="2:11" x14ac:dyDescent="0.25">
      <c r="B445" s="1750"/>
      <c r="D445" s="1740"/>
      <c r="E445" s="1747"/>
      <c r="G445" s="89" t="s">
        <v>43</v>
      </c>
      <c r="H445" s="132">
        <f>SUM(H446:H448)</f>
        <v>2570.3302400000002</v>
      </c>
      <c r="I445" s="90"/>
      <c r="J445" s="90"/>
      <c r="K445" s="91"/>
    </row>
    <row r="446" spans="2:11" x14ac:dyDescent="0.25">
      <c r="B446" s="1750"/>
      <c r="D446" s="1740"/>
      <c r="E446" s="1747"/>
      <c r="G446" s="30" t="s">
        <v>44</v>
      </c>
      <c r="H446" s="126">
        <v>2570.3302400000002</v>
      </c>
      <c r="I446" s="10"/>
      <c r="J446" s="10"/>
      <c r="K446" s="16"/>
    </row>
    <row r="447" spans="2:11" x14ac:dyDescent="0.25">
      <c r="B447" s="1750"/>
      <c r="D447" s="1740"/>
      <c r="E447" s="1747"/>
      <c r="G447" s="30" t="s">
        <v>45</v>
      </c>
      <c r="H447" s="126"/>
      <c r="I447" s="10"/>
      <c r="J447" s="10"/>
      <c r="K447" s="16"/>
    </row>
    <row r="448" spans="2:11" x14ac:dyDescent="0.25">
      <c r="B448" s="1750"/>
      <c r="D448" s="1740"/>
      <c r="E448" s="1747"/>
      <c r="G448" s="30" t="s">
        <v>46</v>
      </c>
      <c r="H448" s="126"/>
      <c r="I448" s="10"/>
      <c r="J448" s="10"/>
      <c r="K448" s="16"/>
    </row>
    <row r="449" spans="2:11" ht="15.75" thickBot="1" x14ac:dyDescent="0.3">
      <c r="B449" s="1750"/>
      <c r="D449" s="1741"/>
      <c r="E449" s="1748"/>
      <c r="G449" s="31" t="s">
        <v>47</v>
      </c>
      <c r="H449" s="127"/>
      <c r="I449" s="15"/>
      <c r="J449" s="15"/>
      <c r="K449" s="17"/>
    </row>
    <row r="450" spans="2:11" ht="15" customHeight="1" x14ac:dyDescent="0.25">
      <c r="B450" s="1750"/>
      <c r="D450" s="1745"/>
      <c r="E450" s="1742" t="s">
        <v>643</v>
      </c>
      <c r="G450" s="86" t="s">
        <v>39</v>
      </c>
      <c r="H450" s="131">
        <f>SUM(H451:H452)</f>
        <v>0</v>
      </c>
      <c r="I450" s="87"/>
      <c r="J450" s="87"/>
      <c r="K450" s="88"/>
    </row>
    <row r="451" spans="2:11" x14ac:dyDescent="0.25">
      <c r="B451" s="1750"/>
      <c r="D451" s="1740"/>
      <c r="E451" s="1743"/>
      <c r="G451" s="30" t="s">
        <v>40</v>
      </c>
      <c r="H451" s="126"/>
      <c r="I451" s="10"/>
      <c r="J451" s="10"/>
      <c r="K451" s="16"/>
    </row>
    <row r="452" spans="2:11" x14ac:dyDescent="0.25">
      <c r="B452" s="1750"/>
      <c r="D452" s="1740"/>
      <c r="E452" s="1743"/>
      <c r="G452" s="30" t="s">
        <v>41</v>
      </c>
      <c r="H452" s="126"/>
      <c r="I452" s="10"/>
      <c r="J452" s="10"/>
      <c r="K452" s="16"/>
    </row>
    <row r="453" spans="2:11" x14ac:dyDescent="0.25">
      <c r="B453" s="1750"/>
      <c r="D453" s="1740"/>
      <c r="E453" s="1743"/>
      <c r="G453" s="89" t="s">
        <v>161</v>
      </c>
      <c r="H453" s="132">
        <f>SUM(H454,H458)</f>
        <v>0</v>
      </c>
      <c r="I453" s="90"/>
      <c r="J453" s="90"/>
      <c r="K453" s="91"/>
    </row>
    <row r="454" spans="2:11" x14ac:dyDescent="0.25">
      <c r="B454" s="1750"/>
      <c r="D454" s="1740"/>
      <c r="E454" s="1743"/>
      <c r="G454" s="89" t="s">
        <v>43</v>
      </c>
      <c r="H454" s="132">
        <f>SUM(H455:H457)</f>
        <v>0</v>
      </c>
      <c r="I454" s="90"/>
      <c r="J454" s="90"/>
      <c r="K454" s="91"/>
    </row>
    <row r="455" spans="2:11" x14ac:dyDescent="0.25">
      <c r="B455" s="1750"/>
      <c r="D455" s="1740"/>
      <c r="E455" s="1743"/>
      <c r="G455" s="30" t="s">
        <v>44</v>
      </c>
      <c r="H455" s="126"/>
      <c r="I455" s="10"/>
      <c r="J455" s="10"/>
      <c r="K455" s="16"/>
    </row>
    <row r="456" spans="2:11" x14ac:dyDescent="0.25">
      <c r="B456" s="1750"/>
      <c r="D456" s="1740"/>
      <c r="E456" s="1743"/>
      <c r="G456" s="30" t="s">
        <v>45</v>
      </c>
      <c r="H456" s="126"/>
      <c r="I456" s="10"/>
      <c r="J456" s="10"/>
      <c r="K456" s="16"/>
    </row>
    <row r="457" spans="2:11" x14ac:dyDescent="0.25">
      <c r="B457" s="1750"/>
      <c r="D457" s="1740"/>
      <c r="E457" s="1743"/>
      <c r="G457" s="30" t="s">
        <v>46</v>
      </c>
      <c r="H457" s="126"/>
      <c r="I457" s="10"/>
      <c r="J457" s="10"/>
      <c r="K457" s="16"/>
    </row>
    <row r="458" spans="2:11" ht="15.75" thickBot="1" x14ac:dyDescent="0.3">
      <c r="B458" s="1750"/>
      <c r="D458" s="1741"/>
      <c r="E458" s="1744"/>
      <c r="G458" s="31" t="s">
        <v>47</v>
      </c>
      <c r="H458" s="127"/>
      <c r="I458" s="15"/>
      <c r="J458" s="15"/>
      <c r="K458" s="17"/>
    </row>
    <row r="459" spans="2:11" ht="15" customHeight="1" x14ac:dyDescent="0.25">
      <c r="B459" s="1750"/>
      <c r="D459" s="1745"/>
      <c r="E459" s="1742" t="s">
        <v>644</v>
      </c>
      <c r="G459" s="86" t="s">
        <v>39</v>
      </c>
      <c r="H459" s="131">
        <f>SUM(H460:H461)</f>
        <v>0</v>
      </c>
      <c r="I459" s="87"/>
      <c r="J459" s="87"/>
      <c r="K459" s="88"/>
    </row>
    <row r="460" spans="2:11" x14ac:dyDescent="0.25">
      <c r="B460" s="1750"/>
      <c r="D460" s="1740"/>
      <c r="E460" s="1743"/>
      <c r="G460" s="30" t="s">
        <v>40</v>
      </c>
      <c r="H460" s="126"/>
      <c r="I460" s="10"/>
      <c r="J460" s="10"/>
      <c r="K460" s="16"/>
    </row>
    <row r="461" spans="2:11" x14ac:dyDescent="0.25">
      <c r="B461" s="1750"/>
      <c r="D461" s="1740"/>
      <c r="E461" s="1743"/>
      <c r="G461" s="30" t="s">
        <v>41</v>
      </c>
      <c r="H461" s="126"/>
      <c r="I461" s="10"/>
      <c r="J461" s="10"/>
      <c r="K461" s="16"/>
    </row>
    <row r="462" spans="2:11" x14ac:dyDescent="0.25">
      <c r="B462" s="1750"/>
      <c r="D462" s="1740"/>
      <c r="E462" s="1743"/>
      <c r="G462" s="89" t="s">
        <v>161</v>
      </c>
      <c r="H462" s="132">
        <f>SUM(H463,H467)</f>
        <v>0</v>
      </c>
      <c r="I462" s="90"/>
      <c r="J462" s="90"/>
      <c r="K462" s="91"/>
    </row>
    <row r="463" spans="2:11" x14ac:dyDescent="0.25">
      <c r="B463" s="1750"/>
      <c r="D463" s="1740"/>
      <c r="E463" s="1743"/>
      <c r="G463" s="89" t="s">
        <v>43</v>
      </c>
      <c r="H463" s="132">
        <f>SUM(H464:H466)</f>
        <v>0</v>
      </c>
      <c r="I463" s="90"/>
      <c r="J463" s="90"/>
      <c r="K463" s="91"/>
    </row>
    <row r="464" spans="2:11" x14ac:dyDescent="0.25">
      <c r="B464" s="1750"/>
      <c r="D464" s="1740"/>
      <c r="E464" s="1743"/>
      <c r="G464" s="30" t="s">
        <v>44</v>
      </c>
      <c r="H464" s="126"/>
      <c r="I464" s="10"/>
      <c r="J464" s="10"/>
      <c r="K464" s="16"/>
    </row>
    <row r="465" spans="2:11" x14ac:dyDescent="0.25">
      <c r="B465" s="1750"/>
      <c r="D465" s="1740"/>
      <c r="E465" s="1743"/>
      <c r="G465" s="30" t="s">
        <v>45</v>
      </c>
      <c r="H465" s="126"/>
      <c r="I465" s="10"/>
      <c r="J465" s="10"/>
      <c r="K465" s="16"/>
    </row>
    <row r="466" spans="2:11" x14ac:dyDescent="0.25">
      <c r="B466" s="1750"/>
      <c r="D466" s="1740"/>
      <c r="E466" s="1743"/>
      <c r="G466" s="30" t="s">
        <v>46</v>
      </c>
      <c r="H466" s="126"/>
      <c r="I466" s="10"/>
      <c r="J466" s="10"/>
      <c r="K466" s="16"/>
    </row>
    <row r="467" spans="2:11" ht="15.75" thickBot="1" x14ac:dyDescent="0.3">
      <c r="B467" s="1750"/>
      <c r="D467" s="1741"/>
      <c r="E467" s="1744"/>
      <c r="G467" s="31" t="s">
        <v>47</v>
      </c>
      <c r="H467" s="127"/>
      <c r="I467" s="15"/>
      <c r="J467" s="15"/>
      <c r="K467" s="17"/>
    </row>
    <row r="468" spans="2:11" ht="15" customHeight="1" x14ac:dyDescent="0.25">
      <c r="B468" s="1750"/>
      <c r="D468" s="1745"/>
      <c r="E468" s="1742" t="s">
        <v>645</v>
      </c>
      <c r="G468" s="86" t="s">
        <v>39</v>
      </c>
      <c r="H468" s="131">
        <f>SUM(H469:H470)</f>
        <v>0</v>
      </c>
      <c r="I468" s="87"/>
      <c r="J468" s="87"/>
      <c r="K468" s="88"/>
    </row>
    <row r="469" spans="2:11" x14ac:dyDescent="0.25">
      <c r="B469" s="1750"/>
      <c r="D469" s="1740"/>
      <c r="E469" s="1743"/>
      <c r="G469" s="30" t="s">
        <v>40</v>
      </c>
      <c r="H469" s="126"/>
      <c r="I469" s="10"/>
      <c r="J469" s="10"/>
      <c r="K469" s="16"/>
    </row>
    <row r="470" spans="2:11" x14ac:dyDescent="0.25">
      <c r="B470" s="1750"/>
      <c r="D470" s="1740"/>
      <c r="E470" s="1743"/>
      <c r="G470" s="30" t="s">
        <v>41</v>
      </c>
      <c r="H470" s="126"/>
      <c r="I470" s="10"/>
      <c r="J470" s="10"/>
      <c r="K470" s="16"/>
    </row>
    <row r="471" spans="2:11" x14ac:dyDescent="0.25">
      <c r="B471" s="1750"/>
      <c r="D471" s="1740"/>
      <c r="E471" s="1743"/>
      <c r="G471" s="89" t="s">
        <v>161</v>
      </c>
      <c r="H471" s="132">
        <f>SUM(H472,H476)</f>
        <v>0</v>
      </c>
      <c r="I471" s="90"/>
      <c r="J471" s="90"/>
      <c r="K471" s="91"/>
    </row>
    <row r="472" spans="2:11" x14ac:dyDescent="0.25">
      <c r="B472" s="1750"/>
      <c r="D472" s="1740"/>
      <c r="E472" s="1743"/>
      <c r="G472" s="89" t="s">
        <v>43</v>
      </c>
      <c r="H472" s="132">
        <f>SUM(H473:H475)</f>
        <v>0</v>
      </c>
      <c r="I472" s="90"/>
      <c r="J472" s="90"/>
      <c r="K472" s="91"/>
    </row>
    <row r="473" spans="2:11" x14ac:dyDescent="0.25">
      <c r="B473" s="1750"/>
      <c r="D473" s="1740"/>
      <c r="E473" s="1743"/>
      <c r="G473" s="30" t="s">
        <v>44</v>
      </c>
      <c r="H473" s="126"/>
      <c r="I473" s="10"/>
      <c r="J473" s="10"/>
      <c r="K473" s="16"/>
    </row>
    <row r="474" spans="2:11" x14ac:dyDescent="0.25">
      <c r="B474" s="1750"/>
      <c r="D474" s="1740"/>
      <c r="E474" s="1743"/>
      <c r="G474" s="30" t="s">
        <v>45</v>
      </c>
      <c r="H474" s="126"/>
      <c r="I474" s="10"/>
      <c r="J474" s="10"/>
      <c r="K474" s="16"/>
    </row>
    <row r="475" spans="2:11" x14ac:dyDescent="0.25">
      <c r="B475" s="1750"/>
      <c r="D475" s="1740"/>
      <c r="E475" s="1743"/>
      <c r="G475" s="30" t="s">
        <v>46</v>
      </c>
      <c r="H475" s="126"/>
      <c r="I475" s="10"/>
      <c r="J475" s="10"/>
      <c r="K475" s="16"/>
    </row>
    <row r="476" spans="2:11" ht="15.75" thickBot="1" x14ac:dyDescent="0.3">
      <c r="B476" s="1750"/>
      <c r="D476" s="1741"/>
      <c r="E476" s="1744"/>
      <c r="G476" s="31" t="s">
        <v>47</v>
      </c>
      <c r="H476" s="127"/>
      <c r="I476" s="15"/>
      <c r="J476" s="15"/>
      <c r="K476" s="17"/>
    </row>
    <row r="477" spans="2:11" ht="15" customHeight="1" x14ac:dyDescent="0.25">
      <c r="B477" s="1750"/>
      <c r="D477" s="1745" t="s">
        <v>19</v>
      </c>
      <c r="E477" s="1746" t="s">
        <v>153</v>
      </c>
      <c r="G477" s="86" t="s">
        <v>39</v>
      </c>
      <c r="H477" s="131">
        <f>SUM(H478:H479)</f>
        <v>12671.183667903779</v>
      </c>
      <c r="I477" s="87"/>
      <c r="J477" s="87"/>
      <c r="K477" s="88"/>
    </row>
    <row r="478" spans="2:11" x14ac:dyDescent="0.25">
      <c r="B478" s="1750"/>
      <c r="D478" s="1740"/>
      <c r="E478" s="1747"/>
      <c r="G478" s="30" t="s">
        <v>40</v>
      </c>
      <c r="H478" s="126">
        <v>12671.183667903779</v>
      </c>
      <c r="I478" s="10"/>
      <c r="J478" s="10"/>
      <c r="K478" s="16"/>
    </row>
    <row r="479" spans="2:11" x14ac:dyDescent="0.25">
      <c r="B479" s="1750"/>
      <c r="D479" s="1740"/>
      <c r="E479" s="1747"/>
      <c r="G479" s="30" t="s">
        <v>41</v>
      </c>
      <c r="H479" s="126"/>
      <c r="I479" s="10"/>
      <c r="J479" s="10"/>
      <c r="K479" s="16"/>
    </row>
    <row r="480" spans="2:11" x14ac:dyDescent="0.25">
      <c r="B480" s="1750"/>
      <c r="D480" s="1740"/>
      <c r="E480" s="1747"/>
      <c r="G480" s="89" t="s">
        <v>161</v>
      </c>
      <c r="H480" s="132">
        <f>SUM(H481,H485)</f>
        <v>301.01142363711335</v>
      </c>
      <c r="I480" s="90"/>
      <c r="J480" s="90"/>
      <c r="K480" s="91"/>
    </row>
    <row r="481" spans="2:11" x14ac:dyDescent="0.25">
      <c r="B481" s="1750"/>
      <c r="D481" s="1740"/>
      <c r="E481" s="1747"/>
      <c r="G481" s="89" t="s">
        <v>43</v>
      </c>
      <c r="H481" s="132">
        <f>SUM(H482:H484)</f>
        <v>301.01142363711335</v>
      </c>
      <c r="I481" s="90"/>
      <c r="J481" s="90"/>
      <c r="K481" s="91"/>
    </row>
    <row r="482" spans="2:11" x14ac:dyDescent="0.25">
      <c r="B482" s="1750"/>
      <c r="D482" s="1740"/>
      <c r="E482" s="1747"/>
      <c r="G482" s="30" t="s">
        <v>44</v>
      </c>
      <c r="H482" s="126">
        <v>159.09130227903779</v>
      </c>
      <c r="I482" s="10"/>
      <c r="J482" s="10"/>
      <c r="K482" s="16"/>
    </row>
    <row r="483" spans="2:11" x14ac:dyDescent="0.25">
      <c r="B483" s="1750"/>
      <c r="D483" s="1740"/>
      <c r="E483" s="1747"/>
      <c r="G483" s="30" t="s">
        <v>45</v>
      </c>
      <c r="H483" s="126"/>
      <c r="I483" s="10"/>
      <c r="J483" s="10"/>
      <c r="K483" s="16"/>
    </row>
    <row r="484" spans="2:11" x14ac:dyDescent="0.25">
      <c r="B484" s="1750"/>
      <c r="D484" s="1740"/>
      <c r="E484" s="1747"/>
      <c r="G484" s="30" t="s">
        <v>46</v>
      </c>
      <c r="H484" s="126">
        <v>141.92012135807559</v>
      </c>
      <c r="I484" s="10"/>
      <c r="J484" s="10"/>
      <c r="K484" s="16"/>
    </row>
    <row r="485" spans="2:11" ht="15.75" thickBot="1" x14ac:dyDescent="0.3">
      <c r="B485" s="1750"/>
      <c r="D485" s="1741"/>
      <c r="E485" s="1748"/>
      <c r="G485" s="31" t="s">
        <v>47</v>
      </c>
      <c r="H485" s="127"/>
      <c r="I485" s="15"/>
      <c r="J485" s="15"/>
      <c r="K485" s="17"/>
    </row>
    <row r="486" spans="2:11" ht="15" customHeight="1" x14ac:dyDescent="0.25">
      <c r="B486" s="1750"/>
      <c r="D486" s="1745"/>
      <c r="E486" s="1742" t="s">
        <v>646</v>
      </c>
      <c r="G486" s="86" t="s">
        <v>39</v>
      </c>
      <c r="H486" s="131">
        <f>SUM(H487:H488)</f>
        <v>0</v>
      </c>
      <c r="I486" s="87"/>
      <c r="J486" s="87"/>
      <c r="K486" s="88"/>
    </row>
    <row r="487" spans="2:11" x14ac:dyDescent="0.25">
      <c r="B487" s="1750"/>
      <c r="D487" s="1740"/>
      <c r="E487" s="1743"/>
      <c r="G487" s="30" t="s">
        <v>40</v>
      </c>
      <c r="H487" s="126"/>
      <c r="I487" s="10"/>
      <c r="J487" s="10"/>
      <c r="K487" s="16"/>
    </row>
    <row r="488" spans="2:11" x14ac:dyDescent="0.25">
      <c r="B488" s="1750"/>
      <c r="D488" s="1740"/>
      <c r="E488" s="1743"/>
      <c r="G488" s="30" t="s">
        <v>41</v>
      </c>
      <c r="H488" s="126"/>
      <c r="I488" s="10"/>
      <c r="J488" s="10"/>
      <c r="K488" s="16"/>
    </row>
    <row r="489" spans="2:11" x14ac:dyDescent="0.25">
      <c r="B489" s="1750"/>
      <c r="D489" s="1740"/>
      <c r="E489" s="1743"/>
      <c r="G489" s="89" t="s">
        <v>161</v>
      </c>
      <c r="H489" s="132">
        <f>SUM(H490,H494)</f>
        <v>0</v>
      </c>
      <c r="I489" s="90"/>
      <c r="J489" s="90"/>
      <c r="K489" s="91"/>
    </row>
    <row r="490" spans="2:11" x14ac:dyDescent="0.25">
      <c r="B490" s="1750"/>
      <c r="D490" s="1740"/>
      <c r="E490" s="1743"/>
      <c r="G490" s="89" t="s">
        <v>43</v>
      </c>
      <c r="H490" s="132">
        <f>SUM(H491:H493)</f>
        <v>0</v>
      </c>
      <c r="I490" s="90"/>
      <c r="J490" s="90"/>
      <c r="K490" s="91"/>
    </row>
    <row r="491" spans="2:11" x14ac:dyDescent="0.25">
      <c r="B491" s="1750"/>
      <c r="D491" s="1740"/>
      <c r="E491" s="1743"/>
      <c r="G491" s="30" t="s">
        <v>44</v>
      </c>
      <c r="H491" s="126"/>
      <c r="I491" s="10"/>
      <c r="J491" s="10"/>
      <c r="K491" s="16"/>
    </row>
    <row r="492" spans="2:11" x14ac:dyDescent="0.25">
      <c r="B492" s="1750"/>
      <c r="D492" s="1740"/>
      <c r="E492" s="1743"/>
      <c r="G492" s="30" t="s">
        <v>45</v>
      </c>
      <c r="H492" s="126"/>
      <c r="I492" s="10"/>
      <c r="J492" s="10"/>
      <c r="K492" s="16"/>
    </row>
    <row r="493" spans="2:11" x14ac:dyDescent="0.25">
      <c r="B493" s="1750"/>
      <c r="D493" s="1740"/>
      <c r="E493" s="1743"/>
      <c r="G493" s="30" t="s">
        <v>46</v>
      </c>
      <c r="H493" s="126"/>
      <c r="I493" s="10"/>
      <c r="J493" s="10"/>
      <c r="K493" s="16"/>
    </row>
    <row r="494" spans="2:11" ht="15.75" thickBot="1" x14ac:dyDescent="0.3">
      <c r="B494" s="1750"/>
      <c r="D494" s="1741"/>
      <c r="E494" s="1744"/>
      <c r="G494" s="31" t="s">
        <v>47</v>
      </c>
      <c r="H494" s="127"/>
      <c r="I494" s="15"/>
      <c r="J494" s="15"/>
      <c r="K494" s="17"/>
    </row>
    <row r="495" spans="2:11" ht="15" customHeight="1" x14ac:dyDescent="0.25">
      <c r="B495" s="1750"/>
      <c r="D495" s="1745" t="s">
        <v>20</v>
      </c>
      <c r="E495" s="1746" t="s">
        <v>154</v>
      </c>
      <c r="G495" s="86" t="s">
        <v>39</v>
      </c>
      <c r="H495" s="131">
        <f>SUM(H496:H497)</f>
        <v>5.6106036082474233</v>
      </c>
      <c r="I495" s="87"/>
      <c r="J495" s="87"/>
      <c r="K495" s="88"/>
    </row>
    <row r="496" spans="2:11" x14ac:dyDescent="0.25">
      <c r="B496" s="1750"/>
      <c r="D496" s="1740"/>
      <c r="E496" s="1747"/>
      <c r="G496" s="30" t="s">
        <v>40</v>
      </c>
      <c r="H496" s="126">
        <v>2.3110416666666667</v>
      </c>
      <c r="I496" s="10"/>
      <c r="J496" s="10"/>
      <c r="K496" s="16"/>
    </row>
    <row r="497" spans="2:11" x14ac:dyDescent="0.25">
      <c r="B497" s="1750"/>
      <c r="D497" s="1740"/>
      <c r="E497" s="1747"/>
      <c r="G497" s="30" t="s">
        <v>41</v>
      </c>
      <c r="H497" s="126">
        <v>3.2995619415807562</v>
      </c>
      <c r="I497" s="10"/>
      <c r="J497" s="10"/>
      <c r="K497" s="16"/>
    </row>
    <row r="498" spans="2:11" x14ac:dyDescent="0.25">
      <c r="B498" s="1750"/>
      <c r="D498" s="1740"/>
      <c r="E498" s="1747"/>
      <c r="G498" s="89" t="s">
        <v>161</v>
      </c>
      <c r="H498" s="132">
        <f>SUM(H499,H503)</f>
        <v>56.868619657611163</v>
      </c>
      <c r="I498" s="90"/>
      <c r="J498" s="90"/>
      <c r="K498" s="91"/>
    </row>
    <row r="499" spans="2:11" x14ac:dyDescent="0.25">
      <c r="B499" s="1750"/>
      <c r="D499" s="1740"/>
      <c r="E499" s="1747"/>
      <c r="G499" s="89" t="s">
        <v>43</v>
      </c>
      <c r="H499" s="132">
        <f>SUM(H500:H502)</f>
        <v>56.868619657611163</v>
      </c>
      <c r="I499" s="90"/>
      <c r="J499" s="90"/>
      <c r="K499" s="91"/>
    </row>
    <row r="500" spans="2:11" x14ac:dyDescent="0.25">
      <c r="B500" s="1750"/>
      <c r="D500" s="1740"/>
      <c r="E500" s="1747"/>
      <c r="G500" s="30" t="s">
        <v>44</v>
      </c>
      <c r="H500" s="126">
        <v>46.976258591065296</v>
      </c>
      <c r="I500" s="10"/>
      <c r="J500" s="10"/>
      <c r="K500" s="16"/>
    </row>
    <row r="501" spans="2:11" x14ac:dyDescent="0.25">
      <c r="B501" s="1750"/>
      <c r="D501" s="1740"/>
      <c r="E501" s="1747"/>
      <c r="G501" s="30" t="s">
        <v>45</v>
      </c>
      <c r="H501" s="126">
        <v>4.7351202749140899</v>
      </c>
      <c r="I501" s="10"/>
      <c r="J501" s="10"/>
      <c r="K501" s="16"/>
    </row>
    <row r="502" spans="2:11" x14ac:dyDescent="0.25">
      <c r="B502" s="1750"/>
      <c r="D502" s="1740"/>
      <c r="E502" s="1747"/>
      <c r="G502" s="30" t="s">
        <v>46</v>
      </c>
      <c r="H502" s="126">
        <v>5.1572407916317804</v>
      </c>
      <c r="I502" s="10"/>
      <c r="J502" s="10"/>
      <c r="K502" s="16"/>
    </row>
    <row r="503" spans="2:11" ht="15.75" thickBot="1" x14ac:dyDescent="0.3">
      <c r="B503" s="1750"/>
      <c r="D503" s="1741"/>
      <c r="E503" s="1748"/>
      <c r="G503" s="31" t="s">
        <v>47</v>
      </c>
      <c r="H503" s="127"/>
      <c r="I503" s="15"/>
      <c r="J503" s="15"/>
      <c r="K503" s="17"/>
    </row>
    <row r="504" spans="2:11" ht="15" customHeight="1" x14ac:dyDescent="0.25">
      <c r="B504" s="1750"/>
      <c r="D504" s="1745"/>
      <c r="E504" s="1742" t="s">
        <v>647</v>
      </c>
      <c r="G504" s="86" t="s">
        <v>39</v>
      </c>
      <c r="H504" s="131">
        <f>SUM(H505:H506)</f>
        <v>0</v>
      </c>
      <c r="I504" s="87"/>
      <c r="J504" s="87"/>
      <c r="K504" s="88"/>
    </row>
    <row r="505" spans="2:11" x14ac:dyDescent="0.25">
      <c r="B505" s="1750"/>
      <c r="D505" s="1740"/>
      <c r="E505" s="1743"/>
      <c r="G505" s="30" t="s">
        <v>40</v>
      </c>
      <c r="H505" s="126"/>
      <c r="I505" s="10"/>
      <c r="J505" s="10"/>
      <c r="K505" s="16"/>
    </row>
    <row r="506" spans="2:11" x14ac:dyDescent="0.25">
      <c r="B506" s="1750"/>
      <c r="D506" s="1740"/>
      <c r="E506" s="1743"/>
      <c r="G506" s="30" t="s">
        <v>41</v>
      </c>
      <c r="H506" s="126"/>
      <c r="I506" s="10"/>
      <c r="J506" s="10"/>
      <c r="K506" s="16"/>
    </row>
    <row r="507" spans="2:11" x14ac:dyDescent="0.25">
      <c r="B507" s="1750"/>
      <c r="D507" s="1740"/>
      <c r="E507" s="1743"/>
      <c r="G507" s="89" t="s">
        <v>161</v>
      </c>
      <c r="H507" s="132">
        <f>SUM(H508,H512)</f>
        <v>0</v>
      </c>
      <c r="I507" s="90"/>
      <c r="J507" s="90"/>
      <c r="K507" s="91"/>
    </row>
    <row r="508" spans="2:11" x14ac:dyDescent="0.25">
      <c r="B508" s="1750"/>
      <c r="D508" s="1740"/>
      <c r="E508" s="1743"/>
      <c r="G508" s="89" t="s">
        <v>43</v>
      </c>
      <c r="H508" s="132">
        <f>SUM(H509:H511)</f>
        <v>0</v>
      </c>
      <c r="I508" s="90"/>
      <c r="J508" s="90"/>
      <c r="K508" s="91"/>
    </row>
    <row r="509" spans="2:11" x14ac:dyDescent="0.25">
      <c r="B509" s="1750"/>
      <c r="D509" s="1740"/>
      <c r="E509" s="1743"/>
      <c r="G509" s="30" t="s">
        <v>44</v>
      </c>
      <c r="H509" s="126"/>
      <c r="I509" s="10"/>
      <c r="J509" s="10"/>
      <c r="K509" s="16"/>
    </row>
    <row r="510" spans="2:11" x14ac:dyDescent="0.25">
      <c r="B510" s="1750"/>
      <c r="D510" s="1740"/>
      <c r="E510" s="1743"/>
      <c r="G510" s="30" t="s">
        <v>45</v>
      </c>
      <c r="H510" s="126"/>
      <c r="I510" s="10"/>
      <c r="J510" s="10"/>
      <c r="K510" s="16"/>
    </row>
    <row r="511" spans="2:11" x14ac:dyDescent="0.25">
      <c r="B511" s="1750"/>
      <c r="D511" s="1740"/>
      <c r="E511" s="1743"/>
      <c r="G511" s="30" t="s">
        <v>46</v>
      </c>
      <c r="H511" s="126"/>
      <c r="I511" s="10"/>
      <c r="J511" s="10"/>
      <c r="K511" s="16"/>
    </row>
    <row r="512" spans="2:11" ht="15.75" thickBot="1" x14ac:dyDescent="0.3">
      <c r="B512" s="1750"/>
      <c r="D512" s="1741"/>
      <c r="E512" s="1744"/>
      <c r="G512" s="31" t="s">
        <v>47</v>
      </c>
      <c r="H512" s="127"/>
      <c r="I512" s="15"/>
      <c r="J512" s="15"/>
      <c r="K512" s="17"/>
    </row>
    <row r="513" spans="2:11" ht="15" customHeight="1" x14ac:dyDescent="0.25">
      <c r="B513" s="1750"/>
      <c r="D513" s="1745"/>
      <c r="E513" s="1742" t="s">
        <v>648</v>
      </c>
      <c r="G513" s="86" t="s">
        <v>39</v>
      </c>
      <c r="H513" s="131">
        <f>SUM(H514:H515)</f>
        <v>0</v>
      </c>
      <c r="I513" s="87"/>
      <c r="J513" s="87"/>
      <c r="K513" s="88"/>
    </row>
    <row r="514" spans="2:11" x14ac:dyDescent="0.25">
      <c r="B514" s="1750"/>
      <c r="D514" s="1740"/>
      <c r="E514" s="1743"/>
      <c r="G514" s="30" t="s">
        <v>40</v>
      </c>
      <c r="H514" s="126"/>
      <c r="I514" s="10"/>
      <c r="J514" s="10"/>
      <c r="K514" s="16"/>
    </row>
    <row r="515" spans="2:11" x14ac:dyDescent="0.25">
      <c r="B515" s="1750"/>
      <c r="D515" s="1740"/>
      <c r="E515" s="1743"/>
      <c r="G515" s="30" t="s">
        <v>41</v>
      </c>
      <c r="H515" s="126"/>
      <c r="I515" s="10"/>
      <c r="J515" s="10"/>
      <c r="K515" s="16"/>
    </row>
    <row r="516" spans="2:11" x14ac:dyDescent="0.25">
      <c r="B516" s="1750"/>
      <c r="D516" s="1740"/>
      <c r="E516" s="1743"/>
      <c r="G516" s="89" t="s">
        <v>161</v>
      </c>
      <c r="H516" s="132">
        <f>SUM(H517,H521)</f>
        <v>0</v>
      </c>
      <c r="I516" s="90"/>
      <c r="J516" s="90"/>
      <c r="K516" s="91"/>
    </row>
    <row r="517" spans="2:11" x14ac:dyDescent="0.25">
      <c r="B517" s="1750"/>
      <c r="D517" s="1740"/>
      <c r="E517" s="1743"/>
      <c r="G517" s="89" t="s">
        <v>43</v>
      </c>
      <c r="H517" s="132">
        <f>SUM(H518:H520)</f>
        <v>0</v>
      </c>
      <c r="I517" s="90"/>
      <c r="J517" s="90"/>
      <c r="K517" s="91"/>
    </row>
    <row r="518" spans="2:11" x14ac:dyDescent="0.25">
      <c r="B518" s="1750"/>
      <c r="D518" s="1740"/>
      <c r="E518" s="1743"/>
      <c r="G518" s="30" t="s">
        <v>44</v>
      </c>
      <c r="H518" s="126"/>
      <c r="I518" s="10"/>
      <c r="J518" s="10"/>
      <c r="K518" s="16"/>
    </row>
    <row r="519" spans="2:11" x14ac:dyDescent="0.25">
      <c r="B519" s="1750"/>
      <c r="D519" s="1740"/>
      <c r="E519" s="1743"/>
      <c r="G519" s="30" t="s">
        <v>45</v>
      </c>
      <c r="H519" s="126"/>
      <c r="I519" s="10"/>
      <c r="J519" s="10"/>
      <c r="K519" s="16"/>
    </row>
    <row r="520" spans="2:11" x14ac:dyDescent="0.25">
      <c r="B520" s="1750"/>
      <c r="D520" s="1740"/>
      <c r="E520" s="1743"/>
      <c r="G520" s="30" t="s">
        <v>46</v>
      </c>
      <c r="H520" s="126"/>
      <c r="I520" s="10"/>
      <c r="J520" s="10"/>
      <c r="K520" s="16"/>
    </row>
    <row r="521" spans="2:11" ht="15.75" thickBot="1" x14ac:dyDescent="0.3">
      <c r="B521" s="1750"/>
      <c r="D521" s="1741"/>
      <c r="E521" s="1744"/>
      <c r="G521" s="31" t="s">
        <v>47</v>
      </c>
      <c r="H521" s="127"/>
      <c r="I521" s="15"/>
      <c r="J521" s="15"/>
      <c r="K521" s="17"/>
    </row>
    <row r="522" spans="2:11" ht="15" customHeight="1" x14ac:dyDescent="0.25">
      <c r="B522" s="1750"/>
      <c r="D522" s="1745"/>
      <c r="E522" s="1742" t="s">
        <v>621</v>
      </c>
      <c r="G522" s="86" t="s">
        <v>39</v>
      </c>
      <c r="H522" s="131">
        <f>SUM(H523:H524)</f>
        <v>0</v>
      </c>
      <c r="I522" s="87"/>
      <c r="J522" s="87"/>
      <c r="K522" s="88"/>
    </row>
    <row r="523" spans="2:11" x14ac:dyDescent="0.25">
      <c r="B523" s="1750"/>
      <c r="D523" s="1740"/>
      <c r="E523" s="1743"/>
      <c r="G523" s="30" t="s">
        <v>40</v>
      </c>
      <c r="H523" s="126"/>
      <c r="I523" s="10"/>
      <c r="J523" s="10"/>
      <c r="K523" s="16"/>
    </row>
    <row r="524" spans="2:11" x14ac:dyDescent="0.25">
      <c r="B524" s="1750"/>
      <c r="D524" s="1740"/>
      <c r="E524" s="1743"/>
      <c r="G524" s="30" t="s">
        <v>41</v>
      </c>
      <c r="H524" s="126"/>
      <c r="I524" s="10"/>
      <c r="J524" s="10"/>
      <c r="K524" s="16"/>
    </row>
    <row r="525" spans="2:11" x14ac:dyDescent="0.25">
      <c r="B525" s="1750"/>
      <c r="D525" s="1740"/>
      <c r="E525" s="1743"/>
      <c r="G525" s="89" t="s">
        <v>161</v>
      </c>
      <c r="H525" s="132">
        <f>SUM(H526,H530)</f>
        <v>0</v>
      </c>
      <c r="I525" s="90"/>
      <c r="J525" s="90"/>
      <c r="K525" s="91"/>
    </row>
    <row r="526" spans="2:11" x14ac:dyDescent="0.25">
      <c r="B526" s="1750"/>
      <c r="D526" s="1740"/>
      <c r="E526" s="1743"/>
      <c r="G526" s="89" t="s">
        <v>43</v>
      </c>
      <c r="H526" s="132">
        <f>SUM(H527:H529)</f>
        <v>0</v>
      </c>
      <c r="I526" s="90"/>
      <c r="J526" s="90"/>
      <c r="K526" s="91"/>
    </row>
    <row r="527" spans="2:11" x14ac:dyDescent="0.25">
      <c r="B527" s="1750"/>
      <c r="D527" s="1740"/>
      <c r="E527" s="1743"/>
      <c r="G527" s="30" t="s">
        <v>44</v>
      </c>
      <c r="H527" s="126"/>
      <c r="I527" s="10"/>
      <c r="J527" s="10"/>
      <c r="K527" s="16"/>
    </row>
    <row r="528" spans="2:11" x14ac:dyDescent="0.25">
      <c r="B528" s="1750"/>
      <c r="D528" s="1740"/>
      <c r="E528" s="1743"/>
      <c r="G528" s="30" t="s">
        <v>45</v>
      </c>
      <c r="H528" s="126"/>
      <c r="I528" s="10"/>
      <c r="J528" s="10"/>
      <c r="K528" s="16"/>
    </row>
    <row r="529" spans="2:11" x14ac:dyDescent="0.25">
      <c r="B529" s="1750"/>
      <c r="D529" s="1740"/>
      <c r="E529" s="1743"/>
      <c r="G529" s="30" t="s">
        <v>46</v>
      </c>
      <c r="H529" s="126"/>
      <c r="I529" s="10"/>
      <c r="J529" s="10"/>
      <c r="K529" s="16"/>
    </row>
    <row r="530" spans="2:11" ht="15.75" thickBot="1" x14ac:dyDescent="0.3">
      <c r="B530" s="1750"/>
      <c r="D530" s="1741"/>
      <c r="E530" s="1744"/>
      <c r="G530" s="31" t="s">
        <v>47</v>
      </c>
      <c r="H530" s="127"/>
      <c r="I530" s="15"/>
      <c r="J530" s="15"/>
      <c r="K530" s="17"/>
    </row>
    <row r="531" spans="2:11" ht="15" customHeight="1" x14ac:dyDescent="0.25">
      <c r="B531" s="1750"/>
      <c r="D531" s="1745"/>
      <c r="E531" s="1742" t="s">
        <v>649</v>
      </c>
      <c r="G531" s="86" t="s">
        <v>39</v>
      </c>
      <c r="H531" s="131">
        <f>SUM(H532:H533)</f>
        <v>0</v>
      </c>
      <c r="I531" s="87"/>
      <c r="J531" s="87"/>
      <c r="K531" s="88"/>
    </row>
    <row r="532" spans="2:11" x14ac:dyDescent="0.25">
      <c r="B532" s="1750"/>
      <c r="D532" s="1740"/>
      <c r="E532" s="1743"/>
      <c r="G532" s="30" t="s">
        <v>40</v>
      </c>
      <c r="H532" s="126"/>
      <c r="I532" s="10"/>
      <c r="J532" s="10"/>
      <c r="K532" s="16"/>
    </row>
    <row r="533" spans="2:11" x14ac:dyDescent="0.25">
      <c r="B533" s="1750"/>
      <c r="D533" s="1740"/>
      <c r="E533" s="1743"/>
      <c r="G533" s="30" t="s">
        <v>41</v>
      </c>
      <c r="H533" s="126"/>
      <c r="I533" s="10"/>
      <c r="J533" s="10"/>
      <c r="K533" s="16"/>
    </row>
    <row r="534" spans="2:11" x14ac:dyDescent="0.25">
      <c r="B534" s="1750"/>
      <c r="D534" s="1740"/>
      <c r="E534" s="1743"/>
      <c r="G534" s="89" t="s">
        <v>161</v>
      </c>
      <c r="H534" s="132">
        <f>SUM(H535,H539)</f>
        <v>0</v>
      </c>
      <c r="I534" s="90"/>
      <c r="J534" s="90"/>
      <c r="K534" s="91"/>
    </row>
    <row r="535" spans="2:11" x14ac:dyDescent="0.25">
      <c r="B535" s="1750"/>
      <c r="D535" s="1740"/>
      <c r="E535" s="1743"/>
      <c r="G535" s="89" t="s">
        <v>43</v>
      </c>
      <c r="H535" s="132">
        <f>SUM(H536:H538)</f>
        <v>0</v>
      </c>
      <c r="I535" s="90"/>
      <c r="J535" s="90"/>
      <c r="K535" s="91"/>
    </row>
    <row r="536" spans="2:11" x14ac:dyDescent="0.25">
      <c r="B536" s="1750"/>
      <c r="D536" s="1740"/>
      <c r="E536" s="1743"/>
      <c r="G536" s="30" t="s">
        <v>44</v>
      </c>
      <c r="H536" s="126"/>
      <c r="I536" s="10"/>
      <c r="J536" s="10"/>
      <c r="K536" s="16"/>
    </row>
    <row r="537" spans="2:11" x14ac:dyDescent="0.25">
      <c r="B537" s="1750"/>
      <c r="D537" s="1740"/>
      <c r="E537" s="1743"/>
      <c r="G537" s="30" t="s">
        <v>45</v>
      </c>
      <c r="H537" s="126"/>
      <c r="I537" s="10"/>
      <c r="J537" s="10"/>
      <c r="K537" s="16"/>
    </row>
    <row r="538" spans="2:11" x14ac:dyDescent="0.25">
      <c r="B538" s="1750"/>
      <c r="D538" s="1740"/>
      <c r="E538" s="1743"/>
      <c r="G538" s="30" t="s">
        <v>46</v>
      </c>
      <c r="H538" s="126"/>
      <c r="I538" s="10"/>
      <c r="J538" s="10"/>
      <c r="K538" s="16"/>
    </row>
    <row r="539" spans="2:11" ht="15.75" thickBot="1" x14ac:dyDescent="0.3">
      <c r="B539" s="1750"/>
      <c r="D539" s="1741"/>
      <c r="E539" s="1744"/>
      <c r="G539" s="31" t="s">
        <v>47</v>
      </c>
      <c r="H539" s="127"/>
      <c r="I539" s="15"/>
      <c r="J539" s="15"/>
      <c r="K539" s="17"/>
    </row>
    <row r="540" spans="2:11" ht="15" customHeight="1" x14ac:dyDescent="0.25">
      <c r="B540" s="1750"/>
      <c r="D540" s="1739">
        <v>85</v>
      </c>
      <c r="E540" s="1746" t="s">
        <v>155</v>
      </c>
      <c r="G540" s="86" t="s">
        <v>39</v>
      </c>
      <c r="H540" s="131">
        <f>SUM(H541:H542)</f>
        <v>0</v>
      </c>
      <c r="I540" s="87"/>
      <c r="J540" s="87"/>
      <c r="K540" s="88"/>
    </row>
    <row r="541" spans="2:11" x14ac:dyDescent="0.25">
      <c r="B541" s="1750"/>
      <c r="D541" s="1740"/>
      <c r="E541" s="1747"/>
      <c r="G541" s="30" t="s">
        <v>40</v>
      </c>
      <c r="H541" s="126"/>
      <c r="I541" s="10"/>
      <c r="J541" s="10"/>
      <c r="K541" s="16"/>
    </row>
    <row r="542" spans="2:11" x14ac:dyDescent="0.25">
      <c r="B542" s="1750"/>
      <c r="D542" s="1740"/>
      <c r="E542" s="1747"/>
      <c r="G542" s="30" t="s">
        <v>41</v>
      </c>
      <c r="H542" s="126"/>
      <c r="I542" s="10"/>
      <c r="J542" s="10"/>
      <c r="K542" s="16"/>
    </row>
    <row r="543" spans="2:11" x14ac:dyDescent="0.25">
      <c r="B543" s="1750"/>
      <c r="D543" s="1740"/>
      <c r="E543" s="1747"/>
      <c r="G543" s="89" t="s">
        <v>161</v>
      </c>
      <c r="H543" s="132">
        <f>SUM(H544,H548)</f>
        <v>179497.86400000003</v>
      </c>
      <c r="I543" s="90"/>
      <c r="J543" s="90"/>
      <c r="K543" s="91"/>
    </row>
    <row r="544" spans="2:11" x14ac:dyDescent="0.25">
      <c r="B544" s="1750"/>
      <c r="D544" s="1740"/>
      <c r="E544" s="1747"/>
      <c r="G544" s="89" t="s">
        <v>43</v>
      </c>
      <c r="H544" s="132">
        <f>SUM(H545:H547)</f>
        <v>179497.86400000003</v>
      </c>
      <c r="I544" s="90"/>
      <c r="J544" s="90"/>
      <c r="K544" s="91"/>
    </row>
    <row r="545" spans="2:11" x14ac:dyDescent="0.25">
      <c r="B545" s="1750"/>
      <c r="D545" s="1740"/>
      <c r="E545" s="1747"/>
      <c r="G545" s="30" t="s">
        <v>44</v>
      </c>
      <c r="H545" s="126">
        <v>44209.770400000001</v>
      </c>
      <c r="I545" s="10"/>
      <c r="J545" s="10"/>
      <c r="K545" s="16"/>
    </row>
    <row r="546" spans="2:11" x14ac:dyDescent="0.25">
      <c r="B546" s="1750"/>
      <c r="D546" s="1740"/>
      <c r="E546" s="1747"/>
      <c r="G546" s="30" t="s">
        <v>45</v>
      </c>
      <c r="H546" s="126">
        <v>135288.09360000002</v>
      </c>
      <c r="I546" s="10"/>
      <c r="J546" s="10"/>
      <c r="K546" s="16"/>
    </row>
    <row r="547" spans="2:11" x14ac:dyDescent="0.25">
      <c r="B547" s="1750"/>
      <c r="D547" s="1740"/>
      <c r="E547" s="1747"/>
      <c r="G547" s="30" t="s">
        <v>46</v>
      </c>
      <c r="H547" s="126"/>
      <c r="I547" s="10"/>
      <c r="J547" s="10"/>
      <c r="K547" s="16"/>
    </row>
    <row r="548" spans="2:11" ht="15.75" thickBot="1" x14ac:dyDescent="0.3">
      <c r="B548" s="1750"/>
      <c r="D548" s="1741"/>
      <c r="E548" s="1748"/>
      <c r="G548" s="31" t="s">
        <v>47</v>
      </c>
      <c r="H548" s="127"/>
      <c r="I548" s="15"/>
      <c r="J548" s="15"/>
      <c r="K548" s="17"/>
    </row>
    <row r="549" spans="2:11" ht="15" customHeight="1" x14ac:dyDescent="0.25">
      <c r="B549" s="1750"/>
      <c r="D549" s="1745" t="s">
        <v>21</v>
      </c>
      <c r="E549" s="1746" t="s">
        <v>156</v>
      </c>
      <c r="G549" s="86" t="s">
        <v>39</v>
      </c>
      <c r="H549" s="131">
        <f>SUM(H550:H551)</f>
        <v>0</v>
      </c>
      <c r="I549" s="87"/>
      <c r="J549" s="87"/>
      <c r="K549" s="88"/>
    </row>
    <row r="550" spans="2:11" x14ac:dyDescent="0.25">
      <c r="B550" s="1750"/>
      <c r="D550" s="1740"/>
      <c r="E550" s="1747"/>
      <c r="G550" s="30" t="s">
        <v>40</v>
      </c>
      <c r="H550" s="126"/>
      <c r="I550" s="10"/>
      <c r="J550" s="10"/>
      <c r="K550" s="16"/>
    </row>
    <row r="551" spans="2:11" x14ac:dyDescent="0.25">
      <c r="B551" s="1750"/>
      <c r="D551" s="1740"/>
      <c r="E551" s="1747"/>
      <c r="G551" s="30" t="s">
        <v>41</v>
      </c>
      <c r="H551" s="126"/>
      <c r="I551" s="10"/>
      <c r="J551" s="10"/>
      <c r="K551" s="16"/>
    </row>
    <row r="552" spans="2:11" x14ac:dyDescent="0.25">
      <c r="B552" s="1750"/>
      <c r="D552" s="1740"/>
      <c r="E552" s="1747"/>
      <c r="G552" s="89" t="s">
        <v>161</v>
      </c>
      <c r="H552" s="132">
        <f>SUM(H553,H557)</f>
        <v>3447.7778158871602</v>
      </c>
      <c r="I552" s="90"/>
      <c r="J552" s="90"/>
      <c r="K552" s="91"/>
    </row>
    <row r="553" spans="2:11" x14ac:dyDescent="0.25">
      <c r="B553" s="1750"/>
      <c r="D553" s="1740"/>
      <c r="E553" s="1747"/>
      <c r="G553" s="89" t="s">
        <v>43</v>
      </c>
      <c r="H553" s="132">
        <f>SUM(H554:H556)</f>
        <v>3447.7778158871602</v>
      </c>
      <c r="I553" s="90"/>
      <c r="J553" s="90"/>
      <c r="K553" s="91"/>
    </row>
    <row r="554" spans="2:11" x14ac:dyDescent="0.25">
      <c r="B554" s="1750"/>
      <c r="D554" s="1740"/>
      <c r="E554" s="1747"/>
      <c r="G554" s="30" t="s">
        <v>44</v>
      </c>
      <c r="H554" s="126"/>
      <c r="I554" s="10"/>
      <c r="J554" s="10"/>
      <c r="K554" s="16"/>
    </row>
    <row r="555" spans="2:11" x14ac:dyDescent="0.25">
      <c r="B555" s="1750"/>
      <c r="D555" s="1740"/>
      <c r="E555" s="1747"/>
      <c r="G555" s="30" t="s">
        <v>45</v>
      </c>
      <c r="H555" s="126">
        <v>3201.047978608482</v>
      </c>
      <c r="I555" s="10"/>
      <c r="J555" s="10"/>
      <c r="K555" s="16"/>
    </row>
    <row r="556" spans="2:11" x14ac:dyDescent="0.25">
      <c r="B556" s="1750"/>
      <c r="D556" s="1740"/>
      <c r="E556" s="1747"/>
      <c r="G556" s="30" t="s">
        <v>46</v>
      </c>
      <c r="H556" s="126">
        <v>246.72983727867833</v>
      </c>
      <c r="I556" s="10"/>
      <c r="J556" s="10"/>
      <c r="K556" s="16"/>
    </row>
    <row r="557" spans="2:11" ht="15.75" thickBot="1" x14ac:dyDescent="0.3">
      <c r="B557" s="1750"/>
      <c r="D557" s="1741"/>
      <c r="E557" s="1748"/>
      <c r="G557" s="31" t="s">
        <v>47</v>
      </c>
      <c r="H557" s="127"/>
      <c r="I557" s="15"/>
      <c r="J557" s="15"/>
      <c r="K557" s="17"/>
    </row>
    <row r="558" spans="2:11" ht="15" customHeight="1" x14ac:dyDescent="0.25">
      <c r="B558" s="1750"/>
      <c r="D558" s="1745"/>
      <c r="E558" s="1742" t="s">
        <v>623</v>
      </c>
      <c r="G558" s="86" t="s">
        <v>39</v>
      </c>
      <c r="H558" s="131">
        <f>SUM(H559:H560)</f>
        <v>0</v>
      </c>
      <c r="I558" s="87"/>
      <c r="J558" s="87"/>
      <c r="K558" s="88"/>
    </row>
    <row r="559" spans="2:11" x14ac:dyDescent="0.25">
      <c r="B559" s="1750"/>
      <c r="D559" s="1740"/>
      <c r="E559" s="1743"/>
      <c r="G559" s="30" t="s">
        <v>40</v>
      </c>
      <c r="H559" s="126"/>
      <c r="I559" s="10"/>
      <c r="J559" s="10"/>
      <c r="K559" s="16"/>
    </row>
    <row r="560" spans="2:11" x14ac:dyDescent="0.25">
      <c r="B560" s="1750"/>
      <c r="D560" s="1740"/>
      <c r="E560" s="1743"/>
      <c r="G560" s="30" t="s">
        <v>41</v>
      </c>
      <c r="H560" s="126"/>
      <c r="I560" s="10"/>
      <c r="J560" s="10"/>
      <c r="K560" s="16"/>
    </row>
    <row r="561" spans="2:11" x14ac:dyDescent="0.25">
      <c r="B561" s="1750"/>
      <c r="D561" s="1740"/>
      <c r="E561" s="1743"/>
      <c r="G561" s="89" t="s">
        <v>161</v>
      </c>
      <c r="H561" s="132">
        <f>SUM(H562,H566)</f>
        <v>0</v>
      </c>
      <c r="I561" s="90"/>
      <c r="J561" s="90"/>
      <c r="K561" s="91"/>
    </row>
    <row r="562" spans="2:11" x14ac:dyDescent="0.25">
      <c r="B562" s="1750"/>
      <c r="D562" s="1740"/>
      <c r="E562" s="1743"/>
      <c r="G562" s="89" t="s">
        <v>43</v>
      </c>
      <c r="H562" s="132">
        <f>SUM(H563:H565)</f>
        <v>0</v>
      </c>
      <c r="I562" s="90"/>
      <c r="J562" s="90"/>
      <c r="K562" s="91"/>
    </row>
    <row r="563" spans="2:11" x14ac:dyDescent="0.25">
      <c r="B563" s="1750"/>
      <c r="D563" s="1740"/>
      <c r="E563" s="1743"/>
      <c r="G563" s="30" t="s">
        <v>44</v>
      </c>
      <c r="H563" s="126"/>
      <c r="I563" s="10"/>
      <c r="J563" s="10"/>
      <c r="K563" s="16"/>
    </row>
    <row r="564" spans="2:11" x14ac:dyDescent="0.25">
      <c r="B564" s="1750"/>
      <c r="D564" s="1740"/>
      <c r="E564" s="1743"/>
      <c r="G564" s="30" t="s">
        <v>45</v>
      </c>
      <c r="H564" s="126"/>
      <c r="I564" s="10"/>
      <c r="J564" s="10"/>
      <c r="K564" s="16"/>
    </row>
    <row r="565" spans="2:11" x14ac:dyDescent="0.25">
      <c r="B565" s="1750"/>
      <c r="D565" s="1740"/>
      <c r="E565" s="1743"/>
      <c r="G565" s="30" t="s">
        <v>46</v>
      </c>
      <c r="H565" s="126"/>
      <c r="I565" s="10"/>
      <c r="J565" s="10"/>
      <c r="K565" s="16"/>
    </row>
    <row r="566" spans="2:11" ht="15.75" thickBot="1" x14ac:dyDescent="0.3">
      <c r="B566" s="1750"/>
      <c r="D566" s="1741"/>
      <c r="E566" s="1744"/>
      <c r="G566" s="31" t="s">
        <v>47</v>
      </c>
      <c r="H566" s="127"/>
      <c r="I566" s="15"/>
      <c r="J566" s="15"/>
      <c r="K566" s="17"/>
    </row>
    <row r="567" spans="2:11" ht="15" customHeight="1" x14ac:dyDescent="0.25">
      <c r="B567" s="1750"/>
      <c r="D567" s="1745" t="s">
        <v>22</v>
      </c>
      <c r="E567" s="1746" t="s">
        <v>157</v>
      </c>
      <c r="G567" s="86" t="s">
        <v>39</v>
      </c>
      <c r="H567" s="131">
        <f>SUM(H568:H569)</f>
        <v>0</v>
      </c>
      <c r="I567" s="87"/>
      <c r="J567" s="87"/>
      <c r="K567" s="88"/>
    </row>
    <row r="568" spans="2:11" x14ac:dyDescent="0.25">
      <c r="B568" s="1750"/>
      <c r="D568" s="1740"/>
      <c r="E568" s="1747"/>
      <c r="G568" s="30" t="s">
        <v>40</v>
      </c>
      <c r="H568" s="126"/>
      <c r="I568" s="10"/>
      <c r="J568" s="10"/>
      <c r="K568" s="16"/>
    </row>
    <row r="569" spans="2:11" x14ac:dyDescent="0.25">
      <c r="B569" s="1750"/>
      <c r="D569" s="1740"/>
      <c r="E569" s="1747"/>
      <c r="G569" s="30" t="s">
        <v>41</v>
      </c>
      <c r="H569" s="126"/>
      <c r="I569" s="10"/>
      <c r="J569" s="10"/>
      <c r="K569" s="16"/>
    </row>
    <row r="570" spans="2:11" x14ac:dyDescent="0.25">
      <c r="B570" s="1750"/>
      <c r="D570" s="1740"/>
      <c r="E570" s="1747"/>
      <c r="G570" s="89" t="s">
        <v>161</v>
      </c>
      <c r="H570" s="132">
        <f>SUM(H571,H575)</f>
        <v>10.714873014735879</v>
      </c>
      <c r="I570" s="90"/>
      <c r="J570" s="90"/>
      <c r="K570" s="91"/>
    </row>
    <row r="571" spans="2:11" x14ac:dyDescent="0.25">
      <c r="B571" s="1750"/>
      <c r="D571" s="1740"/>
      <c r="E571" s="1747"/>
      <c r="G571" s="89" t="s">
        <v>43</v>
      </c>
      <c r="H571" s="132">
        <f>SUM(H572:H574)</f>
        <v>10.714873014735879</v>
      </c>
      <c r="I571" s="90"/>
      <c r="J571" s="90"/>
      <c r="K571" s="91"/>
    </row>
    <row r="572" spans="2:11" x14ac:dyDescent="0.25">
      <c r="B572" s="1750"/>
      <c r="D572" s="1740"/>
      <c r="E572" s="1747"/>
      <c r="G572" s="30" t="s">
        <v>44</v>
      </c>
      <c r="H572" s="126">
        <v>1.1818737127147767</v>
      </c>
      <c r="I572" s="10"/>
      <c r="J572" s="10"/>
      <c r="K572" s="16"/>
    </row>
    <row r="573" spans="2:11" x14ac:dyDescent="0.25">
      <c r="B573" s="1750"/>
      <c r="D573" s="1740"/>
      <c r="E573" s="1747"/>
      <c r="G573" s="30" t="s">
        <v>45</v>
      </c>
      <c r="H573" s="126">
        <v>9.3718228896499678</v>
      </c>
      <c r="I573" s="10"/>
      <c r="J573" s="10"/>
      <c r="K573" s="16"/>
    </row>
    <row r="574" spans="2:11" x14ac:dyDescent="0.25">
      <c r="B574" s="1750"/>
      <c r="D574" s="1740"/>
      <c r="E574" s="1747"/>
      <c r="G574" s="30" t="s">
        <v>46</v>
      </c>
      <c r="H574" s="126">
        <v>0.16117641237113403</v>
      </c>
      <c r="I574" s="10"/>
      <c r="J574" s="10"/>
      <c r="K574" s="16"/>
    </row>
    <row r="575" spans="2:11" ht="15.75" thickBot="1" x14ac:dyDescent="0.3">
      <c r="B575" s="1750"/>
      <c r="D575" s="1741"/>
      <c r="E575" s="1748"/>
      <c r="G575" s="31" t="s">
        <v>47</v>
      </c>
      <c r="H575" s="127"/>
      <c r="I575" s="15"/>
      <c r="J575" s="15"/>
      <c r="K575" s="17"/>
    </row>
    <row r="576" spans="2:11" ht="15" customHeight="1" x14ac:dyDescent="0.25">
      <c r="B576" s="1750"/>
      <c r="D576" s="1745"/>
      <c r="E576" s="1742" t="s">
        <v>650</v>
      </c>
      <c r="G576" s="86" t="s">
        <v>39</v>
      </c>
      <c r="H576" s="131">
        <f>SUM(H577:H578)</f>
        <v>0</v>
      </c>
      <c r="I576" s="87"/>
      <c r="J576" s="87"/>
      <c r="K576" s="88"/>
    </row>
    <row r="577" spans="2:11" x14ac:dyDescent="0.25">
      <c r="B577" s="1750"/>
      <c r="D577" s="1740"/>
      <c r="E577" s="1743"/>
      <c r="G577" s="30" t="s">
        <v>40</v>
      </c>
      <c r="H577" s="126"/>
      <c r="I577" s="10"/>
      <c r="J577" s="10"/>
      <c r="K577" s="16"/>
    </row>
    <row r="578" spans="2:11" x14ac:dyDescent="0.25">
      <c r="B578" s="1750"/>
      <c r="D578" s="1740"/>
      <c r="E578" s="1743"/>
      <c r="G578" s="30" t="s">
        <v>41</v>
      </c>
      <c r="H578" s="126"/>
      <c r="I578" s="10"/>
      <c r="J578" s="10"/>
      <c r="K578" s="16"/>
    </row>
    <row r="579" spans="2:11" x14ac:dyDescent="0.25">
      <c r="B579" s="1750"/>
      <c r="D579" s="1740"/>
      <c r="E579" s="1743"/>
      <c r="G579" s="89" t="s">
        <v>161</v>
      </c>
      <c r="H579" s="132">
        <f>SUM(H580,H584)</f>
        <v>0</v>
      </c>
      <c r="I579" s="90"/>
      <c r="J579" s="90"/>
      <c r="K579" s="91"/>
    </row>
    <row r="580" spans="2:11" x14ac:dyDescent="0.25">
      <c r="B580" s="1750"/>
      <c r="D580" s="1740"/>
      <c r="E580" s="1743"/>
      <c r="G580" s="89" t="s">
        <v>43</v>
      </c>
      <c r="H580" s="132">
        <f>SUM(H581:H583)</f>
        <v>0</v>
      </c>
      <c r="I580" s="90"/>
      <c r="J580" s="90"/>
      <c r="K580" s="91"/>
    </row>
    <row r="581" spans="2:11" x14ac:dyDescent="0.25">
      <c r="B581" s="1750"/>
      <c r="D581" s="1740"/>
      <c r="E581" s="1743"/>
      <c r="G581" s="30" t="s">
        <v>44</v>
      </c>
      <c r="H581" s="126"/>
      <c r="I581" s="10"/>
      <c r="J581" s="10"/>
      <c r="K581" s="16"/>
    </row>
    <row r="582" spans="2:11" x14ac:dyDescent="0.25">
      <c r="B582" s="1750"/>
      <c r="D582" s="1740"/>
      <c r="E582" s="1743"/>
      <c r="G582" s="30" t="s">
        <v>45</v>
      </c>
      <c r="H582" s="126"/>
      <c r="I582" s="10"/>
      <c r="J582" s="10"/>
      <c r="K582" s="16"/>
    </row>
    <row r="583" spans="2:11" x14ac:dyDescent="0.25">
      <c r="B583" s="1750"/>
      <c r="D583" s="1740"/>
      <c r="E583" s="1743"/>
      <c r="G583" s="30" t="s">
        <v>46</v>
      </c>
      <c r="H583" s="126"/>
      <c r="I583" s="10"/>
      <c r="J583" s="10"/>
      <c r="K583" s="16"/>
    </row>
    <row r="584" spans="2:11" ht="15.75" thickBot="1" x14ac:dyDescent="0.3">
      <c r="B584" s="1750"/>
      <c r="D584" s="1741"/>
      <c r="E584" s="1744"/>
      <c r="G584" s="31" t="s">
        <v>47</v>
      </c>
      <c r="H584" s="127"/>
      <c r="I584" s="15"/>
      <c r="J584" s="15"/>
      <c r="K584" s="17"/>
    </row>
    <row r="585" spans="2:11" x14ac:dyDescent="0.25">
      <c r="B585" s="1750"/>
      <c r="D585" s="95"/>
      <c r="E585" s="93"/>
      <c r="G585" s="94"/>
      <c r="H585" s="133"/>
      <c r="I585" s="94"/>
      <c r="J585" s="94"/>
      <c r="K585" s="85"/>
    </row>
    <row r="586" spans="2:11" x14ac:dyDescent="0.25">
      <c r="B586" s="1750"/>
      <c r="C586" s="92"/>
      <c r="D586" s="96"/>
      <c r="E586" s="92"/>
      <c r="F586" s="92"/>
      <c r="G586" s="92"/>
      <c r="H586" s="134"/>
      <c r="I586" s="92"/>
      <c r="J586" s="92"/>
      <c r="K586" s="92"/>
    </row>
    <row r="587" spans="2:11" ht="15.75" thickBot="1" x14ac:dyDescent="0.3">
      <c r="B587" s="1750"/>
      <c r="D587" s="97"/>
      <c r="H587" s="4"/>
    </row>
    <row r="588" spans="2:11" ht="15" customHeight="1" x14ac:dyDescent="0.25">
      <c r="B588" s="1750"/>
      <c r="D588" s="1739">
        <v>98</v>
      </c>
      <c r="E588" s="1746" t="s">
        <v>158</v>
      </c>
      <c r="G588" s="86" t="s">
        <v>39</v>
      </c>
      <c r="H588" s="131">
        <f>SUM(H589:H590)</f>
        <v>0</v>
      </c>
      <c r="I588" s="87"/>
      <c r="J588" s="87"/>
      <c r="K588" s="88"/>
    </row>
    <row r="589" spans="2:11" x14ac:dyDescent="0.25">
      <c r="B589" s="1750"/>
      <c r="D589" s="1740"/>
      <c r="E589" s="1747"/>
      <c r="G589" s="30" t="s">
        <v>40</v>
      </c>
      <c r="H589" s="126"/>
      <c r="I589" s="10"/>
      <c r="J589" s="10"/>
      <c r="K589" s="16"/>
    </row>
    <row r="590" spans="2:11" x14ac:dyDescent="0.25">
      <c r="B590" s="1750"/>
      <c r="D590" s="1740"/>
      <c r="E590" s="1747"/>
      <c r="G590" s="30" t="s">
        <v>41</v>
      </c>
      <c r="H590" s="126"/>
      <c r="I590" s="10"/>
      <c r="J590" s="10"/>
      <c r="K590" s="16"/>
    </row>
    <row r="591" spans="2:11" x14ac:dyDescent="0.25">
      <c r="B591" s="1750"/>
      <c r="D591" s="1740"/>
      <c r="E591" s="1747"/>
      <c r="G591" s="89" t="s">
        <v>161</v>
      </c>
      <c r="H591" s="132">
        <f>SUM(H592,H596)</f>
        <v>82781</v>
      </c>
      <c r="I591" s="90"/>
      <c r="J591" s="90"/>
      <c r="K591" s="91"/>
    </row>
    <row r="592" spans="2:11" x14ac:dyDescent="0.25">
      <c r="B592" s="1750"/>
      <c r="D592" s="1740"/>
      <c r="E592" s="1747"/>
      <c r="G592" s="89" t="s">
        <v>43</v>
      </c>
      <c r="H592" s="132">
        <f>SUM(H593:H595)</f>
        <v>72433</v>
      </c>
      <c r="I592" s="90"/>
      <c r="J592" s="90"/>
      <c r="K592" s="91"/>
    </row>
    <row r="593" spans="2:11" x14ac:dyDescent="0.25">
      <c r="B593" s="1750"/>
      <c r="D593" s="1740"/>
      <c r="E593" s="1747"/>
      <c r="G593" s="30" t="s">
        <v>44</v>
      </c>
      <c r="H593" s="126">
        <v>41390</v>
      </c>
      <c r="I593" s="10"/>
      <c r="J593" s="10"/>
      <c r="K593" s="16"/>
    </row>
    <row r="594" spans="2:11" x14ac:dyDescent="0.25">
      <c r="B594" s="1750"/>
      <c r="D594" s="1740"/>
      <c r="E594" s="1747"/>
      <c r="G594" s="30" t="s">
        <v>45</v>
      </c>
      <c r="H594" s="126">
        <v>20695</v>
      </c>
      <c r="I594" s="10"/>
      <c r="J594" s="10"/>
      <c r="K594" s="16"/>
    </row>
    <row r="595" spans="2:11" x14ac:dyDescent="0.25">
      <c r="B595" s="1750"/>
      <c r="D595" s="1740"/>
      <c r="E595" s="1747"/>
      <c r="G595" s="30" t="s">
        <v>46</v>
      </c>
      <c r="H595" s="126">
        <v>10348</v>
      </c>
      <c r="I595" s="10"/>
      <c r="J595" s="10"/>
      <c r="K595" s="16"/>
    </row>
    <row r="596" spans="2:11" ht="15.75" thickBot="1" x14ac:dyDescent="0.3">
      <c r="B596" s="1750"/>
      <c r="D596" s="1741"/>
      <c r="E596" s="1748"/>
      <c r="G596" s="31" t="s">
        <v>47</v>
      </c>
      <c r="H596" s="127">
        <v>10348</v>
      </c>
      <c r="I596" s="15"/>
      <c r="J596" s="15"/>
      <c r="K596" s="17"/>
    </row>
    <row r="597" spans="2:11" ht="15" customHeight="1" x14ac:dyDescent="0.25">
      <c r="B597" s="1750"/>
      <c r="D597" s="1739">
        <v>99</v>
      </c>
      <c r="E597" s="1746" t="s">
        <v>159</v>
      </c>
      <c r="G597" s="86" t="s">
        <v>39</v>
      </c>
      <c r="H597" s="131">
        <f>SUM(H598:H599)</f>
        <v>0</v>
      </c>
      <c r="I597" s="87"/>
      <c r="J597" s="87"/>
      <c r="K597" s="88"/>
    </row>
    <row r="598" spans="2:11" x14ac:dyDescent="0.25">
      <c r="B598" s="1750"/>
      <c r="D598" s="1740"/>
      <c r="E598" s="1747"/>
      <c r="G598" s="30" t="s">
        <v>40</v>
      </c>
      <c r="H598" s="126"/>
      <c r="I598" s="10"/>
      <c r="J598" s="10"/>
      <c r="K598" s="16"/>
    </row>
    <row r="599" spans="2:11" x14ac:dyDescent="0.25">
      <c r="B599" s="1750"/>
      <c r="D599" s="1740"/>
      <c r="E599" s="1747"/>
      <c r="G599" s="30" t="s">
        <v>41</v>
      </c>
      <c r="H599" s="126"/>
      <c r="I599" s="10"/>
      <c r="J599" s="10"/>
      <c r="K599" s="16"/>
    </row>
    <row r="600" spans="2:11" x14ac:dyDescent="0.25">
      <c r="B600" s="1750"/>
      <c r="D600" s="1740"/>
      <c r="E600" s="1747"/>
      <c r="G600" s="89" t="s">
        <v>161</v>
      </c>
      <c r="H600" s="132">
        <f>SUM(H601,H605)</f>
        <v>5211.6544753063881</v>
      </c>
      <c r="I600" s="90"/>
      <c r="J600" s="90"/>
      <c r="K600" s="91"/>
    </row>
    <row r="601" spans="2:11" x14ac:dyDescent="0.25">
      <c r="B601" s="1750"/>
      <c r="D601" s="1740"/>
      <c r="E601" s="1747"/>
      <c r="G601" s="89" t="s">
        <v>43</v>
      </c>
      <c r="H601" s="132">
        <f>SUM(H602:H604)</f>
        <v>5211.6544753063881</v>
      </c>
      <c r="I601" s="90"/>
      <c r="J601" s="90"/>
      <c r="K601" s="91"/>
    </row>
    <row r="602" spans="2:11" x14ac:dyDescent="0.25">
      <c r="B602" s="1750"/>
      <c r="D602" s="1740"/>
      <c r="E602" s="1747"/>
      <c r="G602" s="30" t="s">
        <v>44</v>
      </c>
      <c r="H602" s="126">
        <v>4688.7652799999996</v>
      </c>
      <c r="I602" s="10"/>
      <c r="J602" s="10"/>
      <c r="K602" s="16"/>
    </row>
    <row r="603" spans="2:11" x14ac:dyDescent="0.25">
      <c r="B603" s="1750"/>
      <c r="D603" s="1740"/>
      <c r="E603" s="1747"/>
      <c r="G603" s="30" t="s">
        <v>45</v>
      </c>
      <c r="H603" s="126">
        <v>522.8891953063885</v>
      </c>
      <c r="I603" s="10"/>
      <c r="J603" s="10"/>
      <c r="K603" s="16"/>
    </row>
    <row r="604" spans="2:11" x14ac:dyDescent="0.25">
      <c r="B604" s="1750"/>
      <c r="D604" s="1740"/>
      <c r="E604" s="1747"/>
      <c r="G604" s="30" t="s">
        <v>46</v>
      </c>
      <c r="H604" s="126"/>
      <c r="I604" s="10"/>
      <c r="J604" s="10"/>
      <c r="K604" s="16"/>
    </row>
    <row r="605" spans="2:11" ht="15.75" thickBot="1" x14ac:dyDescent="0.3">
      <c r="B605" s="1751"/>
      <c r="D605" s="1741"/>
      <c r="E605" s="1748"/>
      <c r="G605" s="31" t="s">
        <v>47</v>
      </c>
      <c r="H605" s="127"/>
      <c r="I605" s="15"/>
      <c r="J605" s="15"/>
      <c r="K605" s="17"/>
    </row>
  </sheetData>
  <mergeCells count="90">
    <mergeCell ref="D597:D605"/>
    <mergeCell ref="E597:E605"/>
    <mergeCell ref="D540:D548"/>
    <mergeCell ref="E540:E548"/>
    <mergeCell ref="D549:D557"/>
    <mergeCell ref="E549:E557"/>
    <mergeCell ref="D567:D575"/>
    <mergeCell ref="E567:E575"/>
    <mergeCell ref="D588:D596"/>
    <mergeCell ref="E588:E596"/>
    <mergeCell ref="D576:D584"/>
    <mergeCell ref="E576:E584"/>
    <mergeCell ref="D522:D530"/>
    <mergeCell ref="E522:E530"/>
    <mergeCell ref="D531:D539"/>
    <mergeCell ref="E531:E539"/>
    <mergeCell ref="D558:D566"/>
    <mergeCell ref="E558:E566"/>
    <mergeCell ref="D486:D494"/>
    <mergeCell ref="E486:E494"/>
    <mergeCell ref="D504:D512"/>
    <mergeCell ref="E504:E512"/>
    <mergeCell ref="D513:D521"/>
    <mergeCell ref="E513:E521"/>
    <mergeCell ref="D495:D503"/>
    <mergeCell ref="E495:E503"/>
    <mergeCell ref="E432:E440"/>
    <mergeCell ref="D441:D449"/>
    <mergeCell ref="E441:E449"/>
    <mergeCell ref="D477:D485"/>
    <mergeCell ref="E477:E485"/>
    <mergeCell ref="D450:D458"/>
    <mergeCell ref="E450:E458"/>
    <mergeCell ref="D459:D467"/>
    <mergeCell ref="E459:E467"/>
    <mergeCell ref="D468:D476"/>
    <mergeCell ref="E468:E476"/>
    <mergeCell ref="B2:B400"/>
    <mergeCell ref="B405:B605"/>
    <mergeCell ref="D405:D413"/>
    <mergeCell ref="E405:E413"/>
    <mergeCell ref="D414:D422"/>
    <mergeCell ref="E414:E422"/>
    <mergeCell ref="D423:D431"/>
    <mergeCell ref="D254:D271"/>
    <mergeCell ref="E423:E431"/>
    <mergeCell ref="D432:D440"/>
    <mergeCell ref="D326:D343"/>
    <mergeCell ref="E326:E343"/>
    <mergeCell ref="D365:D382"/>
    <mergeCell ref="E365:E382"/>
    <mergeCell ref="D383:D400"/>
    <mergeCell ref="E344:E361"/>
    <mergeCell ref="D344:D361"/>
    <mergeCell ref="D110:D127"/>
    <mergeCell ref="E110:E127"/>
    <mergeCell ref="E383:E400"/>
    <mergeCell ref="D182:D199"/>
    <mergeCell ref="E182:E199"/>
    <mergeCell ref="D272:D289"/>
    <mergeCell ref="E272:E289"/>
    <mergeCell ref="D290:D307"/>
    <mergeCell ref="E290:E307"/>
    <mergeCell ref="D218:D235"/>
    <mergeCell ref="E164:E181"/>
    <mergeCell ref="D200:D217"/>
    <mergeCell ref="E200:E217"/>
    <mergeCell ref="D146:D163"/>
    <mergeCell ref="E146:E163"/>
    <mergeCell ref="D308:D325"/>
    <mergeCell ref="E308:E325"/>
    <mergeCell ref="E218:E235"/>
    <mergeCell ref="D236:D253"/>
    <mergeCell ref="E236:E253"/>
    <mergeCell ref="E254:E271"/>
    <mergeCell ref="D128:D145"/>
    <mergeCell ref="E128:E145"/>
    <mergeCell ref="D164:D181"/>
    <mergeCell ref="E2:E19"/>
    <mergeCell ref="D2:D19"/>
    <mergeCell ref="D20:D37"/>
    <mergeCell ref="E20:E37"/>
    <mergeCell ref="D38:D55"/>
    <mergeCell ref="E38:E55"/>
    <mergeCell ref="D56:D73"/>
    <mergeCell ref="E56:E73"/>
    <mergeCell ref="D74:D91"/>
    <mergeCell ref="E74:E91"/>
    <mergeCell ref="D92:D109"/>
    <mergeCell ref="E92:E109"/>
  </mergeCells>
  <hyperlinks>
    <hyperlink ref="H9" location="'RBM&amp;E-2017_S'!T30" display="'RBM&amp;E-2017_S'!T30"/>
    <hyperlink ref="H10" location="'RBM&amp;E-2017_S'!T30" display="'RBM&amp;E-2017_S'!T30"/>
    <hyperlink ref="H8" location="'RBM&amp;E-2017_S'!T30" display="'RBM&amp;E-2017_S'!T30"/>
    <hyperlink ref="H11" location="'RBM&amp;E-2017_S'!T30" display="'RBM&amp;E-2017_S'!T30"/>
    <hyperlink ref="H377" location="'RBM&amp;E-2017_S'!T33" display="'RBM&amp;E-2017_S'!T33"/>
    <hyperlink ref="H14" location="'RBM&amp;E-2017_S'!T33" display="'RBM&amp;E-2017_S'!T33"/>
    <hyperlink ref="H63" location="'RBM&amp;E-2017_S'!T29" display="'RBM&amp;E-2017_S'!T29"/>
    <hyperlink ref="H45" location="'RBM&amp;E-2017_S'!T28" display="'RBM&amp;E-2017_S'!T28"/>
    <hyperlink ref="H376" location="'RBM&amp;E-2017_S'!T27" display="'RBM&amp;E-2017_S'!T27"/>
    <hyperlink ref="H49" location="'RBM&amp;E-2017_S'!T28" display="'RBM&amp;E-2017_S'!T28"/>
    <hyperlink ref="H50" location="'RBM&amp;E-2017_S'!T33" display="'RBM&amp;E-2017_S'!T33"/>
    <hyperlink ref="H373" location="'RBM&amp;E-2017_S'!T34" display="'RBM&amp;E-2017_S'!T34"/>
    <hyperlink ref="H27" location="'RBM&amp;E-2017_S'!T32" display="'RBM&amp;E-2017_S'!T32"/>
    <hyperlink ref="H64" location="'RBM&amp;E-2017_S'!T30" display="'RBM&amp;E-2017_S'!T30"/>
    <hyperlink ref="H47" location="'RBM&amp;E-2017_S'!T31" display="'RBM&amp;E-2017_S'!T31"/>
    <hyperlink ref="H76" location="'RBM&amp;E-2017_S'!T35" display="'RBM&amp;E-2017_S'!T35"/>
    <hyperlink ref="H81" location="'RBM&amp;E-2017_S'!T35" display="'RBM&amp;E-2017_S'!T35"/>
    <hyperlink ref="H84" location="'RBM&amp;E-2017_S'!T35" display="'RBM&amp;E-2017_S'!T35"/>
    <hyperlink ref="H15" location="'GW&amp;SOILW_2012'!B20" display="'GW&amp;SOILW_2012'!B20"/>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AC54"/>
  <sheetViews>
    <sheetView zoomScale="110" zoomScaleNormal="110" workbookViewId="0">
      <pane xSplit="2" ySplit="5" topLeftCell="C9" activePane="bottomRight" state="frozen"/>
      <selection activeCell="H419" sqref="H419:H420"/>
      <selection pane="topRight" activeCell="H419" sqref="H419:H420"/>
      <selection pane="bottomLeft" activeCell="H419" sqref="H419:H420"/>
      <selection pane="bottomRight" activeCell="C19" sqref="C19"/>
    </sheetView>
  </sheetViews>
  <sheetFormatPr defaultRowHeight="12.75" x14ac:dyDescent="0.2"/>
  <cols>
    <col min="1" max="1" width="7.28515625" style="1" customWidth="1"/>
    <col min="2" max="2" width="24.5703125" style="1" customWidth="1"/>
    <col min="3" max="3" width="10.28515625" style="1" bestFit="1" customWidth="1"/>
    <col min="4" max="4" width="9.28515625" style="1" bestFit="1" customWidth="1"/>
    <col min="5" max="5" width="9.85546875" style="1" bestFit="1" customWidth="1"/>
    <col min="6" max="6" width="11.140625" style="1" bestFit="1" customWidth="1"/>
    <col min="7" max="7" width="7.7109375" style="1" bestFit="1" customWidth="1"/>
    <col min="8" max="8" width="7.7109375" style="1" hidden="1" customWidth="1"/>
    <col min="9" max="9" width="8" style="1" hidden="1" customWidth="1"/>
    <col min="10" max="10" width="7.42578125" style="1" hidden="1" customWidth="1"/>
    <col min="11" max="11" width="6.85546875" style="1" bestFit="1" customWidth="1"/>
    <col min="12" max="12" width="6.85546875" style="1" hidden="1" customWidth="1"/>
    <col min="13" max="13" width="9.28515625" style="1" bestFit="1" customWidth="1"/>
    <col min="14" max="14" width="7.85546875" style="1" hidden="1" customWidth="1"/>
    <col min="15" max="15" width="7.7109375" style="1" hidden="1" customWidth="1"/>
    <col min="16" max="16" width="8.42578125" style="1" hidden="1" customWidth="1"/>
    <col min="17" max="17" width="8.5703125" style="1" hidden="1" customWidth="1"/>
    <col min="18" max="18" width="7.42578125" style="1" bestFit="1" customWidth="1"/>
    <col min="19" max="19" width="6.5703125" style="1" bestFit="1" customWidth="1"/>
    <col min="20" max="20" width="6.85546875" style="1" hidden="1" customWidth="1"/>
    <col min="21" max="21" width="9.28515625" style="1" customWidth="1"/>
    <col min="22" max="22" width="15.140625" style="1" hidden="1" customWidth="1"/>
    <col min="23" max="23" width="8.5703125" style="1" bestFit="1" customWidth="1"/>
    <col min="24" max="24" width="8.7109375" style="1" bestFit="1" customWidth="1"/>
    <col min="25" max="25" width="11" style="1" customWidth="1"/>
    <col min="26" max="26" width="5.85546875" style="1" customWidth="1"/>
    <col min="27" max="27" width="8.5703125" style="1" customWidth="1"/>
    <col min="28" max="28" width="4.7109375" style="1" customWidth="1"/>
    <col min="29" max="16384" width="9.140625" style="1"/>
  </cols>
  <sheetData>
    <row r="1" spans="1:29" ht="12.75" customHeight="1" x14ac:dyDescent="0.2">
      <c r="B1" s="1497" t="s">
        <v>1678</v>
      </c>
      <c r="C1" s="1756" t="s">
        <v>1681</v>
      </c>
      <c r="D1" s="1756"/>
      <c r="E1" s="1756"/>
      <c r="F1" s="1756"/>
      <c r="G1" s="1756"/>
      <c r="H1" s="1756"/>
      <c r="I1" s="1756"/>
      <c r="J1" s="1756"/>
      <c r="K1" s="1756"/>
      <c r="L1" s="1756"/>
      <c r="M1" s="1756"/>
      <c r="N1" s="1756"/>
      <c r="O1" s="1756"/>
      <c r="P1" s="1756"/>
      <c r="Q1" s="1756"/>
      <c r="R1" s="1756"/>
      <c r="S1" s="1756"/>
      <c r="T1" s="1756"/>
      <c r="U1" s="1756"/>
      <c r="V1" s="1756"/>
      <c r="W1" s="1756"/>
      <c r="X1" s="1756"/>
      <c r="Y1" s="1756"/>
      <c r="Z1" s="1756"/>
      <c r="AA1" s="1756"/>
      <c r="AB1" s="1500"/>
    </row>
    <row r="2" spans="1:29" ht="12.75" customHeight="1" x14ac:dyDescent="0.2">
      <c r="A2" s="1498"/>
      <c r="B2" s="1499">
        <v>2012</v>
      </c>
      <c r="C2" s="1757" t="s">
        <v>577</v>
      </c>
      <c r="D2" s="1757"/>
      <c r="E2" s="1757"/>
      <c r="F2" s="1757"/>
      <c r="G2" s="1757"/>
      <c r="H2" s="1757"/>
      <c r="I2" s="1757"/>
      <c r="J2" s="1757"/>
      <c r="K2" s="1757"/>
      <c r="L2" s="1757"/>
      <c r="M2" s="1757"/>
      <c r="N2" s="1757"/>
      <c r="O2" s="1757"/>
      <c r="P2" s="1757"/>
      <c r="Q2" s="1757"/>
      <c r="R2" s="1757"/>
      <c r="S2" s="1757"/>
      <c r="T2" s="1757"/>
      <c r="U2" s="1757"/>
      <c r="V2" s="1757"/>
      <c r="W2" s="1757"/>
      <c r="X2" s="1757"/>
      <c r="Y2" s="1757"/>
      <c r="Z2" s="1757"/>
      <c r="AA2" s="1757"/>
      <c r="AB2" s="70"/>
    </row>
    <row r="3" spans="1:29" ht="12.75" customHeight="1" x14ac:dyDescent="0.2">
      <c r="A3" s="1752" t="s">
        <v>578</v>
      </c>
      <c r="B3" s="1753"/>
      <c r="C3" s="1758" t="s">
        <v>12</v>
      </c>
      <c r="D3" s="1759"/>
      <c r="E3" s="1759"/>
      <c r="F3" s="1759"/>
      <c r="G3" s="1759"/>
      <c r="H3" s="1759"/>
      <c r="I3" s="1759"/>
      <c r="J3" s="1759"/>
      <c r="K3" s="1759"/>
      <c r="L3" s="1759"/>
      <c r="M3" s="1759"/>
      <c r="N3" s="1759"/>
      <c r="O3" s="1759"/>
      <c r="P3" s="1759"/>
      <c r="Q3" s="1759"/>
      <c r="R3" s="1759"/>
      <c r="S3" s="1759"/>
      <c r="T3" s="1759"/>
      <c r="U3" s="1759"/>
      <c r="V3" s="306"/>
      <c r="W3" s="1760" t="s">
        <v>1276</v>
      </c>
      <c r="X3" s="99"/>
      <c r="Y3" s="1761" t="s">
        <v>2</v>
      </c>
      <c r="Z3" s="1761" t="s">
        <v>13</v>
      </c>
      <c r="AA3" s="1761" t="s">
        <v>14</v>
      </c>
      <c r="AB3" s="70"/>
    </row>
    <row r="4" spans="1:29" ht="50.25" x14ac:dyDescent="0.2">
      <c r="A4" s="1754"/>
      <c r="B4" s="1755"/>
      <c r="C4" s="71" t="s">
        <v>6</v>
      </c>
      <c r="D4" s="71" t="s">
        <v>7</v>
      </c>
      <c r="E4" s="71" t="s">
        <v>8</v>
      </c>
      <c r="F4" s="71" t="s">
        <v>9</v>
      </c>
      <c r="G4" s="71" t="s">
        <v>137</v>
      </c>
      <c r="H4" s="373" t="s">
        <v>615</v>
      </c>
      <c r="I4" s="373" t="s">
        <v>616</v>
      </c>
      <c r="J4" s="373" t="s">
        <v>617</v>
      </c>
      <c r="K4" s="71" t="s">
        <v>0</v>
      </c>
      <c r="L4" s="373" t="s">
        <v>618</v>
      </c>
      <c r="M4" s="71" t="s">
        <v>138</v>
      </c>
      <c r="N4" s="373" t="s">
        <v>619</v>
      </c>
      <c r="O4" s="373" t="s">
        <v>620</v>
      </c>
      <c r="P4" s="373" t="s">
        <v>621</v>
      </c>
      <c r="Q4" s="373" t="s">
        <v>622</v>
      </c>
      <c r="R4" s="71" t="s">
        <v>1</v>
      </c>
      <c r="S4" s="71" t="s">
        <v>10</v>
      </c>
      <c r="T4" s="374" t="s">
        <v>623</v>
      </c>
      <c r="U4" s="72" t="s">
        <v>139</v>
      </c>
      <c r="V4" s="374" t="s">
        <v>624</v>
      </c>
      <c r="W4" s="1760"/>
      <c r="X4" s="73" t="s">
        <v>642</v>
      </c>
      <c r="Y4" s="1761"/>
      <c r="Z4" s="1761"/>
      <c r="AA4" s="1761"/>
      <c r="AB4" s="74"/>
    </row>
    <row r="5" spans="1:29" ht="12.75" customHeight="1" x14ac:dyDescent="0.2">
      <c r="A5" s="750"/>
      <c r="B5" s="749" t="s">
        <v>1081</v>
      </c>
      <c r="C5" s="146" t="s">
        <v>15</v>
      </c>
      <c r="D5" s="146" t="s">
        <v>16</v>
      </c>
      <c r="E5" s="146" t="s">
        <v>17</v>
      </c>
      <c r="F5" s="147">
        <v>35</v>
      </c>
      <c r="G5" s="146" t="s">
        <v>18</v>
      </c>
      <c r="H5" s="146"/>
      <c r="I5" s="146"/>
      <c r="J5" s="146"/>
      <c r="K5" s="146" t="s">
        <v>19</v>
      </c>
      <c r="L5" s="146"/>
      <c r="M5" s="146" t="s">
        <v>20</v>
      </c>
      <c r="N5" s="146"/>
      <c r="O5" s="146"/>
      <c r="P5" s="146"/>
      <c r="Q5" s="146"/>
      <c r="R5" s="147">
        <v>85</v>
      </c>
      <c r="S5" s="146" t="s">
        <v>21</v>
      </c>
      <c r="T5" s="146"/>
      <c r="U5" s="146" t="s">
        <v>22</v>
      </c>
      <c r="V5" s="146"/>
      <c r="W5" s="165" t="s">
        <v>3</v>
      </c>
      <c r="X5" s="100">
        <v>98</v>
      </c>
      <c r="Y5" s="148">
        <v>99</v>
      </c>
      <c r="Z5" s="100"/>
      <c r="AA5" s="73"/>
      <c r="AB5" s="74"/>
    </row>
    <row r="6" spans="1:29" x14ac:dyDescent="0.2">
      <c r="A6" s="1762" t="s">
        <v>4</v>
      </c>
      <c r="B6" s="377" t="s">
        <v>140</v>
      </c>
      <c r="C6" s="170">
        <f>'PSUT_Data&amp;Method_2012'!H2</f>
        <v>13563380.505039312</v>
      </c>
      <c r="D6" s="174">
        <f>'PSUT_Data&amp;Method_2012'!H20</f>
        <v>22390.658857794173</v>
      </c>
      <c r="E6" s="174">
        <f>'PSUT_Data&amp;Method_2012'!H38</f>
        <v>23638.124916130942</v>
      </c>
      <c r="F6" s="174">
        <f>'PSUT_Data&amp;Method_2012'!H56</f>
        <v>335270.16889591428</v>
      </c>
      <c r="G6" s="174">
        <f>'PSUT_Data&amp;Method_2012'!H74</f>
        <v>53008.786416190094</v>
      </c>
      <c r="H6" s="174">
        <f>'PSUT_Data&amp;Method_2012'!H92</f>
        <v>0</v>
      </c>
      <c r="I6" s="174">
        <f>'PSUT_Data&amp;Method_2012'!H110</f>
        <v>0</v>
      </c>
      <c r="J6" s="174">
        <f>'PSUT_Data&amp;Method_2012'!H128</f>
        <v>0</v>
      </c>
      <c r="K6" s="174">
        <f>'PSUT_Data&amp;Method_2012'!H146</f>
        <v>0</v>
      </c>
      <c r="L6" s="174">
        <f>'PSUT_Data&amp;Method_2012'!H164</f>
        <v>0</v>
      </c>
      <c r="M6" s="174">
        <f>'PSUT_Data&amp;Method_2012'!H182</f>
        <v>0.06</v>
      </c>
      <c r="N6" s="174">
        <f>'PSUT_Data&amp;Method_2012'!H200</f>
        <v>0</v>
      </c>
      <c r="O6" s="174">
        <f>'PSUT_Data&amp;Method_2012'!H218</f>
        <v>0</v>
      </c>
      <c r="P6" s="174">
        <f>'PSUT_Data&amp;Method_2012'!H236</f>
        <v>0</v>
      </c>
      <c r="Q6" s="174">
        <f>'PSUT_Data&amp;Method_2012'!H254</f>
        <v>0</v>
      </c>
      <c r="R6" s="174">
        <f>'PSUT_Data&amp;Method_2012'!H272</f>
        <v>133.11539999999999</v>
      </c>
      <c r="S6" s="174">
        <f>'PSUT_Data&amp;Method_2012'!H290</f>
        <v>588.7795155737706</v>
      </c>
      <c r="T6" s="174">
        <f>'PSUT_Data&amp;Method_2012'!H308</f>
        <v>0</v>
      </c>
      <c r="U6" s="174">
        <f>'PSUT_Data&amp;Method_2012'!H326</f>
        <v>11.709600000000002</v>
      </c>
      <c r="V6" s="174">
        <f>'PSUT_Data&amp;Method_2012'!H344</f>
        <v>0</v>
      </c>
      <c r="W6" s="155">
        <f>SUM(C6:V6)</f>
        <v>13998421.908640916</v>
      </c>
      <c r="X6" s="174">
        <f>'PSUT_Data&amp;Method_2012'!H365</f>
        <v>40434.896439560478</v>
      </c>
      <c r="Y6" s="174">
        <f>'PSUT_Data&amp;Method_2012'!H383</f>
        <v>0</v>
      </c>
      <c r="Z6" s="160"/>
      <c r="AA6" s="158">
        <f>W6+X6+Y6</f>
        <v>14038856.805080475</v>
      </c>
      <c r="AB6" s="74"/>
    </row>
    <row r="7" spans="1:29" ht="12" customHeight="1" x14ac:dyDescent="0.2">
      <c r="A7" s="1763"/>
      <c r="B7" s="154" t="s">
        <v>23</v>
      </c>
      <c r="C7" s="167">
        <f>'PSUT_Data&amp;Method_2012'!H3</f>
        <v>13563380.505039312</v>
      </c>
      <c r="D7" s="171">
        <f>'PSUT_Data&amp;Method_2012'!H21</f>
        <v>22390.658857794173</v>
      </c>
      <c r="E7" s="171">
        <f>'PSUT_Data&amp;Method_2012'!H39</f>
        <v>23552.349916130941</v>
      </c>
      <c r="F7" s="171">
        <f>'PSUT_Data&amp;Method_2012'!H57</f>
        <v>335270.16889591428</v>
      </c>
      <c r="G7" s="171">
        <f>'PSUT_Data&amp;Method_2012'!H75</f>
        <v>3212.9127999999982</v>
      </c>
      <c r="H7" s="171">
        <f>'PSUT_Data&amp;Method_2012'!H93</f>
        <v>0</v>
      </c>
      <c r="I7" s="171">
        <f>'PSUT_Data&amp;Method_2012'!H111</f>
        <v>0</v>
      </c>
      <c r="J7" s="171">
        <f>'PSUT_Data&amp;Method_2012'!H129</f>
        <v>0</v>
      </c>
      <c r="K7" s="171">
        <f>'PSUT_Data&amp;Method_2012'!H147</f>
        <v>0</v>
      </c>
      <c r="L7" s="171">
        <f>'PSUT_Data&amp;Method_2012'!H165</f>
        <v>0</v>
      </c>
      <c r="M7" s="171">
        <f>'PSUT_Data&amp;Method_2012'!H183</f>
        <v>0.06</v>
      </c>
      <c r="N7" s="171">
        <f>'PSUT_Data&amp;Method_2012'!H201</f>
        <v>0</v>
      </c>
      <c r="O7" s="171">
        <f>'PSUT_Data&amp;Method_2012'!H219</f>
        <v>0</v>
      </c>
      <c r="P7" s="171">
        <f>'PSUT_Data&amp;Method_2012'!H237</f>
        <v>0</v>
      </c>
      <c r="Q7" s="171">
        <f>'PSUT_Data&amp;Method_2012'!H255</f>
        <v>0</v>
      </c>
      <c r="R7" s="171">
        <f>'PSUT_Data&amp;Method_2012'!H273</f>
        <v>133.11539999999999</v>
      </c>
      <c r="S7" s="171">
        <f>'PSUT_Data&amp;Method_2012'!H291</f>
        <v>588.7795155737706</v>
      </c>
      <c r="T7" s="171">
        <f>'PSUT_Data&amp;Method_2012'!H309</f>
        <v>0</v>
      </c>
      <c r="U7" s="171">
        <f>'PSUT_Data&amp;Method_2012'!H327</f>
        <v>11.709600000000002</v>
      </c>
      <c r="V7" s="171">
        <f>'PSUT_Data&amp;Method_2012'!H345</f>
        <v>0</v>
      </c>
      <c r="W7" s="142">
        <f t="shared" ref="W7:W23" si="0">SUM(C7:V7)</f>
        <v>13948540.260024725</v>
      </c>
      <c r="X7" s="171">
        <f>'PSUT_Data&amp;Method_2012'!H366</f>
        <v>40434.896439560478</v>
      </c>
      <c r="Y7" s="171">
        <f>'PSUT_Data&amp;Method_2012'!H384</f>
        <v>0</v>
      </c>
      <c r="Z7" s="76"/>
      <c r="AA7" s="143">
        <f t="shared" ref="AA7:AA23" si="1">W7+X7+Y7</f>
        <v>13988975.156464284</v>
      </c>
      <c r="AB7" s="74"/>
      <c r="AC7" s="75"/>
    </row>
    <row r="8" spans="1:29" ht="12" customHeight="1" x14ac:dyDescent="0.2">
      <c r="A8" s="1763"/>
      <c r="B8" s="150" t="s">
        <v>24</v>
      </c>
      <c r="C8" s="168">
        <f>'PSUT_Data&amp;Method_2012'!H4</f>
        <v>0</v>
      </c>
      <c r="D8" s="172">
        <f>'PSUT_Data&amp;Method_2012'!H22</f>
        <v>0</v>
      </c>
      <c r="E8" s="172">
        <f>'PSUT_Data&amp;Method_2012'!H40</f>
        <v>85.774999999999991</v>
      </c>
      <c r="F8" s="172">
        <f>'PSUT_Data&amp;Method_2012'!H58</f>
        <v>0</v>
      </c>
      <c r="G8" s="172">
        <f>'PSUT_Data&amp;Method_2012'!H76</f>
        <v>49795.873616190096</v>
      </c>
      <c r="H8" s="172">
        <f>'PSUT_Data&amp;Method_2012'!H94</f>
        <v>0</v>
      </c>
      <c r="I8" s="172">
        <f>'PSUT_Data&amp;Method_2012'!H112</f>
        <v>0</v>
      </c>
      <c r="J8" s="172">
        <f>'PSUT_Data&amp;Method_2012'!H130</f>
        <v>0</v>
      </c>
      <c r="K8" s="172">
        <f>'PSUT_Data&amp;Method_2012'!H148</f>
        <v>0</v>
      </c>
      <c r="L8" s="172">
        <f>'PSUT_Data&amp;Method_2012'!H166</f>
        <v>0</v>
      </c>
      <c r="M8" s="172">
        <f>'PSUT_Data&amp;Method_2012'!H184</f>
        <v>0</v>
      </c>
      <c r="N8" s="172">
        <f>'PSUT_Data&amp;Method_2012'!H202</f>
        <v>0</v>
      </c>
      <c r="O8" s="172">
        <f>'PSUT_Data&amp;Method_2012'!H220</f>
        <v>0</v>
      </c>
      <c r="P8" s="172">
        <f>'PSUT_Data&amp;Method_2012'!H238</f>
        <v>0</v>
      </c>
      <c r="Q8" s="172">
        <f>'PSUT_Data&amp;Method_2012'!H256</f>
        <v>0</v>
      </c>
      <c r="R8" s="172">
        <f>'PSUT_Data&amp;Method_2012'!H274</f>
        <v>0</v>
      </c>
      <c r="S8" s="172">
        <f>'PSUT_Data&amp;Method_2012'!H292</f>
        <v>0</v>
      </c>
      <c r="T8" s="172">
        <f>'PSUT_Data&amp;Method_2012'!H310</f>
        <v>0</v>
      </c>
      <c r="U8" s="172">
        <f>'PSUT_Data&amp;Method_2012'!H328</f>
        <v>0</v>
      </c>
      <c r="V8" s="172">
        <f>'PSUT_Data&amp;Method_2012'!H346</f>
        <v>0</v>
      </c>
      <c r="W8" s="149">
        <f t="shared" si="0"/>
        <v>49881.648616190098</v>
      </c>
      <c r="X8" s="172">
        <f>'PSUT_Data&amp;Method_2012'!H367</f>
        <v>0</v>
      </c>
      <c r="Y8" s="172">
        <f>'PSUT_Data&amp;Method_2012'!H385</f>
        <v>0</v>
      </c>
      <c r="Z8" s="76"/>
      <c r="AA8" s="143">
        <f t="shared" si="1"/>
        <v>49881.648616190098</v>
      </c>
      <c r="AB8" s="74"/>
      <c r="AC8" s="75"/>
    </row>
    <row r="9" spans="1:29" ht="12" customHeight="1" x14ac:dyDescent="0.2">
      <c r="A9" s="1763"/>
      <c r="B9" s="377" t="s">
        <v>141</v>
      </c>
      <c r="C9" s="170">
        <f>'PSUT_Data&amp;Method_2012'!H5</f>
        <v>13563380.505039312</v>
      </c>
      <c r="D9" s="174">
        <f>'PSUT_Data&amp;Method_2012'!H23</f>
        <v>22390.658857794173</v>
      </c>
      <c r="E9" s="174">
        <f>'PSUT_Data&amp;Method_2012'!H41</f>
        <v>23638.124916130942</v>
      </c>
      <c r="F9" s="174">
        <f>'PSUT_Data&amp;Method_2012'!H59</f>
        <v>335270.16889591428</v>
      </c>
      <c r="G9" s="174">
        <f>'PSUT_Data&amp;Method_2012'!H77</f>
        <v>53008.786416190094</v>
      </c>
      <c r="H9" s="174">
        <f>'PSUT_Data&amp;Method_2012'!H95</f>
        <v>0</v>
      </c>
      <c r="I9" s="174">
        <f>'PSUT_Data&amp;Method_2012'!H113</f>
        <v>0</v>
      </c>
      <c r="J9" s="174">
        <f>'PSUT_Data&amp;Method_2012'!H131</f>
        <v>0</v>
      </c>
      <c r="K9" s="174">
        <f>'PSUT_Data&amp;Method_2012'!H149</f>
        <v>0</v>
      </c>
      <c r="L9" s="174">
        <f>'PSUT_Data&amp;Method_2012'!H167</f>
        <v>0</v>
      </c>
      <c r="M9" s="174">
        <f>'PSUT_Data&amp;Method_2012'!H185</f>
        <v>0.06</v>
      </c>
      <c r="N9" s="174">
        <f>'PSUT_Data&amp;Method_2012'!H203</f>
        <v>0</v>
      </c>
      <c r="O9" s="174">
        <f>'PSUT_Data&amp;Method_2012'!H221</f>
        <v>0</v>
      </c>
      <c r="P9" s="174">
        <f>'PSUT_Data&amp;Method_2012'!H239</f>
        <v>0</v>
      </c>
      <c r="Q9" s="174">
        <f>'PSUT_Data&amp;Method_2012'!H257</f>
        <v>0</v>
      </c>
      <c r="R9" s="174">
        <f>'PSUT_Data&amp;Method_2012'!H275</f>
        <v>133.11539999999999</v>
      </c>
      <c r="S9" s="174">
        <f>'PSUT_Data&amp;Method_2012'!H293</f>
        <v>588.7795155737706</v>
      </c>
      <c r="T9" s="174">
        <f>'PSUT_Data&amp;Method_2012'!H311</f>
        <v>0</v>
      </c>
      <c r="U9" s="174">
        <f>'PSUT_Data&amp;Method_2012'!H329</f>
        <v>11.709600000000002</v>
      </c>
      <c r="V9" s="174">
        <f>'PSUT_Data&amp;Method_2012'!H347</f>
        <v>0</v>
      </c>
      <c r="W9" s="155">
        <f t="shared" si="0"/>
        <v>13998421.908640916</v>
      </c>
      <c r="X9" s="174">
        <f>'PSUT_Data&amp;Method_2012'!H368</f>
        <v>40434.896439560478</v>
      </c>
      <c r="Y9" s="174">
        <f>'PSUT_Data&amp;Method_2012'!H386</f>
        <v>0</v>
      </c>
      <c r="Z9" s="76"/>
      <c r="AA9" s="158">
        <f t="shared" si="1"/>
        <v>14038856.805080475</v>
      </c>
      <c r="AB9" s="74"/>
      <c r="AC9" s="75"/>
    </row>
    <row r="10" spans="1:29" ht="12" customHeight="1" x14ac:dyDescent="0.2">
      <c r="A10" s="1763"/>
      <c r="B10" s="378" t="s">
        <v>25</v>
      </c>
      <c r="C10" s="169">
        <f>'PSUT_Data&amp;Method_2012'!H6</f>
        <v>13562573.505039312</v>
      </c>
      <c r="D10" s="173">
        <f>'PSUT_Data&amp;Method_2012'!H24</f>
        <v>1030.8588577941744</v>
      </c>
      <c r="E10" s="173">
        <f>'PSUT_Data&amp;Method_2012'!H42</f>
        <v>23609.924916130942</v>
      </c>
      <c r="F10" s="173">
        <f>'PSUT_Data&amp;Method_2012'!H60</f>
        <v>335270.16889591428</v>
      </c>
      <c r="G10" s="173">
        <f>'PSUT_Data&amp;Method_2012'!H78</f>
        <v>53008.786416190094</v>
      </c>
      <c r="H10" s="173">
        <f>'PSUT_Data&amp;Method_2012'!H96</f>
        <v>0</v>
      </c>
      <c r="I10" s="173">
        <f>'PSUT_Data&amp;Method_2012'!H114</f>
        <v>0</v>
      </c>
      <c r="J10" s="173">
        <f>'PSUT_Data&amp;Method_2012'!H132</f>
        <v>0</v>
      </c>
      <c r="K10" s="173">
        <f>'PSUT_Data&amp;Method_2012'!H150</f>
        <v>0</v>
      </c>
      <c r="L10" s="173">
        <f>'PSUT_Data&amp;Method_2012'!H168</f>
        <v>0</v>
      </c>
      <c r="M10" s="173">
        <f>'PSUT_Data&amp;Method_2012'!H186</f>
        <v>0</v>
      </c>
      <c r="N10" s="173">
        <f>'PSUT_Data&amp;Method_2012'!H204</f>
        <v>0</v>
      </c>
      <c r="O10" s="173">
        <f>'PSUT_Data&amp;Method_2012'!H222</f>
        <v>0</v>
      </c>
      <c r="P10" s="173">
        <f>'PSUT_Data&amp;Method_2012'!H240</f>
        <v>0</v>
      </c>
      <c r="Q10" s="173">
        <f>'PSUT_Data&amp;Method_2012'!H258</f>
        <v>0</v>
      </c>
      <c r="R10" s="173">
        <f>'PSUT_Data&amp;Method_2012'!H276</f>
        <v>133.11539999999999</v>
      </c>
      <c r="S10" s="173">
        <f>'PSUT_Data&amp;Method_2012'!H294</f>
        <v>90.790815573770487</v>
      </c>
      <c r="T10" s="173">
        <f>'PSUT_Data&amp;Method_2012'!H312</f>
        <v>0</v>
      </c>
      <c r="U10" s="173">
        <f>'PSUT_Data&amp;Method_2012'!H330</f>
        <v>2.0736000000000003</v>
      </c>
      <c r="V10" s="173">
        <f>'PSUT_Data&amp;Method_2012'!H348</f>
        <v>0</v>
      </c>
      <c r="W10" s="82">
        <f>SUM(C10:V10)</f>
        <v>13975719.223940914</v>
      </c>
      <c r="X10" s="173">
        <f>'PSUT_Data&amp;Method_2012'!H369</f>
        <v>39884.896439560478</v>
      </c>
      <c r="Y10" s="173">
        <f>'PSUT_Data&amp;Method_2012'!H387</f>
        <v>0</v>
      </c>
      <c r="Z10" s="76"/>
      <c r="AA10" s="158">
        <f>W10+X10+Y10</f>
        <v>14015604.120380474</v>
      </c>
      <c r="AB10" s="74"/>
      <c r="AC10" s="75"/>
    </row>
    <row r="11" spans="1:29" ht="12" customHeight="1" x14ac:dyDescent="0.2">
      <c r="A11" s="1763"/>
      <c r="B11" s="379" t="s">
        <v>26</v>
      </c>
      <c r="C11" s="170">
        <f>'PSUT_Data&amp;Method_2012'!H7</f>
        <v>189335.69415585385</v>
      </c>
      <c r="D11" s="174">
        <f>'PSUT_Data&amp;Method_2012'!H25</f>
        <v>967.07072779417433</v>
      </c>
      <c r="E11" s="174">
        <f>'PSUT_Data&amp;Method_2012'!H43</f>
        <v>14844.847980982084</v>
      </c>
      <c r="F11" s="174">
        <f>'PSUT_Data&amp;Method_2012'!H61</f>
        <v>335270.16889591428</v>
      </c>
      <c r="G11" s="174">
        <f>'PSUT_Data&amp;Method_2012'!H79</f>
        <v>41023.930895441081</v>
      </c>
      <c r="H11" s="174">
        <f>'PSUT_Data&amp;Method_2012'!H97</f>
        <v>0</v>
      </c>
      <c r="I11" s="174">
        <f>'PSUT_Data&amp;Method_2012'!H115</f>
        <v>0</v>
      </c>
      <c r="J11" s="174">
        <f>'PSUT_Data&amp;Method_2012'!H133</f>
        <v>0</v>
      </c>
      <c r="K11" s="174">
        <f>'PSUT_Data&amp;Method_2012'!H151</f>
        <v>0</v>
      </c>
      <c r="L11" s="174">
        <f>'PSUT_Data&amp;Method_2012'!H169</f>
        <v>0</v>
      </c>
      <c r="M11" s="174">
        <f>'PSUT_Data&amp;Method_2012'!H187</f>
        <v>0</v>
      </c>
      <c r="N11" s="174">
        <f>'PSUT_Data&amp;Method_2012'!H205</f>
        <v>0</v>
      </c>
      <c r="O11" s="174">
        <f>'PSUT_Data&amp;Method_2012'!H223</f>
        <v>0</v>
      </c>
      <c r="P11" s="174">
        <f>'PSUT_Data&amp;Method_2012'!H241</f>
        <v>0</v>
      </c>
      <c r="Q11" s="174">
        <f>'PSUT_Data&amp;Method_2012'!H259</f>
        <v>0</v>
      </c>
      <c r="R11" s="174">
        <f>'PSUT_Data&amp;Method_2012'!H277</f>
        <v>0</v>
      </c>
      <c r="S11" s="174">
        <f>'PSUT_Data&amp;Method_2012'!H295</f>
        <v>0</v>
      </c>
      <c r="T11" s="174">
        <f>'PSUT_Data&amp;Method_2012'!H313</f>
        <v>0</v>
      </c>
      <c r="U11" s="174">
        <f>'PSUT_Data&amp;Method_2012'!H331</f>
        <v>2.0736000000000003</v>
      </c>
      <c r="V11" s="174">
        <f>'PSUT_Data&amp;Method_2012'!H349</f>
        <v>0</v>
      </c>
      <c r="W11" s="138">
        <f t="shared" si="0"/>
        <v>581443.7862559855</v>
      </c>
      <c r="X11" s="174">
        <f>'PSUT_Data&amp;Method_2012'!H370</f>
        <v>11301.441449073298</v>
      </c>
      <c r="Y11" s="174">
        <f>'PSUT_Data&amp;Method_2012'!H388</f>
        <v>0</v>
      </c>
      <c r="Z11" s="76"/>
      <c r="AA11" s="143">
        <f>W11+X11+Y11</f>
        <v>592745.22770505876</v>
      </c>
      <c r="AB11" s="74"/>
      <c r="AC11" s="75"/>
    </row>
    <row r="12" spans="1:29" ht="12" customHeight="1" x14ac:dyDescent="0.2">
      <c r="A12" s="1763"/>
      <c r="B12" s="152" t="s">
        <v>27</v>
      </c>
      <c r="C12" s="167">
        <f>'PSUT_Data&amp;Method_2012'!H8</f>
        <v>13252.297238757075</v>
      </c>
      <c r="D12" s="171">
        <f>'PSUT_Data&amp;Method_2012'!H26</f>
        <v>0</v>
      </c>
      <c r="E12" s="171">
        <f>'PSUT_Data&amp;Method_2012'!H44</f>
        <v>0</v>
      </c>
      <c r="F12" s="171">
        <f>'PSUT_Data&amp;Method_2012'!H62</f>
        <v>0</v>
      </c>
      <c r="G12" s="171">
        <f>'PSUT_Data&amp;Method_2012'!H80</f>
        <v>0</v>
      </c>
      <c r="H12" s="171">
        <f>'PSUT_Data&amp;Method_2012'!H98</f>
        <v>0</v>
      </c>
      <c r="I12" s="171">
        <f>'PSUT_Data&amp;Method_2012'!H116</f>
        <v>0</v>
      </c>
      <c r="J12" s="171">
        <f>'PSUT_Data&amp;Method_2012'!H134</f>
        <v>0</v>
      </c>
      <c r="K12" s="171">
        <f>'PSUT_Data&amp;Method_2012'!H152</f>
        <v>0</v>
      </c>
      <c r="L12" s="171">
        <f>'PSUT_Data&amp;Method_2012'!H170</f>
        <v>0</v>
      </c>
      <c r="M12" s="171">
        <f>'PSUT_Data&amp;Method_2012'!H188</f>
        <v>0</v>
      </c>
      <c r="N12" s="171">
        <f>'PSUT_Data&amp;Method_2012'!H206</f>
        <v>0</v>
      </c>
      <c r="O12" s="171">
        <f>'PSUT_Data&amp;Method_2012'!H224</f>
        <v>0</v>
      </c>
      <c r="P12" s="171">
        <f>'PSUT_Data&amp;Method_2012'!H242</f>
        <v>0</v>
      </c>
      <c r="Q12" s="171">
        <f>'PSUT_Data&amp;Method_2012'!H260</f>
        <v>0</v>
      </c>
      <c r="R12" s="171">
        <f>'PSUT_Data&amp;Method_2012'!H278</f>
        <v>0</v>
      </c>
      <c r="S12" s="171">
        <f>'PSUT_Data&amp;Method_2012'!H296</f>
        <v>0</v>
      </c>
      <c r="T12" s="171">
        <f>'PSUT_Data&amp;Method_2012'!H314</f>
        <v>0</v>
      </c>
      <c r="U12" s="171">
        <f>'PSUT_Data&amp;Method_2012'!H332</f>
        <v>0</v>
      </c>
      <c r="V12" s="171">
        <f>'PSUT_Data&amp;Method_2012'!H350</f>
        <v>0</v>
      </c>
      <c r="W12" s="142">
        <f t="shared" si="0"/>
        <v>13252.297238757075</v>
      </c>
      <c r="X12" s="171">
        <f>'PSUT_Data&amp;Method_2012'!H371</f>
        <v>5040</v>
      </c>
      <c r="Y12" s="171">
        <f>'PSUT_Data&amp;Method_2012'!H389</f>
        <v>0</v>
      </c>
      <c r="Z12" s="76"/>
      <c r="AA12" s="143">
        <f t="shared" si="1"/>
        <v>18292.297238757077</v>
      </c>
      <c r="AB12" s="74"/>
      <c r="AC12" s="75"/>
    </row>
    <row r="13" spans="1:29" ht="12" customHeight="1" x14ac:dyDescent="0.2">
      <c r="A13" s="1763"/>
      <c r="B13" s="144" t="s">
        <v>28</v>
      </c>
      <c r="C13" s="169">
        <f>'PSUT_Data&amp;Method_2012'!H9</f>
        <v>109804.74854970146</v>
      </c>
      <c r="D13" s="173">
        <f>'PSUT_Data&amp;Method_2012'!H27</f>
        <v>967.07072779417433</v>
      </c>
      <c r="E13" s="173">
        <f>'PSUT_Data&amp;Method_2012'!H45</f>
        <v>11482.404943443362</v>
      </c>
      <c r="F13" s="173">
        <f>'PSUT_Data&amp;Method_2012'!H63</f>
        <v>145951.63691367037</v>
      </c>
      <c r="G13" s="173">
        <f>'PSUT_Data&amp;Method_2012'!H81</f>
        <v>41023.930895441081</v>
      </c>
      <c r="H13" s="173">
        <f>'PSUT_Data&amp;Method_2012'!H99</f>
        <v>0</v>
      </c>
      <c r="I13" s="173">
        <f>'PSUT_Data&amp;Method_2012'!H117</f>
        <v>0</v>
      </c>
      <c r="J13" s="173">
        <f>'PSUT_Data&amp;Method_2012'!H135</f>
        <v>0</v>
      </c>
      <c r="K13" s="173">
        <f>'PSUT_Data&amp;Method_2012'!H153</f>
        <v>0</v>
      </c>
      <c r="L13" s="173">
        <f>'PSUT_Data&amp;Method_2012'!H171</f>
        <v>0</v>
      </c>
      <c r="M13" s="173">
        <f>'PSUT_Data&amp;Method_2012'!H189</f>
        <v>0</v>
      </c>
      <c r="N13" s="173">
        <f>'PSUT_Data&amp;Method_2012'!H207</f>
        <v>0</v>
      </c>
      <c r="O13" s="173">
        <f>'PSUT_Data&amp;Method_2012'!H225</f>
        <v>0</v>
      </c>
      <c r="P13" s="173">
        <f>'PSUT_Data&amp;Method_2012'!H243</f>
        <v>0</v>
      </c>
      <c r="Q13" s="173">
        <f>'PSUT_Data&amp;Method_2012'!H261</f>
        <v>0</v>
      </c>
      <c r="R13" s="173">
        <f>'PSUT_Data&amp;Method_2012'!H279</f>
        <v>0</v>
      </c>
      <c r="S13" s="173">
        <f>'PSUT_Data&amp;Method_2012'!H297</f>
        <v>0</v>
      </c>
      <c r="T13" s="173">
        <f>'PSUT_Data&amp;Method_2012'!H315</f>
        <v>0</v>
      </c>
      <c r="U13" s="173">
        <f>'PSUT_Data&amp;Method_2012'!H333</f>
        <v>2.0736000000000003</v>
      </c>
      <c r="V13" s="173">
        <f>'PSUT_Data&amp;Method_2012'!H351</f>
        <v>0</v>
      </c>
      <c r="W13" s="140">
        <f t="shared" si="0"/>
        <v>309231.86563005042</v>
      </c>
      <c r="X13" s="173">
        <f>'PSUT_Data&amp;Method_2012'!H372</f>
        <v>5116</v>
      </c>
      <c r="Y13" s="173">
        <f>'PSUT_Data&amp;Method_2012'!H390</f>
        <v>0</v>
      </c>
      <c r="Z13" s="76"/>
      <c r="AA13" s="143">
        <f t="shared" si="1"/>
        <v>314347.86563005042</v>
      </c>
      <c r="AB13" s="74"/>
      <c r="AC13" s="75"/>
    </row>
    <row r="14" spans="1:29" ht="12" customHeight="1" x14ac:dyDescent="0.2">
      <c r="A14" s="1763"/>
      <c r="B14" s="144" t="s">
        <v>29</v>
      </c>
      <c r="C14" s="169">
        <f>'PSUT_Data&amp;Method_2012'!H10</f>
        <v>47346.795169170924</v>
      </c>
      <c r="D14" s="173">
        <f>'PSUT_Data&amp;Method_2012'!H28</f>
        <v>0</v>
      </c>
      <c r="E14" s="173">
        <f>'PSUT_Data&amp;Method_2012'!H46</f>
        <v>0</v>
      </c>
      <c r="F14" s="173">
        <f>'PSUT_Data&amp;Method_2012'!H64</f>
        <v>189318.53198224391</v>
      </c>
      <c r="G14" s="173">
        <f>'PSUT_Data&amp;Method_2012'!H82</f>
        <v>0</v>
      </c>
      <c r="H14" s="173">
        <f>'PSUT_Data&amp;Method_2012'!H100</f>
        <v>0</v>
      </c>
      <c r="I14" s="173">
        <f>'PSUT_Data&amp;Method_2012'!H118</f>
        <v>0</v>
      </c>
      <c r="J14" s="173">
        <f>'PSUT_Data&amp;Method_2012'!H136</f>
        <v>0</v>
      </c>
      <c r="K14" s="173">
        <f>'PSUT_Data&amp;Method_2012'!H154</f>
        <v>0</v>
      </c>
      <c r="L14" s="173">
        <f>'PSUT_Data&amp;Method_2012'!H172</f>
        <v>0</v>
      </c>
      <c r="M14" s="173">
        <f>'PSUT_Data&amp;Method_2012'!H190</f>
        <v>0</v>
      </c>
      <c r="N14" s="173">
        <f>'PSUT_Data&amp;Method_2012'!H208</f>
        <v>0</v>
      </c>
      <c r="O14" s="173">
        <f>'PSUT_Data&amp;Method_2012'!H226</f>
        <v>0</v>
      </c>
      <c r="P14" s="173">
        <f>'PSUT_Data&amp;Method_2012'!H244</f>
        <v>0</v>
      </c>
      <c r="Q14" s="173">
        <f>'PSUT_Data&amp;Method_2012'!H262</f>
        <v>0</v>
      </c>
      <c r="R14" s="173">
        <f>'PSUT_Data&amp;Method_2012'!H280</f>
        <v>0</v>
      </c>
      <c r="S14" s="173">
        <f>'PSUT_Data&amp;Method_2012'!H298</f>
        <v>0</v>
      </c>
      <c r="T14" s="173">
        <f>'PSUT_Data&amp;Method_2012'!H316</f>
        <v>0</v>
      </c>
      <c r="U14" s="173">
        <f>'PSUT_Data&amp;Method_2012'!H334</f>
        <v>0</v>
      </c>
      <c r="V14" s="173">
        <f>'PSUT_Data&amp;Method_2012'!H352</f>
        <v>0</v>
      </c>
      <c r="W14" s="140">
        <f t="shared" si="0"/>
        <v>236665.32715141482</v>
      </c>
      <c r="X14" s="173">
        <f>'PSUT_Data&amp;Method_2012'!H373</f>
        <v>11.441449073297617</v>
      </c>
      <c r="Y14" s="173">
        <f>'PSUT_Data&amp;Method_2012'!H391</f>
        <v>0</v>
      </c>
      <c r="Z14" s="76"/>
      <c r="AA14" s="143">
        <f t="shared" si="1"/>
        <v>236676.76860048811</v>
      </c>
      <c r="AB14" s="74"/>
      <c r="AC14" s="75"/>
    </row>
    <row r="15" spans="1:29" ht="24" customHeight="1" x14ac:dyDescent="0.2">
      <c r="A15" s="1763"/>
      <c r="B15" s="145" t="s">
        <v>30</v>
      </c>
      <c r="C15" s="168">
        <f>'PSUT_Data&amp;Method_2012'!H11</f>
        <v>18931.853198224391</v>
      </c>
      <c r="D15" s="172">
        <f>'PSUT_Data&amp;Method_2012'!H29</f>
        <v>0</v>
      </c>
      <c r="E15" s="172">
        <f>'PSUT_Data&amp;Method_2012'!H47</f>
        <v>3362.4430375387224</v>
      </c>
      <c r="F15" s="172">
        <f>'PSUT_Data&amp;Method_2012'!H65</f>
        <v>0</v>
      </c>
      <c r="G15" s="172">
        <f>'PSUT_Data&amp;Method_2012'!H83</f>
        <v>0</v>
      </c>
      <c r="H15" s="172">
        <f>'PSUT_Data&amp;Method_2012'!H101</f>
        <v>0</v>
      </c>
      <c r="I15" s="172">
        <f>'PSUT_Data&amp;Method_2012'!H119</f>
        <v>0</v>
      </c>
      <c r="J15" s="172">
        <f>'PSUT_Data&amp;Method_2012'!H137</f>
        <v>0</v>
      </c>
      <c r="K15" s="172">
        <f>'PSUT_Data&amp;Method_2012'!H155</f>
        <v>0</v>
      </c>
      <c r="L15" s="172">
        <f>'PSUT_Data&amp;Method_2012'!H173</f>
        <v>0</v>
      </c>
      <c r="M15" s="172">
        <f>'PSUT_Data&amp;Method_2012'!H191</f>
        <v>0</v>
      </c>
      <c r="N15" s="172">
        <f>'PSUT_Data&amp;Method_2012'!H209</f>
        <v>0</v>
      </c>
      <c r="O15" s="172">
        <f>'PSUT_Data&amp;Method_2012'!H227</f>
        <v>0</v>
      </c>
      <c r="P15" s="172">
        <f>'PSUT_Data&amp;Method_2012'!H245</f>
        <v>0</v>
      </c>
      <c r="Q15" s="172">
        <f>'PSUT_Data&amp;Method_2012'!H263</f>
        <v>0</v>
      </c>
      <c r="R15" s="172">
        <f>'PSUT_Data&amp;Method_2012'!H281</f>
        <v>0</v>
      </c>
      <c r="S15" s="172">
        <f>'PSUT_Data&amp;Method_2012'!H299</f>
        <v>0</v>
      </c>
      <c r="T15" s="172">
        <f>'PSUT_Data&amp;Method_2012'!H317</f>
        <v>0</v>
      </c>
      <c r="U15" s="172">
        <f>'PSUT_Data&amp;Method_2012'!H335</f>
        <v>0</v>
      </c>
      <c r="V15" s="172">
        <f>'PSUT_Data&amp;Method_2012'!H353</f>
        <v>0</v>
      </c>
      <c r="W15" s="149">
        <f t="shared" si="0"/>
        <v>22294.296235763115</v>
      </c>
      <c r="X15" s="172">
        <f>'PSUT_Data&amp;Method_2012'!H374</f>
        <v>1134</v>
      </c>
      <c r="Y15" s="172">
        <f>'PSUT_Data&amp;Method_2012'!H392</f>
        <v>0</v>
      </c>
      <c r="Z15" s="76"/>
      <c r="AA15" s="143">
        <f t="shared" si="1"/>
        <v>23428.296235763115</v>
      </c>
      <c r="AB15" s="74"/>
      <c r="AC15" s="75"/>
    </row>
    <row r="16" spans="1:29" ht="12" customHeight="1" x14ac:dyDescent="0.2">
      <c r="A16" s="1763"/>
      <c r="B16" s="1042" t="s">
        <v>31</v>
      </c>
      <c r="C16" s="170">
        <f>'PSUT_Data&amp;Method_2012'!H12</f>
        <v>13829.735230138118</v>
      </c>
      <c r="D16" s="174">
        <f>'PSUT_Data&amp;Method_2012'!H30</f>
        <v>63.788130000000002</v>
      </c>
      <c r="E16" s="174">
        <f>'PSUT_Data&amp;Method_2012'!H48</f>
        <v>8765.0769351488561</v>
      </c>
      <c r="F16" s="174">
        <f>'PSUT_Data&amp;Method_2012'!H66</f>
        <v>0</v>
      </c>
      <c r="G16" s="174">
        <f>'PSUT_Data&amp;Method_2012'!H84</f>
        <v>11984.855520749015</v>
      </c>
      <c r="H16" s="174">
        <f>'PSUT_Data&amp;Method_2012'!H102</f>
        <v>0</v>
      </c>
      <c r="I16" s="174">
        <f>'PSUT_Data&amp;Method_2012'!H120</f>
        <v>0</v>
      </c>
      <c r="J16" s="174">
        <f>'PSUT_Data&amp;Method_2012'!H138</f>
        <v>0</v>
      </c>
      <c r="K16" s="174">
        <f>'PSUT_Data&amp;Method_2012'!H156</f>
        <v>0</v>
      </c>
      <c r="L16" s="174">
        <f>'PSUT_Data&amp;Method_2012'!H174</f>
        <v>0</v>
      </c>
      <c r="M16" s="174">
        <f>'PSUT_Data&amp;Method_2012'!H192</f>
        <v>0</v>
      </c>
      <c r="N16" s="174">
        <f>'PSUT_Data&amp;Method_2012'!H210</f>
        <v>0</v>
      </c>
      <c r="O16" s="174">
        <f>'PSUT_Data&amp;Method_2012'!H228</f>
        <v>0</v>
      </c>
      <c r="P16" s="174">
        <f>'PSUT_Data&amp;Method_2012'!H246</f>
        <v>0</v>
      </c>
      <c r="Q16" s="174">
        <f>'PSUT_Data&amp;Method_2012'!H264</f>
        <v>0</v>
      </c>
      <c r="R16" s="174">
        <f>'PSUT_Data&amp;Method_2012'!H282</f>
        <v>133.11539999999999</v>
      </c>
      <c r="S16" s="174">
        <f>'PSUT_Data&amp;Method_2012'!H300</f>
        <v>90.790815573770487</v>
      </c>
      <c r="T16" s="174">
        <f>'PSUT_Data&amp;Method_2012'!H318</f>
        <v>0</v>
      </c>
      <c r="U16" s="174">
        <f>'PSUT_Data&amp;Method_2012'!H336</f>
        <v>0</v>
      </c>
      <c r="V16" s="174">
        <f>'PSUT_Data&amp;Method_2012'!H354</f>
        <v>0</v>
      </c>
      <c r="W16" s="138">
        <f t="shared" si="0"/>
        <v>34867.362031609759</v>
      </c>
      <c r="X16" s="174">
        <f>'PSUT_Data&amp;Method_2012'!H375</f>
        <v>28583.454990487178</v>
      </c>
      <c r="Y16" s="383">
        <f>'PSUT_Data&amp;Method_2012'!H393</f>
        <v>0</v>
      </c>
      <c r="Z16" s="76"/>
      <c r="AA16" s="143">
        <f>W16+X16+Y16</f>
        <v>63450.817022096933</v>
      </c>
      <c r="AB16" s="74"/>
      <c r="AC16" s="75"/>
    </row>
    <row r="17" spans="1:29" ht="12" customHeight="1" x14ac:dyDescent="0.2">
      <c r="A17" s="1763"/>
      <c r="B17" s="144" t="s">
        <v>461</v>
      </c>
      <c r="C17" s="382">
        <f>'PSUT_Data&amp;Method_2012'!H13</f>
        <v>4243.3496924999999</v>
      </c>
      <c r="D17" s="173">
        <f>'PSUT_Data&amp;Method_2012'!H31</f>
        <v>0</v>
      </c>
      <c r="E17" s="173">
        <f>'PSUT_Data&amp;Method_2012'!H49</f>
        <v>3249.3012013242487</v>
      </c>
      <c r="F17" s="173">
        <f>'PSUT_Data&amp;Method_2012'!H67</f>
        <v>0</v>
      </c>
      <c r="G17" s="173">
        <f>'PSUT_Data&amp;Method_2012'!H85</f>
        <v>0</v>
      </c>
      <c r="H17" s="173">
        <f>'PSUT_Data&amp;Method_2012'!H103</f>
        <v>0</v>
      </c>
      <c r="I17" s="173">
        <f>'PSUT_Data&amp;Method_2012'!H121</f>
        <v>0</v>
      </c>
      <c r="J17" s="173">
        <f>'PSUT_Data&amp;Method_2012'!H139</f>
        <v>0</v>
      </c>
      <c r="K17" s="173">
        <f>'PSUT_Data&amp;Method_2012'!H157</f>
        <v>0</v>
      </c>
      <c r="L17" s="173">
        <f>'PSUT_Data&amp;Method_2012'!H175</f>
        <v>0</v>
      </c>
      <c r="M17" s="173">
        <f>'PSUT_Data&amp;Method_2012'!H193</f>
        <v>0</v>
      </c>
      <c r="N17" s="173">
        <f>'PSUT_Data&amp;Method_2012'!H211</f>
        <v>0</v>
      </c>
      <c r="O17" s="173">
        <f>'PSUT_Data&amp;Method_2012'!H229</f>
        <v>0</v>
      </c>
      <c r="P17" s="173">
        <f>'PSUT_Data&amp;Method_2012'!H247</f>
        <v>0</v>
      </c>
      <c r="Q17" s="173">
        <f>'PSUT_Data&amp;Method_2012'!H265</f>
        <v>0</v>
      </c>
      <c r="R17" s="173">
        <f>'PSUT_Data&amp;Method_2012'!H283</f>
        <v>126.45962999999999</v>
      </c>
      <c r="S17" s="173">
        <f>'PSUT_Data&amp;Method_2012'!H301</f>
        <v>18.1581631147541</v>
      </c>
      <c r="T17" s="173">
        <f>'PSUT_Data&amp;Method_2012'!H319</f>
        <v>0</v>
      </c>
      <c r="U17" s="173">
        <f>'PSUT_Data&amp;Method_2012'!H337</f>
        <v>0</v>
      </c>
      <c r="V17" s="173">
        <f>'PSUT_Data&amp;Method_2012'!H355</f>
        <v>0</v>
      </c>
      <c r="W17" s="140">
        <f t="shared" si="0"/>
        <v>7637.2686869390027</v>
      </c>
      <c r="X17" s="173">
        <f>'PSUT_Data&amp;Method_2012'!H376</f>
        <v>3658.8525926280699</v>
      </c>
      <c r="Y17" s="173">
        <f>'PSUT_Data&amp;Method_2012'!H394</f>
        <v>0</v>
      </c>
      <c r="Z17" s="76"/>
      <c r="AA17" s="143">
        <f>W17+X17+Y17</f>
        <v>11296.121279567073</v>
      </c>
      <c r="AB17" s="74"/>
      <c r="AC17" s="75"/>
    </row>
    <row r="18" spans="1:29" ht="12" customHeight="1" x14ac:dyDescent="0.2">
      <c r="A18" s="1763"/>
      <c r="B18" s="144" t="s">
        <v>462</v>
      </c>
      <c r="C18" s="382">
        <f>'PSUT_Data&amp;Method_2012'!H14</f>
        <v>9586.385537638118</v>
      </c>
      <c r="D18" s="173">
        <f>'PSUT_Data&amp;Method_2012'!H32</f>
        <v>63.788130000000002</v>
      </c>
      <c r="E18" s="173">
        <f>'PSUT_Data&amp;Method_2012'!H50</f>
        <v>5515.7757338246083</v>
      </c>
      <c r="F18" s="173">
        <f>'PSUT_Data&amp;Method_2012'!H68</f>
        <v>0</v>
      </c>
      <c r="G18" s="173">
        <f>'PSUT_Data&amp;Method_2012'!H86</f>
        <v>11984.855520749015</v>
      </c>
      <c r="H18" s="173">
        <f>'PSUT_Data&amp;Method_2012'!H104</f>
        <v>0</v>
      </c>
      <c r="I18" s="173">
        <f>'PSUT_Data&amp;Method_2012'!H122</f>
        <v>0</v>
      </c>
      <c r="J18" s="173">
        <f>'PSUT_Data&amp;Method_2012'!H140</f>
        <v>0</v>
      </c>
      <c r="K18" s="173">
        <f>'PSUT_Data&amp;Method_2012'!H158</f>
        <v>0</v>
      </c>
      <c r="L18" s="173">
        <f>'PSUT_Data&amp;Method_2012'!H176</f>
        <v>0</v>
      </c>
      <c r="M18" s="173">
        <f>'PSUT_Data&amp;Method_2012'!H194</f>
        <v>0</v>
      </c>
      <c r="N18" s="173">
        <f>'PSUT_Data&amp;Method_2012'!H212</f>
        <v>0</v>
      </c>
      <c r="O18" s="173">
        <f>'PSUT_Data&amp;Method_2012'!H230</f>
        <v>0</v>
      </c>
      <c r="P18" s="173">
        <f>'PSUT_Data&amp;Method_2012'!H248</f>
        <v>0</v>
      </c>
      <c r="Q18" s="173">
        <f>'PSUT_Data&amp;Method_2012'!H266</f>
        <v>0</v>
      </c>
      <c r="R18" s="173">
        <f>'PSUT_Data&amp;Method_2012'!H284</f>
        <v>6.6557700000000004</v>
      </c>
      <c r="S18" s="173">
        <f>'PSUT_Data&amp;Method_2012'!H302</f>
        <v>72.632652459016398</v>
      </c>
      <c r="T18" s="173">
        <f>'PSUT_Data&amp;Method_2012'!H320</f>
        <v>0</v>
      </c>
      <c r="U18" s="173">
        <f>'PSUT_Data&amp;Method_2012'!H338</f>
        <v>0</v>
      </c>
      <c r="V18" s="173">
        <f>'PSUT_Data&amp;Method_2012'!H356</f>
        <v>0</v>
      </c>
      <c r="W18" s="140">
        <f t="shared" si="0"/>
        <v>27230.093344670757</v>
      </c>
      <c r="X18" s="173">
        <f>'PSUT_Data&amp;Method_2012'!H377</f>
        <v>24924.602397859107</v>
      </c>
      <c r="Y18" s="173">
        <f>'PSUT_Data&amp;Method_2012'!H395</f>
        <v>0</v>
      </c>
      <c r="Z18" s="76"/>
      <c r="AA18" s="143">
        <f>W18+X18+Y18</f>
        <v>52154.695742529861</v>
      </c>
      <c r="AB18" s="74"/>
      <c r="AC18" s="75"/>
    </row>
    <row r="19" spans="1:29" ht="12" customHeight="1" x14ac:dyDescent="0.2">
      <c r="A19" s="1763"/>
      <c r="B19" s="1042" t="s">
        <v>32</v>
      </c>
      <c r="C19" s="170">
        <f>'PSUT_Data&amp;Method_2012'!H15</f>
        <v>13359408.07565332</v>
      </c>
      <c r="D19" s="174">
        <f>'PSUT_Data&amp;Method_2012'!H33</f>
        <v>0</v>
      </c>
      <c r="E19" s="174">
        <f>'PSUT_Data&amp;Method_2012'!H51</f>
        <v>0</v>
      </c>
      <c r="F19" s="174">
        <f>'PSUT_Data&amp;Method_2012'!H69</f>
        <v>0</v>
      </c>
      <c r="G19" s="174">
        <f>'PSUT_Data&amp;Method_2012'!H87</f>
        <v>0</v>
      </c>
      <c r="H19" s="174">
        <f>'PSUT_Data&amp;Method_2012'!H105</f>
        <v>0</v>
      </c>
      <c r="I19" s="174">
        <f>'PSUT_Data&amp;Method_2012'!H123</f>
        <v>0</v>
      </c>
      <c r="J19" s="174">
        <f>'PSUT_Data&amp;Method_2012'!H141</f>
        <v>0</v>
      </c>
      <c r="K19" s="174">
        <f>'PSUT_Data&amp;Method_2012'!H159</f>
        <v>0</v>
      </c>
      <c r="L19" s="174">
        <f>'PSUT_Data&amp;Method_2012'!H177</f>
        <v>0</v>
      </c>
      <c r="M19" s="174">
        <f>'PSUT_Data&amp;Method_2012'!H195</f>
        <v>0</v>
      </c>
      <c r="N19" s="174">
        <f>'PSUT_Data&amp;Method_2012'!H213</f>
        <v>0</v>
      </c>
      <c r="O19" s="174">
        <f>'PSUT_Data&amp;Method_2012'!H231</f>
        <v>0</v>
      </c>
      <c r="P19" s="174">
        <f>'PSUT_Data&amp;Method_2012'!H249</f>
        <v>0</v>
      </c>
      <c r="Q19" s="174">
        <f>'PSUT_Data&amp;Method_2012'!H267</f>
        <v>0</v>
      </c>
      <c r="R19" s="174">
        <f>'PSUT_Data&amp;Method_2012'!H285</f>
        <v>0</v>
      </c>
      <c r="S19" s="174">
        <f>'PSUT_Data&amp;Method_2012'!H303</f>
        <v>0</v>
      </c>
      <c r="T19" s="174">
        <f>'PSUT_Data&amp;Method_2012'!H321</f>
        <v>0</v>
      </c>
      <c r="U19" s="174">
        <f>'PSUT_Data&amp;Method_2012'!H339</f>
        <v>0</v>
      </c>
      <c r="V19" s="174">
        <f>'PSUT_Data&amp;Method_2012'!H357</f>
        <v>0</v>
      </c>
      <c r="W19" s="138">
        <f t="shared" si="0"/>
        <v>13359408.07565332</v>
      </c>
      <c r="X19" s="174">
        <f>'PSUT_Data&amp;Method_2012'!H378</f>
        <v>0</v>
      </c>
      <c r="Y19" s="383">
        <f>'PSUT_Data&amp;Method_2012'!H396</f>
        <v>0</v>
      </c>
      <c r="Z19" s="76"/>
      <c r="AA19" s="143">
        <f t="shared" si="1"/>
        <v>13359408.07565332</v>
      </c>
      <c r="AB19" s="74"/>
      <c r="AC19" s="75"/>
    </row>
    <row r="20" spans="1:29" ht="12" customHeight="1" x14ac:dyDescent="0.2">
      <c r="A20" s="1763"/>
      <c r="B20" s="380" t="s">
        <v>33</v>
      </c>
      <c r="C20" s="167">
        <f>'PSUT_Data&amp;Method_2012'!H16</f>
        <v>807</v>
      </c>
      <c r="D20" s="171">
        <f>'PSUT_Data&amp;Method_2012'!H34</f>
        <v>21359.8</v>
      </c>
      <c r="E20" s="171">
        <f>'PSUT_Data&amp;Method_2012'!H52</f>
        <v>28.2</v>
      </c>
      <c r="F20" s="171">
        <f>'PSUT_Data&amp;Method_2012'!H70</f>
        <v>0</v>
      </c>
      <c r="G20" s="171">
        <f>'PSUT_Data&amp;Method_2012'!H88</f>
        <v>0</v>
      </c>
      <c r="H20" s="171">
        <f>'PSUT_Data&amp;Method_2012'!H106</f>
        <v>0</v>
      </c>
      <c r="I20" s="171">
        <f>'PSUT_Data&amp;Method_2012'!H124</f>
        <v>0</v>
      </c>
      <c r="J20" s="171">
        <f>'PSUT_Data&amp;Method_2012'!H142</f>
        <v>0</v>
      </c>
      <c r="K20" s="171">
        <f>'PSUT_Data&amp;Method_2012'!H160</f>
        <v>0</v>
      </c>
      <c r="L20" s="171">
        <f>'PSUT_Data&amp;Method_2012'!H178</f>
        <v>0</v>
      </c>
      <c r="M20" s="171">
        <f>'PSUT_Data&amp;Method_2012'!H196</f>
        <v>0.06</v>
      </c>
      <c r="N20" s="171">
        <f>'PSUT_Data&amp;Method_2012'!H214</f>
        <v>0</v>
      </c>
      <c r="O20" s="171">
        <f>'PSUT_Data&amp;Method_2012'!H232</f>
        <v>0</v>
      </c>
      <c r="P20" s="171">
        <f>'PSUT_Data&amp;Method_2012'!H250</f>
        <v>0</v>
      </c>
      <c r="Q20" s="171">
        <f>'PSUT_Data&amp;Method_2012'!H268</f>
        <v>0</v>
      </c>
      <c r="R20" s="171">
        <f>'PSUT_Data&amp;Method_2012'!H286</f>
        <v>0</v>
      </c>
      <c r="S20" s="171">
        <f>'PSUT_Data&amp;Method_2012'!H304</f>
        <v>497.98870000000005</v>
      </c>
      <c r="T20" s="171">
        <f>'PSUT_Data&amp;Method_2012'!H322</f>
        <v>0</v>
      </c>
      <c r="U20" s="171">
        <f>'PSUT_Data&amp;Method_2012'!H340</f>
        <v>9.636000000000001</v>
      </c>
      <c r="V20" s="171">
        <f>'PSUT_Data&amp;Method_2012'!H358</f>
        <v>0</v>
      </c>
      <c r="W20" s="155">
        <f t="shared" si="0"/>
        <v>22702.684700000002</v>
      </c>
      <c r="X20" s="171">
        <f>'PSUT_Data&amp;Method_2012'!H379</f>
        <v>550</v>
      </c>
      <c r="Y20" s="171">
        <f>'PSUT_Data&amp;Method_2012'!H397</f>
        <v>0</v>
      </c>
      <c r="Z20" s="76"/>
      <c r="AA20" s="158">
        <f t="shared" si="1"/>
        <v>23252.684700000002</v>
      </c>
      <c r="AB20" s="74"/>
      <c r="AC20" s="75"/>
    </row>
    <row r="21" spans="1:29" ht="22.5" customHeight="1" x14ac:dyDescent="0.2">
      <c r="A21" s="1763"/>
      <c r="B21" s="152" t="s">
        <v>34</v>
      </c>
      <c r="C21" s="167">
        <f>'PSUT_Data&amp;Method_2012'!H17</f>
        <v>807</v>
      </c>
      <c r="D21" s="171">
        <f>'PSUT_Data&amp;Method_2012'!H35</f>
        <v>21359.8</v>
      </c>
      <c r="E21" s="171">
        <f>'PSUT_Data&amp;Method_2012'!H53</f>
        <v>28.2</v>
      </c>
      <c r="F21" s="171">
        <f>'PSUT_Data&amp;Method_2012'!H71</f>
        <v>0</v>
      </c>
      <c r="G21" s="171">
        <f>'PSUT_Data&amp;Method_2012'!H89</f>
        <v>0</v>
      </c>
      <c r="H21" s="171">
        <f>'PSUT_Data&amp;Method_2012'!H107</f>
        <v>0</v>
      </c>
      <c r="I21" s="171">
        <f>'PSUT_Data&amp;Method_2012'!H125</f>
        <v>0</v>
      </c>
      <c r="J21" s="171">
        <f>'PSUT_Data&amp;Method_2012'!H143</f>
        <v>0</v>
      </c>
      <c r="K21" s="171">
        <f>'PSUT_Data&amp;Method_2012'!H161</f>
        <v>0</v>
      </c>
      <c r="L21" s="171">
        <f>'PSUT_Data&amp;Method_2012'!H179</f>
        <v>0</v>
      </c>
      <c r="M21" s="171">
        <f>'PSUT_Data&amp;Method_2012'!H197</f>
        <v>0.06</v>
      </c>
      <c r="N21" s="171">
        <f>'PSUT_Data&amp;Method_2012'!H215</f>
        <v>0</v>
      </c>
      <c r="O21" s="171">
        <f>'PSUT_Data&amp;Method_2012'!H233</f>
        <v>0</v>
      </c>
      <c r="P21" s="171">
        <f>'PSUT_Data&amp;Method_2012'!H251</f>
        <v>0</v>
      </c>
      <c r="Q21" s="171">
        <f>'PSUT_Data&amp;Method_2012'!H269</f>
        <v>0</v>
      </c>
      <c r="R21" s="171">
        <f>'PSUT_Data&amp;Method_2012'!H287</f>
        <v>0</v>
      </c>
      <c r="S21" s="171">
        <f>'PSUT_Data&amp;Method_2012'!H305</f>
        <v>497.98870000000005</v>
      </c>
      <c r="T21" s="171">
        <f>'PSUT_Data&amp;Method_2012'!H323</f>
        <v>0</v>
      </c>
      <c r="U21" s="171">
        <f>'PSUT_Data&amp;Method_2012'!H341</f>
        <v>9.636000000000001</v>
      </c>
      <c r="V21" s="171">
        <f>'PSUT_Data&amp;Method_2012'!H359</f>
        <v>0</v>
      </c>
      <c r="W21" s="142">
        <f t="shared" si="0"/>
        <v>22702.684700000002</v>
      </c>
      <c r="X21" s="171">
        <f>'PSUT_Data&amp;Method_2012'!H380</f>
        <v>550</v>
      </c>
      <c r="Y21" s="171">
        <f>'PSUT_Data&amp;Method_2012'!H398</f>
        <v>0</v>
      </c>
      <c r="Z21" s="76"/>
      <c r="AA21" s="143">
        <f t="shared" si="1"/>
        <v>23252.684700000002</v>
      </c>
      <c r="AB21" s="74"/>
    </row>
    <row r="22" spans="1:29" ht="12" customHeight="1" x14ac:dyDescent="0.2">
      <c r="A22" s="1764"/>
      <c r="B22" s="145" t="s">
        <v>35</v>
      </c>
      <c r="C22" s="168">
        <f>'PSUT_Data&amp;Method_2012'!H18</f>
        <v>0</v>
      </c>
      <c r="D22" s="172">
        <f>'PSUT_Data&amp;Method_2012'!H36</f>
        <v>0</v>
      </c>
      <c r="E22" s="172">
        <f>'PSUT_Data&amp;Method_2012'!H54</f>
        <v>0</v>
      </c>
      <c r="F22" s="172">
        <f>'PSUT_Data&amp;Method_2012'!H72</f>
        <v>0</v>
      </c>
      <c r="G22" s="172">
        <f>'PSUT_Data&amp;Method_2012'!H90</f>
        <v>0</v>
      </c>
      <c r="H22" s="172">
        <f>'PSUT_Data&amp;Method_2012'!H108</f>
        <v>0</v>
      </c>
      <c r="I22" s="172">
        <f>'PSUT_Data&amp;Method_2012'!H126</f>
        <v>0</v>
      </c>
      <c r="J22" s="172">
        <f>'PSUT_Data&amp;Method_2012'!H144</f>
        <v>0</v>
      </c>
      <c r="K22" s="172">
        <f>'PSUT_Data&amp;Method_2012'!H162</f>
        <v>0</v>
      </c>
      <c r="L22" s="172">
        <f>'PSUT_Data&amp;Method_2012'!H180</f>
        <v>0</v>
      </c>
      <c r="M22" s="172">
        <f>'PSUT_Data&amp;Method_2012'!H198</f>
        <v>0</v>
      </c>
      <c r="N22" s="172">
        <f>'PSUT_Data&amp;Method_2012'!H216</f>
        <v>0</v>
      </c>
      <c r="O22" s="172">
        <f>'PSUT_Data&amp;Method_2012'!H234</f>
        <v>0</v>
      </c>
      <c r="P22" s="172">
        <f>'PSUT_Data&amp;Method_2012'!H252</f>
        <v>0</v>
      </c>
      <c r="Q22" s="172">
        <f>'PSUT_Data&amp;Method_2012'!H270</f>
        <v>0</v>
      </c>
      <c r="R22" s="172">
        <f>'PSUT_Data&amp;Method_2012'!H288</f>
        <v>0</v>
      </c>
      <c r="S22" s="172">
        <f>'PSUT_Data&amp;Method_2012'!H306</f>
        <v>0</v>
      </c>
      <c r="T22" s="172">
        <f>'PSUT_Data&amp;Method_2012'!H324</f>
        <v>0</v>
      </c>
      <c r="U22" s="172">
        <f>'PSUT_Data&amp;Method_2012'!H342</f>
        <v>0</v>
      </c>
      <c r="V22" s="172">
        <f>'PSUT_Data&amp;Method_2012'!H360</f>
        <v>0</v>
      </c>
      <c r="W22" s="149">
        <f t="shared" si="0"/>
        <v>0</v>
      </c>
      <c r="X22" s="172">
        <f>'PSUT_Data&amp;Method_2012'!H381</f>
        <v>0</v>
      </c>
      <c r="Y22" s="172">
        <f>'PSUT_Data&amp;Method_2012'!H399</f>
        <v>0</v>
      </c>
      <c r="Z22" s="76"/>
      <c r="AA22" s="143">
        <f t="shared" si="1"/>
        <v>0</v>
      </c>
      <c r="AB22" s="74"/>
    </row>
    <row r="23" spans="1:29" ht="24.75" customHeight="1" x14ac:dyDescent="0.2">
      <c r="A23" s="77" t="s">
        <v>5</v>
      </c>
      <c r="B23" s="1046" t="s">
        <v>36</v>
      </c>
      <c r="C23" s="169">
        <f>'PSUT_Data&amp;Method_2012'!H19</f>
        <v>90250</v>
      </c>
      <c r="D23" s="172">
        <f>'PSUT_Data&amp;Method_2012'!H37</f>
        <v>0</v>
      </c>
      <c r="E23" s="172">
        <f>'PSUT_Data&amp;Method_2012'!H55</f>
        <v>642763.78523033194</v>
      </c>
      <c r="F23" s="172">
        <f>'PSUT_Data&amp;Method_2012'!H73</f>
        <v>0</v>
      </c>
      <c r="G23" s="172">
        <f>'PSUT_Data&amp;Method_2012'!H91</f>
        <v>0</v>
      </c>
      <c r="H23" s="172">
        <f>'PSUT_Data&amp;Method_2012'!H109</f>
        <v>0</v>
      </c>
      <c r="I23" s="172">
        <f>'PSUT_Data&amp;Method_2012'!H127</f>
        <v>0</v>
      </c>
      <c r="J23" s="172">
        <f>'PSUT_Data&amp;Method_2012'!H145</f>
        <v>0</v>
      </c>
      <c r="K23" s="172">
        <f>'PSUT_Data&amp;Method_2012'!H163</f>
        <v>16672.61</v>
      </c>
      <c r="L23" s="172">
        <f>'PSUT_Data&amp;Method_2012'!H181</f>
        <v>0</v>
      </c>
      <c r="M23" s="172">
        <f>'PSUT_Data&amp;Method_2012'!H199</f>
        <v>76.030545405347283</v>
      </c>
      <c r="N23" s="172">
        <f>'PSUT_Data&amp;Method_2012'!H217</f>
        <v>0</v>
      </c>
      <c r="O23" s="172">
        <f>'PSUT_Data&amp;Method_2012'!H235</f>
        <v>0</v>
      </c>
      <c r="P23" s="172">
        <f>'PSUT_Data&amp;Method_2012'!H253</f>
        <v>0</v>
      </c>
      <c r="Q23" s="172">
        <f>'PSUT_Data&amp;Method_2012'!H271</f>
        <v>0</v>
      </c>
      <c r="R23" s="172">
        <f>'PSUT_Data&amp;Method_2012'!H289</f>
        <v>224372.33</v>
      </c>
      <c r="S23" s="172">
        <f>'PSUT_Data&amp;Method_2012'!H307</f>
        <v>3720.9427500000002</v>
      </c>
      <c r="T23" s="172">
        <f>'PSUT_Data&amp;Method_2012'!H325</f>
        <v>0</v>
      </c>
      <c r="U23" s="172">
        <f>'PSUT_Data&amp;Method_2012'!H343</f>
        <v>131.69367175295594</v>
      </c>
      <c r="V23" s="172">
        <f>'PSUT_Data&amp;Method_2012'!H361</f>
        <v>0</v>
      </c>
      <c r="W23" s="82">
        <f t="shared" si="0"/>
        <v>977987.3921974902</v>
      </c>
      <c r="X23" s="172">
        <f>'PSUT_Data&amp;Method_2012'!H382</f>
        <v>176061</v>
      </c>
      <c r="Y23" s="172">
        <f>'PSUT_Data&amp;Method_2012'!H400</f>
        <v>6514.5680899999998</v>
      </c>
      <c r="Z23" s="163"/>
      <c r="AA23" s="158">
        <f t="shared" si="1"/>
        <v>1160562.9602874902</v>
      </c>
      <c r="AB23" s="74"/>
    </row>
    <row r="24" spans="1:29" ht="12" customHeight="1" x14ac:dyDescent="0.2">
      <c r="A24" s="1774" t="s">
        <v>142</v>
      </c>
      <c r="B24" s="1775"/>
      <c r="C24" s="137">
        <f>SUM(C6,C23)</f>
        <v>13653630.505039312</v>
      </c>
      <c r="D24" s="137">
        <f t="shared" ref="D24:V24" si="2">SUM(D6,D23)</f>
        <v>22390.658857794173</v>
      </c>
      <c r="E24" s="137">
        <f t="shared" si="2"/>
        <v>666401.91014646285</v>
      </c>
      <c r="F24" s="137">
        <f t="shared" si="2"/>
        <v>335270.16889591428</v>
      </c>
      <c r="G24" s="137">
        <f t="shared" si="2"/>
        <v>53008.786416190094</v>
      </c>
      <c r="H24" s="137">
        <f t="shared" si="2"/>
        <v>0</v>
      </c>
      <c r="I24" s="137">
        <f t="shared" si="2"/>
        <v>0</v>
      </c>
      <c r="J24" s="137">
        <f t="shared" si="2"/>
        <v>0</v>
      </c>
      <c r="K24" s="137">
        <f t="shared" si="2"/>
        <v>16672.61</v>
      </c>
      <c r="L24" s="137">
        <f t="shared" si="2"/>
        <v>0</v>
      </c>
      <c r="M24" s="137">
        <f t="shared" si="2"/>
        <v>76.090545405347285</v>
      </c>
      <c r="N24" s="137">
        <f t="shared" si="2"/>
        <v>0</v>
      </c>
      <c r="O24" s="137">
        <f t="shared" si="2"/>
        <v>0</v>
      </c>
      <c r="P24" s="137">
        <f t="shared" si="2"/>
        <v>0</v>
      </c>
      <c r="Q24" s="137">
        <f t="shared" si="2"/>
        <v>0</v>
      </c>
      <c r="R24" s="137">
        <f t="shared" si="2"/>
        <v>224505.4454</v>
      </c>
      <c r="S24" s="137">
        <f t="shared" si="2"/>
        <v>4309.7222655737705</v>
      </c>
      <c r="T24" s="137">
        <f t="shared" si="2"/>
        <v>0</v>
      </c>
      <c r="U24" s="137">
        <f t="shared" si="2"/>
        <v>143.40327175295593</v>
      </c>
      <c r="V24" s="137">
        <f t="shared" si="2"/>
        <v>0</v>
      </c>
      <c r="W24" s="137">
        <f>SUM(C24:V24)</f>
        <v>14976409.300838405</v>
      </c>
      <c r="X24" s="137">
        <f>SUM(X6,X23)</f>
        <v>216495.89643956049</v>
      </c>
      <c r="Y24" s="137">
        <f>SUM(Y6,Y23)</f>
        <v>6514.5680899999998</v>
      </c>
      <c r="Z24" s="164"/>
      <c r="AA24" s="157">
        <f>W24+X24+Y24</f>
        <v>15199419.765367964</v>
      </c>
      <c r="AB24" s="74"/>
    </row>
    <row r="25" spans="1:29" customFormat="1" ht="5.25" customHeight="1" x14ac:dyDescent="0.25"/>
    <row r="26" spans="1:29" ht="22.5" customHeight="1" x14ac:dyDescent="0.2">
      <c r="A26" s="1776" t="s">
        <v>37</v>
      </c>
      <c r="B26" s="1776"/>
      <c r="C26" s="74"/>
      <c r="D26" s="74"/>
      <c r="E26" s="74"/>
      <c r="F26" s="74"/>
      <c r="G26" s="74"/>
      <c r="H26" s="74"/>
      <c r="I26" s="74"/>
      <c r="J26" s="74"/>
      <c r="K26" s="74"/>
      <c r="L26" s="74"/>
      <c r="M26" s="74"/>
      <c r="N26" s="74"/>
      <c r="O26" s="74"/>
      <c r="P26" s="74"/>
      <c r="Q26" s="74"/>
      <c r="R26" s="74"/>
      <c r="S26" s="74"/>
      <c r="T26" s="74"/>
      <c r="U26" s="74"/>
      <c r="V26" s="74"/>
      <c r="W26" s="74"/>
      <c r="X26" s="435" t="s">
        <v>671</v>
      </c>
      <c r="Z26" s="74"/>
      <c r="AA26" s="434">
        <f>AA24-(C24+F24)</f>
        <v>1210519.0914327372</v>
      </c>
      <c r="AB26" s="74"/>
    </row>
    <row r="27" spans="1:29" ht="22.5" customHeight="1" x14ac:dyDescent="0.2">
      <c r="A27" s="1777" t="s">
        <v>143</v>
      </c>
      <c r="B27" s="1778"/>
      <c r="C27" s="80"/>
      <c r="D27" s="80"/>
      <c r="E27" s="80"/>
      <c r="F27" s="80"/>
      <c r="G27" s="80"/>
      <c r="H27" s="80"/>
      <c r="I27" s="80"/>
      <c r="J27" s="80"/>
      <c r="K27" s="80"/>
      <c r="L27" s="80"/>
      <c r="M27" s="80"/>
      <c r="N27" s="80"/>
      <c r="O27" s="80"/>
      <c r="P27" s="80"/>
      <c r="Q27" s="80"/>
      <c r="R27" s="80"/>
      <c r="S27" s="80"/>
      <c r="T27" s="80"/>
      <c r="U27" s="80"/>
      <c r="V27" s="80"/>
      <c r="W27" s="80"/>
      <c r="X27" s="436" t="s">
        <v>672</v>
      </c>
      <c r="Y27" s="80"/>
      <c r="Z27" s="80"/>
      <c r="AA27" s="80"/>
      <c r="AB27" s="80"/>
    </row>
    <row r="28" spans="1:29" ht="31.5" customHeight="1" x14ac:dyDescent="0.2">
      <c r="A28" s="1779" t="s">
        <v>144</v>
      </c>
      <c r="B28" s="1779"/>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row>
    <row r="29" spans="1:29" customFormat="1" ht="14.25" customHeight="1" x14ac:dyDescent="0.25">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row>
    <row r="30" spans="1:29" x14ac:dyDescent="0.2">
      <c r="A30" s="1756" t="s">
        <v>38</v>
      </c>
      <c r="B30" s="1756"/>
      <c r="C30" s="1756"/>
      <c r="D30" s="1756"/>
      <c r="E30" s="1756"/>
      <c r="F30" s="1756"/>
      <c r="G30" s="1756"/>
      <c r="H30" s="1756"/>
      <c r="I30" s="1756"/>
      <c r="J30" s="1756"/>
      <c r="K30" s="1756"/>
      <c r="L30" s="1756"/>
      <c r="M30" s="1756"/>
      <c r="N30" s="1756"/>
      <c r="O30" s="1756"/>
      <c r="P30" s="1756"/>
      <c r="Q30" s="1756"/>
      <c r="R30" s="1756"/>
      <c r="S30" s="1756"/>
      <c r="T30" s="1756"/>
      <c r="U30" s="1756"/>
      <c r="V30" s="1756"/>
      <c r="W30" s="1756"/>
      <c r="X30" s="1756"/>
      <c r="Y30" s="1756"/>
      <c r="Z30" s="1756"/>
      <c r="AA30" s="1756"/>
      <c r="AB30" s="1756"/>
    </row>
    <row r="31" spans="1:29" x14ac:dyDescent="0.2">
      <c r="A31" s="1757" t="s">
        <v>577</v>
      </c>
      <c r="B31" s="1757"/>
      <c r="C31" s="1757"/>
      <c r="D31" s="1757"/>
      <c r="E31" s="1757"/>
      <c r="F31" s="1757"/>
      <c r="G31" s="1757"/>
      <c r="H31" s="1757"/>
      <c r="I31" s="1757"/>
      <c r="J31" s="1757"/>
      <c r="K31" s="1757"/>
      <c r="L31" s="1757"/>
      <c r="M31" s="1757"/>
      <c r="N31" s="1757"/>
      <c r="O31" s="1757"/>
      <c r="P31" s="1757"/>
      <c r="Q31" s="1757"/>
      <c r="R31" s="1757"/>
      <c r="S31" s="1757"/>
      <c r="T31" s="1757"/>
      <c r="U31" s="1757"/>
      <c r="V31" s="1757"/>
      <c r="W31" s="1757"/>
      <c r="X31" s="1757"/>
      <c r="Y31" s="1757"/>
      <c r="Z31" s="1757"/>
      <c r="AA31" s="1757"/>
      <c r="AB31" s="70"/>
    </row>
    <row r="32" spans="1:29" x14ac:dyDescent="0.2">
      <c r="A32" s="1752" t="s">
        <v>578</v>
      </c>
      <c r="B32" s="1765"/>
      <c r="C32" s="1769" t="s">
        <v>12</v>
      </c>
      <c r="D32" s="1770"/>
      <c r="E32" s="1770"/>
      <c r="F32" s="1770"/>
      <c r="G32" s="1770"/>
      <c r="H32" s="1770"/>
      <c r="I32" s="1770"/>
      <c r="J32" s="1770"/>
      <c r="K32" s="1770"/>
      <c r="L32" s="1770"/>
      <c r="M32" s="1770"/>
      <c r="N32" s="1770"/>
      <c r="O32" s="1770"/>
      <c r="P32" s="1770"/>
      <c r="Q32" s="1770"/>
      <c r="R32" s="1770"/>
      <c r="S32" s="1770"/>
      <c r="T32" s="1770"/>
      <c r="U32" s="1770"/>
      <c r="V32" s="1770"/>
      <c r="W32" s="1770"/>
      <c r="X32" s="1761" t="s">
        <v>642</v>
      </c>
      <c r="Y32" s="1771" t="s">
        <v>2</v>
      </c>
      <c r="Z32" s="1761" t="s">
        <v>13</v>
      </c>
      <c r="AA32" s="1773" t="s">
        <v>14</v>
      </c>
      <c r="AB32" s="79"/>
    </row>
    <row r="33" spans="1:28" ht="77.25" customHeight="1" x14ac:dyDescent="0.2">
      <c r="A33" s="1766"/>
      <c r="B33" s="1767"/>
      <c r="C33" s="71" t="s">
        <v>6</v>
      </c>
      <c r="D33" s="71" t="s">
        <v>7</v>
      </c>
      <c r="E33" s="71" t="s">
        <v>8</v>
      </c>
      <c r="F33" s="71" t="s">
        <v>9</v>
      </c>
      <c r="G33" s="71" t="s">
        <v>137</v>
      </c>
      <c r="H33" s="373" t="s">
        <v>615</v>
      </c>
      <c r="I33" s="373" t="s">
        <v>616</v>
      </c>
      <c r="J33" s="373" t="s">
        <v>617</v>
      </c>
      <c r="K33" s="71" t="s">
        <v>0</v>
      </c>
      <c r="L33" s="373" t="s">
        <v>618</v>
      </c>
      <c r="M33" s="71" t="s">
        <v>138</v>
      </c>
      <c r="N33" s="373" t="s">
        <v>619</v>
      </c>
      <c r="O33" s="373" t="s">
        <v>620</v>
      </c>
      <c r="P33" s="373" t="s">
        <v>621</v>
      </c>
      <c r="Q33" s="373" t="s">
        <v>622</v>
      </c>
      <c r="R33" s="71" t="s">
        <v>1</v>
      </c>
      <c r="S33" s="71" t="s">
        <v>10</v>
      </c>
      <c r="T33" s="373" t="s">
        <v>623</v>
      </c>
      <c r="U33" s="71" t="s">
        <v>139</v>
      </c>
      <c r="V33" s="374" t="s">
        <v>624</v>
      </c>
      <c r="W33" s="141"/>
      <c r="X33" s="1761"/>
      <c r="Y33" s="1772"/>
      <c r="Z33" s="1761"/>
      <c r="AA33" s="1773"/>
      <c r="AB33" s="74"/>
    </row>
    <row r="34" spans="1:28" x14ac:dyDescent="0.2">
      <c r="A34" s="1768"/>
      <c r="B34" s="1767"/>
      <c r="C34" s="146" t="s">
        <v>15</v>
      </c>
      <c r="D34" s="147" t="s">
        <v>16</v>
      </c>
      <c r="E34" s="147" t="s">
        <v>17</v>
      </c>
      <c r="F34" s="147">
        <v>35</v>
      </c>
      <c r="G34" s="147" t="s">
        <v>18</v>
      </c>
      <c r="H34" s="147"/>
      <c r="I34" s="147"/>
      <c r="J34" s="147"/>
      <c r="K34" s="147" t="s">
        <v>19</v>
      </c>
      <c r="L34" s="147"/>
      <c r="M34" s="147" t="s">
        <v>20</v>
      </c>
      <c r="N34" s="147"/>
      <c r="O34" s="147"/>
      <c r="P34" s="147"/>
      <c r="Q34" s="147"/>
      <c r="R34" s="147">
        <v>85</v>
      </c>
      <c r="S34" s="147" t="s">
        <v>21</v>
      </c>
      <c r="T34" s="147"/>
      <c r="U34" s="147" t="s">
        <v>22</v>
      </c>
      <c r="V34" s="147"/>
      <c r="W34" s="166" t="s">
        <v>3</v>
      </c>
      <c r="X34" s="100">
        <v>98</v>
      </c>
      <c r="Y34" s="148">
        <v>99</v>
      </c>
      <c r="Z34" s="100"/>
      <c r="AA34" s="101"/>
      <c r="AB34" s="74"/>
    </row>
    <row r="35" spans="1:28" ht="21.75" customHeight="1" x14ac:dyDescent="0.2">
      <c r="A35" s="1780" t="s">
        <v>5</v>
      </c>
      <c r="B35" s="377" t="s">
        <v>39</v>
      </c>
      <c r="C35" s="174">
        <f>'PSUT_Data&amp;Method_2012'!H405</f>
        <v>0</v>
      </c>
      <c r="D35" s="174">
        <f>'PSUT_Data&amp;Method_2012'!H414</f>
        <v>21271.125914904464</v>
      </c>
      <c r="E35" s="174">
        <f>'PSUT_Data&amp;Method_2012'!H423</f>
        <v>816.87563283886971</v>
      </c>
      <c r="F35" s="174">
        <f>'PSUT_Data&amp;Method_2012'!H432</f>
        <v>0</v>
      </c>
      <c r="G35" s="174">
        <f>'PSUT_Data&amp;Method_2012'!H441</f>
        <v>0</v>
      </c>
      <c r="H35" s="174">
        <f>'PSUT_Data&amp;Method_2012'!H450</f>
        <v>0</v>
      </c>
      <c r="I35" s="174">
        <f>'PSUT_Data&amp;Method_2012'!H459</f>
        <v>0</v>
      </c>
      <c r="J35" s="174">
        <f>'PSUT_Data&amp;Method_2012'!H468</f>
        <v>0</v>
      </c>
      <c r="K35" s="174">
        <f>'PSUT_Data&amp;Method_2012'!H477</f>
        <v>12671.183667903779</v>
      </c>
      <c r="L35" s="174">
        <f>'PSUT_Data&amp;Method_2012'!H486</f>
        <v>0</v>
      </c>
      <c r="M35" s="174">
        <f>'PSUT_Data&amp;Method_2012'!H495</f>
        <v>5.6106036082474233</v>
      </c>
      <c r="N35" s="174">
        <f>'PSUT_Data&amp;Method_2012'!H504</f>
        <v>0</v>
      </c>
      <c r="O35" s="174">
        <f>'PSUT_Data&amp;Method_2012'!H513</f>
        <v>0</v>
      </c>
      <c r="P35" s="174">
        <f>'PSUT_Data&amp;Method_2012'!H522</f>
        <v>0</v>
      </c>
      <c r="Q35" s="174">
        <f>'PSUT_Data&amp;Method_2012'!H531</f>
        <v>0</v>
      </c>
      <c r="R35" s="174">
        <f>'PSUT_Data&amp;Method_2012'!H540</f>
        <v>0</v>
      </c>
      <c r="S35" s="174">
        <f>'PSUT_Data&amp;Method_2012'!H549</f>
        <v>0</v>
      </c>
      <c r="T35" s="174">
        <f>'PSUT_Data&amp;Method_2012'!H558</f>
        <v>0</v>
      </c>
      <c r="U35" s="174">
        <f>'PSUT_Data&amp;Method_2012'!H567</f>
        <v>0</v>
      </c>
      <c r="V35" s="174">
        <f>'PSUT_Data&amp;Method_2012'!H576</f>
        <v>0</v>
      </c>
      <c r="W35" s="138">
        <f t="shared" ref="W35:W43" si="3">SUM(C35:V35)</f>
        <v>34764.795819255363</v>
      </c>
      <c r="X35" s="174">
        <f>'PSUT_Data&amp;Method_2012'!H588</f>
        <v>0</v>
      </c>
      <c r="Y35" s="174">
        <f>'PSUT_Data&amp;Method_2012'!H597</f>
        <v>0</v>
      </c>
      <c r="Z35" s="162"/>
      <c r="AA35" s="376">
        <f t="shared" ref="AA35:AA41" si="4">W35+X35+Y35</f>
        <v>34764.795819255363</v>
      </c>
      <c r="AB35" s="74"/>
    </row>
    <row r="36" spans="1:28" ht="12" customHeight="1" x14ac:dyDescent="0.2">
      <c r="A36" s="1781"/>
      <c r="B36" s="375" t="s">
        <v>40</v>
      </c>
      <c r="C36" s="173">
        <f>'PSUT_Data&amp;Method_2012'!H406</f>
        <v>0</v>
      </c>
      <c r="D36" s="173">
        <f>'PSUT_Data&amp;Method_2012'!H415</f>
        <v>21271.125914904464</v>
      </c>
      <c r="E36" s="173">
        <f>'PSUT_Data&amp;Method_2012'!H424</f>
        <v>346.29059499999994</v>
      </c>
      <c r="F36" s="173">
        <f>'PSUT_Data&amp;Method_2012'!H433</f>
        <v>0</v>
      </c>
      <c r="G36" s="173">
        <f>'PSUT_Data&amp;Method_2012'!H442</f>
        <v>0</v>
      </c>
      <c r="H36" s="173">
        <f>'PSUT_Data&amp;Method_2012'!H451</f>
        <v>0</v>
      </c>
      <c r="I36" s="173">
        <f>'PSUT_Data&amp;Method_2012'!H460</f>
        <v>0</v>
      </c>
      <c r="J36" s="173">
        <f>'PSUT_Data&amp;Method_2012'!H469</f>
        <v>0</v>
      </c>
      <c r="K36" s="173">
        <f>'PSUT_Data&amp;Method_2012'!H478</f>
        <v>12671.183667903779</v>
      </c>
      <c r="L36" s="173">
        <f>'PSUT_Data&amp;Method_2012'!H487</f>
        <v>0</v>
      </c>
      <c r="M36" s="173">
        <f>'PSUT_Data&amp;Method_2012'!H496</f>
        <v>2.3110416666666667</v>
      </c>
      <c r="N36" s="173">
        <f>'PSUT_Data&amp;Method_2012'!H505</f>
        <v>0</v>
      </c>
      <c r="O36" s="173">
        <f>'PSUT_Data&amp;Method_2012'!H514</f>
        <v>0</v>
      </c>
      <c r="P36" s="173">
        <f>'PSUT_Data&amp;Method_2012'!H523</f>
        <v>0</v>
      </c>
      <c r="Q36" s="173">
        <f>'PSUT_Data&amp;Method_2012'!H532</f>
        <v>0</v>
      </c>
      <c r="R36" s="173">
        <f>'PSUT_Data&amp;Method_2012'!H541</f>
        <v>0</v>
      </c>
      <c r="S36" s="173">
        <f>'PSUT_Data&amp;Method_2012'!H550</f>
        <v>0</v>
      </c>
      <c r="T36" s="173">
        <f>'PSUT_Data&amp;Method_2012'!H559</f>
        <v>0</v>
      </c>
      <c r="U36" s="173">
        <f>'PSUT_Data&amp;Method_2012'!H568</f>
        <v>0</v>
      </c>
      <c r="V36" s="173">
        <f>'PSUT_Data&amp;Method_2012'!H577</f>
        <v>0</v>
      </c>
      <c r="W36" s="140">
        <f t="shared" si="3"/>
        <v>34290.91121947491</v>
      </c>
      <c r="X36" s="173">
        <f>'PSUT_Data&amp;Method_2012'!H589</f>
        <v>0</v>
      </c>
      <c r="Y36" s="173">
        <f>'PSUT_Data&amp;Method_2012'!H598</f>
        <v>0</v>
      </c>
      <c r="Z36" s="163"/>
      <c r="AA36" s="158">
        <f t="shared" si="4"/>
        <v>34290.91121947491</v>
      </c>
      <c r="AB36" s="74"/>
    </row>
    <row r="37" spans="1:28" ht="12" customHeight="1" x14ac:dyDescent="0.2">
      <c r="A37" s="1782"/>
      <c r="B37" s="375" t="s">
        <v>41</v>
      </c>
      <c r="C37" s="173">
        <f>'PSUT_Data&amp;Method_2012'!H407</f>
        <v>0</v>
      </c>
      <c r="D37" s="173">
        <f>'PSUT_Data&amp;Method_2012'!H416</f>
        <v>0</v>
      </c>
      <c r="E37" s="173">
        <f>'PSUT_Data&amp;Method_2012'!H425</f>
        <v>470.58503783886977</v>
      </c>
      <c r="F37" s="173">
        <f>'PSUT_Data&amp;Method_2012'!H434</f>
        <v>0</v>
      </c>
      <c r="G37" s="173">
        <f>'PSUT_Data&amp;Method_2012'!H443</f>
        <v>0</v>
      </c>
      <c r="H37" s="173">
        <f>'PSUT_Data&amp;Method_2012'!H452</f>
        <v>0</v>
      </c>
      <c r="I37" s="173">
        <f>'PSUT_Data&amp;Method_2012'!H461</f>
        <v>0</v>
      </c>
      <c r="J37" s="173">
        <f>'PSUT_Data&amp;Method_2012'!H470</f>
        <v>0</v>
      </c>
      <c r="K37" s="173">
        <f>'PSUT_Data&amp;Method_2012'!H479</f>
        <v>0</v>
      </c>
      <c r="L37" s="173">
        <f>'PSUT_Data&amp;Method_2012'!H488</f>
        <v>0</v>
      </c>
      <c r="M37" s="173">
        <f>'PSUT_Data&amp;Method_2012'!H497</f>
        <v>3.2995619415807562</v>
      </c>
      <c r="N37" s="173">
        <f>'PSUT_Data&amp;Method_2012'!H506</f>
        <v>0</v>
      </c>
      <c r="O37" s="173">
        <f>'PSUT_Data&amp;Method_2012'!H515</f>
        <v>0</v>
      </c>
      <c r="P37" s="173">
        <f>'PSUT_Data&amp;Method_2012'!H524</f>
        <v>0</v>
      </c>
      <c r="Q37" s="173">
        <f>'PSUT_Data&amp;Method_2012'!H533</f>
        <v>0</v>
      </c>
      <c r="R37" s="173">
        <f>'PSUT_Data&amp;Method_2012'!H542</f>
        <v>0</v>
      </c>
      <c r="S37" s="173">
        <f>'PSUT_Data&amp;Method_2012'!H551</f>
        <v>0</v>
      </c>
      <c r="T37" s="173">
        <f>'PSUT_Data&amp;Method_2012'!H560</f>
        <v>0</v>
      </c>
      <c r="U37" s="173">
        <f>'PSUT_Data&amp;Method_2012'!H569</f>
        <v>0</v>
      </c>
      <c r="V37" s="173">
        <f>'PSUT_Data&amp;Method_2012'!H578</f>
        <v>0</v>
      </c>
      <c r="W37" s="140">
        <f t="shared" si="3"/>
        <v>473.88459978045051</v>
      </c>
      <c r="X37" s="173">
        <f>'PSUT_Data&amp;Method_2012'!H590</f>
        <v>0</v>
      </c>
      <c r="Y37" s="173">
        <f>'PSUT_Data&amp;Method_2012'!H599</f>
        <v>0</v>
      </c>
      <c r="Z37" s="163"/>
      <c r="AA37" s="158">
        <f t="shared" si="4"/>
        <v>473.88459978045051</v>
      </c>
      <c r="AB37" s="74"/>
    </row>
    <row r="38" spans="1:28" ht="12" customHeight="1" x14ac:dyDescent="0.2">
      <c r="A38" s="1781" t="s">
        <v>42</v>
      </c>
      <c r="B38" s="377" t="s">
        <v>162</v>
      </c>
      <c r="C38" s="174">
        <f>'PSUT_Data&amp;Method_2012'!H408</f>
        <v>1529661.7232789313</v>
      </c>
      <c r="D38" s="174">
        <f>'PSUT_Data&amp;Method_2012'!H417</f>
        <v>54.219910499999997</v>
      </c>
      <c r="E38" s="174">
        <f>'PSUT_Data&amp;Method_2012'!H426</f>
        <v>514699.26072578493</v>
      </c>
      <c r="F38" s="174">
        <f>'PSUT_Data&amp;Method_2012'!H435</f>
        <v>318506.66045111854</v>
      </c>
      <c r="G38" s="174">
        <f>'PSUT_Data&amp;Method_2012'!H444</f>
        <v>2570.3302400000002</v>
      </c>
      <c r="H38" s="174">
        <f>'PSUT_Data&amp;Method_2012'!H453</f>
        <v>0</v>
      </c>
      <c r="I38" s="174">
        <f>'PSUT_Data&amp;Method_2012'!H462</f>
        <v>0</v>
      </c>
      <c r="J38" s="174">
        <f>'PSUT_Data&amp;Method_2012'!H471</f>
        <v>0</v>
      </c>
      <c r="K38" s="174">
        <f>'PSUT_Data&amp;Method_2012'!H480</f>
        <v>301.01142363711335</v>
      </c>
      <c r="L38" s="174">
        <f>'PSUT_Data&amp;Method_2012'!H489</f>
        <v>0</v>
      </c>
      <c r="M38" s="174">
        <f>'PSUT_Data&amp;Method_2012'!H498</f>
        <v>56.868619657611163</v>
      </c>
      <c r="N38" s="174">
        <f>'PSUT_Data&amp;Method_2012'!H507</f>
        <v>0</v>
      </c>
      <c r="O38" s="174">
        <f>'PSUT_Data&amp;Method_2012'!H516</f>
        <v>0</v>
      </c>
      <c r="P38" s="174">
        <f>'PSUT_Data&amp;Method_2012'!H525</f>
        <v>0</v>
      </c>
      <c r="Q38" s="174">
        <f>'PSUT_Data&amp;Method_2012'!H534</f>
        <v>0</v>
      </c>
      <c r="R38" s="174">
        <f>'PSUT_Data&amp;Method_2012'!H543</f>
        <v>179497.86400000003</v>
      </c>
      <c r="S38" s="174">
        <f>'PSUT_Data&amp;Method_2012'!H552</f>
        <v>3447.7778158871602</v>
      </c>
      <c r="T38" s="174">
        <f>'PSUT_Data&amp;Method_2012'!H561</f>
        <v>0</v>
      </c>
      <c r="U38" s="174">
        <f>'PSUT_Data&amp;Method_2012'!H570</f>
        <v>10.714873014735879</v>
      </c>
      <c r="V38" s="174">
        <f>'PSUT_Data&amp;Method_2012'!H579</f>
        <v>0</v>
      </c>
      <c r="W38" s="138">
        <f t="shared" si="3"/>
        <v>2548806.4313385319</v>
      </c>
      <c r="X38" s="174">
        <f>'PSUT_Data&amp;Method_2012'!H591</f>
        <v>82781</v>
      </c>
      <c r="Y38" s="174">
        <f>'PSUT_Data&amp;Method_2012'!H600</f>
        <v>5211.6544753063881</v>
      </c>
      <c r="Z38" s="76"/>
      <c r="AA38" s="157">
        <f t="shared" si="4"/>
        <v>2636799.0858138381</v>
      </c>
      <c r="AB38" s="74"/>
    </row>
    <row r="39" spans="1:28" ht="12" customHeight="1" x14ac:dyDescent="0.2">
      <c r="A39" s="1781"/>
      <c r="B39" s="381" t="s">
        <v>43</v>
      </c>
      <c r="C39" s="174">
        <f>'PSUT_Data&amp;Method_2012'!H409</f>
        <v>1529661.7232789313</v>
      </c>
      <c r="D39" s="174">
        <f>'PSUT_Data&amp;Method_2012'!H418</f>
        <v>54.219910499999997</v>
      </c>
      <c r="E39" s="174">
        <f>'PSUT_Data&amp;Method_2012'!H427</f>
        <v>514699.26072578493</v>
      </c>
      <c r="F39" s="174">
        <f>'PSUT_Data&amp;Method_2012'!H436</f>
        <v>318506.66045111854</v>
      </c>
      <c r="G39" s="174">
        <f>'PSUT_Data&amp;Method_2012'!H445</f>
        <v>2570.3302400000002</v>
      </c>
      <c r="H39" s="174">
        <f>'PSUT_Data&amp;Method_2012'!H454</f>
        <v>0</v>
      </c>
      <c r="I39" s="174">
        <f>'PSUT_Data&amp;Method_2012'!H463</f>
        <v>0</v>
      </c>
      <c r="J39" s="174">
        <f>'PSUT_Data&amp;Method_2012'!H472</f>
        <v>0</v>
      </c>
      <c r="K39" s="174">
        <f>'PSUT_Data&amp;Method_2012'!H481</f>
        <v>301.01142363711335</v>
      </c>
      <c r="L39" s="174">
        <f>'PSUT_Data&amp;Method_2012'!H490</f>
        <v>0</v>
      </c>
      <c r="M39" s="174">
        <f>'PSUT_Data&amp;Method_2012'!H499</f>
        <v>56.868619657611163</v>
      </c>
      <c r="N39" s="174">
        <f>'PSUT_Data&amp;Method_2012'!H508</f>
        <v>0</v>
      </c>
      <c r="O39" s="174">
        <f>'PSUT_Data&amp;Method_2012'!H517</f>
        <v>0</v>
      </c>
      <c r="P39" s="174">
        <f>'PSUT_Data&amp;Method_2012'!H526</f>
        <v>0</v>
      </c>
      <c r="Q39" s="174">
        <f>'PSUT_Data&amp;Method_2012'!H535</f>
        <v>0</v>
      </c>
      <c r="R39" s="174">
        <f>'PSUT_Data&amp;Method_2012'!H544</f>
        <v>179497.86400000003</v>
      </c>
      <c r="S39" s="174">
        <f>'PSUT_Data&amp;Method_2012'!H553</f>
        <v>3447.7778158871602</v>
      </c>
      <c r="T39" s="174">
        <f>'PSUT_Data&amp;Method_2012'!H562</f>
        <v>0</v>
      </c>
      <c r="U39" s="174">
        <f>'PSUT_Data&amp;Method_2012'!H571</f>
        <v>10.714873014735879</v>
      </c>
      <c r="V39" s="174">
        <f>'PSUT_Data&amp;Method_2012'!H580</f>
        <v>0</v>
      </c>
      <c r="W39" s="138">
        <f t="shared" si="3"/>
        <v>2548806.4313385319</v>
      </c>
      <c r="X39" s="174">
        <f>'PSUT_Data&amp;Method_2012'!H592</f>
        <v>72433</v>
      </c>
      <c r="Y39" s="174">
        <f>'PSUT_Data&amp;Method_2012'!H601</f>
        <v>5211.6544753063881</v>
      </c>
      <c r="Z39" s="76"/>
      <c r="AA39" s="157">
        <f t="shared" si="4"/>
        <v>2626451.0858138381</v>
      </c>
      <c r="AB39" s="74"/>
    </row>
    <row r="40" spans="1:28" ht="12" customHeight="1" x14ac:dyDescent="0.2">
      <c r="A40" s="1781"/>
      <c r="B40" s="144" t="s">
        <v>44</v>
      </c>
      <c r="C40" s="173">
        <f>'PSUT_Data&amp;Method_2012'!H410</f>
        <v>769541.39802696556</v>
      </c>
      <c r="D40" s="173">
        <f>'PSUT_Data&amp;Method_2012'!H419</f>
        <v>1.2757626</v>
      </c>
      <c r="E40" s="173">
        <f>'PSUT_Data&amp;Method_2012'!H428</f>
        <v>514526.07285221177</v>
      </c>
      <c r="F40" s="173">
        <f>'PSUT_Data&amp;Method_2012'!H437</f>
        <v>318506.66045111854</v>
      </c>
      <c r="G40" s="173">
        <f>'PSUT_Data&amp;Method_2012'!H446</f>
        <v>2570.3302400000002</v>
      </c>
      <c r="H40" s="173">
        <f>'PSUT_Data&amp;Method_2012'!H455</f>
        <v>0</v>
      </c>
      <c r="I40" s="173">
        <f>'PSUT_Data&amp;Method_2012'!H464</f>
        <v>0</v>
      </c>
      <c r="J40" s="173">
        <f>'PSUT_Data&amp;Method_2012'!H473</f>
        <v>0</v>
      </c>
      <c r="K40" s="173">
        <f>'PSUT_Data&amp;Method_2012'!H482</f>
        <v>159.09130227903779</v>
      </c>
      <c r="L40" s="173">
        <f>'PSUT_Data&amp;Method_2012'!H491</f>
        <v>0</v>
      </c>
      <c r="M40" s="173">
        <f>'PSUT_Data&amp;Method_2012'!H500</f>
        <v>46.976258591065296</v>
      </c>
      <c r="N40" s="173">
        <f>'PSUT_Data&amp;Method_2012'!H509</f>
        <v>0</v>
      </c>
      <c r="O40" s="173">
        <f>'PSUT_Data&amp;Method_2012'!H518</f>
        <v>0</v>
      </c>
      <c r="P40" s="173">
        <f>'PSUT_Data&amp;Method_2012'!H527</f>
        <v>0</v>
      </c>
      <c r="Q40" s="173">
        <f>'PSUT_Data&amp;Method_2012'!H536</f>
        <v>0</v>
      </c>
      <c r="R40" s="173">
        <f>'PSUT_Data&amp;Method_2012'!H545</f>
        <v>44209.770400000001</v>
      </c>
      <c r="S40" s="173">
        <f>'PSUT_Data&amp;Method_2012'!H554</f>
        <v>0</v>
      </c>
      <c r="T40" s="173">
        <f>'PSUT_Data&amp;Method_2012'!H563</f>
        <v>0</v>
      </c>
      <c r="U40" s="173">
        <f>'PSUT_Data&amp;Method_2012'!H572</f>
        <v>1.1818737127147767</v>
      </c>
      <c r="V40" s="173">
        <f>'PSUT_Data&amp;Method_2012'!H581</f>
        <v>0</v>
      </c>
      <c r="W40" s="140">
        <f t="shared" si="3"/>
        <v>1649562.757167479</v>
      </c>
      <c r="X40" s="173">
        <f>'PSUT_Data&amp;Method_2012'!H593</f>
        <v>41390</v>
      </c>
      <c r="Y40" s="173">
        <f>'PSUT_Data&amp;Method_2012'!H602</f>
        <v>4688.7652799999996</v>
      </c>
      <c r="Z40" s="76"/>
      <c r="AA40" s="158">
        <f t="shared" si="4"/>
        <v>1695641.522447479</v>
      </c>
      <c r="AB40" s="74"/>
    </row>
    <row r="41" spans="1:28" ht="12" customHeight="1" x14ac:dyDescent="0.2">
      <c r="A41" s="1781"/>
      <c r="B41" s="144" t="s">
        <v>45</v>
      </c>
      <c r="C41" s="173">
        <f>'PSUT_Data&amp;Method_2012'!H411</f>
        <v>81951.3</v>
      </c>
      <c r="D41" s="173">
        <f>'PSUT_Data&amp;Method_2012'!H420</f>
        <v>1.9136439000000001</v>
      </c>
      <c r="E41" s="173">
        <f>'PSUT_Data&amp;Method_2012'!H429</f>
        <v>166.95464286320009</v>
      </c>
      <c r="F41" s="173">
        <f>'PSUT_Data&amp;Method_2012'!H438</f>
        <v>0</v>
      </c>
      <c r="G41" s="173">
        <f>'PSUT_Data&amp;Method_2012'!H447</f>
        <v>0</v>
      </c>
      <c r="H41" s="173">
        <f>'PSUT_Data&amp;Method_2012'!H456</f>
        <v>0</v>
      </c>
      <c r="I41" s="173">
        <f>'PSUT_Data&amp;Method_2012'!H465</f>
        <v>0</v>
      </c>
      <c r="J41" s="173">
        <f>'PSUT_Data&amp;Method_2012'!H474</f>
        <v>0</v>
      </c>
      <c r="K41" s="173">
        <f>'PSUT_Data&amp;Method_2012'!H483</f>
        <v>0</v>
      </c>
      <c r="L41" s="173">
        <f>'PSUT_Data&amp;Method_2012'!H492</f>
        <v>0</v>
      </c>
      <c r="M41" s="173">
        <f>'PSUT_Data&amp;Method_2012'!H501</f>
        <v>4.7351202749140899</v>
      </c>
      <c r="N41" s="173">
        <f>'PSUT_Data&amp;Method_2012'!H510</f>
        <v>0</v>
      </c>
      <c r="O41" s="173">
        <f>'PSUT_Data&amp;Method_2012'!H519</f>
        <v>0</v>
      </c>
      <c r="P41" s="173">
        <f>'PSUT_Data&amp;Method_2012'!H528</f>
        <v>0</v>
      </c>
      <c r="Q41" s="173">
        <f>'PSUT_Data&amp;Method_2012'!H537</f>
        <v>0</v>
      </c>
      <c r="R41" s="173">
        <f>'PSUT_Data&amp;Method_2012'!H546</f>
        <v>135288.09360000002</v>
      </c>
      <c r="S41" s="173">
        <f>'PSUT_Data&amp;Method_2012'!H555</f>
        <v>3201.047978608482</v>
      </c>
      <c r="T41" s="173">
        <f>'PSUT_Data&amp;Method_2012'!H564</f>
        <v>0</v>
      </c>
      <c r="U41" s="173">
        <f>'PSUT_Data&amp;Method_2012'!H573</f>
        <v>9.3718228896499678</v>
      </c>
      <c r="V41" s="173">
        <f>'PSUT_Data&amp;Method_2012'!H582</f>
        <v>0</v>
      </c>
      <c r="W41" s="140">
        <f t="shared" si="3"/>
        <v>220623.41680853631</v>
      </c>
      <c r="X41" s="173">
        <f>'PSUT_Data&amp;Method_2012'!H594</f>
        <v>20695</v>
      </c>
      <c r="Y41" s="173">
        <f>'PSUT_Data&amp;Method_2012'!H603</f>
        <v>522.8891953063885</v>
      </c>
      <c r="Z41" s="76"/>
      <c r="AA41" s="158">
        <f t="shared" si="4"/>
        <v>241841.30600384271</v>
      </c>
      <c r="AB41" s="74"/>
    </row>
    <row r="42" spans="1:28" ht="12" customHeight="1" x14ac:dyDescent="0.2">
      <c r="A42" s="1781"/>
      <c r="B42" s="144" t="s">
        <v>46</v>
      </c>
      <c r="C42" s="173">
        <f>'PSUT_Data&amp;Method_2012'!H412</f>
        <v>678169.02525196562</v>
      </c>
      <c r="D42" s="173">
        <f>'PSUT_Data&amp;Method_2012'!H421</f>
        <v>51.030504000000001</v>
      </c>
      <c r="E42" s="173">
        <f>'PSUT_Data&amp;Method_2012'!H430</f>
        <v>6.2332307099999991</v>
      </c>
      <c r="F42" s="173">
        <f>'PSUT_Data&amp;Method_2012'!H439</f>
        <v>0</v>
      </c>
      <c r="G42" s="173">
        <f>'PSUT_Data&amp;Method_2012'!H448</f>
        <v>0</v>
      </c>
      <c r="H42" s="173">
        <f>'PSUT_Data&amp;Method_2012'!H457</f>
        <v>0</v>
      </c>
      <c r="I42" s="173">
        <f>'PSUT_Data&amp;Method_2012'!H466</f>
        <v>0</v>
      </c>
      <c r="J42" s="173">
        <f>'PSUT_Data&amp;Method_2012'!H475</f>
        <v>0</v>
      </c>
      <c r="K42" s="173">
        <f>'PSUT_Data&amp;Method_2012'!H484</f>
        <v>141.92012135807559</v>
      </c>
      <c r="L42" s="173">
        <f>'PSUT_Data&amp;Method_2012'!H493</f>
        <v>0</v>
      </c>
      <c r="M42" s="173">
        <f>'PSUT_Data&amp;Method_2012'!H502</f>
        <v>5.1572407916317804</v>
      </c>
      <c r="N42" s="173">
        <f>'PSUT_Data&amp;Method_2012'!H511</f>
        <v>0</v>
      </c>
      <c r="O42" s="173">
        <f>'PSUT_Data&amp;Method_2012'!H520</f>
        <v>0</v>
      </c>
      <c r="P42" s="173">
        <f>'PSUT_Data&amp;Method_2012'!H529</f>
        <v>0</v>
      </c>
      <c r="Q42" s="173">
        <f>'PSUT_Data&amp;Method_2012'!H538</f>
        <v>0</v>
      </c>
      <c r="R42" s="173">
        <f>'PSUT_Data&amp;Method_2012'!H547</f>
        <v>0</v>
      </c>
      <c r="S42" s="173">
        <f>'PSUT_Data&amp;Method_2012'!H556</f>
        <v>246.72983727867833</v>
      </c>
      <c r="T42" s="173">
        <f>'PSUT_Data&amp;Method_2012'!H565</f>
        <v>0</v>
      </c>
      <c r="U42" s="173">
        <f>'PSUT_Data&amp;Method_2012'!H574</f>
        <v>0.16117641237113403</v>
      </c>
      <c r="V42" s="173">
        <f>'PSUT_Data&amp;Method_2012'!H583</f>
        <v>0</v>
      </c>
      <c r="W42" s="140">
        <f t="shared" si="3"/>
        <v>678620.25736251648</v>
      </c>
      <c r="X42" s="173">
        <f>'PSUT_Data&amp;Method_2012'!H595</f>
        <v>10348</v>
      </c>
      <c r="Y42" s="173">
        <f>'PSUT_Data&amp;Method_2012'!H604</f>
        <v>0</v>
      </c>
      <c r="Z42" s="76"/>
      <c r="AA42" s="158">
        <f>W42+X42+Y42</f>
        <v>688968.25736251648</v>
      </c>
      <c r="AB42" s="74"/>
    </row>
    <row r="43" spans="1:28" ht="12" customHeight="1" x14ac:dyDescent="0.2">
      <c r="A43" s="1782"/>
      <c r="B43" s="153" t="s">
        <v>47</v>
      </c>
      <c r="C43" s="174">
        <f>'PSUT_Data&amp;Method_2012'!H413</f>
        <v>0</v>
      </c>
      <c r="D43" s="174">
        <f>'PSUT_Data&amp;Method_2012'!H422</f>
        <v>0</v>
      </c>
      <c r="E43" s="174">
        <f>'PSUT_Data&amp;Method_2012'!H431</f>
        <v>0</v>
      </c>
      <c r="F43" s="174">
        <f>'PSUT_Data&amp;Method_2012'!H440</f>
        <v>0</v>
      </c>
      <c r="G43" s="174">
        <f>'PSUT_Data&amp;Method_2012'!H449</f>
        <v>0</v>
      </c>
      <c r="H43" s="174">
        <f>'PSUT_Data&amp;Method_2012'!H458</f>
        <v>0</v>
      </c>
      <c r="I43" s="174">
        <f>'PSUT_Data&amp;Method_2012'!H467</f>
        <v>0</v>
      </c>
      <c r="J43" s="174">
        <f>'PSUT_Data&amp;Method_2012'!H476</f>
        <v>0</v>
      </c>
      <c r="K43" s="174">
        <f>'PSUT_Data&amp;Method_2012'!H485</f>
        <v>0</v>
      </c>
      <c r="L43" s="174">
        <f>'PSUT_Data&amp;Method_2012'!H494</f>
        <v>0</v>
      </c>
      <c r="M43" s="174">
        <f>'PSUT_Data&amp;Method_2012'!H503</f>
        <v>0</v>
      </c>
      <c r="N43" s="174">
        <f>'PSUT_Data&amp;Method_2012'!H512</f>
        <v>0</v>
      </c>
      <c r="O43" s="174">
        <f>'PSUT_Data&amp;Method_2012'!H521</f>
        <v>0</v>
      </c>
      <c r="P43" s="174">
        <f>'PSUT_Data&amp;Method_2012'!H530</f>
        <v>0</v>
      </c>
      <c r="Q43" s="174">
        <f>'PSUT_Data&amp;Method_2012'!H539</f>
        <v>0</v>
      </c>
      <c r="R43" s="174">
        <f>'PSUT_Data&amp;Method_2012'!H548</f>
        <v>0</v>
      </c>
      <c r="S43" s="174">
        <f>'PSUT_Data&amp;Method_2012'!H557</f>
        <v>0</v>
      </c>
      <c r="T43" s="174">
        <f>'PSUT_Data&amp;Method_2012'!H566</f>
        <v>0</v>
      </c>
      <c r="U43" s="174">
        <f>'PSUT_Data&amp;Method_2012'!H575</f>
        <v>0</v>
      </c>
      <c r="V43" s="174">
        <f>'PSUT_Data&amp;Method_2012'!H584</f>
        <v>0</v>
      </c>
      <c r="W43" s="138">
        <f t="shared" si="3"/>
        <v>0</v>
      </c>
      <c r="X43" s="174">
        <f>'PSUT_Data&amp;Method_2012'!H596</f>
        <v>10348</v>
      </c>
      <c r="Y43" s="174">
        <f>'PSUT_Data&amp;Method_2012'!H605</f>
        <v>0</v>
      </c>
      <c r="Z43" s="76"/>
      <c r="AA43" s="157">
        <f>W43+X43+Y43</f>
        <v>10348</v>
      </c>
      <c r="AB43" s="74"/>
    </row>
    <row r="44" spans="1:28" ht="12" customHeight="1" x14ac:dyDescent="0.2">
      <c r="A44" s="1783" t="s">
        <v>163</v>
      </c>
      <c r="B44" s="1784"/>
      <c r="C44" s="151">
        <f>SUM(C35,C38)</f>
        <v>1529661.7232789313</v>
      </c>
      <c r="D44" s="151">
        <f>SUM(D35,D38)</f>
        <v>21325.345825404464</v>
      </c>
      <c r="E44" s="151">
        <f>SUM(E35,E38)</f>
        <v>515516.1363586238</v>
      </c>
      <c r="F44" s="151">
        <f>SUM(F35,F38)</f>
        <v>318506.66045111854</v>
      </c>
      <c r="G44" s="151">
        <f>SUM(G35,G38)</f>
        <v>2570.3302400000002</v>
      </c>
      <c r="H44" s="151">
        <f t="shared" ref="H44:V44" si="5">SUM(H35,H38)</f>
        <v>0</v>
      </c>
      <c r="I44" s="151">
        <f t="shared" si="5"/>
        <v>0</v>
      </c>
      <c r="J44" s="151">
        <f t="shared" si="5"/>
        <v>0</v>
      </c>
      <c r="K44" s="151">
        <f t="shared" si="5"/>
        <v>12972.195091540892</v>
      </c>
      <c r="L44" s="151">
        <f t="shared" si="5"/>
        <v>0</v>
      </c>
      <c r="M44" s="151">
        <f t="shared" si="5"/>
        <v>62.479223265858586</v>
      </c>
      <c r="N44" s="151">
        <f t="shared" si="5"/>
        <v>0</v>
      </c>
      <c r="O44" s="151">
        <f t="shared" si="5"/>
        <v>0</v>
      </c>
      <c r="P44" s="151">
        <f t="shared" si="5"/>
        <v>0</v>
      </c>
      <c r="Q44" s="151">
        <f t="shared" si="5"/>
        <v>0</v>
      </c>
      <c r="R44" s="151">
        <f t="shared" si="5"/>
        <v>179497.86400000003</v>
      </c>
      <c r="S44" s="151">
        <f t="shared" si="5"/>
        <v>3447.7778158871602</v>
      </c>
      <c r="T44" s="151">
        <f t="shared" si="5"/>
        <v>0</v>
      </c>
      <c r="U44" s="151">
        <f t="shared" si="5"/>
        <v>10.714873014735879</v>
      </c>
      <c r="V44" s="151">
        <f t="shared" si="5"/>
        <v>0</v>
      </c>
      <c r="W44" s="151">
        <f>SUM(C44:V44)</f>
        <v>2583571.227157787</v>
      </c>
      <c r="X44" s="151">
        <f>SUM(X35,X38)</f>
        <v>82781</v>
      </c>
      <c r="Y44" s="151">
        <f>SUM(Y35,Y38)</f>
        <v>5211.6544753063881</v>
      </c>
      <c r="Z44" s="76"/>
      <c r="AA44" s="159">
        <f>W44+X44+Y44</f>
        <v>2671563.8816330931</v>
      </c>
      <c r="AB44" s="74"/>
    </row>
    <row r="45" spans="1:28" ht="12" customHeight="1" x14ac:dyDescent="0.2">
      <c r="A45" s="1785" t="s">
        <v>164</v>
      </c>
      <c r="B45" s="1785"/>
      <c r="C45" s="139">
        <f>SUM(C24-C44)</f>
        <v>12123968.78176038</v>
      </c>
      <c r="D45" s="139">
        <f>SUM(D24-D44)</f>
        <v>1065.3130323897094</v>
      </c>
      <c r="E45" s="139">
        <f>SUM(E24-E44)</f>
        <v>150885.77378783905</v>
      </c>
      <c r="F45" s="139">
        <f>SUM(F24-F44)</f>
        <v>16763.508444795734</v>
      </c>
      <c r="G45" s="139">
        <f>SUM(G24-G44)</f>
        <v>50438.456176190091</v>
      </c>
      <c r="H45" s="139">
        <f t="shared" ref="H45:V45" si="6">SUM(H24-H44)</f>
        <v>0</v>
      </c>
      <c r="I45" s="139">
        <f t="shared" si="6"/>
        <v>0</v>
      </c>
      <c r="J45" s="139">
        <f t="shared" si="6"/>
        <v>0</v>
      </c>
      <c r="K45" s="139">
        <f t="shared" si="6"/>
        <v>3700.4149084591081</v>
      </c>
      <c r="L45" s="139">
        <f t="shared" si="6"/>
        <v>0</v>
      </c>
      <c r="M45" s="139">
        <f t="shared" si="6"/>
        <v>13.611322139488699</v>
      </c>
      <c r="N45" s="139">
        <f t="shared" si="6"/>
        <v>0</v>
      </c>
      <c r="O45" s="139">
        <f t="shared" si="6"/>
        <v>0</v>
      </c>
      <c r="P45" s="139">
        <f t="shared" si="6"/>
        <v>0</v>
      </c>
      <c r="Q45" s="139">
        <f t="shared" si="6"/>
        <v>0</v>
      </c>
      <c r="R45" s="139">
        <f t="shared" si="6"/>
        <v>45007.581399999966</v>
      </c>
      <c r="S45" s="139">
        <f t="shared" si="6"/>
        <v>861.94444968661037</v>
      </c>
      <c r="T45" s="139">
        <f t="shared" si="6"/>
        <v>0</v>
      </c>
      <c r="U45" s="139">
        <f t="shared" si="6"/>
        <v>132.68839873822006</v>
      </c>
      <c r="V45" s="139">
        <f t="shared" si="6"/>
        <v>0</v>
      </c>
      <c r="W45" s="151">
        <f>SUM(C45:V45)</f>
        <v>12392838.073680619</v>
      </c>
      <c r="X45" s="139">
        <f>SUM(X24-X44)</f>
        <v>133714.89643956049</v>
      </c>
      <c r="Y45" s="139">
        <f>SUM(Y24-Y44)</f>
        <v>1302.9136146936116</v>
      </c>
      <c r="Z45" s="161"/>
      <c r="AA45" s="157">
        <f>W45+X45+Y45</f>
        <v>12527855.883734873</v>
      </c>
      <c r="AB45" s="74"/>
    </row>
    <row r="46" spans="1:28" customFormat="1" ht="5.25" customHeight="1" x14ac:dyDescent="0.25"/>
    <row r="47" spans="1:28" ht="22.5" customHeight="1" x14ac:dyDescent="0.2">
      <c r="A47" s="1776" t="s">
        <v>37</v>
      </c>
      <c r="B47" s="1776"/>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row>
    <row r="48" spans="1:28" ht="22.5" customHeight="1" x14ac:dyDescent="0.25">
      <c r="A48" s="1777" t="s">
        <v>143</v>
      </c>
      <c r="B48" s="1778"/>
      <c r="C48" s="80"/>
      <c r="D48"/>
      <c r="E48" s="80"/>
      <c r="F48" s="80"/>
      <c r="G48" s="80"/>
      <c r="H48" s="80"/>
      <c r="I48" s="80"/>
      <c r="J48" s="80"/>
      <c r="K48" s="80"/>
      <c r="L48" s="80"/>
      <c r="M48" s="80"/>
      <c r="N48" s="80"/>
      <c r="O48" s="80"/>
      <c r="P48" s="80"/>
      <c r="Q48" s="80"/>
      <c r="R48" s="80"/>
      <c r="S48" s="80"/>
      <c r="T48" s="80"/>
      <c r="U48" s="80"/>
      <c r="V48" s="80"/>
      <c r="W48" s="80"/>
      <c r="X48" s="80"/>
      <c r="Y48" s="80"/>
      <c r="Z48" s="80"/>
      <c r="AA48" s="80"/>
      <c r="AB48" s="80"/>
    </row>
    <row r="49" spans="1:28" ht="32.25" customHeight="1" x14ac:dyDescent="0.25">
      <c r="A49" s="1779" t="s">
        <v>144</v>
      </c>
      <c r="B49" s="1779"/>
      <c r="C49" s="80"/>
      <c r="D49"/>
      <c r="E49" s="80"/>
      <c r="F49" s="80"/>
      <c r="G49" s="80"/>
      <c r="H49" s="80"/>
      <c r="I49" s="80"/>
      <c r="J49" s="80"/>
      <c r="K49" s="80"/>
      <c r="L49" s="80"/>
      <c r="M49" s="80"/>
      <c r="N49" s="80"/>
      <c r="O49" s="80"/>
      <c r="P49" s="80"/>
      <c r="Q49" s="80"/>
      <c r="R49" s="80"/>
      <c r="S49" s="80"/>
      <c r="T49" s="80"/>
      <c r="U49" s="80"/>
      <c r="V49" s="80"/>
      <c r="W49" s="80"/>
      <c r="X49" s="80"/>
      <c r="Y49" s="80"/>
      <c r="Z49" s="80"/>
      <c r="AA49" s="80"/>
      <c r="AB49" s="80"/>
    </row>
    <row r="50" spans="1:28" ht="15" x14ac:dyDescent="0.25">
      <c r="C50" s="80"/>
      <c r="D50"/>
      <c r="E50" s="80"/>
      <c r="F50" s="80"/>
      <c r="G50" s="81"/>
      <c r="H50" s="81"/>
      <c r="I50" s="81"/>
      <c r="J50" s="81"/>
      <c r="K50" s="80"/>
      <c r="L50" s="80"/>
      <c r="M50" s="80"/>
      <c r="N50" s="80"/>
      <c r="O50" s="80"/>
      <c r="P50" s="80"/>
      <c r="Q50" s="80"/>
      <c r="R50" s="80"/>
      <c r="S50" s="80"/>
      <c r="T50" s="80"/>
      <c r="U50" s="80"/>
      <c r="V50" s="80"/>
      <c r="W50" s="80"/>
      <c r="X50" s="80"/>
      <c r="Y50" s="80"/>
      <c r="Z50" s="80"/>
      <c r="AA50" s="80"/>
      <c r="AB50" s="80"/>
    </row>
    <row r="51" spans="1:28" ht="15" x14ac:dyDescent="0.25">
      <c r="D51"/>
    </row>
    <row r="52" spans="1:28" ht="15" x14ac:dyDescent="0.25">
      <c r="D52"/>
    </row>
    <row r="53" spans="1:28" ht="15" x14ac:dyDescent="0.25">
      <c r="D53"/>
    </row>
    <row r="54" spans="1:28" ht="15" x14ac:dyDescent="0.25">
      <c r="D54"/>
    </row>
  </sheetData>
  <mergeCells count="28">
    <mergeCell ref="A49:B49"/>
    <mergeCell ref="A35:A37"/>
    <mergeCell ref="A38:A43"/>
    <mergeCell ref="A44:B44"/>
    <mergeCell ref="A45:B45"/>
    <mergeCell ref="A47:B47"/>
    <mergeCell ref="A48:B48"/>
    <mergeCell ref="A6:A22"/>
    <mergeCell ref="A31:AA31"/>
    <mergeCell ref="A32:B34"/>
    <mergeCell ref="C32:W32"/>
    <mergeCell ref="X32:X33"/>
    <mergeCell ref="Y32:Y33"/>
    <mergeCell ref="Z32:Z33"/>
    <mergeCell ref="AA32:AA33"/>
    <mergeCell ref="A24:B24"/>
    <mergeCell ref="A26:B26"/>
    <mergeCell ref="A27:B27"/>
    <mergeCell ref="A28:B28"/>
    <mergeCell ref="A30:AB30"/>
    <mergeCell ref="A3:B4"/>
    <mergeCell ref="C1:AA1"/>
    <mergeCell ref="C2:AA2"/>
    <mergeCell ref="C3:U3"/>
    <mergeCell ref="W3:W4"/>
    <mergeCell ref="Y3:Y4"/>
    <mergeCell ref="Z3:Z4"/>
    <mergeCell ref="AA3:AA4"/>
  </mergeCells>
  <hyperlinks>
    <hyperlink ref="D6" location="'PSUT_Data&amp;Method_2012'!H20" display="'PSUT_Data&amp;Method_2012'!H20"/>
    <hyperlink ref="C7" location="'PSUT_Data&amp;Method_2012'!H3" display="'PSUT_Data&amp;Method_2012'!H3"/>
    <hyperlink ref="C8" location="'PSUT_Data&amp;Method_2012'!H4" display="'PSUT_Data&amp;Method_2012'!H4"/>
    <hyperlink ref="C9" location="'PSUT_Data&amp;Method_2012'!H5" display="'PSUT_Data&amp;Method_2012'!H5"/>
    <hyperlink ref="C10" location="'PSUT_Data&amp;Method_2012'!H6" display="'PSUT_Data&amp;Method_2012'!H6"/>
    <hyperlink ref="C11" location="'PSUT_Data&amp;Method_2012'!H7" display="'PSUT_Data&amp;Method_2012'!H7"/>
    <hyperlink ref="C12" location="'PSUT_Data&amp;Method_2012'!H8" display="'PSUT_Data&amp;Method_2012'!H8"/>
    <hyperlink ref="C13" location="'PSUT_Data&amp;Method_2012'!H9" display="'PSUT_Data&amp;Method_2012'!H9"/>
    <hyperlink ref="C14" location="'PSUT_Data&amp;Method_2012'!H10" display="'PSUT_Data&amp;Method_2012'!H10"/>
    <hyperlink ref="C15" location="'PSUT_Data&amp;Method_2012'!H11" display="'PSUT_Data&amp;Method_2012'!H11"/>
    <hyperlink ref="C19" location="'PSUT_Data&amp;Method_2012'!H15" display="'PSUT_Data&amp;Method_2012'!H15"/>
    <hyperlink ref="C20" location="'PSUT_Data&amp;Method_2012'!H16" display="'PSUT_Data&amp;Method_2012'!H16"/>
    <hyperlink ref="C21" location="'PSUT_Data&amp;Method_2012'!H17" display="'PSUT_Data&amp;Method_2012'!H17"/>
    <hyperlink ref="C22" location="'PSUT_Data&amp;Method_2012'!H18" display="'PSUT_Data&amp;Method_2012'!H18"/>
    <hyperlink ref="C23" location="'PSUT_Data&amp;Method_2012'!H19" display="'PSUT_Data&amp;Method_2012'!H19"/>
    <hyperlink ref="D7" location="'PSUT_Data&amp;Method_2012'!H21" display="'PSUT_Data&amp;Method_2012'!H21"/>
    <hyperlink ref="D8" location="'PSUT_Data&amp;Method_2012'!H22" display="'PSUT_Data&amp;Method_2012'!H22"/>
    <hyperlink ref="D9" location="'PSUT_Data&amp;Method_2012'!H23" display="'PSUT_Data&amp;Method_2012'!H23"/>
    <hyperlink ref="D10" location="'PSUT_Data&amp;Method_2012'!H24" display="'PSUT_Data&amp;Method_2012'!H24"/>
    <hyperlink ref="D11" location="'PSUT_Data&amp;Method_2012'!H25" display="'PSUT_Data&amp;Method_2012'!H25"/>
    <hyperlink ref="D12" location="'PSUT_Data&amp;Method_2012'!H26" display="'PSUT_Data&amp;Method_2012'!H26"/>
    <hyperlink ref="D13" location="'PSUT_Data&amp;Method_2012'!H27" display="'PSUT_Data&amp;Method_2012'!H27"/>
    <hyperlink ref="D14" location="'PSUT_Data&amp;Method_2012'!H28" display="'PSUT_Data&amp;Method_2012'!H28"/>
    <hyperlink ref="D15" location="'PSUT_Data&amp;Method_2012'!H29" display="'PSUT_Data&amp;Method_2012'!H29"/>
    <hyperlink ref="D16" location="'PSUT_Data&amp;Method_2012'!H30" display="'PSUT_Data&amp;Method_2012'!H30"/>
    <hyperlink ref="C35" location="'PSUT_Data&amp;Method_2012'!H405" display="'PSUT_Data&amp;Method_2012'!H405"/>
    <hyperlink ref="C6" location="'PSUT_Data&amp;Method_2012'!H2" display="'PSUT_Data&amp;Method_2012'!H2"/>
    <hyperlink ref="C18" location="'PSUT_Data&amp;Method_2012'!H14" display="'PSUT_Data&amp;Method_2012'!H14"/>
    <hyperlink ref="C16" location="'PSUT_Data&amp;Method_2012'!H12" display="'PSUT_Data&amp;Method_2012'!H12"/>
    <hyperlink ref="D17:D23" location="'PSUT_Data&amp;Method_2012'!H30" display="'PSUT_Data&amp;Method_2012'!H30"/>
    <hyperlink ref="D17" location="'PSUT_Data&amp;Method_2012'!H31" display="'PSUT_Data&amp;Method_2012'!H31"/>
    <hyperlink ref="D18" location="'PSUT_Data&amp;Method_2012'!H32" display="'PSUT_Data&amp;Method_2012'!H32"/>
    <hyperlink ref="D19" location="'PSUT_Data&amp;Method_2012'!H33" display="'PSUT_Data&amp;Method_2012'!H33"/>
    <hyperlink ref="D20" location="'PSUT_Data&amp;Method_2012'!H34" display="'PSUT_Data&amp;Method_2012'!H34"/>
    <hyperlink ref="D21" location="'PSUT_Data&amp;Method_2012'!H35" display="'PSUT_Data&amp;Method_2012'!H35"/>
    <hyperlink ref="D22" location="'PSUT_Data&amp;Method_2012'!H36" display="'PSUT_Data&amp;Method_2012'!H36"/>
    <hyperlink ref="D23" location="'PSUT_Data&amp;Method_2012'!H37" display="'PSUT_Data&amp;Method_2012'!H37"/>
    <hyperlink ref="E6" location="'PSUT_Data&amp;Method_2012'!H38" display="'PSUT_Data&amp;Method_2012'!H38"/>
    <hyperlink ref="E7:E23" location="'PSUT_Data&amp;Method_2012'!H38" display="'PSUT_Data&amp;Method_2012'!H38"/>
    <hyperlink ref="E7" location="'PSUT_Data&amp;Method_2012'!H39" display="'PSUT_Data&amp;Method_2012'!H39"/>
    <hyperlink ref="E8" location="'PSUT_Data&amp;Method_2012'!H40" display="'PSUT_Data&amp;Method_2012'!H40"/>
    <hyperlink ref="E9" location="'PSUT_Data&amp;Method_2012'!H41" display="'PSUT_Data&amp;Method_2012'!H41"/>
    <hyperlink ref="E10" location="'PSUT_Data&amp;Method_2012'!H42" display="'PSUT_Data&amp;Method_2012'!H42"/>
    <hyperlink ref="E11" location="'PSUT_Data&amp;Method_2012'!H43" display="'PSUT_Data&amp;Method_2012'!H43"/>
    <hyperlink ref="E12" location="'PSUT_Data&amp;Method_2012'!H44" display="'PSUT_Data&amp;Method_2012'!H44"/>
    <hyperlink ref="E13" location="'PSUT_Data&amp;Method_2012'!H45" display="'PSUT_Data&amp;Method_2012'!H45"/>
    <hyperlink ref="E14" location="'PSUT_Data&amp;Method_2012'!H46" display="'PSUT_Data&amp;Method_2012'!H46"/>
    <hyperlink ref="E15" location="'PSUT_Data&amp;Method_2012'!H47" display="'PSUT_Data&amp;Method_2012'!H47"/>
    <hyperlink ref="E16" location="'PSUT_Data&amp;Method_2012'!H48" display="'PSUT_Data&amp;Method_2012'!H48"/>
    <hyperlink ref="E17" location="'PSUT_Data&amp;Method_2012'!H49" display="'PSUT_Data&amp;Method_2012'!H49"/>
    <hyperlink ref="E18" location="'PSUT_Data&amp;Method_2012'!H50" display="'PSUT_Data&amp;Method_2012'!H50"/>
    <hyperlink ref="E19" location="'PSUT_Data&amp;Method_2012'!H51" display="'PSUT_Data&amp;Method_2012'!H51"/>
    <hyperlink ref="E20" location="'PSUT_Data&amp;Method_2012'!H52" display="'PSUT_Data&amp;Method_2012'!H52"/>
    <hyperlink ref="E21" location="'PSUT_Data&amp;Method_2012'!H53" display="'PSUT_Data&amp;Method_2012'!H53"/>
    <hyperlink ref="E22" location="'PSUT_Data&amp;Method_2012'!H54" display="'PSUT_Data&amp;Method_2012'!H54"/>
    <hyperlink ref="E23" location="'PSUT_Data&amp;Method_2012'!H55" display="'PSUT_Data&amp;Method_2012'!H55"/>
    <hyperlink ref="F6" location="'PSUT_Data&amp;Method_2012'!H56" display="'PSUT_Data&amp;Method_2012'!H56"/>
    <hyperlink ref="F7:F23" location="'PSUT_Data&amp;Method_2012'!H56" display="'PSUT_Data&amp;Method_2012'!H56"/>
    <hyperlink ref="F7" location="'PSUT_Data&amp;Method_2012'!H57" display="'PSUT_Data&amp;Method_2012'!H57"/>
    <hyperlink ref="F8" location="'PSUT_Data&amp;Method_2012'!H58" display="'PSUT_Data&amp;Method_2012'!H58"/>
    <hyperlink ref="F9" location="'PSUT_Data&amp;Method_2012'!H59" display="'PSUT_Data&amp;Method_2012'!H59"/>
    <hyperlink ref="F10" location="'PSUT_Data&amp;Method_2012'!H60" display="'PSUT_Data&amp;Method_2012'!H60"/>
    <hyperlink ref="F11" location="'PSUT_Data&amp;Method_2012'!H61" display="'PSUT_Data&amp;Method_2012'!H61"/>
    <hyperlink ref="F12" location="'PSUT_Data&amp;Method_2012'!H62" display="'PSUT_Data&amp;Method_2012'!H62"/>
    <hyperlink ref="F13" location="'PSUT_Data&amp;Method_2012'!H63" display="'PSUT_Data&amp;Method_2012'!H63"/>
    <hyperlink ref="F14" location="'PSUT_Data&amp;Method_2012'!H64" display="'PSUT_Data&amp;Method_2012'!H64"/>
    <hyperlink ref="F15" location="'PSUT_Data&amp;Method_2012'!H65" display="'PSUT_Data&amp;Method_2012'!H65"/>
    <hyperlink ref="F16" location="'PSUT_Data&amp;Method_2012'!H66" display="'PSUT_Data&amp;Method_2012'!H66"/>
    <hyperlink ref="F17" location="'PSUT_Data&amp;Method_2012'!H67" display="'PSUT_Data&amp;Method_2012'!H67"/>
    <hyperlink ref="F18" location="'PSUT_Data&amp;Method_2012'!H68" display="'PSUT_Data&amp;Method_2012'!H68"/>
    <hyperlink ref="F19" location="'PSUT_Data&amp;Method_2012'!H69" display="'PSUT_Data&amp;Method_2012'!H69"/>
    <hyperlink ref="F20" location="'PSUT_Data&amp;Method_2012'!H70" display="'PSUT_Data&amp;Method_2012'!H70"/>
    <hyperlink ref="F21" location="'PSUT_Data&amp;Method_2012'!H71" display="'PSUT_Data&amp;Method_2012'!H71"/>
    <hyperlink ref="F22" location="'PSUT_Data&amp;Method_2012'!H72" display="'PSUT_Data&amp;Method_2012'!H72"/>
    <hyperlink ref="F23" location="'PSUT_Data&amp;Method_2012'!H73" display="'PSUT_Data&amp;Method_2012'!H73"/>
    <hyperlink ref="G6" location="'PSUT_Data&amp;Method_2012'!H74" display="'PSUT_Data&amp;Method_2012'!H74"/>
    <hyperlink ref="G7:G23" location="'PSUT_Data&amp;Method_2012'!H74" display="'PSUT_Data&amp;Method_2012'!H74"/>
    <hyperlink ref="G7" location="'PSUT_Data&amp;Method_2012'!H75" display="'PSUT_Data&amp;Method_2012'!H75"/>
    <hyperlink ref="G8" location="'PSUT_Data&amp;Method_2012'!H76" display="'PSUT_Data&amp;Method_2012'!H76"/>
    <hyperlink ref="G9" location="'PSUT_Data&amp;Method_2012'!H77" display="'PSUT_Data&amp;Method_2012'!H77"/>
    <hyperlink ref="G10" location="'PSUT_Data&amp;Method_2012'!H78" display="'PSUT_Data&amp;Method_2012'!H78"/>
    <hyperlink ref="G11" location="'PSUT_Data&amp;Method_2012'!H79" display="'PSUT_Data&amp;Method_2012'!H79"/>
    <hyperlink ref="G12" location="'PSUT_Data&amp;Method_2012'!H80" display="'PSUT_Data&amp;Method_2012'!H80"/>
    <hyperlink ref="G13" location="'PSUT_Data&amp;Method_2012'!H81" display="'PSUT_Data&amp;Method_2012'!H81"/>
    <hyperlink ref="G14" location="'PSUT_Data&amp;Method_2012'!H82" display="'PSUT_Data&amp;Method_2012'!H82"/>
    <hyperlink ref="G15" location="'PSUT_Data&amp;Method_2012'!H83" display="'PSUT_Data&amp;Method_2012'!H83"/>
    <hyperlink ref="G16" location="'PSUT_Data&amp;Method_2012'!H84" display="'PSUT_Data&amp;Method_2012'!H84"/>
    <hyperlink ref="G17" location="'PSUT_Data&amp;Method_2012'!H85" display="'PSUT_Data&amp;Method_2012'!H85"/>
    <hyperlink ref="G18" location="'PSUT_Data&amp;Method_2012'!H86" display="'PSUT_Data&amp;Method_2012'!H86"/>
    <hyperlink ref="G19" location="'PSUT_Data&amp;Method_2012'!H87" display="'PSUT_Data&amp;Method_2012'!H87"/>
    <hyperlink ref="G20" location="'PSUT_Data&amp;Method_2012'!H88" display="'PSUT_Data&amp;Method_2012'!H88"/>
    <hyperlink ref="G21" location="'PSUT_Data&amp;Method_2012'!H89" display="'PSUT_Data&amp;Method_2012'!H89"/>
    <hyperlink ref="G22" location="'PSUT_Data&amp;Method_2012'!H90" display="'PSUT_Data&amp;Method_2012'!H90"/>
    <hyperlink ref="G23" location="'PSUT_Data&amp;Method_2012'!H91" display="'PSUT_Data&amp;Method_2012'!H91"/>
    <hyperlink ref="H6" location="'PSUT_Data&amp;Method_2012'!H92" display="'PSUT_Data&amp;Method_2012'!H92"/>
    <hyperlink ref="H7:H23" location="'PSUT_Data&amp;Method_2012'!H92" display="'PSUT_Data&amp;Method_2012'!H92"/>
    <hyperlink ref="H7" location="'PSUT_Data&amp;Method_2012'!H93" display="'PSUT_Data&amp;Method_2012'!H93"/>
    <hyperlink ref="H8" location="'PSUT_Data&amp;Method_2012'!H94" display="'PSUT_Data&amp;Method_2012'!H94"/>
    <hyperlink ref="H9" location="'PSUT_Data&amp;Method_2012'!H95" display="'PSUT_Data&amp;Method_2012'!H95"/>
    <hyperlink ref="H10" location="'PSUT_Data&amp;Method_2012'!H96" display="'PSUT_Data&amp;Method_2012'!H96"/>
    <hyperlink ref="H11" location="'PSUT_Data&amp;Method_2012'!H97" display="'PSUT_Data&amp;Method_2012'!H97"/>
    <hyperlink ref="H12" location="'PSUT_Data&amp;Method_2012'!H98" display="'PSUT_Data&amp;Method_2012'!H98"/>
    <hyperlink ref="H13" location="'PSUT_Data&amp;Method_2012'!H99" display="'PSUT_Data&amp;Method_2012'!H99"/>
    <hyperlink ref="H14" location="'PSUT_Data&amp;Method_2012'!H100" display="'PSUT_Data&amp;Method_2012'!H100"/>
    <hyperlink ref="H15" location="'PSUT_Data&amp;Method_2012'!H101" display="'PSUT_Data&amp;Method_2012'!H101"/>
    <hyperlink ref="H16" location="'PSUT_Data&amp;Method_2012'!H102" display="'PSUT_Data&amp;Method_2012'!H102"/>
    <hyperlink ref="H17" location="'PSUT_Data&amp;Method_2012'!H103" display="'PSUT_Data&amp;Method_2012'!H103"/>
    <hyperlink ref="H18" location="'PSUT_Data&amp;Method_2012'!H104" display="'PSUT_Data&amp;Method_2012'!H104"/>
    <hyperlink ref="H19" location="'PSUT_Data&amp;Method_2012'!H105" display="'PSUT_Data&amp;Method_2012'!H105"/>
    <hyperlink ref="H20" location="'PSUT_Data&amp;Method_2012'!H106" display="'PSUT_Data&amp;Method_2012'!H106"/>
    <hyperlink ref="H21" location="'PSUT_Data&amp;Method_2012'!H107" display="'PSUT_Data&amp;Method_2012'!H107"/>
    <hyperlink ref="H22" location="'PSUT_Data&amp;Method_2012'!H108" display="'PSUT_Data&amp;Method_2012'!H108"/>
    <hyperlink ref="H23" location="'PSUT_Data&amp;Method_2012'!H109" display="'PSUT_Data&amp;Method_2012'!H109"/>
    <hyperlink ref="I6" location="'PSUT_Data&amp;Method_2012'!H110" display="'PSUT_Data&amp;Method_2012'!H110"/>
    <hyperlink ref="I7:I23" location="'PSUT_Data&amp;Method_2012'!H110" display="'PSUT_Data&amp;Method_2012'!H110"/>
    <hyperlink ref="I7" location="'PSUT_Data&amp;Method_2012'!H111" display="'PSUT_Data&amp;Method_2012'!H111"/>
    <hyperlink ref="I8" location="'PSUT_Data&amp;Method_2012'!H112" display="'PSUT_Data&amp;Method_2012'!H112"/>
    <hyperlink ref="I9" location="'PSUT_Data&amp;Method_2012'!H113" display="'PSUT_Data&amp;Method_2012'!H113"/>
    <hyperlink ref="I10" location="'PSUT_Data&amp;Method_2012'!H114" display="'PSUT_Data&amp;Method_2012'!H114"/>
    <hyperlink ref="I11" location="'PSUT_Data&amp;Method_2012'!H115" display="'PSUT_Data&amp;Method_2012'!H115"/>
    <hyperlink ref="I12" location="'PSUT_Data&amp;Method_2012'!H116" display="'PSUT_Data&amp;Method_2012'!H116"/>
    <hyperlink ref="I13" location="'PSUT_Data&amp;Method_2012'!H117" display="'PSUT_Data&amp;Method_2012'!H117"/>
    <hyperlink ref="I14" location="'PSUT_Data&amp;Method_2012'!H118" display="'PSUT_Data&amp;Method_2012'!H118"/>
    <hyperlink ref="I15" location="'PSUT_Data&amp;Method_2012'!H119" display="'PSUT_Data&amp;Method_2012'!H119"/>
    <hyperlink ref="I16" location="'PSUT_Data&amp;Method_2012'!H120" display="'PSUT_Data&amp;Method_2012'!H120"/>
    <hyperlink ref="I17" location="'PSUT_Data&amp;Method_2012'!H121" display="'PSUT_Data&amp;Method_2012'!H121"/>
    <hyperlink ref="I18" location="'PSUT_Data&amp;Method_2012'!H122" display="'PSUT_Data&amp;Method_2012'!H122"/>
    <hyperlink ref="I19" location="'PSUT_Data&amp;Method_2012'!H123" display="'PSUT_Data&amp;Method_2012'!H123"/>
    <hyperlink ref="I20" location="'PSUT_Data&amp;Method_2012'!H124" display="'PSUT_Data&amp;Method_2012'!H124"/>
    <hyperlink ref="I21" location="'PSUT_Data&amp;Method_2012'!H125" display="'PSUT_Data&amp;Method_2012'!H125"/>
    <hyperlink ref="I22" location="'PSUT_Data&amp;Method_2012'!H126" display="'PSUT_Data&amp;Method_2012'!H126"/>
    <hyperlink ref="I23" location="'PSUT_Data&amp;Method_2012'!H127" display="'PSUT_Data&amp;Method_2012'!H127"/>
    <hyperlink ref="J6" location="'PSUT_Data&amp;Method_2012'!H128" display="'PSUT_Data&amp;Method_2012'!H128"/>
    <hyperlink ref="J7:J23" location="'PSUT_Data&amp;Method_2012'!H128" display="'PSUT_Data&amp;Method_2012'!H128"/>
    <hyperlink ref="J7" location="'PSUT_Data&amp;Method_2012'!H129" display="'PSUT_Data&amp;Method_2012'!H129"/>
    <hyperlink ref="J8" location="'PSUT_Data&amp;Method_2012'!H130" display="'PSUT_Data&amp;Method_2012'!H130"/>
    <hyperlink ref="J9" location="'PSUT_Data&amp;Method_2012'!H131" display="'PSUT_Data&amp;Method_2012'!H131"/>
    <hyperlink ref="J10" location="'PSUT_Data&amp;Method_2012'!H132" display="'PSUT_Data&amp;Method_2012'!H132"/>
    <hyperlink ref="J11" location="'PSUT_Data&amp;Method_2012'!H133" display="'PSUT_Data&amp;Method_2012'!H133"/>
    <hyperlink ref="J12" location="'PSUT_Data&amp;Method_2012'!H134" display="'PSUT_Data&amp;Method_2012'!H134"/>
    <hyperlink ref="J13" location="'PSUT_Data&amp;Method_2012'!H135" display="'PSUT_Data&amp;Method_2012'!H135"/>
    <hyperlink ref="J14" location="'PSUT_Data&amp;Method_2012'!H136" display="'PSUT_Data&amp;Method_2012'!H136"/>
    <hyperlink ref="J15" location="'PSUT_Data&amp;Method_2012'!H137" display="'PSUT_Data&amp;Method_2012'!H137"/>
    <hyperlink ref="J16" location="'PSUT_Data&amp;Method_2012'!H138" display="'PSUT_Data&amp;Method_2012'!H138"/>
    <hyperlink ref="J17" location="'PSUT_Data&amp;Method_2012'!H139" display="'PSUT_Data&amp;Method_2012'!H139"/>
    <hyperlink ref="J18" location="'PSUT_Data&amp;Method_2012'!H140" display="'PSUT_Data&amp;Method_2012'!H140"/>
    <hyperlink ref="J19" location="'PSUT_Data&amp;Method_2012'!H141" display="'PSUT_Data&amp;Method_2012'!H141"/>
    <hyperlink ref="J20" location="'PSUT_Data&amp;Method_2012'!H142" display="'PSUT_Data&amp;Method_2012'!H142"/>
    <hyperlink ref="J21" location="'PSUT_Data&amp;Method_2012'!H143" display="'PSUT_Data&amp;Method_2012'!H143"/>
    <hyperlink ref="J22" location="'PSUT_Data&amp;Method_2012'!H144" display="'PSUT_Data&amp;Method_2012'!H144"/>
    <hyperlink ref="J23" location="'PSUT_Data&amp;Method_2012'!H145" display="'PSUT_Data&amp;Method_2012'!H145"/>
    <hyperlink ref="K6" location="'PSUT_Data&amp;Method_2012'!H146" display="'PSUT_Data&amp;Method_2012'!H146"/>
    <hyperlink ref="K7:K23" location="'PSUT_Data&amp;Method_2012'!H146" display="'PSUT_Data&amp;Method_2012'!H146"/>
    <hyperlink ref="K7" location="'PSUT_Data&amp;Method_2012'!H147" display="'PSUT_Data&amp;Method_2012'!H147"/>
    <hyperlink ref="K8" location="'PSUT_Data&amp;Method_2012'!H148" display="'PSUT_Data&amp;Method_2012'!H148"/>
    <hyperlink ref="K9" location="'PSUT_Data&amp;Method_2012'!H149" display="'PSUT_Data&amp;Method_2012'!H149"/>
    <hyperlink ref="K10" location="'PSUT_Data&amp;Method_2012'!H150" display="'PSUT_Data&amp;Method_2012'!H150"/>
    <hyperlink ref="K11" location="'PSUT_Data&amp;Method_2012'!H151" display="'PSUT_Data&amp;Method_2012'!H151"/>
    <hyperlink ref="K12" location="'PSUT_Data&amp;Method_2012'!H152" display="'PSUT_Data&amp;Method_2012'!H152"/>
    <hyperlink ref="K13" location="'PSUT_Data&amp;Method_2012'!H153" display="'PSUT_Data&amp;Method_2012'!H153"/>
    <hyperlink ref="K14" location="'PSUT_Data&amp;Method_2012'!H154" display="'PSUT_Data&amp;Method_2012'!H154"/>
    <hyperlink ref="K15" location="'PSUT_Data&amp;Method_2012'!H155" display="'PSUT_Data&amp;Method_2012'!H155"/>
    <hyperlink ref="K16" location="'PSUT_Data&amp;Method_2012'!H156" display="'PSUT_Data&amp;Method_2012'!H156"/>
    <hyperlink ref="K17" location="'PSUT_Data&amp;Method_2012'!H157" display="'PSUT_Data&amp;Method_2012'!H157"/>
    <hyperlink ref="K18" location="'PSUT_Data&amp;Method_2012'!H158" display="'PSUT_Data&amp;Method_2012'!H158"/>
    <hyperlink ref="K19" location="'PSUT_Data&amp;Method_2012'!H159" display="'PSUT_Data&amp;Method_2012'!H159"/>
    <hyperlink ref="K20" location="'PSUT_Data&amp;Method_2012'!H160" display="'PSUT_Data&amp;Method_2012'!H160"/>
    <hyperlink ref="K21" location="'PSUT_Data&amp;Method_2012'!H161" display="'PSUT_Data&amp;Method_2012'!H161"/>
    <hyperlink ref="K22" location="'PSUT_Data&amp;Method_2012'!H162" display="'PSUT_Data&amp;Method_2012'!H162"/>
    <hyperlink ref="K23" location="'PSUT_Data&amp;Method_2012'!H163" display="'PSUT_Data&amp;Method_2012'!H163"/>
    <hyperlink ref="L6" location="'PSUT_Data&amp;Method_2012'!H164" display="'PSUT_Data&amp;Method_2012'!H164"/>
    <hyperlink ref="L7:L23" location="'PSUT_Data&amp;Method_2012'!H164" display="'PSUT_Data&amp;Method_2012'!H164"/>
    <hyperlink ref="L7" location="'PSUT_Data&amp;Method_2012'!H165" display="'PSUT_Data&amp;Method_2012'!H165"/>
    <hyperlink ref="L8" location="'PSUT_Data&amp;Method_2012'!H166" display="'PSUT_Data&amp;Method_2012'!H166"/>
    <hyperlink ref="L9" location="'PSUT_Data&amp;Method_2012'!H167" display="'PSUT_Data&amp;Method_2012'!H167"/>
    <hyperlink ref="L10" location="'PSUT_Data&amp;Method_2012'!H168" display="'PSUT_Data&amp;Method_2012'!H168"/>
    <hyperlink ref="L11" location="'PSUT_Data&amp;Method_2012'!H169" display="'PSUT_Data&amp;Method_2012'!H169"/>
    <hyperlink ref="L12" location="'PSUT_Data&amp;Method_2012'!H170" display="'PSUT_Data&amp;Method_2012'!H170"/>
    <hyperlink ref="L13" location="'PSUT_Data&amp;Method_2012'!H171" display="'PSUT_Data&amp;Method_2012'!H171"/>
    <hyperlink ref="L14" location="'PSUT_Data&amp;Method_2012'!H172" display="'PSUT_Data&amp;Method_2012'!H172"/>
    <hyperlink ref="L15" location="'PSUT_Data&amp;Method_2012'!H173" display="'PSUT_Data&amp;Method_2012'!H173"/>
    <hyperlink ref="L16" location="'PSUT_Data&amp;Method_2012'!H174" display="'PSUT_Data&amp;Method_2012'!H174"/>
    <hyperlink ref="L17" location="'PSUT_Data&amp;Method_2012'!H175" display="'PSUT_Data&amp;Method_2012'!H175"/>
    <hyperlink ref="L18" location="'PSUT_Data&amp;Method_2012'!H176" display="'PSUT_Data&amp;Method_2012'!H176"/>
    <hyperlink ref="L19" location="'PSUT_Data&amp;Method_2012'!H177" display="'PSUT_Data&amp;Method_2012'!H177"/>
    <hyperlink ref="L20" location="'PSUT_Data&amp;Method_2012'!H178" display="'PSUT_Data&amp;Method_2012'!H178"/>
    <hyperlink ref="L21" location="'PSUT_Data&amp;Method_2012'!H179" display="'PSUT_Data&amp;Method_2012'!H179"/>
    <hyperlink ref="L22" location="'PSUT_Data&amp;Method_2012'!H180" display="'PSUT_Data&amp;Method_2012'!H180"/>
    <hyperlink ref="L23" location="'PSUT_Data&amp;Method_2012'!H181" display="'PSUT_Data&amp;Method_2012'!H181"/>
    <hyperlink ref="M6" location="'PSUT_Data&amp;Method_2012'!H182" display="'PSUT_Data&amp;Method_2012'!H182"/>
    <hyperlink ref="M7:M23" location="'PSUT_Data&amp;Method_2012'!H182" display="'PSUT_Data&amp;Method_2012'!H182"/>
    <hyperlink ref="M7" location="'PSUT_Data&amp;Method_2012'!H183" display="'PSUT_Data&amp;Method_2012'!H183"/>
    <hyperlink ref="M8" location="'PSUT_Data&amp;Method_2012'!H184" display="'PSUT_Data&amp;Method_2012'!H184"/>
    <hyperlink ref="M9" location="'PSUT_Data&amp;Method_2012'!H185" display="'PSUT_Data&amp;Method_2012'!H185"/>
    <hyperlink ref="M10" location="'PSUT_Data&amp;Method_2012'!H186" display="'PSUT_Data&amp;Method_2012'!H186"/>
    <hyperlink ref="M11" location="'PSUT_Data&amp;Method_2012'!H187" display="'PSUT_Data&amp;Method_2012'!H187"/>
    <hyperlink ref="M12" location="'PSUT_Data&amp;Method_2012'!H188" display="'PSUT_Data&amp;Method_2012'!H188"/>
    <hyperlink ref="M13" location="'PSUT_Data&amp;Method_2012'!H189" display="'PSUT_Data&amp;Method_2012'!H189"/>
    <hyperlink ref="M14" location="'PSUT_Data&amp;Method_2012'!H190" display="'PSUT_Data&amp;Method_2012'!H190"/>
    <hyperlink ref="M15" location="'PSUT_Data&amp;Method_2012'!H191" display="'PSUT_Data&amp;Method_2012'!H191"/>
    <hyperlink ref="M16" location="'PSUT_Data&amp;Method_2012'!H192" display="'PSUT_Data&amp;Method_2012'!H192"/>
    <hyperlink ref="M17" location="'PSUT_Data&amp;Method_2012'!H193" display="'PSUT_Data&amp;Method_2012'!H193"/>
    <hyperlink ref="M18" location="'PSUT_Data&amp;Method_2012'!H194" display="'PSUT_Data&amp;Method_2012'!H194"/>
    <hyperlink ref="M19" location="'PSUT_Data&amp;Method_2012'!H195" display="'PSUT_Data&amp;Method_2012'!H195"/>
    <hyperlink ref="M20" location="'PSUT_Data&amp;Method_2012'!H196" display="'PSUT_Data&amp;Method_2012'!H196"/>
    <hyperlink ref="M21" location="'PSUT_Data&amp;Method_2012'!H197" display="'PSUT_Data&amp;Method_2012'!H197"/>
    <hyperlink ref="M22" location="'PSUT_Data&amp;Method_2012'!H198" display="'PSUT_Data&amp;Method_2012'!H198"/>
    <hyperlink ref="M23" location="'PSUT_Data&amp;Method_2012'!H199" display="'PSUT_Data&amp;Method_2012'!H199"/>
    <hyperlink ref="N6" location="'PSUT_Data&amp;Method_2012'!H200" display="'PSUT_Data&amp;Method_2012'!H200"/>
    <hyperlink ref="N7:N23" location="'PSUT_Data&amp;Method_2012'!H200" display="'PSUT_Data&amp;Method_2012'!H200"/>
    <hyperlink ref="N7" location="'PSUT_Data&amp;Method_2012'!H201" display="'PSUT_Data&amp;Method_2012'!H201"/>
    <hyperlink ref="N8" location="'PSUT_Data&amp;Method_2012'!H202" display="'PSUT_Data&amp;Method_2012'!H202"/>
    <hyperlink ref="N9" location="'PSUT_Data&amp;Method_2012'!H203" display="'PSUT_Data&amp;Method_2012'!H203"/>
    <hyperlink ref="N10" location="'PSUT_Data&amp;Method_2012'!H204" display="'PSUT_Data&amp;Method_2012'!H204"/>
    <hyperlink ref="N11" location="'PSUT_Data&amp;Method_2012'!H205" display="'PSUT_Data&amp;Method_2012'!H205"/>
    <hyperlink ref="N12" location="'PSUT_Data&amp;Method_2012'!H206" display="'PSUT_Data&amp;Method_2012'!H206"/>
    <hyperlink ref="N13" location="'PSUT_Data&amp;Method_2012'!H207" display="'PSUT_Data&amp;Method_2012'!H207"/>
    <hyperlink ref="N14" location="'PSUT_Data&amp;Method_2012'!H208" display="'PSUT_Data&amp;Method_2012'!H208"/>
    <hyperlink ref="N15" location="'PSUT_Data&amp;Method_2012'!H209" display="'PSUT_Data&amp;Method_2012'!H209"/>
    <hyperlink ref="N16" location="'PSUT_Data&amp;Method_2012'!H210" display="'PSUT_Data&amp;Method_2012'!H210"/>
    <hyperlink ref="N17" location="'PSUT_Data&amp;Method_2012'!H211" display="'PSUT_Data&amp;Method_2012'!H211"/>
    <hyperlink ref="N18" location="'PSUT_Data&amp;Method_2012'!H212" display="'PSUT_Data&amp;Method_2012'!H212"/>
    <hyperlink ref="N19" location="'PSUT_Data&amp;Method_2012'!H213" display="'PSUT_Data&amp;Method_2012'!H213"/>
    <hyperlink ref="N20" location="'PSUT_Data&amp;Method_2012'!H214" display="'PSUT_Data&amp;Method_2012'!H214"/>
    <hyperlink ref="N21" location="'PSUT_Data&amp;Method_2012'!H215" display="'PSUT_Data&amp;Method_2012'!H215"/>
    <hyperlink ref="N22" location="'PSUT_Data&amp;Method_2012'!H216" display="'PSUT_Data&amp;Method_2012'!H216"/>
    <hyperlink ref="N23" location="'PSUT_Data&amp;Method_2012'!H217" display="'PSUT_Data&amp;Method_2012'!H217"/>
    <hyperlink ref="O6" location="'PSUT_Data&amp;Method_2012'!H218" display="'PSUT_Data&amp;Method_2012'!H218"/>
    <hyperlink ref="O7:O23" location="'PSUT_Data&amp;Method_2012'!H218" display="'PSUT_Data&amp;Method_2012'!H218"/>
    <hyperlink ref="O7" location="'PSUT_Data&amp;Method_2012'!H219" display="'PSUT_Data&amp;Method_2012'!H219"/>
    <hyperlink ref="O8" location="'PSUT_Data&amp;Method_2012'!H220" display="'PSUT_Data&amp;Method_2012'!H220"/>
    <hyperlink ref="O9" location="'PSUT_Data&amp;Method_2012'!H221" display="'PSUT_Data&amp;Method_2012'!H221"/>
    <hyperlink ref="O10" location="'PSUT_Data&amp;Method_2012'!H222" display="'PSUT_Data&amp;Method_2012'!H222"/>
    <hyperlink ref="O11" location="'PSUT_Data&amp;Method_2012'!H223" display="'PSUT_Data&amp;Method_2012'!H223"/>
    <hyperlink ref="O12" location="'PSUT_Data&amp;Method_2012'!H224" display="'PSUT_Data&amp;Method_2012'!H224"/>
    <hyperlink ref="O13" location="'PSUT_Data&amp;Method_2012'!H225" display="'PSUT_Data&amp;Method_2012'!H225"/>
    <hyperlink ref="O14" location="'PSUT_Data&amp;Method_2012'!H226" display="'PSUT_Data&amp;Method_2012'!H226"/>
    <hyperlink ref="O15" location="'PSUT_Data&amp;Method_2012'!H227" display="'PSUT_Data&amp;Method_2012'!H227"/>
    <hyperlink ref="O16" location="'PSUT_Data&amp;Method_2012'!H228" display="'PSUT_Data&amp;Method_2012'!H228"/>
    <hyperlink ref="O17" location="'PSUT_Data&amp;Method_2012'!H229" display="'PSUT_Data&amp;Method_2012'!H229"/>
    <hyperlink ref="O18" location="'PSUT_Data&amp;Method_2012'!H230" display="'PSUT_Data&amp;Method_2012'!H230"/>
    <hyperlink ref="O19" location="'PSUT_Data&amp;Method_2012'!H231" display="'PSUT_Data&amp;Method_2012'!H231"/>
    <hyperlink ref="O20" location="'PSUT_Data&amp;Method_2012'!H232" display="'PSUT_Data&amp;Method_2012'!H232"/>
    <hyperlink ref="O21" location="'PSUT_Data&amp;Method_2012'!H233" display="'PSUT_Data&amp;Method_2012'!H233"/>
    <hyperlink ref="O22" location="'PSUT_Data&amp;Method_2012'!H234" display="'PSUT_Data&amp;Method_2012'!H234"/>
    <hyperlink ref="O23" location="'PSUT_Data&amp;Method_2012'!H235" display="'PSUT_Data&amp;Method_2012'!H235"/>
    <hyperlink ref="P6" location="'PSUT_Data&amp;Method_2012'!H236" display="'PSUT_Data&amp;Method_2012'!H236"/>
    <hyperlink ref="P7:P23" location="'PSUT_Data&amp;Method_2012'!H236" display="'PSUT_Data&amp;Method_2012'!H236"/>
    <hyperlink ref="P7" location="'PSUT_Data&amp;Method_2012'!H237" display="'PSUT_Data&amp;Method_2012'!H237"/>
    <hyperlink ref="P8" location="'PSUT_Data&amp;Method_2012'!H238" display="'PSUT_Data&amp;Method_2012'!H238"/>
    <hyperlink ref="P9" location="'PSUT_Data&amp;Method_2012'!H239" display="'PSUT_Data&amp;Method_2012'!H239"/>
    <hyperlink ref="P10" location="'PSUT_Data&amp;Method_2012'!H240" display="'PSUT_Data&amp;Method_2012'!H240"/>
    <hyperlink ref="P11" location="'PSUT_Data&amp;Method_2012'!H241" display="'PSUT_Data&amp;Method_2012'!H241"/>
    <hyperlink ref="P12" location="'PSUT_Data&amp;Method_2012'!H242" display="'PSUT_Data&amp;Method_2012'!H242"/>
    <hyperlink ref="P13" location="'PSUT_Data&amp;Method_2012'!H243" display="'PSUT_Data&amp;Method_2012'!H243"/>
    <hyperlink ref="P14" location="'PSUT_Data&amp;Method_2012'!H244" display="'PSUT_Data&amp;Method_2012'!H244"/>
    <hyperlink ref="P15" location="'PSUT_Data&amp;Method_2012'!H245" display="'PSUT_Data&amp;Method_2012'!H245"/>
    <hyperlink ref="P16" location="'PSUT_Data&amp;Method_2012'!H246" display="'PSUT_Data&amp;Method_2012'!H246"/>
    <hyperlink ref="P17" location="'PSUT_Data&amp;Method_2012'!H247" display="'PSUT_Data&amp;Method_2012'!H247"/>
    <hyperlink ref="P18" location="'PSUT_Data&amp;Method_2012'!H248" display="'PSUT_Data&amp;Method_2012'!H248"/>
    <hyperlink ref="P19" location="'PSUT_Data&amp;Method_2012'!H249" display="'PSUT_Data&amp;Method_2012'!H249"/>
    <hyperlink ref="P20" location="'PSUT_Data&amp;Method_2012'!H250" display="'PSUT_Data&amp;Method_2012'!H250"/>
    <hyperlink ref="P21" location="'PSUT_Data&amp;Method_2012'!H251" display="'PSUT_Data&amp;Method_2012'!H251"/>
    <hyperlink ref="P22" location="'PSUT_Data&amp;Method_2012'!H252" display="'PSUT_Data&amp;Method_2012'!H252"/>
    <hyperlink ref="P23" location="'PSUT_Data&amp;Method_2012'!H253" display="'PSUT_Data&amp;Method_2012'!H253"/>
    <hyperlink ref="Q6" location="'PSUT_Data&amp;Method_2012'!H254" display="'PSUT_Data&amp;Method_2012'!H254"/>
    <hyperlink ref="Q7:Q23" location="'PSUT_Data&amp;Method_2012'!H254" display="'PSUT_Data&amp;Method_2012'!H254"/>
    <hyperlink ref="Q7" location="'PSUT_Data&amp;Method_2012'!H255" display="'PSUT_Data&amp;Method_2012'!H255"/>
    <hyperlink ref="Q8" location="'PSUT_Data&amp;Method_2012'!H256" display="'PSUT_Data&amp;Method_2012'!H256"/>
    <hyperlink ref="Q9" location="'PSUT_Data&amp;Method_2012'!H257" display="'PSUT_Data&amp;Method_2012'!H257"/>
    <hyperlink ref="Q10" location="'PSUT_Data&amp;Method_2012'!H258" display="'PSUT_Data&amp;Method_2012'!H258"/>
    <hyperlink ref="Q11" location="'PSUT_Data&amp;Method_2012'!H259" display="'PSUT_Data&amp;Method_2012'!H259"/>
    <hyperlink ref="Q12" location="'PSUT_Data&amp;Method_2012'!H260" display="'PSUT_Data&amp;Method_2012'!H260"/>
    <hyperlink ref="Q13" location="'PSUT_Data&amp;Method_2012'!H261" display="'PSUT_Data&amp;Method_2012'!H261"/>
    <hyperlink ref="Q14" location="'PSUT_Data&amp;Method_2012'!H262" display="'PSUT_Data&amp;Method_2012'!H262"/>
    <hyperlink ref="Q15" location="'PSUT_Data&amp;Method_2012'!H263" display="'PSUT_Data&amp;Method_2012'!H263"/>
    <hyperlink ref="Q16" location="'PSUT_Data&amp;Method_2012'!H264" display="'PSUT_Data&amp;Method_2012'!H264"/>
    <hyperlink ref="Q17" location="'PSUT_Data&amp;Method_2012'!H265" display="'PSUT_Data&amp;Method_2012'!H265"/>
    <hyperlink ref="Q18" location="'PSUT_Data&amp;Method_2012'!H266" display="'PSUT_Data&amp;Method_2012'!H266"/>
    <hyperlink ref="Q19" location="'PSUT_Data&amp;Method_2012'!H267" display="'PSUT_Data&amp;Method_2012'!H267"/>
    <hyperlink ref="Q20" location="'PSUT_Data&amp;Method_2012'!H268" display="'PSUT_Data&amp;Method_2012'!H268"/>
    <hyperlink ref="Q21" location="'PSUT_Data&amp;Method_2012'!H269" display="'PSUT_Data&amp;Method_2012'!H269"/>
    <hyperlink ref="Q22" location="'PSUT_Data&amp;Method_2012'!H270" display="'PSUT_Data&amp;Method_2012'!H270"/>
    <hyperlink ref="Q23" location="'PSUT_Data&amp;Method_2012'!H271" display="'PSUT_Data&amp;Method_2012'!H271"/>
    <hyperlink ref="R6" location="'PSUT_Data&amp;Method_2012'!H272" display="'PSUT_Data&amp;Method_2012'!H272"/>
    <hyperlink ref="R7:R23" location="'PSUT_Data&amp;Method_2012'!H272" display="'PSUT_Data&amp;Method_2012'!H272"/>
    <hyperlink ref="R7" location="'PSUT_Data&amp;Method_2012'!H273" display="'PSUT_Data&amp;Method_2012'!H273"/>
    <hyperlink ref="R8" location="'PSUT_Data&amp;Method_2012'!H274" display="'PSUT_Data&amp;Method_2012'!H274"/>
    <hyperlink ref="R9" location="'PSUT_Data&amp;Method_2012'!H275" display="'PSUT_Data&amp;Method_2012'!H275"/>
    <hyperlink ref="R10" location="'PSUT_Data&amp;Method_2012'!H276" display="'PSUT_Data&amp;Method_2012'!H276"/>
    <hyperlink ref="R11" location="'PSUT_Data&amp;Method_2012'!H277" display="'PSUT_Data&amp;Method_2012'!H277"/>
    <hyperlink ref="R12" location="'PSUT_Data&amp;Method_2012'!H278" display="'PSUT_Data&amp;Method_2012'!H278"/>
    <hyperlink ref="R13" location="'PSUT_Data&amp;Method_2012'!H279" display="'PSUT_Data&amp;Method_2012'!H279"/>
    <hyperlink ref="R14" location="'PSUT_Data&amp;Method_2012'!H280" display="'PSUT_Data&amp;Method_2012'!H280"/>
    <hyperlink ref="R15" location="'PSUT_Data&amp;Method_2012'!H281" display="'PSUT_Data&amp;Method_2012'!H281"/>
    <hyperlink ref="R16" location="'PSUT_Data&amp;Method_2012'!H282" display="'PSUT_Data&amp;Method_2012'!H282"/>
    <hyperlink ref="R17" location="'PSUT_Data&amp;Method_2012'!H283" display="'PSUT_Data&amp;Method_2012'!H283"/>
    <hyperlink ref="R18" location="'PSUT_Data&amp;Method_2012'!H284" display="'PSUT_Data&amp;Method_2012'!H284"/>
    <hyperlink ref="R19" location="'PSUT_Data&amp;Method_2012'!H285" display="'PSUT_Data&amp;Method_2012'!H285"/>
    <hyperlink ref="R20" location="'PSUT_Data&amp;Method_2012'!H286" display="'PSUT_Data&amp;Method_2012'!H286"/>
    <hyperlink ref="R21" location="'PSUT_Data&amp;Method_2012'!H287" display="'PSUT_Data&amp;Method_2012'!H287"/>
    <hyperlink ref="R22" location="'PSUT_Data&amp;Method_2012'!H288" display="'PSUT_Data&amp;Method_2012'!H288"/>
    <hyperlink ref="R23" location="'PSUT_Data&amp;Method_2012'!H289" display="'PSUT_Data&amp;Method_2012'!H289"/>
    <hyperlink ref="S6" location="'PSUT_Data&amp;Method_2012'!H290" display="'PSUT_Data&amp;Method_2012'!H290"/>
    <hyperlink ref="S7:S23" location="'PSUT_Data&amp;Method_2012'!H290" display="'PSUT_Data&amp;Method_2012'!H290"/>
    <hyperlink ref="S7" location="'PSUT_Data&amp;Method_2012'!H291" display="'PSUT_Data&amp;Method_2012'!H291"/>
    <hyperlink ref="S8" location="'PSUT_Data&amp;Method_2012'!H292" display="'PSUT_Data&amp;Method_2012'!H292"/>
    <hyperlink ref="S9" location="'PSUT_Data&amp;Method_2012'!H293" display="'PSUT_Data&amp;Method_2012'!H293"/>
    <hyperlink ref="S10" location="'PSUT_Data&amp;Method_2012'!H294" display="'PSUT_Data&amp;Method_2012'!H294"/>
    <hyperlink ref="S11" location="'PSUT_Data&amp;Method_2012'!H295" display="'PSUT_Data&amp;Method_2012'!H295"/>
    <hyperlink ref="S12" location="'PSUT_Data&amp;Method_2012'!H296" display="'PSUT_Data&amp;Method_2012'!H296"/>
    <hyperlink ref="S13" location="'PSUT_Data&amp;Method_2012'!H297" display="'PSUT_Data&amp;Method_2012'!H297"/>
    <hyperlink ref="S14" location="'PSUT_Data&amp;Method_2012'!H298" display="'PSUT_Data&amp;Method_2012'!H298"/>
    <hyperlink ref="S15" location="'PSUT_Data&amp;Method_2012'!H299" display="'PSUT_Data&amp;Method_2012'!H299"/>
    <hyperlink ref="S16" location="'PSUT_Data&amp;Method_2012'!H300" display="'PSUT_Data&amp;Method_2012'!H300"/>
    <hyperlink ref="S17" location="'PSUT_Data&amp;Method_2012'!H301" display="'PSUT_Data&amp;Method_2012'!H301"/>
    <hyperlink ref="S18" location="'PSUT_Data&amp;Method_2012'!H302" display="'PSUT_Data&amp;Method_2012'!H302"/>
    <hyperlink ref="S19" location="'PSUT_Data&amp;Method_2012'!H303" display="'PSUT_Data&amp;Method_2012'!H303"/>
    <hyperlink ref="S20" location="'PSUT_Data&amp;Method_2012'!H304" display="'PSUT_Data&amp;Method_2012'!H304"/>
    <hyperlink ref="S21" location="'PSUT_Data&amp;Method_2012'!H305" display="'PSUT_Data&amp;Method_2012'!H305"/>
    <hyperlink ref="S22" location="'PSUT_Data&amp;Method_2012'!H306" display="'PSUT_Data&amp;Method_2012'!H306"/>
    <hyperlink ref="S23" location="'PSUT_Data&amp;Method_2012'!H307" display="'PSUT_Data&amp;Method_2012'!H307"/>
    <hyperlink ref="T6" location="'PSUT_Data&amp;Method_2012'!H308" display="'PSUT_Data&amp;Method_2012'!H308"/>
    <hyperlink ref="T7:T23" location="'PSUT_Data&amp;Method_2012'!H308" display="'PSUT_Data&amp;Method_2012'!H308"/>
    <hyperlink ref="T7" location="'PSUT_Data&amp;Method_2012'!H309" display="'PSUT_Data&amp;Method_2012'!H309"/>
    <hyperlink ref="T8" location="'PSUT_Data&amp;Method_2012'!H310" display="'PSUT_Data&amp;Method_2012'!H310"/>
    <hyperlink ref="T9" location="'PSUT_Data&amp;Method_2012'!H311" display="'PSUT_Data&amp;Method_2012'!H311"/>
    <hyperlink ref="T10" location="'PSUT_Data&amp;Method_2012'!H312" display="'PSUT_Data&amp;Method_2012'!H312"/>
    <hyperlink ref="T11" location="'PSUT_Data&amp;Method_2012'!H313" display="'PSUT_Data&amp;Method_2012'!H313"/>
    <hyperlink ref="T12" location="'PSUT_Data&amp;Method_2012'!H314" display="'PSUT_Data&amp;Method_2012'!H314"/>
    <hyperlink ref="T13" location="'PSUT_Data&amp;Method_2012'!H315" display="'PSUT_Data&amp;Method_2012'!H315"/>
    <hyperlink ref="T14" location="'PSUT_Data&amp;Method_2012'!H316" display="'PSUT_Data&amp;Method_2012'!H316"/>
    <hyperlink ref="T15" location="'PSUT_Data&amp;Method_2012'!H317" display="'PSUT_Data&amp;Method_2012'!H317"/>
    <hyperlink ref="T16" location="'PSUT_Data&amp;Method_2012'!H318" display="'PSUT_Data&amp;Method_2012'!H318"/>
    <hyperlink ref="T17" location="'PSUT_Data&amp;Method_2012'!H319" display="'PSUT_Data&amp;Method_2012'!H319"/>
    <hyperlink ref="T18" location="'PSUT_Data&amp;Method_2012'!H320" display="'PSUT_Data&amp;Method_2012'!H320"/>
    <hyperlink ref="T19" location="'PSUT_Data&amp;Method_2012'!H321" display="'PSUT_Data&amp;Method_2012'!H321"/>
    <hyperlink ref="T20" location="'PSUT_Data&amp;Method_2012'!H322" display="'PSUT_Data&amp;Method_2012'!H322"/>
    <hyperlink ref="T21" location="'PSUT_Data&amp;Method_2012'!H323" display="'PSUT_Data&amp;Method_2012'!H323"/>
    <hyperlink ref="T22" location="'PSUT_Data&amp;Method_2012'!H324" display="'PSUT_Data&amp;Method_2012'!H324"/>
    <hyperlink ref="T23" location="'PSUT_Data&amp;Method_2012'!H325" display="'PSUT_Data&amp;Method_2012'!H325"/>
    <hyperlink ref="U6" location="'PSUT_Data&amp;Method_2012'!H326" display="'PSUT_Data&amp;Method_2012'!H326"/>
    <hyperlink ref="U7:U23" location="'PSUT_Data&amp;Method_2012'!H326" display="'PSUT_Data&amp;Method_2012'!H326"/>
    <hyperlink ref="U7" location="'PSUT_Data&amp;Method_2012'!H327" display="'PSUT_Data&amp;Method_2012'!H327"/>
    <hyperlink ref="U8" location="'PSUT_Data&amp;Method_2012'!H328" display="'PSUT_Data&amp;Method_2012'!H328"/>
    <hyperlink ref="U9" location="'PSUT_Data&amp;Method_2012'!H329" display="'PSUT_Data&amp;Method_2012'!H329"/>
    <hyperlink ref="U10" location="'PSUT_Data&amp;Method_2012'!H330" display="'PSUT_Data&amp;Method_2012'!H330"/>
    <hyperlink ref="U11" location="'PSUT_Data&amp;Method_2012'!H331" display="'PSUT_Data&amp;Method_2012'!H331"/>
    <hyperlink ref="U12" location="'PSUT_Data&amp;Method_2012'!H332" display="'PSUT_Data&amp;Method_2012'!H332"/>
    <hyperlink ref="U13" location="'PSUT_Data&amp;Method_2012'!H333" display="'PSUT_Data&amp;Method_2012'!H333"/>
    <hyperlink ref="U14" location="'PSUT_Data&amp;Method_2012'!H334" display="'PSUT_Data&amp;Method_2012'!H334"/>
    <hyperlink ref="U15" location="'PSUT_Data&amp;Method_2012'!H335" display="'PSUT_Data&amp;Method_2012'!H335"/>
    <hyperlink ref="U16" location="'PSUT_Data&amp;Method_2012'!H336" display="'PSUT_Data&amp;Method_2012'!H336"/>
    <hyperlink ref="U17" location="'PSUT_Data&amp;Method_2012'!H337" display="'PSUT_Data&amp;Method_2012'!H337"/>
    <hyperlink ref="U18" location="'PSUT_Data&amp;Method_2012'!H338" display="'PSUT_Data&amp;Method_2012'!H338"/>
    <hyperlink ref="U19" location="'PSUT_Data&amp;Method_2012'!H339" display="'PSUT_Data&amp;Method_2012'!H339"/>
    <hyperlink ref="U20" location="'PSUT_Data&amp;Method_2012'!H340" display="'PSUT_Data&amp;Method_2012'!H340"/>
    <hyperlink ref="U21" location="'PSUT_Data&amp;Method_2012'!H341" display="'PSUT_Data&amp;Method_2012'!H341"/>
    <hyperlink ref="U22" location="'PSUT_Data&amp;Method_2012'!H342" display="'PSUT_Data&amp;Method_2012'!H342"/>
    <hyperlink ref="U23" location="'PSUT_Data&amp;Method_2012'!H343" display="'PSUT_Data&amp;Method_2012'!H343"/>
    <hyperlink ref="V6" location="'PSUT_Data&amp;Method_2012'!H344" display="'PSUT_Data&amp;Method_2012'!H344"/>
    <hyperlink ref="V7:V23" location="'PSUT_Data&amp;Method_2012'!H344" display="'PSUT_Data&amp;Method_2012'!H344"/>
    <hyperlink ref="V7" location="'PSUT_Data&amp;Method_2012'!H345" display="'PSUT_Data&amp;Method_2012'!H345"/>
    <hyperlink ref="V8" location="'PSUT_Data&amp;Method_2012'!H346" display="'PSUT_Data&amp;Method_2012'!H346"/>
    <hyperlink ref="V9" location="'PSUT_Data&amp;Method_2012'!H347" display="'PSUT_Data&amp;Method_2012'!H347"/>
    <hyperlink ref="V10" location="'PSUT_Data&amp;Method_2012'!H348" display="'PSUT_Data&amp;Method_2012'!H348"/>
    <hyperlink ref="V11" location="'PSUT_Data&amp;Method_2012'!H349" display="'PSUT_Data&amp;Method_2012'!H349"/>
    <hyperlink ref="V12" location="'PSUT_Data&amp;Method_2012'!H350" display="'PSUT_Data&amp;Method_2012'!H350"/>
    <hyperlink ref="V13" location="'PSUT_Data&amp;Method_2012'!H351" display="'PSUT_Data&amp;Method_2012'!H351"/>
    <hyperlink ref="V14" location="'PSUT_Data&amp;Method_2012'!H352" display="'PSUT_Data&amp;Method_2012'!H352"/>
    <hyperlink ref="V15" location="'PSUT_Data&amp;Method_2012'!H353" display="'PSUT_Data&amp;Method_2012'!H353"/>
    <hyperlink ref="V16" location="'PSUT_Data&amp;Method_2012'!H354" display="'PSUT_Data&amp;Method_2012'!H354"/>
    <hyperlink ref="V17" location="'PSUT_Data&amp;Method_2012'!H355" display="'PSUT_Data&amp;Method_2012'!H355"/>
    <hyperlink ref="V18" location="'PSUT_Data&amp;Method_2012'!H356" display="'PSUT_Data&amp;Method_2012'!H356"/>
    <hyperlink ref="V19" location="'PSUT_Data&amp;Method_2012'!H357" display="'PSUT_Data&amp;Method_2012'!H357"/>
    <hyperlink ref="V20" location="'PSUT_Data&amp;Method_2012'!H358" display="'PSUT_Data&amp;Method_2012'!H358"/>
    <hyperlink ref="V21" location="'PSUT_Data&amp;Method_2012'!H359" display="'PSUT_Data&amp;Method_2012'!H359"/>
    <hyperlink ref="V22" location="'PSUT_Data&amp;Method_2012'!H360" display="'PSUT_Data&amp;Method_2012'!H360"/>
    <hyperlink ref="V23" location="'PSUT_Data&amp;Method_2012'!H361" display="'PSUT_Data&amp;Method_2012'!H361"/>
    <hyperlink ref="X6" location="'PSUT_Data&amp;Method_2012'!H365" display="'PSUT_Data&amp;Method_2012'!H365"/>
    <hyperlink ref="X7:X23" location="'PSUT_Data&amp;Method_2012'!H365" display="'PSUT_Data&amp;Method_2012'!H365"/>
    <hyperlink ref="X7" location="'PSUT_Data&amp;Method_2012'!H366" display="'PSUT_Data&amp;Method_2012'!H366"/>
    <hyperlink ref="X8" location="'PSUT_Data&amp;Method_2012'!H367" display="'PSUT_Data&amp;Method_2012'!H367"/>
    <hyperlink ref="X9" location="'PSUT_Data&amp;Method_2012'!H368" display="'PSUT_Data&amp;Method_2012'!H368"/>
    <hyperlink ref="X10" location="'PSUT_Data&amp;Method_2012'!H369" display="'PSUT_Data&amp;Method_2012'!H369"/>
    <hyperlink ref="X11" location="'PSUT_Data&amp;Method_2012'!H370" display="'PSUT_Data&amp;Method_2012'!H370"/>
    <hyperlink ref="X12" location="'PSUT_Data&amp;Method_2012'!H371" display="'PSUT_Data&amp;Method_2012'!H371"/>
    <hyperlink ref="X13" location="'PSUT_Data&amp;Method_2012'!H372" display="'PSUT_Data&amp;Method_2012'!H372"/>
    <hyperlink ref="X14" location="'PSUT_Data&amp;Method_2012'!H373" display="'PSUT_Data&amp;Method_2012'!H373"/>
    <hyperlink ref="X15" location="'PSUT_Data&amp;Method_2012'!H374" display="'PSUT_Data&amp;Method_2012'!H374"/>
    <hyperlink ref="X16" location="'PSUT_Data&amp;Method_2012'!H375" display="'PSUT_Data&amp;Method_2012'!H375"/>
    <hyperlink ref="X17" location="'PSUT_Data&amp;Method_2012'!H376" display="'PSUT_Data&amp;Method_2012'!H376"/>
    <hyperlink ref="X18" location="'PSUT_Data&amp;Method_2012'!H377" display="'PSUT_Data&amp;Method_2012'!H377"/>
    <hyperlink ref="X19" location="'PSUT_Data&amp;Method_2012'!H378" display="'PSUT_Data&amp;Method_2012'!H378"/>
    <hyperlink ref="X20" location="'PSUT_Data&amp;Method_2012'!H379" display="'PSUT_Data&amp;Method_2012'!H379"/>
    <hyperlink ref="X21" location="'PSUT_Data&amp;Method_2012'!H380" display="'PSUT_Data&amp;Method_2012'!H380"/>
    <hyperlink ref="X22" location="'PSUT_Data&amp;Method_2012'!H381" display="'PSUT_Data&amp;Method_2012'!H381"/>
    <hyperlink ref="X23" location="'PSUT_Data&amp;Method_2012'!H382" display="'PSUT_Data&amp;Method_2012'!H382"/>
    <hyperlink ref="Y6" location="'PSUT_Data&amp;Method_2012'!H383" display="'PSUT_Data&amp;Method_2012'!H383"/>
    <hyperlink ref="Y7:Y23" location="'PSUT_Data&amp;Method_2012'!H383" display="'PSUT_Data&amp;Method_2012'!H383"/>
    <hyperlink ref="Y7" location="'PSUT_Data&amp;Method_2012'!H384" display="'PSUT_Data&amp;Method_2012'!H384"/>
    <hyperlink ref="Y8" location="'PSUT_Data&amp;Method_2012'!H385" display="'PSUT_Data&amp;Method_2012'!H385"/>
    <hyperlink ref="Y9" location="'PSUT_Data&amp;Method_2012'!H386" display="'PSUT_Data&amp;Method_2012'!H386"/>
    <hyperlink ref="Y10" location="'PSUT_Data&amp;Method_2012'!H387" display="'PSUT_Data&amp;Method_2012'!H387"/>
    <hyperlink ref="Y11" location="'PSUT_Data&amp;Method_2012'!H388" display="'PSUT_Data&amp;Method_2012'!H388"/>
    <hyperlink ref="Y12" location="'PSUT_Data&amp;Method_2012'!H389" display="'PSUT_Data&amp;Method_2012'!H389"/>
    <hyperlink ref="Y13" location="'PSUT_Data&amp;Method_2012'!H390" display="'PSUT_Data&amp;Method_2012'!H390"/>
    <hyperlink ref="Y14" location="'PSUT_Data&amp;Method_2012'!H391" display="'PSUT_Data&amp;Method_2012'!H391"/>
    <hyperlink ref="Y15" location="'PSUT_Data&amp;Method_2012'!H392" display="'PSUT_Data&amp;Method_2012'!H392"/>
    <hyperlink ref="Y16" location="'PSUT_Data&amp;Method_2012'!H393" display="'PSUT_Data&amp;Method_2012'!H393"/>
    <hyperlink ref="Y17" location="'PSUT_Data&amp;Method_2012'!H394" display="'PSUT_Data&amp;Method_2012'!H394"/>
    <hyperlink ref="Y18" location="'PSUT_Data&amp;Method_2012'!H395" display="'PSUT_Data&amp;Method_2012'!H395"/>
    <hyperlink ref="Y19" location="'PSUT_Data&amp;Method_2012'!H396" display="'PSUT_Data&amp;Method_2012'!H396"/>
    <hyperlink ref="Y20" location="'PSUT_Data&amp;Method_2012'!H397" display="'PSUT_Data&amp;Method_2012'!H397"/>
    <hyperlink ref="Y21" location="'PSUT_Data&amp;Method_2012'!H398" display="'PSUT_Data&amp;Method_2012'!H398"/>
    <hyperlink ref="Y22" location="'PSUT_Data&amp;Method_2012'!H399" display="'PSUT_Data&amp;Method_2012'!H399"/>
    <hyperlink ref="Y23" location="'PSUT_Data&amp;Method_2012'!H400" display="'PSUT_Data&amp;Method_2012'!H400"/>
    <hyperlink ref="C36:C43" location="'PSUT_Data&amp;Method_2012'!H405" display="'PSUT_Data&amp;Method_2012'!H405"/>
    <hyperlink ref="C36" location="'PSUT_Data&amp;Method_2012'!H406" display="'PSUT_Data&amp;Method_2012'!H406"/>
    <hyperlink ref="C37" location="'PSUT_Data&amp;Method_2012'!H407" display="'PSUT_Data&amp;Method_2012'!H407"/>
    <hyperlink ref="C38" location="'PSUT_Data&amp;Method_2012'!H408" display="'PSUT_Data&amp;Method_2012'!H408"/>
    <hyperlink ref="C39" location="'PSUT_Data&amp;Method_2012'!H409" display="'PSUT_Data&amp;Method_2012'!H409"/>
    <hyperlink ref="C40" location="'PSUT_Data&amp;Method_2012'!H410" display="'PSUT_Data&amp;Method_2012'!H410"/>
    <hyperlink ref="C41" location="'PSUT_Data&amp;Method_2012'!H411" display="'PSUT_Data&amp;Method_2012'!H411"/>
    <hyperlink ref="C42" location="'PSUT_Data&amp;Method_2012'!H412" display="'PSUT_Data&amp;Method_2012'!H412"/>
    <hyperlink ref="C43" location="'PSUT_Data&amp;Method_2012'!H413" display="'PSUT_Data&amp;Method_2012'!H413"/>
    <hyperlink ref="D35" location="'PSUT_Data&amp;Method_2012'!H414" display="'PSUT_Data&amp;Method_2012'!H414"/>
    <hyperlink ref="D36:D43" location="'PSUT_Data&amp;Method_2012'!H414" display="'PSUT_Data&amp;Method_2012'!H414"/>
    <hyperlink ref="D36" location="'PSUT_Data&amp;Method_2012'!H415" display="'PSUT_Data&amp;Method_2012'!H415"/>
    <hyperlink ref="D37" location="'PSUT_Data&amp;Method_2012'!H416" display="'PSUT_Data&amp;Method_2012'!H416"/>
    <hyperlink ref="D38" location="'PSUT_Data&amp;Method_2012'!H417" display="'PSUT_Data&amp;Method_2012'!H417"/>
    <hyperlink ref="D39" location="'PSUT_Data&amp;Method_2012'!H418" display="'PSUT_Data&amp;Method_2012'!H418"/>
    <hyperlink ref="D40" location="'PSUT_Data&amp;Method_2012'!H419" display="'PSUT_Data&amp;Method_2012'!H419"/>
    <hyperlink ref="D41" location="'PSUT_Data&amp;Method_2012'!H420" display="'PSUT_Data&amp;Method_2012'!H420"/>
    <hyperlink ref="D42" location="'PSUT_Data&amp;Method_2012'!H421" display="'PSUT_Data&amp;Method_2012'!H421"/>
    <hyperlink ref="D43" location="'PSUT_Data&amp;Method_2012'!H422" display="'PSUT_Data&amp;Method_2012'!H422"/>
    <hyperlink ref="E35" location="'PSUT_Data&amp;Method_2012'!H423" display="'PSUT_Data&amp;Method_2012'!H423"/>
    <hyperlink ref="E36:E43" location="'PSUT_Data&amp;Method_2012'!H423" display="'PSUT_Data&amp;Method_2012'!H423"/>
    <hyperlink ref="E36" location="'PSUT_Data&amp;Method_2012'!H424" display="'PSUT_Data&amp;Method_2012'!H424"/>
    <hyperlink ref="E37" location="'PSUT_Data&amp;Method_2012'!H425" display="'PSUT_Data&amp;Method_2012'!H425"/>
    <hyperlink ref="E38" location="'PSUT_Data&amp;Method_2012'!H426" display="'PSUT_Data&amp;Method_2012'!H426"/>
    <hyperlink ref="E39" location="'PSUT_Data&amp;Method_2012'!H427" display="'PSUT_Data&amp;Method_2012'!H427"/>
    <hyperlink ref="E40" location="'PSUT_Data&amp;Method_2012'!H428" display="'PSUT_Data&amp;Method_2012'!H428"/>
    <hyperlink ref="E41" location="'PSUT_Data&amp;Method_2012'!H429" display="'PSUT_Data&amp;Method_2012'!H429"/>
    <hyperlink ref="E42" location="'PSUT_Data&amp;Method_2012'!H430" display="'PSUT_Data&amp;Method_2012'!H430"/>
    <hyperlink ref="E43" location="'PSUT_Data&amp;Method_2012'!H431" display="'PSUT_Data&amp;Method_2012'!H431"/>
    <hyperlink ref="F35" location="'PSUT_Data&amp;Method_2012'!H432" display="'PSUT_Data&amp;Method_2012'!H432"/>
    <hyperlink ref="F36:F43" location="'PSUT_Data&amp;Method_2012'!H432" display="'PSUT_Data&amp;Method_2012'!H432"/>
    <hyperlink ref="F36" location="'PSUT_Data&amp;Method_2012'!H433" display="'PSUT_Data&amp;Method_2012'!H433"/>
    <hyperlink ref="F37" location="'PSUT_Data&amp;Method_2012'!H434" display="'PSUT_Data&amp;Method_2012'!H434"/>
    <hyperlink ref="F38" location="'PSUT_Data&amp;Method_2012'!H435" display="'PSUT_Data&amp;Method_2012'!H435"/>
    <hyperlink ref="F39" location="'PSUT_Data&amp;Method_2012'!H436" display="'PSUT_Data&amp;Method_2012'!H436"/>
    <hyperlink ref="F40" location="'PSUT_Data&amp;Method_2012'!H437" display="'PSUT_Data&amp;Method_2012'!H437"/>
    <hyperlink ref="F41" location="'PSUT_Data&amp;Method_2012'!H438" display="'PSUT_Data&amp;Method_2012'!H438"/>
    <hyperlink ref="F42" location="'PSUT_Data&amp;Method_2012'!H439" display="'PSUT_Data&amp;Method_2012'!H439"/>
    <hyperlink ref="F43" location="'PSUT_Data&amp;Method_2012'!H440" display="'PSUT_Data&amp;Method_2012'!H440"/>
    <hyperlink ref="G35" location="'PSUT_Data&amp;Method_2012'!H441" display="'PSUT_Data&amp;Method_2012'!H441"/>
    <hyperlink ref="G36:G43" location="'PSUT_Data&amp;Method_2012'!H441" display="'PSUT_Data&amp;Method_2012'!H441"/>
    <hyperlink ref="G36" location="'PSUT_Data&amp;Method_2012'!H442" display="'PSUT_Data&amp;Method_2012'!H442"/>
    <hyperlink ref="G37" location="'PSUT_Data&amp;Method_2012'!H443" display="'PSUT_Data&amp;Method_2012'!H443"/>
    <hyperlink ref="G38" location="'PSUT_Data&amp;Method_2012'!H444" display="'PSUT_Data&amp;Method_2012'!H444"/>
    <hyperlink ref="G39" location="'PSUT_Data&amp;Method_2012'!H445" display="'PSUT_Data&amp;Method_2012'!H445"/>
    <hyperlink ref="G40" location="'PSUT_Data&amp;Method_2012'!H446" display="'PSUT_Data&amp;Method_2012'!H446"/>
    <hyperlink ref="G41" location="'PSUT_Data&amp;Method_2012'!H447" display="'PSUT_Data&amp;Method_2012'!H447"/>
    <hyperlink ref="G42" location="'PSUT_Data&amp;Method_2012'!H448" display="'PSUT_Data&amp;Method_2012'!H448"/>
    <hyperlink ref="G43" location="'PSUT_Data&amp;Method_2012'!H449" display="'PSUT_Data&amp;Method_2012'!H449"/>
    <hyperlink ref="H35" location="'PSUT_Data&amp;Method_2012'!H450" display="'PSUT_Data&amp;Method_2012'!H450"/>
    <hyperlink ref="H36:H43" location="'PSUT_Data&amp;Method_2012'!H450" display="'PSUT_Data&amp;Method_2012'!H450"/>
    <hyperlink ref="H36" location="'PSUT_Data&amp;Method_2012'!H451" display="'PSUT_Data&amp;Method_2012'!H451"/>
    <hyperlink ref="H37" location="'PSUT_Data&amp;Method_2012'!H452" display="'PSUT_Data&amp;Method_2012'!H452"/>
    <hyperlink ref="H38" location="'PSUT_Data&amp;Method_2012'!H453" display="'PSUT_Data&amp;Method_2012'!H453"/>
    <hyperlink ref="H39" location="'PSUT_Data&amp;Method_2012'!H454" display="'PSUT_Data&amp;Method_2012'!H454"/>
    <hyperlink ref="H40" location="'PSUT_Data&amp;Method_2012'!H455" display="'PSUT_Data&amp;Method_2012'!H455"/>
    <hyperlink ref="H41" location="'PSUT_Data&amp;Method_2012'!H456" display="'PSUT_Data&amp;Method_2012'!H456"/>
    <hyperlink ref="H42" location="'PSUT_Data&amp;Method_2012'!H457" display="'PSUT_Data&amp;Method_2012'!H457"/>
    <hyperlink ref="H43" location="'PSUT_Data&amp;Method_2012'!H458" display="'PSUT_Data&amp;Method_2012'!H458"/>
    <hyperlink ref="I35" location="'PSUT_Data&amp;Method_2012'!H459" display="'PSUT_Data&amp;Method_2012'!H459"/>
    <hyperlink ref="I36:I43" location="'PSUT_Data&amp;Method_2012'!H459" display="'PSUT_Data&amp;Method_2012'!H459"/>
    <hyperlink ref="I36" location="'PSUT_Data&amp;Method_2012'!H460" display="'PSUT_Data&amp;Method_2012'!H460"/>
    <hyperlink ref="I37" location="'PSUT_Data&amp;Method_2012'!H461" display="'PSUT_Data&amp;Method_2012'!H461"/>
    <hyperlink ref="I38" location="'PSUT_Data&amp;Method_2012'!H462" display="'PSUT_Data&amp;Method_2012'!H462"/>
    <hyperlink ref="I39" location="'PSUT_Data&amp;Method_2012'!H463" display="'PSUT_Data&amp;Method_2012'!H463"/>
    <hyperlink ref="I40" location="'PSUT_Data&amp;Method_2012'!H464" display="'PSUT_Data&amp;Method_2012'!H464"/>
    <hyperlink ref="I41" location="'PSUT_Data&amp;Method_2012'!H465" display="'PSUT_Data&amp;Method_2012'!H465"/>
    <hyperlink ref="I42" location="'PSUT_Data&amp;Method_2012'!H466" display="'PSUT_Data&amp;Method_2012'!H466"/>
    <hyperlink ref="I43" location="'PSUT_Data&amp;Method_2012'!H467" display="'PSUT_Data&amp;Method_2012'!H467"/>
    <hyperlink ref="J35" location="'PSUT_Data&amp;Method_2012'!H468" display="'PSUT_Data&amp;Method_2012'!H468"/>
    <hyperlink ref="J36:J43" location="'PSUT_Data&amp;Method_2012'!H468" display="'PSUT_Data&amp;Method_2012'!H468"/>
    <hyperlink ref="J36" location="'PSUT_Data&amp;Method_2012'!H469" display="'PSUT_Data&amp;Method_2012'!H469"/>
    <hyperlink ref="J37" location="'PSUT_Data&amp;Method_2012'!H470" display="'PSUT_Data&amp;Method_2012'!H470"/>
    <hyperlink ref="J38" location="'PSUT_Data&amp;Method_2012'!H471" display="'PSUT_Data&amp;Method_2012'!H471"/>
    <hyperlink ref="J39" location="'PSUT_Data&amp;Method_2012'!H472" display="'PSUT_Data&amp;Method_2012'!H472"/>
    <hyperlink ref="J40" location="'PSUT_Data&amp;Method_2012'!H473" display="'PSUT_Data&amp;Method_2012'!H473"/>
    <hyperlink ref="J41" location="'PSUT_Data&amp;Method_2012'!H474" display="'PSUT_Data&amp;Method_2012'!H474"/>
    <hyperlink ref="J42" location="'PSUT_Data&amp;Method_2012'!H475" display="'PSUT_Data&amp;Method_2012'!H475"/>
    <hyperlink ref="J43" location="'PSUT_Data&amp;Method_2012'!H476" display="'PSUT_Data&amp;Method_2012'!H476"/>
    <hyperlink ref="K35" location="'PSUT_Data&amp;Method_2012'!H477" display="'PSUT_Data&amp;Method_2012'!H477"/>
    <hyperlink ref="K36:K43" location="'PSUT_Data&amp;Method_2012'!H477" display="'PSUT_Data&amp;Method_2012'!H477"/>
    <hyperlink ref="K36" location="'PSUT_Data&amp;Method_2012'!H478" display="'PSUT_Data&amp;Method_2012'!H478"/>
    <hyperlink ref="K37" location="'PSUT_Data&amp;Method_2012'!H479" display="'PSUT_Data&amp;Method_2012'!H479"/>
    <hyperlink ref="K38" location="'PSUT_Data&amp;Method_2012'!H480" display="'PSUT_Data&amp;Method_2012'!H480"/>
    <hyperlink ref="K39" location="'PSUT_Data&amp;Method_2012'!H481" display="'PSUT_Data&amp;Method_2012'!H481"/>
    <hyperlink ref="K40" location="'PSUT_Data&amp;Method_2012'!H482" display="'PSUT_Data&amp;Method_2012'!H482"/>
    <hyperlink ref="K41" location="'PSUT_Data&amp;Method_2012'!H483" display="'PSUT_Data&amp;Method_2012'!H483"/>
    <hyperlink ref="K42" location="'PSUT_Data&amp;Method_2012'!H484" display="'PSUT_Data&amp;Method_2012'!H484"/>
    <hyperlink ref="K43" location="'PSUT_Data&amp;Method_2012'!H485" display="'PSUT_Data&amp;Method_2012'!H485"/>
    <hyperlink ref="L35" location="'PSUT_Data&amp;Method_2012'!H486" display="'PSUT_Data&amp;Method_2012'!H486"/>
    <hyperlink ref="L36:L43" location="'PSUT_Data&amp;Method_2012'!H486" display="'PSUT_Data&amp;Method_2012'!H486"/>
    <hyperlink ref="L36" location="'PSUT_Data&amp;Method_2012'!H487" display="'PSUT_Data&amp;Method_2012'!H487"/>
    <hyperlink ref="L37" location="'PSUT_Data&amp;Method_2012'!H488" display="'PSUT_Data&amp;Method_2012'!H488"/>
    <hyperlink ref="L38" location="'PSUT_Data&amp;Method_2012'!H489" display="'PSUT_Data&amp;Method_2012'!H489"/>
    <hyperlink ref="L39" location="'PSUT_Data&amp;Method_2012'!H490" display="'PSUT_Data&amp;Method_2012'!H490"/>
    <hyperlink ref="L40" location="'PSUT_Data&amp;Method_2012'!H491" display="'PSUT_Data&amp;Method_2012'!H491"/>
    <hyperlink ref="L41" location="'PSUT_Data&amp;Method_2012'!H492" display="'PSUT_Data&amp;Method_2012'!H492"/>
    <hyperlink ref="L42" location="'PSUT_Data&amp;Method_2012'!H493" display="'PSUT_Data&amp;Method_2012'!H493"/>
    <hyperlink ref="L43" location="'PSUT_Data&amp;Method_2012'!H494" display="'PSUT_Data&amp;Method_2012'!H494"/>
    <hyperlink ref="M35" location="'PSUT_Data&amp;Method_2012'!H495" display="'PSUT_Data&amp;Method_2012'!H495"/>
    <hyperlink ref="M36:M43" location="'PSUT_Data&amp;Method_2012'!H495" display="'PSUT_Data&amp;Method_2012'!H495"/>
    <hyperlink ref="M36" location="'PSUT_Data&amp;Method_2012'!H496" display="'PSUT_Data&amp;Method_2012'!H496"/>
    <hyperlink ref="M37" location="'PSUT_Data&amp;Method_2012'!H497" display="'PSUT_Data&amp;Method_2012'!H497"/>
    <hyperlink ref="M38" location="'PSUT_Data&amp;Method_2012'!H498" display="'PSUT_Data&amp;Method_2012'!H498"/>
    <hyperlink ref="M39" location="'PSUT_Data&amp;Method_2012'!H499" display="'PSUT_Data&amp;Method_2012'!H499"/>
    <hyperlink ref="M40" location="'PSUT_Data&amp;Method_2012'!H500" display="'PSUT_Data&amp;Method_2012'!H500"/>
    <hyperlink ref="M41" location="'PSUT_Data&amp;Method_2012'!H501" display="'PSUT_Data&amp;Method_2012'!H501"/>
    <hyperlink ref="M42" location="'PSUT_Data&amp;Method_2012'!H502" display="'PSUT_Data&amp;Method_2012'!H502"/>
    <hyperlink ref="M43" location="'PSUT_Data&amp;Method_2012'!H503" display="'PSUT_Data&amp;Method_2012'!H503"/>
    <hyperlink ref="N35" location="'PSUT_Data&amp;Method_2012'!H504" display="'PSUT_Data&amp;Method_2012'!H504"/>
    <hyperlink ref="N36:N43" location="'PSUT_Data&amp;Method_2012'!H504" display="'PSUT_Data&amp;Method_2012'!H504"/>
    <hyperlink ref="N36" location="'PSUT_Data&amp;Method_2012'!H505" display="'PSUT_Data&amp;Method_2012'!H505"/>
    <hyperlink ref="N37" location="'PSUT_Data&amp;Method_2012'!H506" display="'PSUT_Data&amp;Method_2012'!H506"/>
    <hyperlink ref="N38" location="'PSUT_Data&amp;Method_2012'!H507" display="'PSUT_Data&amp;Method_2012'!H507"/>
    <hyperlink ref="N39" location="'PSUT_Data&amp;Method_2012'!H508" display="'PSUT_Data&amp;Method_2012'!H508"/>
    <hyperlink ref="N40" location="'PSUT_Data&amp;Method_2012'!H509" display="'PSUT_Data&amp;Method_2012'!H509"/>
    <hyperlink ref="N41" location="'PSUT_Data&amp;Method_2012'!H510" display="'PSUT_Data&amp;Method_2012'!H510"/>
    <hyperlink ref="N42" location="'PSUT_Data&amp;Method_2012'!H511" display="'PSUT_Data&amp;Method_2012'!H511"/>
    <hyperlink ref="N43" location="'PSUT_Data&amp;Method_2012'!H512" display="'PSUT_Data&amp;Method_2012'!H512"/>
    <hyperlink ref="O35" location="'PSUT_Data&amp;Method_2012'!H513" display="'PSUT_Data&amp;Method_2012'!H513"/>
    <hyperlink ref="O36:O43" location="'PSUT_Data&amp;Method_2012'!H513" display="'PSUT_Data&amp;Method_2012'!H513"/>
    <hyperlink ref="O36" location="'PSUT_Data&amp;Method_2012'!H514" display="'PSUT_Data&amp;Method_2012'!H514"/>
    <hyperlink ref="O37" location="'PSUT_Data&amp;Method_2012'!H515" display="'PSUT_Data&amp;Method_2012'!H515"/>
    <hyperlink ref="O38" location="'PSUT_Data&amp;Method_2012'!H516" display="'PSUT_Data&amp;Method_2012'!H516"/>
    <hyperlink ref="O39" location="'PSUT_Data&amp;Method_2012'!H517" display="'PSUT_Data&amp;Method_2012'!H517"/>
    <hyperlink ref="O40" location="'PSUT_Data&amp;Method_2012'!H518" display="'PSUT_Data&amp;Method_2012'!H518"/>
    <hyperlink ref="O41" location="'PSUT_Data&amp;Method_2012'!H519" display="'PSUT_Data&amp;Method_2012'!H519"/>
    <hyperlink ref="O42" location="'PSUT_Data&amp;Method_2012'!H520" display="'PSUT_Data&amp;Method_2012'!H520"/>
    <hyperlink ref="O43" location="'PSUT_Data&amp;Method_2012'!H521" display="'PSUT_Data&amp;Method_2012'!H521"/>
    <hyperlink ref="P35" location="'PSUT_Data&amp;Method_2012'!H522" display="'PSUT_Data&amp;Method_2012'!H522"/>
    <hyperlink ref="P36:P43" location="'PSUT_Data&amp;Method_2012'!H522" display="'PSUT_Data&amp;Method_2012'!H522"/>
    <hyperlink ref="P36" location="'PSUT_Data&amp;Method_2012'!H523" display="'PSUT_Data&amp;Method_2012'!H523"/>
    <hyperlink ref="P37" location="'PSUT_Data&amp;Method_2012'!H524" display="'PSUT_Data&amp;Method_2012'!H524"/>
    <hyperlink ref="P38" location="'PSUT_Data&amp;Method_2012'!H525" display="'PSUT_Data&amp;Method_2012'!H525"/>
    <hyperlink ref="P39" location="'PSUT_Data&amp;Method_2012'!H526" display="'PSUT_Data&amp;Method_2012'!H526"/>
    <hyperlink ref="P40" location="'PSUT_Data&amp;Method_2012'!H527" display="'PSUT_Data&amp;Method_2012'!H527"/>
    <hyperlink ref="P41" location="'PSUT_Data&amp;Method_2012'!H528" display="'PSUT_Data&amp;Method_2012'!H528"/>
    <hyperlink ref="P42" location="'PSUT_Data&amp;Method_2012'!H529" display="'PSUT_Data&amp;Method_2012'!H529"/>
    <hyperlink ref="P43" location="'PSUT_Data&amp;Method_2012'!H530" display="'PSUT_Data&amp;Method_2012'!H530"/>
    <hyperlink ref="Q35" location="'PSUT_Data&amp;Method_2012'!H531" display="'PSUT_Data&amp;Method_2012'!H531"/>
    <hyperlink ref="Q36:Q43" location="'PSUT_Data&amp;Method_2012'!H531" display="'PSUT_Data&amp;Method_2012'!H531"/>
    <hyperlink ref="Q36" location="'PSUT_Data&amp;Method_2012'!H532" display="'PSUT_Data&amp;Method_2012'!H532"/>
    <hyperlink ref="Q37" location="'PSUT_Data&amp;Method_2012'!H533" display="'PSUT_Data&amp;Method_2012'!H533"/>
    <hyperlink ref="Q38" location="'PSUT_Data&amp;Method_2012'!H534" display="'PSUT_Data&amp;Method_2012'!H534"/>
    <hyperlink ref="Q39" location="'PSUT_Data&amp;Method_2012'!H535" display="'PSUT_Data&amp;Method_2012'!H535"/>
    <hyperlink ref="Q40" location="'PSUT_Data&amp;Method_2012'!H536" display="'PSUT_Data&amp;Method_2012'!H536"/>
    <hyperlink ref="Q41" location="'PSUT_Data&amp;Method_2012'!H537" display="'PSUT_Data&amp;Method_2012'!H537"/>
    <hyperlink ref="Q42" location="'PSUT_Data&amp;Method_2012'!H538" display="'PSUT_Data&amp;Method_2012'!H538"/>
    <hyperlink ref="Q43" location="'PSUT_Data&amp;Method_2012'!H539" display="'PSUT_Data&amp;Method_2012'!H539"/>
    <hyperlink ref="R35" location="'PSUT_Data&amp;Method_2012'!H540" display="'PSUT_Data&amp;Method_2012'!H540"/>
    <hyperlink ref="R36:R43" location="'PSUT_Data&amp;Method_2012'!H541" display="'PSUT_Data&amp;Method_2012'!H541"/>
    <hyperlink ref="R36" location="'PSUT_Data&amp;Method_2012'!H541" display="'PSUT_Data&amp;Method_2012'!H541"/>
    <hyperlink ref="R37" location="'PSUT_Data&amp;Method_2012'!H542" display="'PSUT_Data&amp;Method_2012'!H542"/>
    <hyperlink ref="R38" location="'PSUT_Data&amp;Method_2012'!H543" display="'PSUT_Data&amp;Method_2012'!H543"/>
    <hyperlink ref="R39" location="'PSUT_Data&amp;Method_2012'!H544" display="'PSUT_Data&amp;Method_2012'!H544"/>
    <hyperlink ref="R40" location="'PSUT_Data&amp;Method_2012'!H545" display="'PSUT_Data&amp;Method_2012'!H545"/>
    <hyperlink ref="R41" location="'PSUT_Data&amp;Method_2012'!H546" display="'PSUT_Data&amp;Method_2012'!H546"/>
    <hyperlink ref="R42" location="'PSUT_Data&amp;Method_2012'!H547" display="'PSUT_Data&amp;Method_2012'!H547"/>
    <hyperlink ref="R43" location="'PSUT_Data&amp;Method_2012'!H548" display="'PSUT_Data&amp;Method_2012'!H548"/>
    <hyperlink ref="S35" location="'PSUT_Data&amp;Method_2012'!H549" display="'PSUT_Data&amp;Method_2012'!H549"/>
    <hyperlink ref="S36:S43" location="'PSUT_Data&amp;Method_2012'!H549" display="'PSUT_Data&amp;Method_2012'!H549"/>
    <hyperlink ref="S36" location="'PSUT_Data&amp;Method_2012'!H550" display="'PSUT_Data&amp;Method_2012'!H550"/>
    <hyperlink ref="S37" location="'PSUT_Data&amp;Method_2012'!H551" display="'PSUT_Data&amp;Method_2012'!H551"/>
    <hyperlink ref="S38" location="'PSUT_Data&amp;Method_2012'!H552" display="'PSUT_Data&amp;Method_2012'!H552"/>
    <hyperlink ref="S39" location="'PSUT_Data&amp;Method_2012'!H553" display="'PSUT_Data&amp;Method_2012'!H553"/>
    <hyperlink ref="S40" location="'PSUT_Data&amp;Method_2012'!H554" display="'PSUT_Data&amp;Method_2012'!H554"/>
    <hyperlink ref="S41" location="'PSUT_Data&amp;Method_2012'!H555" display="'PSUT_Data&amp;Method_2012'!H555"/>
    <hyperlink ref="S42" location="'PSUT_Data&amp;Method_2012'!H556" display="'PSUT_Data&amp;Method_2012'!H556"/>
    <hyperlink ref="S43" location="'PSUT_Data&amp;Method_2012'!H557" display="'PSUT_Data&amp;Method_2012'!H557"/>
    <hyperlink ref="T35" location="'PSUT_Data&amp;Method_2012'!H558" display="'PSUT_Data&amp;Method_2012'!H558"/>
    <hyperlink ref="T36:T43" location="'PSUT_Data&amp;Method_2012'!H558" display="'PSUT_Data&amp;Method_2012'!H558"/>
    <hyperlink ref="T36" location="'PSUT_Data&amp;Method_2012'!H559" display="'PSUT_Data&amp;Method_2012'!H559"/>
    <hyperlink ref="T37" location="'PSUT_Data&amp;Method_2012'!H560" display="'PSUT_Data&amp;Method_2012'!H560"/>
    <hyperlink ref="T38" location="'PSUT_Data&amp;Method_2012'!H561" display="'PSUT_Data&amp;Method_2012'!H561"/>
    <hyperlink ref="T39" location="'PSUT_Data&amp;Method_2012'!H562" display="'PSUT_Data&amp;Method_2012'!H562"/>
    <hyperlink ref="T40" location="'PSUT_Data&amp;Method_2012'!H563" display="'PSUT_Data&amp;Method_2012'!H563"/>
    <hyperlink ref="T41" location="'PSUT_Data&amp;Method_2012'!H564" display="'PSUT_Data&amp;Method_2012'!H564"/>
    <hyperlink ref="T42" location="'PSUT_Data&amp;Method_2012'!H565" display="'PSUT_Data&amp;Method_2012'!H565"/>
    <hyperlink ref="T43" location="'PSUT_Data&amp;Method_2012'!H566" display="'PSUT_Data&amp;Method_2012'!H566"/>
    <hyperlink ref="U35" location="'PSUT_Data&amp;Method_2012'!H567" display="'PSUT_Data&amp;Method_2012'!H567"/>
    <hyperlink ref="U36:U43" location="'PSUT_Data&amp;Method_2012'!H567" display="'PSUT_Data&amp;Method_2012'!H567"/>
    <hyperlink ref="U36" location="'PSUT_Data&amp;Method_2012'!H568" display="'PSUT_Data&amp;Method_2012'!H568"/>
    <hyperlink ref="U37" location="'PSUT_Data&amp;Method_2012'!H569" display="'PSUT_Data&amp;Method_2012'!H569"/>
    <hyperlink ref="U38" location="'PSUT_Data&amp;Method_2012'!H570" display="'PSUT_Data&amp;Method_2012'!H570"/>
    <hyperlink ref="U39" location="'PSUT_Data&amp;Method_2012'!H571" display="'PSUT_Data&amp;Method_2012'!H571"/>
    <hyperlink ref="U40" location="'PSUT_Data&amp;Method_2012'!H572" display="'PSUT_Data&amp;Method_2012'!H572"/>
    <hyperlink ref="U41" location="'PSUT_Data&amp;Method_2012'!H573" display="'PSUT_Data&amp;Method_2012'!H573"/>
    <hyperlink ref="U42" location="'PSUT_Data&amp;Method_2012'!H574" display="'PSUT_Data&amp;Method_2012'!H574"/>
    <hyperlink ref="U43" location="'PSUT_Data&amp;Method_2012'!H575" display="'PSUT_Data&amp;Method_2012'!H575"/>
    <hyperlink ref="V35" location="'PSUT_Data&amp;Method_2012'!H576" display="'PSUT_Data&amp;Method_2012'!H576"/>
    <hyperlink ref="V36:V43" location="'PSUT_Data&amp;Method_2012'!H576" display="'PSUT_Data&amp;Method_2012'!H576"/>
    <hyperlink ref="V36" location="'PSUT_Data&amp;Method_2012'!H577" display="'PSUT_Data&amp;Method_2012'!H577"/>
    <hyperlink ref="V37" location="'PSUT_Data&amp;Method_2012'!H578" display="'PSUT_Data&amp;Method_2012'!H578"/>
    <hyperlink ref="V38" location="'PSUT_Data&amp;Method_2012'!H579" display="'PSUT_Data&amp;Method_2012'!H579"/>
    <hyperlink ref="V39" location="'PSUT_Data&amp;Method_2012'!H580" display="'PSUT_Data&amp;Method_2012'!H580"/>
    <hyperlink ref="V40" location="'PSUT_Data&amp;Method_2012'!H581" display="'PSUT_Data&amp;Method_2012'!H581"/>
    <hyperlink ref="V41" location="'PSUT_Data&amp;Method_2012'!H582" display="'PSUT_Data&amp;Method_2012'!H582"/>
    <hyperlink ref="V42" location="'PSUT_Data&amp;Method_2012'!H583" display="'PSUT_Data&amp;Method_2012'!H583"/>
    <hyperlink ref="V43" location="'PSUT_Data&amp;Method_2012'!H584" display="'PSUT_Data&amp;Method_2012'!H584"/>
    <hyperlink ref="X35" location="'PSUT_Data&amp;Method_2012'!H588" display="'PSUT_Data&amp;Method_2012'!H588"/>
    <hyperlink ref="X36:X43" location="'PSUT_Data&amp;Method_2012'!H588" display="'PSUT_Data&amp;Method_2012'!H588"/>
    <hyperlink ref="X36" location="'PSUT_Data&amp;Method_2012'!H589" display="'PSUT_Data&amp;Method_2012'!H589"/>
    <hyperlink ref="X37" location="'PSUT_Data&amp;Method_2012'!H590" display="'PSUT_Data&amp;Method_2012'!H590"/>
    <hyperlink ref="X38" location="'PSUT_Data&amp;Method_2012'!H591" display="'PSUT_Data&amp;Method_2012'!H591"/>
    <hyperlink ref="X39" location="'PSUT_Data&amp;Method_2012'!H592" display="'PSUT_Data&amp;Method_2012'!H592"/>
    <hyperlink ref="X40" location="'PSUT_Data&amp;Method_2012'!H593" display="'PSUT_Data&amp;Method_2012'!H593"/>
    <hyperlink ref="X41" location="'PSUT_Data&amp;Method_2012'!H594" display="'PSUT_Data&amp;Method_2012'!H594"/>
    <hyperlink ref="X42" location="'PSUT_Data&amp;Method_2012'!H595" display="'PSUT_Data&amp;Method_2012'!H595"/>
    <hyperlink ref="X43" location="'PSUT_Data&amp;Method_2012'!H596" display="'PSUT_Data&amp;Method_2012'!H596"/>
    <hyperlink ref="Y35" location="'PSUT_Data&amp;Method_2012'!H597" display="'PSUT_Data&amp;Method_2012'!H597"/>
    <hyperlink ref="Y36" location="'PSUT_Data&amp;Method_2012'!H598" display="'PSUT_Data&amp;Method_2012'!H598"/>
    <hyperlink ref="Y37" location="'PSUT_Data&amp;Method_2012'!H599" display="'PSUT_Data&amp;Method_2012'!H599"/>
    <hyperlink ref="Y38" location="'PSUT_Data&amp;Method_2012'!H600" display="'PSUT_Data&amp;Method_2012'!H600"/>
    <hyperlink ref="Y39:Y43" location="'PSUT_Data&amp;Method_2012'!H600" display="'PSUT_Data&amp;Method_2012'!H600"/>
    <hyperlink ref="Y39" location="'PSUT_Data&amp;Method_2012'!H601" display="'PSUT_Data&amp;Method_2012'!H601"/>
    <hyperlink ref="Y40" location="'PSUT_Data&amp;Method_2012'!H602" display="'PSUT_Data&amp;Method_2012'!H602"/>
    <hyperlink ref="Y41" location="'PSUT_Data&amp;Method_2012'!H603" display="'PSUT_Data&amp;Method_2012'!H603"/>
    <hyperlink ref="Y42" location="'PSUT_Data&amp;Method_2012'!H604" display="'PSUT_Data&amp;Method_2012'!H604"/>
    <hyperlink ref="Y43" location="'PSUT_Data&amp;Method_2012'!H605" display="'PSUT_Data&amp;Method_2012'!H605"/>
    <hyperlink ref="C17" location="'PSUT_Data&amp;Method_2012'!H13" display="'PSUT_Data&amp;Method_2012'!H13"/>
  </hyperlinks>
  <pageMargins left="0.51181102362204722" right="0.51181102362204722" top="0.74803149606299213" bottom="0.74803149606299213" header="0.31496062992125984" footer="0.31496062992125984"/>
  <pageSetup paperSize="9" scale="62" orientation="landscape" r:id="rId1"/>
  <headerFooter>
    <oddHeader>&amp;L&amp;F    &amp;&amp;&amp;A&amp;C
&amp;D&amp;RPage &amp;P of &amp;N</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70"/>
  <sheetViews>
    <sheetView topLeftCell="V23" zoomScaleNormal="100" zoomScaleSheetLayoutView="50" workbookViewId="0">
      <selection activeCell="X36" sqref="X36"/>
    </sheetView>
  </sheetViews>
  <sheetFormatPr defaultRowHeight="15" x14ac:dyDescent="0.25"/>
  <cols>
    <col min="1" max="1" width="9.140625" style="651"/>
    <col min="2" max="2" width="44.28515625" style="651" customWidth="1"/>
    <col min="3" max="7" width="9.140625" style="651"/>
    <col min="8" max="8" width="18.7109375" style="651" customWidth="1"/>
    <col min="9" max="13" width="15.140625" style="651" customWidth="1"/>
    <col min="14" max="15" width="15.28515625" style="651" customWidth="1"/>
    <col min="16" max="16" width="9.140625" style="651"/>
    <col min="17" max="17" width="25" style="651" bestFit="1" customWidth="1"/>
    <col min="18" max="18" width="39.42578125" style="685" customWidth="1"/>
    <col min="19" max="19" width="33.140625" style="651" customWidth="1"/>
    <col min="20" max="20" width="24.140625" style="651" customWidth="1"/>
    <col min="21" max="21" width="23.5703125" style="651" customWidth="1"/>
    <col min="22" max="22" width="49.28515625" style="651" customWidth="1"/>
    <col min="23" max="23" width="34.28515625" style="651" customWidth="1"/>
    <col min="24" max="24" width="18" style="651" customWidth="1"/>
    <col min="25" max="25" width="10.85546875" style="651" bestFit="1" customWidth="1"/>
    <col min="26" max="16384" width="9.140625" style="651"/>
  </cols>
  <sheetData>
    <row r="1" spans="1:23" ht="12.75" x14ac:dyDescent="0.2">
      <c r="H1" s="652" t="s">
        <v>948</v>
      </c>
      <c r="I1" s="653"/>
      <c r="J1" s="653"/>
      <c r="K1" s="653"/>
      <c r="L1" s="653"/>
      <c r="M1" s="653"/>
      <c r="N1" s="653"/>
      <c r="O1" s="653"/>
      <c r="P1" s="653"/>
      <c r="Q1" s="653"/>
      <c r="R1" s="654"/>
      <c r="S1" s="653"/>
      <c r="T1" s="653"/>
    </row>
    <row r="2" spans="1:23" ht="12.75" x14ac:dyDescent="0.2">
      <c r="H2" s="653" t="s">
        <v>949</v>
      </c>
      <c r="I2" s="653"/>
      <c r="J2" s="653"/>
      <c r="K2" s="653"/>
      <c r="L2" s="653"/>
      <c r="M2" s="653"/>
      <c r="N2" s="653"/>
      <c r="O2" s="653"/>
      <c r="P2" s="653"/>
      <c r="Q2" s="653"/>
      <c r="R2" s="654"/>
      <c r="S2" s="653"/>
      <c r="T2" s="653"/>
    </row>
    <row r="3" spans="1:23" ht="12.75" x14ac:dyDescent="0.2">
      <c r="H3" s="655" t="s">
        <v>950</v>
      </c>
      <c r="I3" s="653"/>
      <c r="J3" s="653"/>
      <c r="K3" s="653"/>
      <c r="L3" s="653"/>
      <c r="M3" s="653"/>
      <c r="N3" s="653"/>
      <c r="O3" s="653"/>
      <c r="P3" s="653"/>
      <c r="Q3" s="653"/>
      <c r="R3" s="654"/>
      <c r="S3" s="653"/>
      <c r="T3" s="653"/>
    </row>
    <row r="4" spans="1:23" ht="12.75" x14ac:dyDescent="0.2">
      <c r="H4" s="653" t="s">
        <v>951</v>
      </c>
      <c r="I4" s="653"/>
      <c r="J4" s="653"/>
      <c r="K4" s="653"/>
      <c r="L4" s="653"/>
      <c r="M4" s="653"/>
      <c r="N4" s="653"/>
      <c r="O4" s="653"/>
      <c r="P4" s="653"/>
      <c r="Q4" s="653"/>
      <c r="R4" s="654"/>
      <c r="S4" s="653"/>
      <c r="T4" s="653"/>
    </row>
    <row r="5" spans="1:23" ht="12.75" x14ac:dyDescent="0.2">
      <c r="I5" s="653"/>
      <c r="J5" s="653"/>
      <c r="K5" s="653"/>
      <c r="L5" s="653"/>
      <c r="M5" s="653"/>
      <c r="N5" s="653"/>
      <c r="O5" s="653"/>
      <c r="P5" s="653"/>
      <c r="Q5" s="653"/>
      <c r="R5" s="654"/>
      <c r="S5" s="653"/>
      <c r="T5" s="653"/>
    </row>
    <row r="6" spans="1:23" ht="12.75" x14ac:dyDescent="0.2">
      <c r="H6" s="653" t="s">
        <v>952</v>
      </c>
      <c r="I6" s="653"/>
      <c r="J6" s="653"/>
      <c r="K6" s="653"/>
      <c r="L6" s="653"/>
      <c r="M6" s="653"/>
      <c r="N6" s="653"/>
      <c r="O6" s="653"/>
      <c r="P6" s="653"/>
      <c r="Q6" s="653"/>
      <c r="R6" s="654"/>
      <c r="S6" s="653"/>
      <c r="T6" s="653"/>
    </row>
    <row r="7" spans="1:23" ht="12.75" x14ac:dyDescent="0.2">
      <c r="I7" s="653"/>
      <c r="J7" s="653"/>
      <c r="K7" s="653"/>
      <c r="L7" s="653"/>
      <c r="M7" s="653"/>
      <c r="N7" s="653"/>
      <c r="O7" s="653"/>
      <c r="P7" s="653"/>
      <c r="Q7" s="653"/>
      <c r="R7" s="654"/>
      <c r="S7" s="653"/>
      <c r="T7" s="653"/>
    </row>
    <row r="8" spans="1:23" ht="12.75" x14ac:dyDescent="0.2">
      <c r="H8" s="652" t="s">
        <v>953</v>
      </c>
      <c r="I8" s="653"/>
      <c r="J8" s="653"/>
      <c r="K8" s="653"/>
      <c r="L8" s="653"/>
      <c r="M8" s="653"/>
      <c r="N8" s="653"/>
      <c r="O8" s="653"/>
      <c r="P8" s="653"/>
      <c r="Q8" s="653"/>
      <c r="R8" s="654"/>
      <c r="S8" s="653"/>
      <c r="T8" s="653"/>
    </row>
    <row r="9" spans="1:23" ht="12.75" x14ac:dyDescent="0.2">
      <c r="H9" s="653"/>
      <c r="I9" s="653"/>
      <c r="J9" s="653"/>
      <c r="K9" s="653"/>
      <c r="L9" s="653"/>
      <c r="M9" s="653"/>
      <c r="N9" s="653"/>
      <c r="O9" s="653"/>
      <c r="P9" s="653"/>
      <c r="Q9" s="653"/>
      <c r="R9" s="654"/>
      <c r="S9" s="653"/>
      <c r="T9" s="653"/>
    </row>
    <row r="10" spans="1:23" ht="12.75" x14ac:dyDescent="0.2">
      <c r="H10" s="653"/>
      <c r="I10" s="653"/>
      <c r="J10" s="653"/>
      <c r="K10" s="653"/>
      <c r="L10" s="653"/>
      <c r="M10" s="653"/>
      <c r="N10" s="653"/>
      <c r="O10" s="653"/>
      <c r="P10" s="653"/>
      <c r="Q10" s="653"/>
      <c r="R10" s="675" t="s">
        <v>1290</v>
      </c>
      <c r="S10" s="653"/>
      <c r="T10" s="653"/>
    </row>
    <row r="11" spans="1:23" ht="12.75" x14ac:dyDescent="0.2">
      <c r="E11" s="651" t="s">
        <v>954</v>
      </c>
      <c r="F11" s="651" t="s">
        <v>955</v>
      </c>
      <c r="H11" s="1102" t="s">
        <v>956</v>
      </c>
      <c r="I11" s="656" t="s">
        <v>838</v>
      </c>
      <c r="J11" s="657"/>
      <c r="K11" s="657"/>
      <c r="L11" s="657"/>
      <c r="M11" s="657"/>
      <c r="N11" s="657"/>
      <c r="O11" s="658"/>
      <c r="P11" s="653"/>
      <c r="Q11" s="653"/>
      <c r="R11" s="675" t="s">
        <v>1077</v>
      </c>
      <c r="S11" s="653"/>
      <c r="T11" s="653"/>
    </row>
    <row r="12" spans="1:23" ht="25.5" x14ac:dyDescent="0.2">
      <c r="A12" s="659"/>
      <c r="B12" s="660" t="s">
        <v>957</v>
      </c>
      <c r="C12" s="661"/>
      <c r="D12" s="662"/>
      <c r="E12" s="662"/>
      <c r="F12" s="662"/>
      <c r="G12" s="686"/>
      <c r="H12" s="687" t="s">
        <v>954</v>
      </c>
      <c r="I12" s="687" t="s">
        <v>958</v>
      </c>
      <c r="J12" s="688" t="s">
        <v>959</v>
      </c>
      <c r="K12" s="688" t="s">
        <v>960</v>
      </c>
      <c r="L12" s="688" t="s">
        <v>961</v>
      </c>
      <c r="M12" s="688" t="s">
        <v>962</v>
      </c>
      <c r="N12" s="688" t="s">
        <v>963</v>
      </c>
      <c r="O12" s="689" t="s">
        <v>964</v>
      </c>
      <c r="P12" s="652"/>
      <c r="Q12" s="652"/>
      <c r="R12" s="663" t="s">
        <v>965</v>
      </c>
      <c r="S12" s="663" t="s">
        <v>966</v>
      </c>
      <c r="T12" s="663"/>
      <c r="U12" s="663"/>
      <c r="V12" s="663" t="s">
        <v>1062</v>
      </c>
      <c r="W12" s="663" t="s">
        <v>1070</v>
      </c>
    </row>
    <row r="13" spans="1:23" ht="12.75" x14ac:dyDescent="0.2">
      <c r="A13" s="664"/>
      <c r="B13" s="664" t="s">
        <v>967</v>
      </c>
      <c r="C13" s="665" t="s">
        <v>968</v>
      </c>
      <c r="E13" s="651" t="s">
        <v>969</v>
      </c>
      <c r="F13" s="651" t="s">
        <v>970</v>
      </c>
      <c r="H13" s="656" t="s">
        <v>969</v>
      </c>
      <c r="I13" s="666"/>
      <c r="J13" s="667"/>
      <c r="K13" s="667"/>
      <c r="L13" s="667"/>
      <c r="M13" s="667"/>
      <c r="N13" s="667">
        <v>5657799.5928000044</v>
      </c>
      <c r="O13" s="668">
        <v>5657799.5928000044</v>
      </c>
      <c r="P13" s="653"/>
      <c r="Q13" s="653"/>
      <c r="R13" s="669">
        <v>5657799.5928000044</v>
      </c>
      <c r="S13" s="670">
        <f>+R13/1000000</f>
        <v>5.6577995928000044</v>
      </c>
      <c r="T13" s="745" t="s">
        <v>970</v>
      </c>
      <c r="U13" s="670"/>
      <c r="V13" s="745" t="s">
        <v>1080</v>
      </c>
      <c r="W13" s="670" t="s">
        <v>51</v>
      </c>
    </row>
    <row r="14" spans="1:23" ht="12.75" x14ac:dyDescent="0.2">
      <c r="A14" s="664"/>
      <c r="B14" s="664" t="s">
        <v>971</v>
      </c>
      <c r="C14" s="665"/>
      <c r="E14" s="651" t="s">
        <v>972</v>
      </c>
      <c r="F14" s="651" t="s">
        <v>685</v>
      </c>
      <c r="H14" s="671" t="s">
        <v>972</v>
      </c>
      <c r="I14" s="672"/>
      <c r="J14" s="673"/>
      <c r="K14" s="673"/>
      <c r="L14" s="673"/>
      <c r="M14" s="673"/>
      <c r="N14" s="673">
        <v>11948636.628590984</v>
      </c>
      <c r="O14" s="674">
        <v>11948636.628590984</v>
      </c>
      <c r="P14" s="653"/>
      <c r="Q14" s="653"/>
      <c r="R14" s="675">
        <v>11948636.628590984</v>
      </c>
      <c r="S14" s="675">
        <f t="shared" ref="S14:S22" si="0">+R14/1000000</f>
        <v>11.948636628590984</v>
      </c>
      <c r="T14" s="746" t="s">
        <v>685</v>
      </c>
      <c r="U14" s="675"/>
      <c r="V14" s="746" t="s">
        <v>1056</v>
      </c>
      <c r="W14" s="675" t="s">
        <v>1073</v>
      </c>
    </row>
    <row r="15" spans="1:23" ht="25.5" x14ac:dyDescent="0.2">
      <c r="A15" s="664"/>
      <c r="B15" s="664" t="s">
        <v>973</v>
      </c>
      <c r="C15" s="665"/>
      <c r="E15" s="651" t="s">
        <v>974</v>
      </c>
      <c r="F15" s="651" t="s">
        <v>975</v>
      </c>
      <c r="H15" s="671" t="s">
        <v>974</v>
      </c>
      <c r="I15" s="672"/>
      <c r="J15" s="673"/>
      <c r="K15" s="673"/>
      <c r="L15" s="673"/>
      <c r="M15" s="673"/>
      <c r="N15" s="673">
        <v>157982745.59999999</v>
      </c>
      <c r="O15" s="674">
        <v>157982745.59999999</v>
      </c>
      <c r="P15" s="653"/>
      <c r="Q15" s="653"/>
      <c r="R15" s="676">
        <v>157982745.59999999</v>
      </c>
      <c r="S15" s="675">
        <f t="shared" si="0"/>
        <v>157.98274559999999</v>
      </c>
      <c r="T15" s="746" t="s">
        <v>975</v>
      </c>
      <c r="U15" s="675"/>
      <c r="V15" s="746" t="s">
        <v>1057</v>
      </c>
      <c r="W15" s="675" t="s">
        <v>1073</v>
      </c>
    </row>
    <row r="16" spans="1:23" ht="25.5" x14ac:dyDescent="0.2">
      <c r="A16" s="664" t="s">
        <v>976</v>
      </c>
      <c r="B16" s="664" t="s">
        <v>977</v>
      </c>
      <c r="C16" s="665"/>
      <c r="E16" s="651" t="s">
        <v>978</v>
      </c>
      <c r="F16" s="651" t="s">
        <v>979</v>
      </c>
      <c r="H16" s="671" t="s">
        <v>978</v>
      </c>
      <c r="I16" s="672">
        <v>10096950</v>
      </c>
      <c r="J16" s="673">
        <v>84665830</v>
      </c>
      <c r="K16" s="673">
        <v>5401490</v>
      </c>
      <c r="L16" s="673">
        <v>70793300</v>
      </c>
      <c r="M16" s="673">
        <v>26910390</v>
      </c>
      <c r="N16" s="673">
        <v>24461005</v>
      </c>
      <c r="O16" s="674">
        <v>222328965</v>
      </c>
      <c r="P16" s="653"/>
      <c r="Q16" s="653"/>
      <c r="R16" s="676">
        <v>222328965</v>
      </c>
      <c r="S16" s="675">
        <f t="shared" si="0"/>
        <v>222.32896500000001</v>
      </c>
      <c r="T16" s="746" t="s">
        <v>979</v>
      </c>
      <c r="U16" s="675" t="s">
        <v>178</v>
      </c>
      <c r="V16" s="746" t="s">
        <v>1055</v>
      </c>
      <c r="W16" s="675" t="s">
        <v>1074</v>
      </c>
    </row>
    <row r="17" spans="1:25" ht="12.75" x14ac:dyDescent="0.2">
      <c r="A17" s="664"/>
      <c r="B17" s="664" t="s">
        <v>980</v>
      </c>
      <c r="C17" s="665"/>
      <c r="E17" s="651" t="s">
        <v>981</v>
      </c>
      <c r="F17" s="651" t="s">
        <v>982</v>
      </c>
      <c r="H17" s="671" t="s">
        <v>981</v>
      </c>
      <c r="I17" s="672">
        <v>819470.36</v>
      </c>
      <c r="J17" s="673">
        <v>3114144.6</v>
      </c>
      <c r="K17" s="673">
        <v>207001</v>
      </c>
      <c r="L17" s="673">
        <v>1488632</v>
      </c>
      <c r="M17" s="673">
        <v>1649985</v>
      </c>
      <c r="N17" s="673"/>
      <c r="O17" s="674">
        <v>7279232.96</v>
      </c>
      <c r="P17" s="653"/>
      <c r="Q17" s="653"/>
      <c r="R17" s="675">
        <v>7279232.96</v>
      </c>
      <c r="S17" s="675">
        <f t="shared" si="0"/>
        <v>7.2792329599999999</v>
      </c>
      <c r="T17" s="746" t="s">
        <v>982</v>
      </c>
      <c r="U17" s="675"/>
      <c r="V17" s="746" t="s">
        <v>1059</v>
      </c>
      <c r="W17" s="675" t="s">
        <v>1075</v>
      </c>
    </row>
    <row r="18" spans="1:25" ht="12.75" x14ac:dyDescent="0.2">
      <c r="A18" s="664"/>
      <c r="B18" s="664" t="s">
        <v>983</v>
      </c>
      <c r="C18" s="665"/>
      <c r="E18" s="651" t="s">
        <v>984</v>
      </c>
      <c r="F18" s="651" t="s">
        <v>696</v>
      </c>
      <c r="H18" s="671" t="s">
        <v>984</v>
      </c>
      <c r="I18" s="672"/>
      <c r="J18" s="673"/>
      <c r="K18" s="673"/>
      <c r="L18" s="673"/>
      <c r="M18" s="673"/>
      <c r="N18" s="673">
        <v>1046788.4567590201</v>
      </c>
      <c r="O18" s="674">
        <v>1046788.4567590201</v>
      </c>
      <c r="P18" s="653"/>
      <c r="Q18" s="653"/>
      <c r="R18" s="675">
        <v>1046788.4567590201</v>
      </c>
      <c r="S18" s="675">
        <f t="shared" si="0"/>
        <v>1.0467884567590202</v>
      </c>
      <c r="T18" s="746" t="s">
        <v>696</v>
      </c>
      <c r="U18" s="675"/>
      <c r="V18" s="746" t="s">
        <v>1058</v>
      </c>
      <c r="W18" s="675" t="s">
        <v>1073</v>
      </c>
    </row>
    <row r="19" spans="1:25" ht="12.75" x14ac:dyDescent="0.2">
      <c r="A19" s="664"/>
      <c r="B19" s="664" t="s">
        <v>985</v>
      </c>
      <c r="C19" s="665"/>
      <c r="E19" s="651" t="s">
        <v>986</v>
      </c>
      <c r="F19" s="651" t="s">
        <v>986</v>
      </c>
      <c r="H19" s="671" t="s">
        <v>986</v>
      </c>
      <c r="I19" s="672"/>
      <c r="J19" s="673"/>
      <c r="K19" s="673"/>
      <c r="L19" s="673"/>
      <c r="M19" s="673"/>
      <c r="N19" s="673">
        <v>39118224.021623127</v>
      </c>
      <c r="O19" s="674">
        <v>39118224.021623127</v>
      </c>
      <c r="P19" s="653"/>
      <c r="Q19" s="653"/>
      <c r="R19" s="676">
        <v>39118224.021623127</v>
      </c>
      <c r="S19" s="675">
        <f t="shared" si="0"/>
        <v>39.118224021623128</v>
      </c>
      <c r="T19" s="746" t="s">
        <v>986</v>
      </c>
      <c r="U19" s="675"/>
      <c r="V19" s="746" t="s">
        <v>1078</v>
      </c>
      <c r="W19" s="675" t="s">
        <v>51</v>
      </c>
    </row>
    <row r="20" spans="1:25" ht="12.75" x14ac:dyDescent="0.2">
      <c r="A20" s="664"/>
      <c r="B20" s="664"/>
      <c r="C20" s="665"/>
      <c r="E20" s="651" t="s">
        <v>987</v>
      </c>
      <c r="F20" s="651" t="s">
        <v>988</v>
      </c>
      <c r="H20" s="671" t="s">
        <v>987</v>
      </c>
      <c r="I20" s="672"/>
      <c r="J20" s="673"/>
      <c r="K20" s="673"/>
      <c r="L20" s="673"/>
      <c r="M20" s="673"/>
      <c r="N20" s="673">
        <v>29180</v>
      </c>
      <c r="O20" s="674">
        <v>29180</v>
      </c>
      <c r="P20" s="653"/>
      <c r="Q20" s="653"/>
      <c r="R20" s="675">
        <v>29180</v>
      </c>
      <c r="S20" s="675">
        <f t="shared" si="0"/>
        <v>2.9180000000000001E-2</v>
      </c>
      <c r="T20" s="746" t="s">
        <v>988</v>
      </c>
      <c r="U20" s="675"/>
      <c r="V20" s="746" t="s">
        <v>1060</v>
      </c>
      <c r="W20" s="675" t="s">
        <v>1076</v>
      </c>
    </row>
    <row r="21" spans="1:25" ht="25.5" x14ac:dyDescent="0.2">
      <c r="A21" s="664"/>
      <c r="B21" s="664"/>
      <c r="C21" s="665"/>
      <c r="E21" s="651" t="s">
        <v>989</v>
      </c>
      <c r="F21" s="651" t="s">
        <v>990</v>
      </c>
      <c r="H21" s="671" t="s">
        <v>989</v>
      </c>
      <c r="I21" s="672"/>
      <c r="J21" s="673"/>
      <c r="K21" s="673"/>
      <c r="L21" s="673"/>
      <c r="M21" s="673"/>
      <c r="N21" s="673">
        <v>54076940</v>
      </c>
      <c r="O21" s="674">
        <v>54076940</v>
      </c>
      <c r="P21" s="653"/>
      <c r="Q21" s="653"/>
      <c r="R21" s="677">
        <v>54076940</v>
      </c>
      <c r="S21" s="675">
        <f t="shared" si="0"/>
        <v>54.07694</v>
      </c>
      <c r="T21" s="746" t="s">
        <v>990</v>
      </c>
      <c r="U21" s="675" t="s">
        <v>178</v>
      </c>
      <c r="V21" s="746" t="s">
        <v>1061</v>
      </c>
      <c r="W21" s="675" t="s">
        <v>1075</v>
      </c>
    </row>
    <row r="22" spans="1:25" ht="12.75" x14ac:dyDescent="0.2">
      <c r="A22" s="678"/>
      <c r="B22" s="678"/>
      <c r="C22" s="679"/>
      <c r="H22" s="680" t="s">
        <v>964</v>
      </c>
      <c r="I22" s="681">
        <v>10916420.359999999</v>
      </c>
      <c r="J22" s="682">
        <v>87779974.599999994</v>
      </c>
      <c r="K22" s="682">
        <v>5608491</v>
      </c>
      <c r="L22" s="682">
        <v>72281932</v>
      </c>
      <c r="M22" s="682">
        <v>28560375</v>
      </c>
      <c r="N22" s="682">
        <v>294321319.2997731</v>
      </c>
      <c r="O22" s="683">
        <v>499468512.25977314</v>
      </c>
      <c r="P22" s="653"/>
      <c r="Q22" s="653"/>
      <c r="R22" s="684">
        <v>499468512.25977314</v>
      </c>
      <c r="S22" s="684">
        <f t="shared" si="0"/>
        <v>499.46851225977315</v>
      </c>
      <c r="T22" s="684" t="s">
        <v>991</v>
      </c>
      <c r="U22" s="684"/>
      <c r="V22" s="684"/>
      <c r="W22" s="684"/>
    </row>
    <row r="23" spans="1:25" ht="12.75" x14ac:dyDescent="0.2">
      <c r="H23" s="653"/>
      <c r="I23" s="653"/>
      <c r="J23" s="653"/>
      <c r="K23" s="653"/>
      <c r="L23" s="653"/>
      <c r="M23" s="653"/>
      <c r="N23" s="653"/>
      <c r="O23" s="653"/>
      <c r="P23" s="653"/>
      <c r="Q23" s="653"/>
      <c r="R23" s="654"/>
      <c r="S23" s="653"/>
      <c r="T23" s="653"/>
    </row>
    <row r="24" spans="1:25" ht="12.75" x14ac:dyDescent="0.2">
      <c r="H24" s="653"/>
      <c r="I24" s="653"/>
      <c r="J24" s="653"/>
      <c r="K24" s="653"/>
      <c r="L24" s="653"/>
      <c r="M24" s="653"/>
      <c r="N24" s="653"/>
      <c r="O24" s="653"/>
      <c r="P24" s="653"/>
      <c r="Q24" s="653"/>
      <c r="R24" s="654"/>
      <c r="S24" s="653"/>
      <c r="T24" s="675" t="s">
        <v>1520</v>
      </c>
      <c r="U24" s="675" t="s">
        <v>1520</v>
      </c>
      <c r="V24" s="675" t="s">
        <v>1520</v>
      </c>
      <c r="W24" s="675" t="s">
        <v>1520</v>
      </c>
      <c r="X24" s="675" t="s">
        <v>1520</v>
      </c>
    </row>
    <row r="25" spans="1:25" x14ac:dyDescent="0.25">
      <c r="Q25" s="751" t="s">
        <v>1077</v>
      </c>
      <c r="R25" s="752"/>
      <c r="S25" s="753"/>
      <c r="T25" s="753"/>
      <c r="U25" s="753"/>
      <c r="V25" s="753"/>
      <c r="W25" s="753"/>
      <c r="X25" s="753"/>
    </row>
    <row r="26" spans="1:25" ht="12.75" x14ac:dyDescent="0.2">
      <c r="Q26" s="754" t="s">
        <v>1287</v>
      </c>
      <c r="R26" s="754" t="s">
        <v>1062</v>
      </c>
      <c r="S26" s="754" t="s">
        <v>1070</v>
      </c>
      <c r="T26" s="755">
        <v>2012</v>
      </c>
      <c r="U26" s="755">
        <v>2013</v>
      </c>
      <c r="V26" s="755">
        <v>2014</v>
      </c>
      <c r="W26" s="755">
        <v>2015</v>
      </c>
      <c r="X26" s="755">
        <v>2016</v>
      </c>
    </row>
    <row r="27" spans="1:25" ht="12.75" x14ac:dyDescent="0.2">
      <c r="Q27" s="756" t="s">
        <v>970</v>
      </c>
      <c r="R27" s="756" t="str">
        <f t="shared" ref="R27:R35" si="1">R45</f>
        <v xml:space="preserve">… Various (mainly households) </v>
      </c>
      <c r="S27" s="757" t="s">
        <v>51</v>
      </c>
      <c r="T27" s="751">
        <f t="shared" ref="T27:X36" si="2">+T45*1000</f>
        <v>5226.9322751829577</v>
      </c>
      <c r="U27" s="751">
        <f t="shared" si="2"/>
        <v>5331.4709206866173</v>
      </c>
      <c r="V27" s="751">
        <f t="shared" si="2"/>
        <v>5438.1003391003496</v>
      </c>
      <c r="W27" s="751">
        <f>+W45*1000</f>
        <v>5546.8623458823577</v>
      </c>
      <c r="X27" s="757">
        <f t="shared" si="2"/>
        <v>5657.7995928000046</v>
      </c>
      <c r="Y27" s="1082"/>
    </row>
    <row r="28" spans="1:25" ht="25.5" x14ac:dyDescent="0.2">
      <c r="Q28" s="758" t="s">
        <v>685</v>
      </c>
      <c r="R28" s="758" t="str">
        <f t="shared" si="1"/>
        <v>Section C - Manufacturing - 1079 - Manufacture of other food products n.e.c.</v>
      </c>
      <c r="S28" s="751" t="s">
        <v>1073</v>
      </c>
      <c r="T28" s="751">
        <f t="shared" si="2"/>
        <v>11482.404943443362</v>
      </c>
      <c r="U28" s="751">
        <f t="shared" si="2"/>
        <v>11597.228992877795</v>
      </c>
      <c r="V28" s="751">
        <f t="shared" si="2"/>
        <v>11713.201282806573</v>
      </c>
      <c r="W28" s="751">
        <f t="shared" si="2"/>
        <v>11830.333295634638</v>
      </c>
      <c r="X28" s="751">
        <f t="shared" si="2"/>
        <v>11948.636628590984</v>
      </c>
      <c r="Y28" s="1082"/>
    </row>
    <row r="29" spans="1:25" ht="25.5" x14ac:dyDescent="0.2">
      <c r="Q29" s="758" t="s">
        <v>975</v>
      </c>
      <c r="R29" s="758" t="str">
        <f t="shared" si="1"/>
        <v>3510 - Electric power generation, transmission and distribution</v>
      </c>
      <c r="S29" s="751" t="s">
        <v>1073</v>
      </c>
      <c r="T29" s="751">
        <f t="shared" si="2"/>
        <v>145951.63691367037</v>
      </c>
      <c r="U29" s="751">
        <f t="shared" si="2"/>
        <v>148870.66965194378</v>
      </c>
      <c r="V29" s="751">
        <f t="shared" si="2"/>
        <v>151848.08304498266</v>
      </c>
      <c r="W29" s="751">
        <f t="shared" si="2"/>
        <v>154885.04470588235</v>
      </c>
      <c r="X29" s="751">
        <f t="shared" si="2"/>
        <v>157982.74559999999</v>
      </c>
      <c r="Y29" s="1082"/>
    </row>
    <row r="30" spans="1:25" ht="38.25" x14ac:dyDescent="0.2">
      <c r="Q30" s="758" t="s">
        <v>979</v>
      </c>
      <c r="R30" s="758" t="str">
        <f t="shared" si="1"/>
        <v>Section A: 01 (Division) - Crop and animal production, hunting and related service activities</v>
      </c>
      <c r="S30" s="751" t="s">
        <v>1074</v>
      </c>
      <c r="T30" s="751">
        <f t="shared" si="2"/>
        <v>189318.53198224391</v>
      </c>
      <c r="U30" s="751">
        <f t="shared" si="2"/>
        <v>197080.59179351589</v>
      </c>
      <c r="V30" s="751">
        <f t="shared" si="2"/>
        <v>205160.89605705006</v>
      </c>
      <c r="W30" s="751">
        <f t="shared" si="2"/>
        <v>213572.49279538909</v>
      </c>
      <c r="X30" s="751">
        <f t="shared" si="2"/>
        <v>222328.965</v>
      </c>
      <c r="Y30" s="1082"/>
    </row>
    <row r="31" spans="1:25" ht="12.75" x14ac:dyDescent="0.2">
      <c r="Q31" s="758" t="s">
        <v>982</v>
      </c>
      <c r="R31" s="758" t="str">
        <f t="shared" si="1"/>
        <v>Section C - Manufacturing (Division 10 - 33)</v>
      </c>
      <c r="S31" s="751" t="s">
        <v>1075</v>
      </c>
      <c r="T31" s="751">
        <f t="shared" si="2"/>
        <v>6724.8860750774447</v>
      </c>
      <c r="U31" s="751">
        <f t="shared" si="2"/>
        <v>6859.3837965789935</v>
      </c>
      <c r="V31" s="751">
        <f t="shared" si="2"/>
        <v>6996.5714725105736</v>
      </c>
      <c r="W31" s="751">
        <f t="shared" si="2"/>
        <v>7136.5029019607846</v>
      </c>
      <c r="X31" s="751">
        <f t="shared" si="2"/>
        <v>7279.2329600000003</v>
      </c>
      <c r="Y31" s="1082"/>
    </row>
    <row r="32" spans="1:25" ht="25.5" x14ac:dyDescent="0.2">
      <c r="Q32" s="758" t="s">
        <v>696</v>
      </c>
      <c r="R32" s="758" t="str">
        <f t="shared" si="1"/>
        <v>Section B - Mining and quarrying (Division 05 - 09)</v>
      </c>
      <c r="S32" s="751" t="s">
        <v>1073</v>
      </c>
      <c r="T32" s="751">
        <f t="shared" si="2"/>
        <v>967.07072779417433</v>
      </c>
      <c r="U32" s="751">
        <f t="shared" si="2"/>
        <v>986.41214235005782</v>
      </c>
      <c r="V32" s="751">
        <f t="shared" si="2"/>
        <v>1006.140385197059</v>
      </c>
      <c r="W32" s="751">
        <f t="shared" si="2"/>
        <v>1026.2631929010001</v>
      </c>
      <c r="X32" s="751">
        <f t="shared" si="2"/>
        <v>1046.7884567590202</v>
      </c>
    </row>
    <row r="33" spans="17:25" ht="12.75" x14ac:dyDescent="0.2">
      <c r="Q33" s="758" t="s">
        <v>986</v>
      </c>
      <c r="R33" s="758" t="str">
        <f t="shared" si="1"/>
        <v xml:space="preserve">… Various (mainly household) </v>
      </c>
      <c r="S33" s="751" t="s">
        <v>51</v>
      </c>
      <c r="T33" s="751">
        <f t="shared" si="2"/>
        <v>38345.542150552472</v>
      </c>
      <c r="U33" s="751">
        <f t="shared" si="2"/>
        <v>38537.269861305234</v>
      </c>
      <c r="V33" s="751">
        <f t="shared" si="2"/>
        <v>38729.956210611752</v>
      </c>
      <c r="W33" s="751">
        <f t="shared" si="2"/>
        <v>38923.605991664808</v>
      </c>
      <c r="X33" s="751">
        <f t="shared" si="2"/>
        <v>39118.224021623129</v>
      </c>
    </row>
    <row r="34" spans="17:25" ht="12.75" x14ac:dyDescent="0.2">
      <c r="Q34" s="758" t="s">
        <v>988</v>
      </c>
      <c r="R34" s="758" t="str">
        <f t="shared" si="1"/>
        <v xml:space="preserve">… Various (mainly irrigation &amp; household) </v>
      </c>
      <c r="S34" s="751" t="s">
        <v>1076</v>
      </c>
      <c r="T34" s="751">
        <f t="shared" si="2"/>
        <v>28.603622683244041</v>
      </c>
      <c r="U34" s="751">
        <f t="shared" si="2"/>
        <v>28.746640796660255</v>
      </c>
      <c r="V34" s="751">
        <f t="shared" si="2"/>
        <v>28.890374000643554</v>
      </c>
      <c r="W34" s="751">
        <f t="shared" si="2"/>
        <v>29.03482587064677</v>
      </c>
      <c r="X34" s="751">
        <f t="shared" si="2"/>
        <v>29.18</v>
      </c>
    </row>
    <row r="35" spans="17:25" ht="51" x14ac:dyDescent="0.2">
      <c r="Q35" s="758" t="s">
        <v>990</v>
      </c>
      <c r="R35" s="758" t="str">
        <f t="shared" si="1"/>
        <v>Section E
Water supply; sewerage, waste management etc - 36 (Division) - Water collection, treatment and supply</v>
      </c>
      <c r="S35" s="751" t="s">
        <v>1075</v>
      </c>
      <c r="T35" s="751">
        <f t="shared" si="2"/>
        <v>53008.786416190094</v>
      </c>
      <c r="U35" s="751">
        <f t="shared" si="2"/>
        <v>53273.830348271033</v>
      </c>
      <c r="V35" s="751">
        <f t="shared" si="2"/>
        <v>53540.199500012386</v>
      </c>
      <c r="W35" s="751">
        <f t="shared" si="2"/>
        <v>53807.900497512441</v>
      </c>
      <c r="X35" s="751">
        <f t="shared" si="2"/>
        <v>54076.94</v>
      </c>
    </row>
    <row r="36" spans="17:25" ht="12.75" x14ac:dyDescent="0.2">
      <c r="Q36" s="759" t="s">
        <v>991</v>
      </c>
      <c r="R36" s="759"/>
      <c r="S36" s="759"/>
      <c r="T36" s="759">
        <f t="shared" si="2"/>
        <v>451054.39510683814</v>
      </c>
      <c r="U36" s="759">
        <f t="shared" si="2"/>
        <v>462565.60414832603</v>
      </c>
      <c r="V36" s="759">
        <f t="shared" si="2"/>
        <v>474462.03866627207</v>
      </c>
      <c r="W36" s="759">
        <f t="shared" si="2"/>
        <v>486758.04055269813</v>
      </c>
      <c r="X36" s="759">
        <f t="shared" si="2"/>
        <v>499468.51225977315</v>
      </c>
      <c r="Y36" s="675">
        <v>499.46851225977315</v>
      </c>
    </row>
    <row r="38" spans="17:25" x14ac:dyDescent="0.25">
      <c r="T38" s="675" t="s">
        <v>1519</v>
      </c>
      <c r="U38" s="675" t="s">
        <v>1519</v>
      </c>
      <c r="V38" s="675" t="s">
        <v>1519</v>
      </c>
      <c r="W38" s="675" t="s">
        <v>1519</v>
      </c>
    </row>
    <row r="39" spans="17:25" x14ac:dyDescent="0.25">
      <c r="T39" s="655" t="s">
        <v>1514</v>
      </c>
      <c r="U39" s="655" t="s">
        <v>1517</v>
      </c>
      <c r="V39" s="655" t="s">
        <v>1516</v>
      </c>
      <c r="W39" s="655" t="s">
        <v>1515</v>
      </c>
    </row>
    <row r="40" spans="17:25" ht="12.75" x14ac:dyDescent="0.2">
      <c r="R40" s="1360" t="s">
        <v>1518</v>
      </c>
      <c r="S40" s="1360"/>
      <c r="T40" s="1359">
        <v>2488032.7200000002</v>
      </c>
      <c r="U40" s="1359">
        <v>2562673.7015999998</v>
      </c>
      <c r="V40" s="1359">
        <v>2690807.3866800005</v>
      </c>
      <c r="W40" s="1359">
        <v>3094428.494682</v>
      </c>
      <c r="X40" s="1359"/>
    </row>
    <row r="41" spans="17:25" ht="12.75" x14ac:dyDescent="0.2">
      <c r="R41" s="1360" t="s">
        <v>1521</v>
      </c>
      <c r="S41" s="1360"/>
      <c r="T41" s="1359">
        <v>2363631.0839999998</v>
      </c>
      <c r="U41" s="1359" t="s">
        <v>1522</v>
      </c>
      <c r="V41" s="1359" t="s">
        <v>1522</v>
      </c>
      <c r="W41" s="1359" t="s">
        <v>1522</v>
      </c>
      <c r="X41" s="1359"/>
    </row>
    <row r="43" spans="17:25" x14ac:dyDescent="0.25">
      <c r="Q43" s="675" t="s">
        <v>1288</v>
      </c>
    </row>
    <row r="44" spans="17:25" ht="12.75" x14ac:dyDescent="0.2">
      <c r="Q44" s="663" t="s">
        <v>966</v>
      </c>
      <c r="R44" s="663" t="s">
        <v>1062</v>
      </c>
      <c r="S44" s="663" t="s">
        <v>1070</v>
      </c>
      <c r="T44" s="748">
        <v>2012</v>
      </c>
      <c r="U44" s="748">
        <v>2013</v>
      </c>
      <c r="V44" s="748">
        <v>2014</v>
      </c>
      <c r="W44" s="748">
        <v>2015</v>
      </c>
      <c r="X44" s="748">
        <v>2016</v>
      </c>
    </row>
    <row r="45" spans="17:25" ht="12.75" x14ac:dyDescent="0.2">
      <c r="Q45" s="745" t="s">
        <v>970</v>
      </c>
      <c r="R45" s="745" t="s">
        <v>1080</v>
      </c>
      <c r="S45" s="670" t="s">
        <v>51</v>
      </c>
      <c r="T45" s="675">
        <f t="shared" ref="T45:W53" si="3">+(U45)/((100+T59)/100)</f>
        <v>5.2269322751829579</v>
      </c>
      <c r="U45" s="675">
        <f t="shared" si="3"/>
        <v>5.3314709206866171</v>
      </c>
      <c r="V45" s="675">
        <f t="shared" si="3"/>
        <v>5.43810033910035</v>
      </c>
      <c r="W45" s="675">
        <f t="shared" si="3"/>
        <v>5.5468623458823574</v>
      </c>
      <c r="X45" s="670">
        <v>5.6577995928000044</v>
      </c>
    </row>
    <row r="46" spans="17:25" ht="25.5" x14ac:dyDescent="0.2">
      <c r="Q46" s="746" t="s">
        <v>685</v>
      </c>
      <c r="R46" s="746" t="s">
        <v>1083</v>
      </c>
      <c r="S46" s="675" t="s">
        <v>1073</v>
      </c>
      <c r="T46" s="675">
        <f t="shared" si="3"/>
        <v>11.482404943443361</v>
      </c>
      <c r="U46" s="675">
        <f t="shared" si="3"/>
        <v>11.597228992877795</v>
      </c>
      <c r="V46" s="675">
        <f t="shared" si="3"/>
        <v>11.713201282806573</v>
      </c>
      <c r="W46" s="675">
        <f t="shared" si="3"/>
        <v>11.830333295634638</v>
      </c>
      <c r="X46" s="675">
        <v>11.948636628590984</v>
      </c>
    </row>
    <row r="47" spans="17:25" ht="25.5" x14ac:dyDescent="0.2">
      <c r="Q47" s="746" t="s">
        <v>975</v>
      </c>
      <c r="R47" s="746" t="s">
        <v>1057</v>
      </c>
      <c r="S47" s="675" t="s">
        <v>1073</v>
      </c>
      <c r="T47" s="675">
        <f t="shared" si="3"/>
        <v>145.95163691367037</v>
      </c>
      <c r="U47" s="675">
        <f t="shared" si="3"/>
        <v>148.87066965194379</v>
      </c>
      <c r="V47" s="675">
        <f t="shared" si="3"/>
        <v>151.84808304498267</v>
      </c>
      <c r="W47" s="675">
        <f t="shared" si="3"/>
        <v>154.88504470588234</v>
      </c>
      <c r="X47" s="675">
        <v>157.98274559999999</v>
      </c>
    </row>
    <row r="48" spans="17:25" ht="38.25" x14ac:dyDescent="0.2">
      <c r="Q48" s="746" t="s">
        <v>979</v>
      </c>
      <c r="R48" s="746" t="s">
        <v>1082</v>
      </c>
      <c r="S48" s="675" t="s">
        <v>1074</v>
      </c>
      <c r="T48" s="675">
        <f t="shared" si="3"/>
        <v>189.31853198224391</v>
      </c>
      <c r="U48" s="675">
        <f t="shared" si="3"/>
        <v>197.08059179351591</v>
      </c>
      <c r="V48" s="675">
        <f t="shared" si="3"/>
        <v>205.16089605705005</v>
      </c>
      <c r="W48" s="675">
        <f t="shared" si="3"/>
        <v>213.57249279538908</v>
      </c>
      <c r="X48" s="675">
        <v>222.32896500000001</v>
      </c>
    </row>
    <row r="49" spans="17:25" ht="12.75" x14ac:dyDescent="0.2">
      <c r="Q49" s="746" t="s">
        <v>982</v>
      </c>
      <c r="R49" s="746" t="s">
        <v>1059</v>
      </c>
      <c r="S49" s="675" t="s">
        <v>1075</v>
      </c>
      <c r="T49" s="675">
        <f t="shared" si="3"/>
        <v>6.7248860750774444</v>
      </c>
      <c r="U49" s="675">
        <f t="shared" si="3"/>
        <v>6.8593837965789932</v>
      </c>
      <c r="V49" s="675">
        <f t="shared" si="3"/>
        <v>6.9965714725105732</v>
      </c>
      <c r="W49" s="675">
        <f t="shared" si="3"/>
        <v>7.1365029019607844</v>
      </c>
      <c r="X49" s="675">
        <v>7.2792329599999999</v>
      </c>
    </row>
    <row r="50" spans="17:25" ht="25.5" x14ac:dyDescent="0.2">
      <c r="Q50" s="746" t="s">
        <v>696</v>
      </c>
      <c r="R50" s="746" t="s">
        <v>1058</v>
      </c>
      <c r="S50" s="675" t="s">
        <v>1073</v>
      </c>
      <c r="T50" s="675">
        <f t="shared" si="3"/>
        <v>0.96707072779417436</v>
      </c>
      <c r="U50" s="675">
        <f t="shared" si="3"/>
        <v>0.98641214235005781</v>
      </c>
      <c r="V50" s="675">
        <f t="shared" si="3"/>
        <v>1.006140385197059</v>
      </c>
      <c r="W50" s="675">
        <f t="shared" si="3"/>
        <v>1.0262631929010002</v>
      </c>
      <c r="X50" s="675">
        <v>1.0467884567590202</v>
      </c>
    </row>
    <row r="51" spans="17:25" ht="12.75" x14ac:dyDescent="0.2">
      <c r="Q51" s="746" t="s">
        <v>986</v>
      </c>
      <c r="R51" s="746" t="s">
        <v>1084</v>
      </c>
      <c r="S51" s="675" t="s">
        <v>51</v>
      </c>
      <c r="T51" s="675">
        <f t="shared" si="3"/>
        <v>38.345542150552475</v>
      </c>
      <c r="U51" s="675">
        <f t="shared" si="3"/>
        <v>38.537269861305234</v>
      </c>
      <c r="V51" s="675">
        <f t="shared" si="3"/>
        <v>38.729956210611753</v>
      </c>
      <c r="W51" s="675">
        <f t="shared" si="3"/>
        <v>38.923605991664807</v>
      </c>
      <c r="X51" s="675">
        <v>39.118224021623128</v>
      </c>
    </row>
    <row r="52" spans="17:25" ht="12.75" x14ac:dyDescent="0.2">
      <c r="Q52" s="746" t="s">
        <v>988</v>
      </c>
      <c r="R52" s="746" t="s">
        <v>1085</v>
      </c>
      <c r="S52" s="675" t="s">
        <v>1076</v>
      </c>
      <c r="T52" s="675">
        <f t="shared" si="3"/>
        <v>2.860362268324404E-2</v>
      </c>
      <c r="U52" s="675">
        <f t="shared" si="3"/>
        <v>2.8746640796660256E-2</v>
      </c>
      <c r="V52" s="675">
        <f t="shared" si="3"/>
        <v>2.8890374000643555E-2</v>
      </c>
      <c r="W52" s="675">
        <f t="shared" si="3"/>
        <v>2.903482587064677E-2</v>
      </c>
      <c r="X52" s="675">
        <v>2.9180000000000001E-2</v>
      </c>
    </row>
    <row r="53" spans="17:25" ht="51" x14ac:dyDescent="0.2">
      <c r="Q53" s="746" t="s">
        <v>990</v>
      </c>
      <c r="R53" s="746" t="s">
        <v>1086</v>
      </c>
      <c r="S53" s="675" t="s">
        <v>1075</v>
      </c>
      <c r="T53" s="675">
        <f t="shared" si="3"/>
        <v>53.008786416190091</v>
      </c>
      <c r="U53" s="675">
        <f t="shared" si="3"/>
        <v>53.273830348271034</v>
      </c>
      <c r="V53" s="675">
        <f t="shared" si="3"/>
        <v>53.540199500012385</v>
      </c>
      <c r="W53" s="675">
        <f t="shared" si="3"/>
        <v>53.807900497512442</v>
      </c>
      <c r="X53" s="675">
        <v>54.07694</v>
      </c>
    </row>
    <row r="54" spans="17:25" ht="12.75" x14ac:dyDescent="0.2">
      <c r="Q54" s="684" t="s">
        <v>991</v>
      </c>
      <c r="R54" s="684"/>
      <c r="S54" s="684"/>
      <c r="T54" s="684">
        <f>SUM(T45:T53)</f>
        <v>451.05439510683811</v>
      </c>
      <c r="U54" s="684">
        <f>SUM(U45:U53)</f>
        <v>462.56560414832603</v>
      </c>
      <c r="V54" s="684">
        <f>SUM(V45:V53)</f>
        <v>474.46203866627206</v>
      </c>
      <c r="W54" s="684">
        <f>SUM(W45:W53)</f>
        <v>486.75804055269816</v>
      </c>
      <c r="X54" s="684">
        <f>SUM(X45:X53)</f>
        <v>499.46851225977315</v>
      </c>
      <c r="Y54" s="675">
        <v>499.46851225977315</v>
      </c>
    </row>
    <row r="55" spans="17:25" ht="12.75" x14ac:dyDescent="0.2">
      <c r="Q55" s="675"/>
      <c r="R55" s="675"/>
      <c r="S55" s="675"/>
      <c r="T55" s="675"/>
      <c r="U55" s="675"/>
      <c r="V55" s="675"/>
      <c r="W55" s="675"/>
      <c r="X55" s="675"/>
    </row>
    <row r="56" spans="17:25" ht="12.75" x14ac:dyDescent="0.2">
      <c r="Q56" s="675" t="s">
        <v>1338</v>
      </c>
      <c r="R56" s="675"/>
      <c r="S56" s="675"/>
      <c r="T56" s="675"/>
      <c r="U56" s="675"/>
      <c r="V56" s="675"/>
      <c r="W56" s="675"/>
      <c r="X56" s="675"/>
    </row>
    <row r="57" spans="17:25" x14ac:dyDescent="0.25">
      <c r="Q57" s="675" t="s">
        <v>1289</v>
      </c>
    </row>
    <row r="58" spans="17:25" ht="12.75" x14ac:dyDescent="0.2">
      <c r="Q58" s="663" t="s">
        <v>966</v>
      </c>
      <c r="R58" s="663" t="s">
        <v>1062</v>
      </c>
      <c r="S58" s="663"/>
      <c r="T58" s="748">
        <v>2012</v>
      </c>
      <c r="U58" s="748">
        <v>2013</v>
      </c>
      <c r="V58" s="748">
        <v>2014</v>
      </c>
      <c r="W58" s="748">
        <v>2015</v>
      </c>
      <c r="X58" s="748">
        <v>2016</v>
      </c>
    </row>
    <row r="59" spans="17:25" ht="25.5" x14ac:dyDescent="0.2">
      <c r="Q59" s="745" t="s">
        <v>970</v>
      </c>
      <c r="R59" s="745" t="str">
        <f>R45</f>
        <v xml:space="preserve">… Various (mainly households) </v>
      </c>
      <c r="S59" s="745" t="s">
        <v>1291</v>
      </c>
      <c r="T59" s="746">
        <v>2</v>
      </c>
      <c r="U59" s="746">
        <v>2</v>
      </c>
      <c r="V59" s="746">
        <v>2</v>
      </c>
      <c r="W59" s="746">
        <v>2</v>
      </c>
      <c r="X59" s="746">
        <v>2</v>
      </c>
    </row>
    <row r="60" spans="17:25" ht="25.5" x14ac:dyDescent="0.2">
      <c r="Q60" s="746" t="s">
        <v>685</v>
      </c>
      <c r="R60" s="746" t="str">
        <f t="shared" ref="R60:R67" si="4">R46</f>
        <v>Section C - Manufacturing - 1079 - Manufacture of other food products n.e.c.</v>
      </c>
      <c r="S60" s="746" t="s">
        <v>1291</v>
      </c>
      <c r="T60" s="746">
        <v>1</v>
      </c>
      <c r="U60" s="746">
        <v>1</v>
      </c>
      <c r="V60" s="746">
        <v>1</v>
      </c>
      <c r="W60" s="746">
        <v>1</v>
      </c>
      <c r="X60" s="746">
        <v>1</v>
      </c>
    </row>
    <row r="61" spans="17:25" ht="25.5" x14ac:dyDescent="0.2">
      <c r="Q61" s="746" t="s">
        <v>975</v>
      </c>
      <c r="R61" s="746" t="str">
        <f t="shared" si="4"/>
        <v>3510 - Electric power generation, transmission and distribution</v>
      </c>
      <c r="S61" s="746" t="s">
        <v>1291</v>
      </c>
      <c r="T61" s="746">
        <v>2</v>
      </c>
      <c r="U61" s="746">
        <v>2</v>
      </c>
      <c r="V61" s="746">
        <v>2</v>
      </c>
      <c r="W61" s="746">
        <v>2</v>
      </c>
      <c r="X61" s="746">
        <v>2</v>
      </c>
    </row>
    <row r="62" spans="17:25" ht="38.25" x14ac:dyDescent="0.2">
      <c r="Q62" s="746" t="s">
        <v>979</v>
      </c>
      <c r="R62" s="746" t="str">
        <f t="shared" si="4"/>
        <v>Section A: 01 (Division) - Crop and animal production, hunting and related service activities</v>
      </c>
      <c r="S62" s="746" t="s">
        <v>1291</v>
      </c>
      <c r="T62" s="746">
        <v>4.0999999999999996</v>
      </c>
      <c r="U62" s="746">
        <v>4.0999999999999996</v>
      </c>
      <c r="V62" s="746">
        <v>4.0999999999999996</v>
      </c>
      <c r="W62" s="746">
        <v>4.0999999999999996</v>
      </c>
      <c r="X62" s="746">
        <v>4.0999999999999996</v>
      </c>
    </row>
    <row r="63" spans="17:25" ht="25.5" x14ac:dyDescent="0.2">
      <c r="Q63" s="746" t="s">
        <v>982</v>
      </c>
      <c r="R63" s="746" t="str">
        <f t="shared" si="4"/>
        <v>Section C - Manufacturing (Division 10 - 33)</v>
      </c>
      <c r="S63" s="746" t="s">
        <v>1291</v>
      </c>
      <c r="T63" s="746">
        <v>2</v>
      </c>
      <c r="U63" s="746">
        <v>2</v>
      </c>
      <c r="V63" s="746">
        <v>2</v>
      </c>
      <c r="W63" s="746">
        <v>2</v>
      </c>
      <c r="X63" s="746">
        <v>2</v>
      </c>
    </row>
    <row r="64" spans="17:25" ht="25.5" x14ac:dyDescent="0.2">
      <c r="Q64" s="746" t="s">
        <v>696</v>
      </c>
      <c r="R64" s="746" t="str">
        <f t="shared" si="4"/>
        <v>Section B - Mining and quarrying (Division 05 - 09)</v>
      </c>
      <c r="S64" s="746" t="s">
        <v>1291</v>
      </c>
      <c r="T64" s="746">
        <v>2</v>
      </c>
      <c r="U64" s="746">
        <v>2</v>
      </c>
      <c r="V64" s="746">
        <v>2</v>
      </c>
      <c r="W64" s="746">
        <v>2</v>
      </c>
      <c r="X64" s="746">
        <v>2</v>
      </c>
    </row>
    <row r="65" spans="17:24" ht="25.5" x14ac:dyDescent="0.2">
      <c r="Q65" s="746" t="s">
        <v>986</v>
      </c>
      <c r="R65" s="746" t="str">
        <f t="shared" si="4"/>
        <v xml:space="preserve">… Various (mainly household) </v>
      </c>
      <c r="S65" s="746" t="s">
        <v>1291</v>
      </c>
      <c r="T65" s="746">
        <v>0.5</v>
      </c>
      <c r="U65" s="746">
        <v>0.5</v>
      </c>
      <c r="V65" s="746">
        <v>0.5</v>
      </c>
      <c r="W65" s="746">
        <v>0.5</v>
      </c>
      <c r="X65" s="746">
        <v>0.5</v>
      </c>
    </row>
    <row r="66" spans="17:24" ht="25.5" x14ac:dyDescent="0.2">
      <c r="Q66" s="746" t="s">
        <v>988</v>
      </c>
      <c r="R66" s="746" t="str">
        <f t="shared" si="4"/>
        <v xml:space="preserve">… Various (mainly irrigation &amp; household) </v>
      </c>
      <c r="S66" s="746" t="s">
        <v>1291</v>
      </c>
      <c r="T66" s="746">
        <v>0.5</v>
      </c>
      <c r="U66" s="746">
        <v>0.5</v>
      </c>
      <c r="V66" s="746">
        <v>0.5</v>
      </c>
      <c r="W66" s="746">
        <v>0.5</v>
      </c>
      <c r="X66" s="746">
        <v>0.5</v>
      </c>
    </row>
    <row r="67" spans="17:24" ht="51" x14ac:dyDescent="0.2">
      <c r="Q67" s="746" t="s">
        <v>990</v>
      </c>
      <c r="R67" s="746" t="str">
        <f t="shared" si="4"/>
        <v>Section E
Water supply; sewerage, waste management etc - 36 (Division) - Water collection, treatment and supply</v>
      </c>
      <c r="S67" s="746" t="s">
        <v>1291</v>
      </c>
      <c r="T67" s="746">
        <v>0.5</v>
      </c>
      <c r="U67" s="746">
        <v>0.5</v>
      </c>
      <c r="V67" s="746">
        <v>0.5</v>
      </c>
      <c r="W67" s="746">
        <v>0.5</v>
      </c>
      <c r="X67" s="746">
        <v>0.5</v>
      </c>
    </row>
    <row r="68" spans="17:24" ht="12.75" x14ac:dyDescent="0.2">
      <c r="Q68" s="684" t="s">
        <v>991</v>
      </c>
      <c r="R68" s="684"/>
      <c r="S68" s="684"/>
      <c r="T68" s="684"/>
      <c r="U68" s="684"/>
      <c r="V68" s="684"/>
      <c r="W68" s="684"/>
      <c r="X68" s="684"/>
    </row>
    <row r="70" spans="17:24" ht="12.75" x14ac:dyDescent="0.2">
      <c r="R70" s="746" t="s">
        <v>1079</v>
      </c>
      <c r="T70" s="746"/>
      <c r="U70" s="746">
        <f>+(T47)*((100+U60)/100)</f>
        <v>147.41115328280708</v>
      </c>
      <c r="V70" s="746">
        <f>+(U47)*((100+V60)/100)</f>
        <v>150.35937634846323</v>
      </c>
      <c r="W70" s="746">
        <f>+(V47)*((100+W60)/100)</f>
        <v>153.36656387543249</v>
      </c>
      <c r="X70" s="746">
        <f>+(W47)*((100+X60)/100)</f>
        <v>156.43389515294115</v>
      </c>
    </row>
  </sheetData>
  <pageMargins left="0.51181102362204722" right="0.51181102362204722" top="0.74803149606299213" bottom="0.74803149606299213" header="0.31496062992125984" footer="0.31496062992125984"/>
  <pageSetup paperSize="9" scale="50" fitToWidth="2" fitToHeight="2" orientation="landscape" r:id="rId2"/>
  <headerFooter>
    <oddHeader>&amp;L&amp;F    &amp;&amp;&amp;A&amp;C&amp;D&amp;RPage &amp;P of &amp;N</oddHeader>
  </headerFooter>
  <rowBreaks count="1" manualBreakCount="1">
    <brk id="41" max="16383" man="1"/>
  </rowBreaks>
  <colBreaks count="1" manualBreakCount="1">
    <brk id="16" max="1048575" man="1"/>
  </colBreaks>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A1:V42"/>
  <sheetViews>
    <sheetView zoomScale="120" zoomScaleNormal="120" workbookViewId="0">
      <pane ySplit="4" topLeftCell="A5" activePane="bottomLeft" state="frozen"/>
      <selection activeCell="Q8" sqref="Q8"/>
      <selection pane="bottomLeft" activeCell="N10" sqref="N10"/>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5.42578125" customWidth="1"/>
    <col min="13" max="13" width="7.85546875" customWidth="1"/>
    <col min="14" max="14" width="9.85546875" customWidth="1"/>
    <col min="15" max="15" width="12.28515625" customWidth="1"/>
    <col min="16" max="16" width="11.85546875" customWidth="1"/>
    <col min="17" max="17" width="11.140625" customWidth="1"/>
    <col min="18" max="18" width="15.28515625" customWidth="1"/>
    <col min="19" max="21" width="8.85546875" customWidth="1"/>
    <col min="22" max="16384" width="9.140625" style="2"/>
  </cols>
  <sheetData>
    <row r="1" spans="1:22" x14ac:dyDescent="0.25">
      <c r="B1" s="66" t="s">
        <v>1674</v>
      </c>
      <c r="C1" s="3"/>
      <c r="D1" s="3"/>
      <c r="E1" s="3"/>
      <c r="F1" s="3"/>
      <c r="G1" s="3"/>
      <c r="H1"/>
      <c r="J1"/>
      <c r="K1"/>
    </row>
    <row r="2" spans="1:22" customFormat="1" ht="3.75" customHeight="1" thickBot="1" x14ac:dyDescent="0.3"/>
    <row r="3" spans="1:22" s="368" customFormat="1" ht="24.75" x14ac:dyDescent="0.25">
      <c r="A3" s="364"/>
      <c r="B3" s="34" t="s">
        <v>69</v>
      </c>
      <c r="C3" s="1726" t="s">
        <v>49</v>
      </c>
      <c r="D3" s="1727"/>
      <c r="E3" s="1728"/>
      <c r="F3" s="366" t="s">
        <v>50</v>
      </c>
      <c r="G3" s="367" t="s">
        <v>51</v>
      </c>
      <c r="H3" s="363" t="s">
        <v>3</v>
      </c>
      <c r="I3" s="439"/>
      <c r="J3" s="365" t="s">
        <v>70</v>
      </c>
      <c r="K3" s="363" t="s">
        <v>71</v>
      </c>
      <c r="L3" s="440"/>
      <c r="M3" s="364"/>
      <c r="N3" s="364"/>
      <c r="O3" s="364"/>
      <c r="P3" s="364"/>
      <c r="Q3" s="364"/>
      <c r="R3" s="364"/>
      <c r="S3" s="364"/>
      <c r="T3" s="364"/>
      <c r="U3" s="364"/>
      <c r="V3" s="6"/>
    </row>
    <row r="4" spans="1:22" s="368" customFormat="1" ht="18" customHeight="1" thickBot="1" x14ac:dyDescent="0.3">
      <c r="A4" s="364"/>
      <c r="B4" s="369"/>
      <c r="C4" s="370" t="s">
        <v>52</v>
      </c>
      <c r="D4" s="370" t="s">
        <v>68</v>
      </c>
      <c r="E4" s="370" t="s">
        <v>53</v>
      </c>
      <c r="F4" s="371"/>
      <c r="G4" s="370"/>
      <c r="H4" s="372"/>
      <c r="I4" s="439"/>
      <c r="J4" s="369"/>
      <c r="K4" s="372"/>
      <c r="L4" s="440"/>
      <c r="M4" s="364"/>
      <c r="N4" s="364"/>
      <c r="O4" s="364"/>
      <c r="P4" s="364"/>
      <c r="Q4" s="364"/>
      <c r="R4" s="364"/>
      <c r="S4" s="364"/>
      <c r="T4" s="364"/>
      <c r="U4" s="364"/>
      <c r="V4" s="6"/>
    </row>
    <row r="5" spans="1:22" x14ac:dyDescent="0.25">
      <c r="B5" s="43" t="s">
        <v>54</v>
      </c>
      <c r="C5" s="1067">
        <f>Asset_2012_Table!C24</f>
        <v>257690.00067217631</v>
      </c>
      <c r="D5" s="1067">
        <f>Asset_2012_Table!D24</f>
        <v>1264</v>
      </c>
      <c r="E5" s="1067">
        <f>Asset_2012_Table!E24</f>
        <v>62.613469534117641</v>
      </c>
      <c r="F5" s="1067">
        <f>Asset_2012_Table!F24</f>
        <v>3388.8607500000003</v>
      </c>
      <c r="G5" s="1067">
        <f>Asset_2012_Table!G24</f>
        <v>62127</v>
      </c>
      <c r="H5" s="388">
        <f>SUM(C5:G5)</f>
        <v>324532.47489171044</v>
      </c>
      <c r="I5" s="439"/>
      <c r="J5" s="63"/>
      <c r="K5" s="50"/>
      <c r="L5" s="439"/>
      <c r="V5" s="5"/>
    </row>
    <row r="6" spans="1:22" customFormat="1" ht="3" customHeight="1" thickBot="1" x14ac:dyDescent="0.3">
      <c r="B6" s="439"/>
      <c r="C6" s="445"/>
      <c r="D6" s="445"/>
      <c r="E6" s="445"/>
      <c r="F6" s="445"/>
      <c r="G6" s="445"/>
      <c r="H6" s="445"/>
      <c r="I6" s="439"/>
      <c r="J6" s="445"/>
      <c r="K6" s="445"/>
      <c r="L6" s="439"/>
    </row>
    <row r="7" spans="1:22" ht="15.75" thickBot="1" x14ac:dyDescent="0.3">
      <c r="B7" s="52" t="s">
        <v>55</v>
      </c>
      <c r="C7" s="105"/>
      <c r="D7" s="105"/>
      <c r="E7" s="105"/>
      <c r="F7" s="105"/>
      <c r="G7" s="105"/>
      <c r="H7" s="106"/>
      <c r="I7" s="439"/>
      <c r="J7" s="56"/>
      <c r="K7" s="57"/>
      <c r="L7" s="439"/>
      <c r="V7" s="4"/>
    </row>
    <row r="8" spans="1:22" x14ac:dyDescent="0.25">
      <c r="B8" s="51" t="s">
        <v>56</v>
      </c>
      <c r="C8" s="1068">
        <f>'W-Assets_Data&amp;Method_2013'!F8</f>
        <v>0.94265295033630991</v>
      </c>
      <c r="D8" s="1068">
        <f>'W-Assets_Data&amp;Method_2013'!F9</f>
        <v>329.92853261770841</v>
      </c>
      <c r="E8" s="1068">
        <f>'W-Assets_Data&amp;Method_2013'!F10</f>
        <v>0</v>
      </c>
      <c r="F8" s="1068">
        <f>'W-Assets_Data&amp;Method_2013'!F11</f>
        <v>139.27697341218976</v>
      </c>
      <c r="G8" s="1068">
        <f>'W-Assets_Data&amp;Method_2013'!F12</f>
        <v>1.1783161879203872</v>
      </c>
      <c r="H8" s="389">
        <f>SUM(C8:G8)</f>
        <v>471.32647516815484</v>
      </c>
      <c r="I8" s="439"/>
      <c r="J8" s="384"/>
      <c r="K8" s="385"/>
      <c r="L8" s="439"/>
      <c r="V8" s="4"/>
    </row>
    <row r="9" spans="1:22" x14ac:dyDescent="0.25">
      <c r="B9" s="44" t="s">
        <v>48</v>
      </c>
      <c r="C9" s="1068">
        <f>'W-Assets_Data&amp;Method_2013'!F13</f>
        <v>2104.766296537256</v>
      </c>
      <c r="D9" s="1068">
        <f>'W-Assets_Data&amp;Method_2013'!F14</f>
        <v>2622.9783359641219</v>
      </c>
      <c r="E9" s="1068">
        <f>'W-Assets_Data&amp;Method_2013'!F15</f>
        <v>106.58060866080261</v>
      </c>
      <c r="F9" s="1068">
        <f>'W-Assets_Data&amp;Method_2013'!F16</f>
        <v>27100.499758837814</v>
      </c>
      <c r="G9" s="254"/>
      <c r="H9" s="390">
        <f>SUM(C9:G9)</f>
        <v>31934.824999999993</v>
      </c>
      <c r="I9" s="439"/>
      <c r="J9" s="1072">
        <f>+(H9)</f>
        <v>31934.824999999993</v>
      </c>
      <c r="K9" s="1073">
        <f>+(H9)</f>
        <v>31934.824999999993</v>
      </c>
      <c r="L9" s="439"/>
      <c r="V9" s="4"/>
    </row>
    <row r="10" spans="1:22" x14ac:dyDescent="0.25">
      <c r="B10" s="45" t="s">
        <v>57</v>
      </c>
      <c r="C10" s="1068">
        <f>'W-Assets_Data&amp;Method_2013'!F18</f>
        <v>0</v>
      </c>
      <c r="D10" s="1069">
        <f>'W-Assets_Data&amp;Method_2013'!F19</f>
        <v>850.20267600000011</v>
      </c>
      <c r="E10" s="1068">
        <f>'W-Assets_Data&amp;Method_2013'!F20</f>
        <v>0</v>
      </c>
      <c r="F10" s="254"/>
      <c r="G10" s="1068">
        <f>'W-Assets_Data&amp;Method_2013'!F22</f>
        <v>0</v>
      </c>
      <c r="H10" s="390">
        <f>SUM(C10:G10)</f>
        <v>850.20267600000011</v>
      </c>
      <c r="I10" s="439"/>
      <c r="J10" s="386"/>
      <c r="K10" s="1073">
        <f>+(H10)</f>
        <v>850.20267600000011</v>
      </c>
      <c r="L10" s="556"/>
      <c r="M10" s="400">
        <f>+K10/K9</f>
        <v>2.6623057304995416E-2</v>
      </c>
      <c r="N10" s="400">
        <f>+H17/H10</f>
        <v>7.5738261286554609</v>
      </c>
      <c r="V10" s="4"/>
    </row>
    <row r="11" spans="1:22" x14ac:dyDescent="0.25">
      <c r="B11" s="44" t="s">
        <v>58</v>
      </c>
      <c r="C11" s="1068">
        <f>'W-Assets_Data&amp;Method_2013'!F23</f>
        <v>1636</v>
      </c>
      <c r="D11" s="1068">
        <f>'W-Assets_Data&amp;Method_2013'!F24</f>
        <v>4422.5199999999995</v>
      </c>
      <c r="E11" s="1070">
        <f>'W-Assets_Data&amp;Method_2013'!F25</f>
        <v>221.12599999999998</v>
      </c>
      <c r="F11" s="1070">
        <f>'W-Assets_Data&amp;Method_2013'!F26</f>
        <v>911.12000000000012</v>
      </c>
      <c r="G11" s="1070">
        <f>'W-Assets_Data&amp;Method_2013'!F27</f>
        <v>3644.4800000000005</v>
      </c>
      <c r="H11" s="390">
        <f>SUM(C11:G11)</f>
        <v>10835.245999999999</v>
      </c>
      <c r="I11" s="439"/>
      <c r="J11" s="386"/>
      <c r="K11" s="387"/>
      <c r="L11" s="439"/>
      <c r="V11" s="4"/>
    </row>
    <row r="12" spans="1:22" x14ac:dyDescent="0.25">
      <c r="B12" s="46" t="s">
        <v>59</v>
      </c>
      <c r="C12" s="391">
        <f>SUM(C8:C11)</f>
        <v>3741.7089494875922</v>
      </c>
      <c r="D12" s="391">
        <f>SUM(D8:D11)</f>
        <v>8225.6295445818287</v>
      </c>
      <c r="E12" s="391">
        <f>SUM(E8:E11)</f>
        <v>327.7066086608026</v>
      </c>
      <c r="F12" s="391">
        <f>SUM(F8:F11)</f>
        <v>28150.896732250003</v>
      </c>
      <c r="G12" s="391">
        <f>SUM(G8:G11)</f>
        <v>3645.6583161879207</v>
      </c>
      <c r="H12" s="390">
        <f>SUM(C12:G12)</f>
        <v>44091.600151168153</v>
      </c>
      <c r="I12" s="439"/>
      <c r="J12" s="351">
        <f>SUM(J8:J11)</f>
        <v>31934.824999999993</v>
      </c>
      <c r="K12" s="352">
        <f>SUM(K8:K11)</f>
        <v>32785.027675999991</v>
      </c>
      <c r="L12" s="439"/>
      <c r="V12" s="4"/>
    </row>
    <row r="13" spans="1:22" customFormat="1" ht="6" customHeight="1" thickBot="1" x14ac:dyDescent="0.3">
      <c r="B13" s="59"/>
      <c r="C13" s="103"/>
      <c r="D13" s="103"/>
      <c r="E13" s="103"/>
      <c r="F13" s="103"/>
      <c r="G13" s="103"/>
      <c r="H13" s="104"/>
      <c r="I13" s="439"/>
      <c r="J13" s="448"/>
      <c r="K13" s="449"/>
      <c r="L13" s="439"/>
    </row>
    <row r="14" spans="1:22" ht="15.75" thickBot="1" x14ac:dyDescent="0.3">
      <c r="B14" s="54" t="s">
        <v>60</v>
      </c>
      <c r="C14" s="114"/>
      <c r="D14" s="114"/>
      <c r="E14" s="114"/>
      <c r="F14" s="114"/>
      <c r="G14" s="114"/>
      <c r="H14" s="115"/>
      <c r="I14" s="439"/>
      <c r="J14" s="450"/>
      <c r="K14" s="115"/>
      <c r="L14" s="439"/>
      <c r="V14" s="4"/>
    </row>
    <row r="15" spans="1:22" x14ac:dyDescent="0.25">
      <c r="B15" s="53" t="s">
        <v>61</v>
      </c>
      <c r="C15" s="1068">
        <f>'W-Assets_Data&amp;Method_2013'!F28</f>
        <v>18.835641425546115</v>
      </c>
      <c r="D15" s="1068">
        <f>'W-Assets_Data&amp;Method_2013'!F29</f>
        <v>321.90305852285195</v>
      </c>
      <c r="E15" s="1068">
        <f>'W-Assets_Data&amp;Method_2013'!F30</f>
        <v>268.7105794894012</v>
      </c>
      <c r="F15" s="1068">
        <f>'W-Assets_Data&amp;Method_2013'!F31</f>
        <v>0</v>
      </c>
      <c r="G15" s="1068">
        <f>'W-Assets_Data&amp;Method_2013'!F32</f>
        <v>63.874256516707881</v>
      </c>
      <c r="H15" s="395">
        <f t="shared" ref="H15:H20" si="0">SUM(C15:G15)</f>
        <v>673.32353595450718</v>
      </c>
      <c r="I15" s="439"/>
      <c r="J15" s="1074"/>
      <c r="K15" s="1075"/>
      <c r="L15" s="439"/>
      <c r="M15" t="s">
        <v>628</v>
      </c>
      <c r="O15" s="401">
        <f>H15</f>
        <v>673.32353595450718</v>
      </c>
      <c r="P15" s="402">
        <f>+(O15*1000000)/J29</f>
        <v>64.232242233088712</v>
      </c>
      <c r="Q15" t="s">
        <v>626</v>
      </c>
      <c r="V15" s="4"/>
    </row>
    <row r="16" spans="1:22" x14ac:dyDescent="0.25">
      <c r="B16" s="48" t="s">
        <v>1718</v>
      </c>
      <c r="C16" s="1068">
        <f>'W-Assets_Data&amp;Method_2013'!F33</f>
        <v>1400.9385338818297</v>
      </c>
      <c r="D16" s="1068">
        <f>'W-Assets_Data&amp;Method_2013'!F34</f>
        <v>55.818756</v>
      </c>
      <c r="E16" s="1068">
        <f>'W-Assets_Data&amp;Method_2013'!F35</f>
        <v>16.815535662600585</v>
      </c>
      <c r="F16" s="1068">
        <f>'W-Assets_Data&amp;Method_2013'!F36</f>
        <v>20982.20597445557</v>
      </c>
      <c r="G16" s="254"/>
      <c r="H16" s="390">
        <f t="shared" si="0"/>
        <v>22455.7788</v>
      </c>
      <c r="I16" s="439"/>
      <c r="J16" s="1072">
        <f>+(H16)</f>
        <v>22455.7788</v>
      </c>
      <c r="K16" s="1073">
        <f>+(H16)</f>
        <v>22455.7788</v>
      </c>
      <c r="L16" s="439"/>
      <c r="M16" t="s">
        <v>627</v>
      </c>
      <c r="O16">
        <v>500</v>
      </c>
      <c r="P16" s="402">
        <f>+(O16*1000000)/J29</f>
        <v>47.697903610359262</v>
      </c>
      <c r="Q16" t="s">
        <v>626</v>
      </c>
      <c r="V16" s="4"/>
    </row>
    <row r="17" spans="2:22" x14ac:dyDescent="0.25">
      <c r="B17" s="48" t="s">
        <v>65</v>
      </c>
      <c r="C17" s="254"/>
      <c r="D17" s="1068">
        <f>'W-Assets_Data&amp;Method_2013'!F39</f>
        <v>6439.2872421415941</v>
      </c>
      <c r="E17" s="1068">
        <f>'W-Assets_Data&amp;Method_2013'!F40</f>
        <v>0</v>
      </c>
      <c r="F17" s="254"/>
      <c r="G17" s="1068">
        <f>'W-Assets_Data&amp;Method_2013'!F42</f>
        <v>0</v>
      </c>
      <c r="H17" s="396">
        <f t="shared" si="0"/>
        <v>6439.2872421415941</v>
      </c>
      <c r="I17" s="439"/>
      <c r="J17" s="451"/>
      <c r="K17" s="452"/>
      <c r="L17" s="439"/>
      <c r="V17" s="4"/>
    </row>
    <row r="18" spans="2:22" x14ac:dyDescent="0.25">
      <c r="B18" s="48" t="s">
        <v>66</v>
      </c>
      <c r="C18" s="254"/>
      <c r="D18" s="1068">
        <f>'W-Assets_Data&amp;Method_2013'!F44</f>
        <v>0</v>
      </c>
      <c r="E18" s="1068">
        <f>'W-Assets_Data&amp;Method_2013'!F45</f>
        <v>0</v>
      </c>
      <c r="F18" s="254"/>
      <c r="G18" s="1068">
        <f>'W-Assets_Data&amp;Method_2013'!F47</f>
        <v>0</v>
      </c>
      <c r="H18" s="396">
        <f t="shared" si="0"/>
        <v>0</v>
      </c>
      <c r="I18" s="439"/>
      <c r="J18" s="451"/>
      <c r="K18" s="452"/>
      <c r="L18" s="439"/>
      <c r="N18" s="425" t="s">
        <v>1369</v>
      </c>
      <c r="O18" s="3"/>
      <c r="P18" s="3"/>
      <c r="Q18" s="2"/>
      <c r="S18" s="4"/>
      <c r="V18" s="4"/>
    </row>
    <row r="19" spans="2:22" x14ac:dyDescent="0.25">
      <c r="B19" s="48" t="s">
        <v>67</v>
      </c>
      <c r="C19" s="1068">
        <f>'W-Assets_Data&amp;Method_2013'!F48</f>
        <v>2763.6277332239551</v>
      </c>
      <c r="D19" s="1068">
        <f>'W-Assets_Data&amp;Method_2013'!F49</f>
        <v>1857.126</v>
      </c>
      <c r="E19" s="1068">
        <f>'W-Assets_Data&amp;Method_2013'!F50</f>
        <v>131.08264346432105</v>
      </c>
      <c r="F19" s="1068">
        <f>'W-Assets_Data&amp;Method_2013'!F51</f>
        <v>7614.7468921911222</v>
      </c>
      <c r="G19" s="1068">
        <f>'W-Assets_Data&amp;Method_2013'!F52</f>
        <v>3399.8873800000001</v>
      </c>
      <c r="H19" s="396">
        <f t="shared" si="0"/>
        <v>15766.4706488794</v>
      </c>
      <c r="I19" s="439"/>
      <c r="J19" s="451"/>
      <c r="K19" s="452"/>
      <c r="L19" s="439"/>
      <c r="N19" s="426" t="s">
        <v>1370</v>
      </c>
      <c r="O19" s="426" t="s">
        <v>661</v>
      </c>
      <c r="P19" s="427">
        <f>12742*26338</f>
        <v>335598796</v>
      </c>
      <c r="Q19" s="2" t="s">
        <v>1377</v>
      </c>
      <c r="R19" t="s">
        <v>1365</v>
      </c>
      <c r="S19" s="4"/>
      <c r="V19" s="4"/>
    </row>
    <row r="20" spans="2:22" ht="15.75" thickBot="1" x14ac:dyDescent="0.3">
      <c r="B20" s="47" t="s">
        <v>63</v>
      </c>
      <c r="C20" s="397">
        <f>SUM(C15:C19)</f>
        <v>4183.4019085313312</v>
      </c>
      <c r="D20" s="397">
        <f>SUM(D15:D19)</f>
        <v>8674.1350566644451</v>
      </c>
      <c r="E20" s="397">
        <f>SUM(E15:E19)</f>
        <v>416.60875861632286</v>
      </c>
      <c r="F20" s="397">
        <f>SUM(F15:F19)</f>
        <v>28596.952866646694</v>
      </c>
      <c r="G20" s="397">
        <f>SUM(G15:G19)</f>
        <v>3463.7616365167082</v>
      </c>
      <c r="H20" s="396">
        <f t="shared" si="0"/>
        <v>45334.860226975499</v>
      </c>
      <c r="I20" s="439"/>
      <c r="J20" s="1076">
        <f>SUM(J15:J19)</f>
        <v>22455.7788</v>
      </c>
      <c r="K20" s="1077">
        <f>SUM(K15:K19)</f>
        <v>22455.7788</v>
      </c>
      <c r="L20" s="439"/>
      <c r="N20" s="3" t="s">
        <v>1371</v>
      </c>
      <c r="O20" s="3" t="s">
        <v>665</v>
      </c>
      <c r="P20" s="3"/>
      <c r="Q20" s="2" t="s">
        <v>1376</v>
      </c>
      <c r="S20" s="4"/>
      <c r="V20" s="4"/>
    </row>
    <row r="21" spans="2:22" customFormat="1" ht="3" customHeight="1" x14ac:dyDescent="0.25">
      <c r="B21" s="439"/>
      <c r="C21" s="445"/>
      <c r="D21" s="445"/>
      <c r="E21" s="445"/>
      <c r="F21" s="445"/>
      <c r="G21" s="445"/>
      <c r="H21" s="445"/>
      <c r="I21" s="439"/>
      <c r="J21" s="445"/>
      <c r="K21" s="445"/>
      <c r="L21" s="439"/>
      <c r="N21">
        <v>1.2124999999999999</v>
      </c>
    </row>
    <row r="22" spans="2:22" x14ac:dyDescent="0.25">
      <c r="B22" s="69" t="s">
        <v>72</v>
      </c>
      <c r="C22" s="398">
        <f>-SUM(C5,C12,-C20,-C24)</f>
        <v>0</v>
      </c>
      <c r="D22" s="398">
        <f>-SUM(D5,D12,-D20,-D24)</f>
        <v>448.50551208261641</v>
      </c>
      <c r="E22" s="398">
        <f>-SUM(E5,E12,-E20,-E24)</f>
        <v>94.347889320226145</v>
      </c>
      <c r="F22" s="398">
        <f>-SUM(F5,F12,-F20,-F24)</f>
        <v>446.0561343966915</v>
      </c>
      <c r="G22" s="398">
        <f>-SUM(G5,G12,-G20,-G24)</f>
        <v>-181.89667967121932</v>
      </c>
      <c r="H22" s="399">
        <f>SUM(C22:G22)</f>
        <v>807.01285612831475</v>
      </c>
      <c r="I22" s="439"/>
      <c r="J22" s="1078"/>
      <c r="K22" s="1078"/>
      <c r="L22" s="439"/>
      <c r="N22" s="3">
        <v>1.2124999999999999</v>
      </c>
      <c r="O22" s="331">
        <v>26338000000</v>
      </c>
      <c r="P22" s="331">
        <f>N22*O22</f>
        <v>31934824999.999996</v>
      </c>
      <c r="Q22" s="2">
        <v>0.85270000000000001</v>
      </c>
      <c r="R22" s="433">
        <f>Q22*O22</f>
        <v>22458412600</v>
      </c>
      <c r="S22" s="4"/>
      <c r="V22" s="4"/>
    </row>
    <row r="23" spans="2:22" customFormat="1" ht="3" customHeight="1" x14ac:dyDescent="0.25">
      <c r="B23" s="59"/>
      <c r="C23" s="103"/>
      <c r="D23" s="103"/>
      <c r="E23" s="103"/>
      <c r="F23" s="103"/>
      <c r="G23" s="103"/>
      <c r="H23" s="104"/>
      <c r="I23" s="439"/>
      <c r="J23" s="1078"/>
      <c r="K23" s="1078"/>
      <c r="L23" s="439"/>
      <c r="N23" s="3"/>
      <c r="O23" s="3"/>
      <c r="P23" s="3"/>
      <c r="Q23" s="2"/>
      <c r="R23" s="187"/>
      <c r="S23" s="4"/>
    </row>
    <row r="24" spans="2:22" ht="15.75" thickBot="1" x14ac:dyDescent="0.3">
      <c r="B24" s="49" t="s">
        <v>64</v>
      </c>
      <c r="C24" s="650">
        <f>C5+(Lakes!F68/1000000)</f>
        <v>257248.30771313258</v>
      </c>
      <c r="D24" s="405">
        <f>D5+(0)</f>
        <v>1264</v>
      </c>
      <c r="E24" s="1071">
        <f>'W-Assets_Data&amp;Method_2013'!F55</f>
        <v>68.059208898823542</v>
      </c>
      <c r="F24" s="736">
        <f>F5*(100%)</f>
        <v>3388.8607500000003</v>
      </c>
      <c r="G24" s="737">
        <f>G5+(0)</f>
        <v>62127</v>
      </c>
      <c r="H24" s="405">
        <f>SUM(C24:G24)</f>
        <v>324096.22767203138</v>
      </c>
      <c r="I24" s="439"/>
      <c r="J24" s="1078"/>
      <c r="K24" s="1078"/>
      <c r="L24" s="439"/>
      <c r="N24" s="428">
        <f>+P22/1000000</f>
        <v>31934.824999999997</v>
      </c>
      <c r="O24" s="423" t="s">
        <v>189</v>
      </c>
      <c r="P24" s="3"/>
      <c r="Q24" s="429">
        <f>R22/1000000</f>
        <v>22458.4126</v>
      </c>
      <c r="S24" s="4"/>
      <c r="V24" s="5"/>
    </row>
    <row r="25" spans="2:22" ht="15.75" thickBot="1" x14ac:dyDescent="0.3">
      <c r="B25" s="8"/>
      <c r="C25" s="9"/>
      <c r="D25" s="9"/>
      <c r="E25" s="649"/>
      <c r="F25" s="9"/>
      <c r="G25" s="9"/>
      <c r="H25" s="9"/>
      <c r="I25" s="439"/>
      <c r="J25" s="441"/>
      <c r="K25" s="441"/>
      <c r="L25" s="439"/>
      <c r="N25" s="430">
        <f>N24/1000</f>
        <v>31.934824999999996</v>
      </c>
      <c r="O25" s="430" t="s">
        <v>190</v>
      </c>
      <c r="P25" s="370" t="s">
        <v>52</v>
      </c>
      <c r="Q25" s="2"/>
      <c r="R25" s="187"/>
      <c r="S25" s="4"/>
      <c r="V25" s="5"/>
    </row>
    <row r="26" spans="2:22" ht="15" customHeight="1" thickBot="1" x14ac:dyDescent="0.3">
      <c r="B26" s="557" t="s">
        <v>1315</v>
      </c>
      <c r="C26" s="557">
        <f t="shared" ref="C26:H26" si="1">(C5+C12)-C20</f>
        <v>257248.30771313258</v>
      </c>
      <c r="D26" s="557">
        <f t="shared" si="1"/>
        <v>815.49448791738359</v>
      </c>
      <c r="E26" s="557">
        <f t="shared" si="1"/>
        <v>-26.288680421402603</v>
      </c>
      <c r="F26" s="557">
        <f t="shared" si="1"/>
        <v>2942.8046156033088</v>
      </c>
      <c r="G26" s="557">
        <f t="shared" si="1"/>
        <v>62308.896679671219</v>
      </c>
      <c r="H26" s="557">
        <f t="shared" si="1"/>
        <v>323289.21481590311</v>
      </c>
      <c r="I26" s="439"/>
      <c r="J26" s="326" t="s">
        <v>607</v>
      </c>
      <c r="K26" s="327" t="s">
        <v>608</v>
      </c>
      <c r="L26" s="439"/>
      <c r="M26" s="431" t="s">
        <v>667</v>
      </c>
      <c r="O26" s="3"/>
      <c r="P26" s="370" t="s">
        <v>68</v>
      </c>
      <c r="Q26" s="2"/>
      <c r="S26" s="4"/>
    </row>
    <row r="27" spans="2:22" ht="17.25" thickBot="1" x14ac:dyDescent="0.3">
      <c r="B27" s="441"/>
      <c r="C27" s="441"/>
      <c r="D27" s="441"/>
      <c r="E27" s="441"/>
      <c r="F27" s="441"/>
      <c r="G27" s="441"/>
      <c r="H27" s="441"/>
      <c r="I27" s="439"/>
      <c r="J27" s="403">
        <f>SUM(J12,-J20)</f>
        <v>9479.0461999999934</v>
      </c>
      <c r="K27" s="442"/>
      <c r="L27" s="439"/>
      <c r="N27" s="431"/>
      <c r="O27" s="432"/>
      <c r="P27" s="370" t="s">
        <v>53</v>
      </c>
      <c r="Q27" s="2"/>
      <c r="S27" s="4"/>
    </row>
    <row r="28" spans="2:22" ht="15.75" thickBot="1" x14ac:dyDescent="0.3">
      <c r="B28" s="441"/>
      <c r="C28" s="721"/>
      <c r="D28" s="441"/>
      <c r="E28" s="441"/>
      <c r="F28" s="441"/>
      <c r="G28" s="441"/>
      <c r="H28" s="441"/>
      <c r="I28" s="439"/>
      <c r="J28" s="325"/>
      <c r="K28" s="404">
        <f>SUM(K12,-K20)</f>
        <v>10329.248875999991</v>
      </c>
      <c r="L28" s="439"/>
      <c r="N28" s="431"/>
      <c r="O28" s="3"/>
      <c r="P28" s="366" t="s">
        <v>50</v>
      </c>
      <c r="Q28" s="2"/>
      <c r="S28" s="4"/>
    </row>
    <row r="29" spans="2:22" x14ac:dyDescent="0.25">
      <c r="B29" s="441"/>
      <c r="C29" s="441"/>
      <c r="D29" s="441"/>
      <c r="E29" s="441"/>
      <c r="F29" s="441"/>
      <c r="G29" s="441"/>
      <c r="H29" s="441"/>
      <c r="I29" s="439"/>
      <c r="J29" s="329">
        <v>10482641</v>
      </c>
      <c r="K29" s="441" t="s">
        <v>609</v>
      </c>
      <c r="L29" s="439"/>
      <c r="P29" s="367" t="s">
        <v>51</v>
      </c>
    </row>
    <row r="30" spans="2:22" x14ac:dyDescent="0.25">
      <c r="B30" s="441"/>
      <c r="C30" s="441"/>
      <c r="D30" s="441"/>
      <c r="E30" s="441"/>
      <c r="F30" s="441"/>
      <c r="G30" s="441"/>
      <c r="H30" s="441"/>
      <c r="I30" s="439"/>
      <c r="J30" s="330">
        <v>10.978053282017299</v>
      </c>
      <c r="K30" s="441" t="s">
        <v>1356</v>
      </c>
      <c r="L30" s="439"/>
    </row>
    <row r="31" spans="2:22" x14ac:dyDescent="0.25">
      <c r="B31" s="441"/>
      <c r="C31" s="441"/>
      <c r="D31" s="441"/>
      <c r="E31" s="441"/>
      <c r="F31" s="441"/>
      <c r="G31" s="441"/>
      <c r="H31" s="441"/>
      <c r="I31" s="439"/>
      <c r="J31" s="443">
        <f>+(J27/J30)</f>
        <v>863.45419870818375</v>
      </c>
      <c r="K31" s="444"/>
      <c r="L31" s="445" t="s">
        <v>613</v>
      </c>
      <c r="M31" s="331"/>
    </row>
    <row r="32" spans="2:22" x14ac:dyDescent="0.25">
      <c r="B32" s="441"/>
      <c r="C32" s="441"/>
      <c r="D32" s="441"/>
      <c r="E32" s="441"/>
      <c r="F32" s="441"/>
      <c r="G32" s="441"/>
      <c r="H32" s="441"/>
      <c r="I32" s="439"/>
      <c r="J32" s="444"/>
      <c r="K32" s="443">
        <f>+(K28/J30)</f>
        <v>940.8998672760963</v>
      </c>
      <c r="L32" s="445" t="s">
        <v>614</v>
      </c>
      <c r="N32" s="316"/>
    </row>
    <row r="33" spans="2:14" x14ac:dyDescent="0.25">
      <c r="B33" s="441"/>
      <c r="C33" s="441"/>
      <c r="D33" s="441"/>
      <c r="E33" s="441"/>
      <c r="F33" s="441"/>
      <c r="G33" s="441"/>
      <c r="H33" s="441"/>
      <c r="I33" s="439"/>
      <c r="J33" s="441"/>
      <c r="K33" s="446">
        <f>H39</f>
        <v>197.10177401924591</v>
      </c>
      <c r="L33" s="445" t="s">
        <v>611</v>
      </c>
      <c r="M33" s="328"/>
      <c r="N33" s="316"/>
    </row>
    <row r="34" spans="2:14" x14ac:dyDescent="0.25">
      <c r="B34" s="441"/>
      <c r="C34" s="441"/>
      <c r="D34" s="441"/>
      <c r="E34" s="441"/>
      <c r="F34" s="441"/>
      <c r="G34" s="441"/>
      <c r="H34" s="441"/>
      <c r="I34" s="439"/>
      <c r="J34" s="441"/>
      <c r="K34" s="447">
        <f>+(K33/K28)</f>
        <v>1.9081907734570309E-2</v>
      </c>
      <c r="L34" s="445" t="s">
        <v>612</v>
      </c>
      <c r="M34" s="316"/>
    </row>
    <row r="35" spans="2:14" x14ac:dyDescent="0.25">
      <c r="F35" s="422"/>
    </row>
    <row r="36" spans="2:14" x14ac:dyDescent="0.25">
      <c r="E36" s="179"/>
      <c r="F36" s="564">
        <v>499468512</v>
      </c>
      <c r="G36" t="s">
        <v>659</v>
      </c>
      <c r="I36" s="2"/>
      <c r="J36"/>
      <c r="K36"/>
    </row>
    <row r="37" spans="2:14" x14ac:dyDescent="0.25">
      <c r="E37" s="192"/>
      <c r="G37"/>
      <c r="I37" s="2"/>
      <c r="J37"/>
      <c r="K37"/>
      <c r="L37" t="s">
        <v>658</v>
      </c>
    </row>
    <row r="38" spans="2:14" x14ac:dyDescent="0.25">
      <c r="G38" s="2">
        <v>2012</v>
      </c>
      <c r="H38" s="334">
        <v>151.61674924557377</v>
      </c>
      <c r="K38"/>
      <c r="L38" s="316">
        <f>H38/(F$36/1000000)</f>
        <v>0.30355617141601465</v>
      </c>
    </row>
    <row r="39" spans="2:14" x14ac:dyDescent="0.25">
      <c r="G39" s="2">
        <v>2013</v>
      </c>
      <c r="H39" s="334">
        <v>197.10177401924591</v>
      </c>
      <c r="K39"/>
      <c r="L39" s="316">
        <f>H39/(F$36/1000000)</f>
        <v>0.39462302284081907</v>
      </c>
    </row>
    <row r="40" spans="2:14" x14ac:dyDescent="0.25">
      <c r="G40" s="2">
        <v>2014</v>
      </c>
      <c r="H40" s="334">
        <v>256.23230622501967</v>
      </c>
      <c r="K40"/>
      <c r="L40" s="316">
        <f>H40/(F$36/1000000)</f>
        <v>0.5130099296930648</v>
      </c>
    </row>
    <row r="41" spans="2:14" x14ac:dyDescent="0.25">
      <c r="G41" s="2">
        <v>2015</v>
      </c>
      <c r="H41" s="334">
        <v>333.10199809252555</v>
      </c>
      <c r="K41"/>
      <c r="L41" s="316">
        <f>H41/(F$36/1000000)</f>
        <v>0.66691290860098418</v>
      </c>
    </row>
    <row r="42" spans="2:14" x14ac:dyDescent="0.25">
      <c r="G42" s="2">
        <v>2016</v>
      </c>
      <c r="H42">
        <v>499.46851199999998</v>
      </c>
      <c r="I42" s="2">
        <v>2016</v>
      </c>
      <c r="K42"/>
      <c r="L42" s="1053">
        <f>H42/(F$36/1000000)</f>
        <v>1</v>
      </c>
    </row>
  </sheetData>
  <mergeCells count="1">
    <mergeCell ref="C3:E3"/>
  </mergeCells>
  <hyperlinks>
    <hyperlink ref="C9" location="'W-Assets_Data&amp;Method_2013'!F13" display="'W-Assets_Data&amp;Method_2013'!F13"/>
    <hyperlink ref="D9" location="'W-Assets_Data&amp;Method_2013'!F14" display="'W-Assets_Data&amp;Method_2013'!F14"/>
    <hyperlink ref="E9" location="'W-Assets_Data&amp;Method_2013'!F15" display="'W-Assets_Data&amp;Method_2013'!F15"/>
    <hyperlink ref="F9" location="'W-Assets_Data&amp;Method_2013'!F16" display="'W-Assets_Data&amp;Method_2013'!F16"/>
    <hyperlink ref="C10" location="'W-Assets_Data&amp;Method_2013'!F18" display="'W-Assets_Data&amp;Method_2013'!F18"/>
    <hyperlink ref="D10" location="'W-Assets_Data&amp;Method_2013'!F19" display="'W-Assets_Data&amp;Method_2013'!F19"/>
    <hyperlink ref="E10" location="'W-Assets_Data&amp;Method_2013'!F20" display="'W-Assets_Data&amp;Method_2013'!F20"/>
    <hyperlink ref="G10" location="'W-Assets_Data&amp;Method_2013'!F22" display="'W-Assets_Data&amp;Method_2013'!F22"/>
    <hyperlink ref="C11" location="'W-Assets_Data&amp;Method_2013'!F23" display="'W-Assets_Data&amp;Method_2013'!F23"/>
    <hyperlink ref="D11" location="'W-Assets_Data&amp;Method_2013'!F24" display="'W-Assets_Data&amp;Method_2013'!F24"/>
    <hyperlink ref="E11" location="'W-Assets_Data&amp;Method_2013'!F25" display="'W-Assets_Data&amp;Method_2013'!F25"/>
    <hyperlink ref="F11" location="'W-Assets_Data&amp;Method_2013'!F26" display="'W-Assets_Data&amp;Method_2013'!F26"/>
    <hyperlink ref="G11" location="'W-Assets_Data&amp;Method_2013'!F27" display="'W-Assets_Data&amp;Method_2013'!F27"/>
    <hyperlink ref="D17" location="'W-Assets_Data&amp;Method_2013'!F39" display="'W-Assets_Data&amp;Method_2013'!F39"/>
    <hyperlink ref="E17" location="'W-Assets_Data&amp;Method_2013'!F40" display="'W-Assets_Data&amp;Method_2013'!F40"/>
    <hyperlink ref="G17" location="'W-Assets_Data&amp;Method_2013'!F42" display="'W-Assets_Data&amp;Method_2013'!F42"/>
    <hyperlink ref="D18" location="'W-Assets_Data&amp;Method_2013'!F44" display="'W-Assets_Data&amp;Method_2013'!F44"/>
    <hyperlink ref="E18" location="'W-Assets_Data&amp;Method_2013'!F45" display="'W-Assets_Data&amp;Method_2013'!F45"/>
    <hyperlink ref="G18" location="'W-Assets_Data&amp;Method_2013'!F47" display="'W-Assets_Data&amp;Method_2013'!F47"/>
    <hyperlink ref="C19" location="'W-Assets_Data&amp;Method_2013'!F48" display="'W-Assets_Data&amp;Method_2013'!F48"/>
    <hyperlink ref="D19" location="'W-Assets_Data&amp;Method_2013'!F49" display="'W-Assets_Data&amp;Method_2013'!F49"/>
    <hyperlink ref="E19" location="'W-Assets_Data&amp;Method_2013'!F50" display="'W-Assets_Data&amp;Method_2013'!F50"/>
    <hyperlink ref="F19" location="'W-Assets_Data&amp;Method_2013'!F51" display="'W-Assets_Data&amp;Method_2013'!F51"/>
    <hyperlink ref="G19" location="'W-Assets_Data&amp;Method_2013'!F52" display="'W-Assets_Data&amp;Method_2013'!F52"/>
    <hyperlink ref="C5" location="'W-Assets_Data&amp;Method_2013'!F3" display="'W-Assets_Data&amp;Method_2013'!F3"/>
    <hyperlink ref="D5" location="'W-Assets_Data&amp;Method_2013'!F4" display="'W-Assets_Data&amp;Method_2013'!F4"/>
    <hyperlink ref="E5" location="'W-Assets_Data&amp;Method_2013'!F5" display="'W-Assets_Data&amp;Method_2013'!F5"/>
    <hyperlink ref="F5" location="'W-Assets_Data&amp;Method_2013'!F6" display="'W-Assets_Data&amp;Method_2013'!F6"/>
    <hyperlink ref="G5" location="'W-Assets_Data&amp;Method_2013'!F7" display="'W-Assets_Data&amp;Method_2013'!F7"/>
    <hyperlink ref="C8" location="'W-Assets_Data&amp;Method_2013'!F8" display="'W-Assets_Data&amp;Method_2013'!F8"/>
    <hyperlink ref="D8" location="'W-Assets_Data&amp;Method_2013'!F9" display="'W-Assets_Data&amp;Method_2013'!F9"/>
    <hyperlink ref="E8" location="'W-Assets_Data&amp;Method_2013'!F10" display="'W-Assets_Data&amp;Method_2013'!F10"/>
    <hyperlink ref="F8" location="'W-Assets_Data&amp;Method_2013'!F11" display="'W-Assets_Data&amp;Method_2013'!F11"/>
    <hyperlink ref="G8" location="'W-Assets_Data&amp;Method_2013'!F12" display="'W-Assets_Data&amp;Method_2013'!F12"/>
    <hyperlink ref="C15" location="'W-Assets_Data&amp;Method_2013'!F28" display="'W-Assets_Data&amp;Method_2013'!F28"/>
    <hyperlink ref="F15" location="'W-Assets_Data&amp;Method_2013'!F31" display="'W-Assets_Data&amp;Method_2013'!F31"/>
    <hyperlink ref="E15" location="'W-Assets_Data&amp;Method_2013'!F30" display="'W-Assets_Data&amp;Method_2013'!F30"/>
    <hyperlink ref="D15" location="'W-Assets_Data&amp;Method_2013'!F29" display="'W-Assets_Data&amp;Method_2013'!F29"/>
    <hyperlink ref="G15" location="'W-Assets_Data&amp;Method_2013'!F32" display="'W-Assets_Data&amp;Method_2013'!F32"/>
    <hyperlink ref="C16" location="'W-Assets_Data&amp;Method_2013'!F33" display="'W-Assets_Data&amp;Method_2013'!F33"/>
    <hyperlink ref="D16" location="'W-Assets_Data&amp;Method_2013'!F34" display="'W-Assets_Data&amp;Method_2013'!F34"/>
    <hyperlink ref="E16" location="'W-Assets_Data&amp;Method_2013'!F35" display="'W-Assets_Data&amp;Method_2013'!F35"/>
    <hyperlink ref="F16" location="'W-Assets_Data&amp;Method_2013'!F36" display="'W-Assets_Data&amp;Method_2013'!F36"/>
    <hyperlink ref="J9" location="'W-Assets_Data&amp;Method_2013'!F58" display="'W-Assets_Data&amp;Method_2013'!F58"/>
    <hyperlink ref="J16" location="'W-Assets_Data&amp;Method_2013'!F59" display="'W-Assets_Data&amp;Method_2013'!F59"/>
    <hyperlink ref="K9" location="'W-Assets_Data&amp;Method_2013'!F58" display="'W-Assets_Data&amp;Method_2013'!F58"/>
    <hyperlink ref="K10" location="'W-Assets_Data&amp;Method_2013'!F61" display="'W-Assets_Data&amp;Method_2013'!F61"/>
    <hyperlink ref="K16" location="'W-Assets_Data&amp;Method_2013'!F59" display="'W-Assets_Data&amp;Method_2013'!F59"/>
    <hyperlink ref="J27" location="'W-Assets_Data&amp;Method_2012'!F60" display="'W-Assets_Data&amp;Method_2012'!F60"/>
    <hyperlink ref="K28" location="'W-Assets_Data&amp;Method_2012'!F62" display="'W-Assets_Data&amp;Method_2012'!F62"/>
    <hyperlink ref="F24" location="'W-Assets_Data&amp;Method_2012'!F56" display="'W-Assets_Data&amp;Method_2012'!F56"/>
    <hyperlink ref="G24" location="'W-Assets_Data&amp;Method_2012'!F57" display="'W-Assets_Data&amp;Method_2012'!F57"/>
    <hyperlink ref="E24" location="'W-Assets_Data&amp;Method_2013'!F55" display="'W-Assets_Data&amp;Method_2013'!F55"/>
    <hyperlink ref="C24" location="'W-Assets_Data&amp;Method_2012'!F53" display="'W-Assets_Data&amp;Method_2012'!F53"/>
  </hyperlinks>
  <pageMargins left="0.51181102362204722" right="0.51181102362204722" top="0.74803149606299213" bottom="0.74803149606299213" header="0.31496062992125984" footer="0.31496062992125984"/>
  <pageSetup paperSize="9" scale="69" orientation="landscape" r:id="rId1"/>
  <headerFooter>
    <oddHeader>&amp;L&amp;F    &amp;&amp;&amp;A&amp;C&amp;D&amp;RPage &amp;P of &amp;N</oddHead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B1:I62"/>
  <sheetViews>
    <sheetView workbookViewId="0">
      <pane ySplit="2" topLeftCell="A36" activePane="bottomLeft" state="frozen"/>
      <selection activeCell="Q8" sqref="Q8"/>
      <selection pane="bottomLeft" activeCell="E36" sqref="E36"/>
    </sheetView>
  </sheetViews>
  <sheetFormatPr defaultRowHeight="15" x14ac:dyDescent="0.25"/>
  <cols>
    <col min="1" max="1" width="1.7109375" customWidth="1"/>
    <col min="2" max="2" width="12.140625" customWidth="1"/>
    <col min="3" max="3" width="1.42578125" customWidth="1"/>
    <col min="4" max="4" width="3.5703125" bestFit="1" customWidth="1"/>
    <col min="5" max="5" width="71.7109375" bestFit="1" customWidth="1"/>
    <col min="6" max="6" width="13.5703125" bestFit="1" customWidth="1"/>
    <col min="7" max="7" width="15" customWidth="1"/>
    <col min="8" max="8" width="9.5703125" bestFit="1" customWidth="1"/>
    <col min="9" max="9" width="112.85546875" customWidth="1"/>
    <col min="10" max="10" width="10.140625" customWidth="1"/>
  </cols>
  <sheetData>
    <row r="1" spans="2:9" ht="6.75" customHeight="1" thickBot="1" x14ac:dyDescent="0.3"/>
    <row r="2" spans="2:9" ht="45.75" thickBot="1" x14ac:dyDescent="0.3">
      <c r="B2" s="14" t="s">
        <v>77</v>
      </c>
      <c r="D2" s="28" t="s">
        <v>73</v>
      </c>
      <c r="E2" s="11" t="s">
        <v>133</v>
      </c>
      <c r="F2" s="12" t="s">
        <v>440</v>
      </c>
      <c r="G2" s="12" t="s">
        <v>134</v>
      </c>
      <c r="H2" s="12" t="s">
        <v>135</v>
      </c>
      <c r="I2" s="13" t="s">
        <v>467</v>
      </c>
    </row>
    <row r="3" spans="2:9" ht="409.5" x14ac:dyDescent="0.25">
      <c r="B3" s="1729" t="s">
        <v>74</v>
      </c>
      <c r="D3" s="29">
        <v>1</v>
      </c>
      <c r="E3" s="20" t="s">
        <v>80</v>
      </c>
      <c r="F3" s="462">
        <f>Lakes!N61/1000000</f>
        <v>258131.69363122003</v>
      </c>
      <c r="G3" s="20" t="s">
        <v>168</v>
      </c>
      <c r="H3" s="20">
        <v>2012</v>
      </c>
      <c r="I3" s="21" t="s">
        <v>707</v>
      </c>
    </row>
    <row r="4" spans="2:9" ht="25.5" customHeight="1" x14ac:dyDescent="0.25">
      <c r="B4" s="1730"/>
      <c r="D4" s="30">
        <v>2</v>
      </c>
      <c r="E4" s="18" t="s">
        <v>81</v>
      </c>
      <c r="F4" s="454">
        <f>Rivers!D4</f>
        <v>1264</v>
      </c>
      <c r="G4" s="18" t="s">
        <v>168</v>
      </c>
      <c r="H4" s="18">
        <v>2012</v>
      </c>
      <c r="I4" s="19" t="s">
        <v>738</v>
      </c>
    </row>
    <row r="5" spans="2:9" ht="300" x14ac:dyDescent="0.25">
      <c r="B5" s="1730"/>
      <c r="D5" s="30">
        <v>3</v>
      </c>
      <c r="E5" s="18" t="s">
        <v>82</v>
      </c>
      <c r="F5" s="454">
        <f>Artificial_reserv!R112</f>
        <v>62.613469534117641</v>
      </c>
      <c r="G5" s="18" t="s">
        <v>168</v>
      </c>
      <c r="H5" s="18">
        <v>2016</v>
      </c>
      <c r="I5" s="19" t="s">
        <v>945</v>
      </c>
    </row>
    <row r="6" spans="2:9" ht="195" x14ac:dyDescent="0.25">
      <c r="B6" s="1730"/>
      <c r="D6" s="30">
        <v>4</v>
      </c>
      <c r="E6" s="18" t="s">
        <v>83</v>
      </c>
      <c r="F6" s="454">
        <f>'GW&amp;SOILW_2012'!A58</f>
        <v>3388.8607500000003</v>
      </c>
      <c r="G6" s="175" t="s">
        <v>169</v>
      </c>
      <c r="H6" s="18">
        <v>2012</v>
      </c>
      <c r="I6" s="19" t="s">
        <v>165</v>
      </c>
    </row>
    <row r="7" spans="2:9" ht="225.75" thickBot="1" x14ac:dyDescent="0.3">
      <c r="B7" s="1731"/>
      <c r="D7" s="31">
        <v>5</v>
      </c>
      <c r="E7" s="22" t="s">
        <v>84</v>
      </c>
      <c r="F7" s="455">
        <f>'GW&amp;SOILW_2012'!A75</f>
        <v>62127</v>
      </c>
      <c r="G7" s="22" t="s">
        <v>168</v>
      </c>
      <c r="H7" s="22">
        <v>2012</v>
      </c>
      <c r="I7" s="23" t="s">
        <v>708</v>
      </c>
    </row>
    <row r="8" spans="2:9" ht="45.75" thickBot="1" x14ac:dyDescent="0.3">
      <c r="B8" s="1732" t="s">
        <v>78</v>
      </c>
      <c r="D8" s="32">
        <v>6</v>
      </c>
      <c r="E8" s="560" t="s">
        <v>85</v>
      </c>
      <c r="F8" s="461">
        <f>(SUM(PSUT_2013!AA12:'PSUT_2013'!AA16)/1000)*(70%*0.2%)</f>
        <v>0.94265295033630991</v>
      </c>
      <c r="G8" s="560"/>
      <c r="H8" s="560">
        <v>2012</v>
      </c>
      <c r="I8" s="562" t="s">
        <v>732</v>
      </c>
    </row>
    <row r="9" spans="2:9" ht="63" customHeight="1" thickBot="1" x14ac:dyDescent="0.3">
      <c r="B9" s="1733"/>
      <c r="D9" s="30">
        <v>7</v>
      </c>
      <c r="E9" s="10" t="s">
        <v>86</v>
      </c>
      <c r="F9" s="461">
        <f>(SUM(PSUT_2013!AA12:'PSUT_2013'!AA16)/1000)*(70%*70%)</f>
        <v>329.92853261770841</v>
      </c>
      <c r="G9" s="10"/>
      <c r="H9" s="10">
        <v>2012</v>
      </c>
      <c r="I9" s="16" t="s">
        <v>736</v>
      </c>
    </row>
    <row r="10" spans="2:9" ht="30.75" thickBot="1" x14ac:dyDescent="0.3">
      <c r="B10" s="1733"/>
      <c r="D10" s="30">
        <v>8</v>
      </c>
      <c r="E10" s="10" t="s">
        <v>87</v>
      </c>
      <c r="F10" s="461">
        <f>(SUM(PSUT_2013!AA12:'PSUT_2013'!AA16)/1000)*(70%*0%)</f>
        <v>0</v>
      </c>
      <c r="G10" s="10"/>
      <c r="H10" s="10">
        <v>2012</v>
      </c>
      <c r="I10" s="16" t="s">
        <v>733</v>
      </c>
    </row>
    <row r="11" spans="2:9" ht="65.25" customHeight="1" thickBot="1" x14ac:dyDescent="0.3">
      <c r="B11" s="1733"/>
      <c r="D11" s="30">
        <v>9</v>
      </c>
      <c r="E11" s="10" t="s">
        <v>88</v>
      </c>
      <c r="F11" s="461">
        <f>(SUM(PSUT_2013!AA12:'PSUT_2013'!AA16)/1000)*(70%*29.55%)</f>
        <v>139.27697341218976</v>
      </c>
      <c r="G11" s="10"/>
      <c r="H11" s="10">
        <v>2012</v>
      </c>
      <c r="I11" s="16" t="s">
        <v>737</v>
      </c>
    </row>
    <row r="12" spans="2:9" ht="30.75" thickBot="1" x14ac:dyDescent="0.3">
      <c r="B12" s="1733"/>
      <c r="D12" s="31">
        <v>10</v>
      </c>
      <c r="E12" s="15" t="s">
        <v>89</v>
      </c>
      <c r="F12" s="461">
        <f>(SUM(PSUT_2013!AA12:'PSUT_2013'!AA16)/1000)*(70%*0.25%)</f>
        <v>1.1783161879203872</v>
      </c>
      <c r="G12" s="15"/>
      <c r="H12" s="15">
        <v>2012</v>
      </c>
      <c r="I12" s="17" t="s">
        <v>734</v>
      </c>
    </row>
    <row r="13" spans="2:9" ht="150" x14ac:dyDescent="0.25">
      <c r="B13" s="1733"/>
      <c r="D13" s="29">
        <v>11</v>
      </c>
      <c r="E13" s="20" t="s">
        <v>90</v>
      </c>
      <c r="F13" s="459">
        <f>+('Prec&amp;ET2012'!E100/1000000)</f>
        <v>2104.766296537256</v>
      </c>
      <c r="G13" s="20"/>
      <c r="H13" s="20"/>
      <c r="I13" s="21" t="s">
        <v>501</v>
      </c>
    </row>
    <row r="14" spans="2:9" ht="90" x14ac:dyDescent="0.25">
      <c r="B14" s="1733"/>
      <c r="D14" s="30">
        <v>12</v>
      </c>
      <c r="E14" s="18" t="s">
        <v>91</v>
      </c>
      <c r="F14" s="459">
        <f>+('Prec&amp;ET2012'!E101/1000000)</f>
        <v>2622.9783359641219</v>
      </c>
      <c r="G14" s="18"/>
      <c r="H14" s="18"/>
      <c r="I14" s="253" t="s">
        <v>499</v>
      </c>
    </row>
    <row r="15" spans="2:9" ht="115.5" customHeight="1" x14ac:dyDescent="0.25">
      <c r="B15" s="1733"/>
      <c r="D15" s="30">
        <v>13</v>
      </c>
      <c r="E15" s="18" t="s">
        <v>92</v>
      </c>
      <c r="F15" s="459">
        <f>+('Prec&amp;ET2012'!E102/1000000)</f>
        <v>106.58060866080261</v>
      </c>
      <c r="G15" s="18"/>
      <c r="H15" s="18"/>
      <c r="I15" s="19" t="s">
        <v>500</v>
      </c>
    </row>
    <row r="16" spans="2:9" ht="150" x14ac:dyDescent="0.25">
      <c r="B16" s="1733"/>
      <c r="D16" s="30">
        <v>14</v>
      </c>
      <c r="E16" s="18" t="s">
        <v>93</v>
      </c>
      <c r="F16" s="459">
        <f>('Prec&amp;ET2012'!D107/1000000)</f>
        <v>27100.499758837814</v>
      </c>
      <c r="G16" s="18"/>
      <c r="H16" s="18"/>
      <c r="I16" s="19" t="s">
        <v>504</v>
      </c>
    </row>
    <row r="17" spans="2:9" ht="30.75" thickBot="1" x14ac:dyDescent="0.3">
      <c r="B17" s="1733"/>
      <c r="D17" s="31">
        <v>15</v>
      </c>
      <c r="E17" s="22" t="s">
        <v>94</v>
      </c>
      <c r="F17" s="340"/>
      <c r="G17" s="341"/>
      <c r="H17" s="341"/>
      <c r="I17" s="23" t="s">
        <v>381</v>
      </c>
    </row>
    <row r="18" spans="2:9" ht="210" x14ac:dyDescent="0.25">
      <c r="B18" s="1733"/>
      <c r="D18" s="29">
        <v>16</v>
      </c>
      <c r="E18" s="24" t="s">
        <v>95</v>
      </c>
      <c r="F18" s="125"/>
      <c r="G18" s="24"/>
      <c r="H18" s="24"/>
      <c r="I18" s="25" t="s">
        <v>709</v>
      </c>
    </row>
    <row r="19" spans="2:9" ht="135" x14ac:dyDescent="0.25">
      <c r="B19" s="1733"/>
      <c r="D19" s="30">
        <v>17</v>
      </c>
      <c r="E19" s="10" t="s">
        <v>96</v>
      </c>
      <c r="F19" s="460">
        <f>(Inflow!C10)</f>
        <v>850.20267600000011</v>
      </c>
      <c r="G19" s="10"/>
      <c r="H19" s="10">
        <v>2012</v>
      </c>
      <c r="I19" s="16" t="s">
        <v>652</v>
      </c>
    </row>
    <row r="20" spans="2:9" x14ac:dyDescent="0.25">
      <c r="B20" s="1733"/>
      <c r="D20" s="30">
        <v>18</v>
      </c>
      <c r="E20" s="10" t="s">
        <v>97</v>
      </c>
      <c r="F20" s="126"/>
      <c r="G20" s="10"/>
      <c r="H20" s="10"/>
      <c r="I20" s="16"/>
    </row>
    <row r="21" spans="2:9" x14ac:dyDescent="0.25">
      <c r="B21" s="1733"/>
      <c r="D21" s="30">
        <v>19</v>
      </c>
      <c r="E21" s="10" t="s">
        <v>98</v>
      </c>
      <c r="F21" s="339"/>
      <c r="G21" s="342"/>
      <c r="H21" s="342"/>
      <c r="I21" s="16"/>
    </row>
    <row r="22" spans="2:9" ht="15.75" thickBot="1" x14ac:dyDescent="0.3">
      <c r="B22" s="1733"/>
      <c r="D22" s="31">
        <v>20</v>
      </c>
      <c r="E22" s="15" t="s">
        <v>99</v>
      </c>
      <c r="F22" s="127"/>
      <c r="G22" s="15"/>
      <c r="H22" s="15"/>
      <c r="I22" s="17"/>
    </row>
    <row r="23" spans="2:9" ht="270" x14ac:dyDescent="0.25">
      <c r="B23" s="1733"/>
      <c r="D23" s="29">
        <v>21</v>
      </c>
      <c r="E23" s="20" t="s">
        <v>927</v>
      </c>
      <c r="F23" s="559">
        <v>1636</v>
      </c>
      <c r="G23" s="20"/>
      <c r="H23" s="20"/>
      <c r="I23" s="21" t="s">
        <v>1039</v>
      </c>
    </row>
    <row r="24" spans="2:9" ht="90" x14ac:dyDescent="0.25">
      <c r="B24" s="1733"/>
      <c r="D24" s="30">
        <v>22</v>
      </c>
      <c r="E24" s="18" t="s">
        <v>100</v>
      </c>
      <c r="F24" s="454">
        <f>(('2012NWRMP'!J34)*70%)+(F23*70%)+(221*40%)</f>
        <v>4422.5199999999995</v>
      </c>
      <c r="G24" s="18"/>
      <c r="H24" s="18"/>
      <c r="I24" s="19" t="s">
        <v>1069</v>
      </c>
    </row>
    <row r="25" spans="2:9" ht="54.75" customHeight="1" x14ac:dyDescent="0.25">
      <c r="B25" s="1733"/>
      <c r="D25" s="30">
        <v>23</v>
      </c>
      <c r="E25" s="18" t="s">
        <v>101</v>
      </c>
      <c r="F25" s="454">
        <f>F24*5%</f>
        <v>221.12599999999998</v>
      </c>
      <c r="G25" s="18"/>
      <c r="H25" s="18"/>
      <c r="I25" s="19" t="s">
        <v>1045</v>
      </c>
    </row>
    <row r="26" spans="2:9" ht="409.5" x14ac:dyDescent="0.25">
      <c r="B26" s="1733"/>
      <c r="D26" s="30">
        <v>24</v>
      </c>
      <c r="E26" s="18" t="s">
        <v>102</v>
      </c>
      <c r="F26" s="454">
        <f>('2012NWRMP'!J34)*20%</f>
        <v>911.12000000000012</v>
      </c>
      <c r="G26" s="18"/>
      <c r="H26" s="18"/>
      <c r="I26" s="19" t="s">
        <v>741</v>
      </c>
    </row>
    <row r="27" spans="2:9" ht="45.75" thickBot="1" x14ac:dyDescent="0.3">
      <c r="B27" s="1734"/>
      <c r="D27" s="31">
        <v>25</v>
      </c>
      <c r="E27" s="22" t="s">
        <v>103</v>
      </c>
      <c r="F27" s="455">
        <f>('2012NWRMP'!J34)*80%</f>
        <v>3644.4800000000005</v>
      </c>
      <c r="G27" s="22"/>
      <c r="H27" s="22"/>
      <c r="I27" s="23" t="s">
        <v>742</v>
      </c>
    </row>
    <row r="28" spans="2:9" ht="60" x14ac:dyDescent="0.25">
      <c r="B28" s="1729" t="s">
        <v>79</v>
      </c>
      <c r="D28" s="29">
        <v>26</v>
      </c>
      <c r="E28" s="24" t="s">
        <v>104</v>
      </c>
      <c r="F28" s="1087">
        <f>SUM(PSUT_2013!AA12)/1000</f>
        <v>18.835641425546115</v>
      </c>
      <c r="G28" s="24"/>
      <c r="H28" s="24">
        <v>2012</v>
      </c>
      <c r="I28" s="25" t="s">
        <v>575</v>
      </c>
    </row>
    <row r="29" spans="2:9" ht="75" x14ac:dyDescent="0.25">
      <c r="B29" s="1730"/>
      <c r="D29" s="30">
        <v>27</v>
      </c>
      <c r="E29" s="10" t="s">
        <v>105</v>
      </c>
      <c r="F29" s="457">
        <f>SUM(PSUT_2013!AA13)/1000</f>
        <v>321.90305852285195</v>
      </c>
      <c r="G29" s="10"/>
      <c r="H29" s="10">
        <v>2012</v>
      </c>
      <c r="I29" s="16" t="s">
        <v>576</v>
      </c>
    </row>
    <row r="30" spans="2:9" x14ac:dyDescent="0.25">
      <c r="B30" s="1730"/>
      <c r="D30" s="30">
        <v>28</v>
      </c>
      <c r="E30" s="10" t="s">
        <v>106</v>
      </c>
      <c r="F30" s="747">
        <f>SUM(PSUT_2013!AA14,PSUT_2013!AA15)/1000</f>
        <v>268.7105794894012</v>
      </c>
      <c r="G30" s="10"/>
      <c r="H30" s="10">
        <v>2012</v>
      </c>
      <c r="I30" s="16" t="s">
        <v>166</v>
      </c>
    </row>
    <row r="31" spans="2:9" x14ac:dyDescent="0.25">
      <c r="B31" s="1730"/>
      <c r="D31" s="30">
        <v>29</v>
      </c>
      <c r="E31" s="10" t="s">
        <v>107</v>
      </c>
      <c r="F31" s="456"/>
      <c r="G31" s="10"/>
      <c r="H31" s="10"/>
      <c r="I31" s="16" t="s">
        <v>167</v>
      </c>
    </row>
    <row r="32" spans="2:9" ht="15.75" thickBot="1" x14ac:dyDescent="0.3">
      <c r="B32" s="1730"/>
      <c r="D32" s="31">
        <v>30</v>
      </c>
      <c r="E32" s="15" t="s">
        <v>108</v>
      </c>
      <c r="F32" s="1052">
        <f>SUM(PSUT_2013!AA16)/1000</f>
        <v>63.874256516707881</v>
      </c>
      <c r="G32" s="15"/>
      <c r="H32" s="15">
        <v>2012</v>
      </c>
      <c r="I32" s="17" t="s">
        <v>460</v>
      </c>
    </row>
    <row r="33" spans="2:9" ht="60.75" thickBot="1" x14ac:dyDescent="0.3">
      <c r="B33" s="1730"/>
      <c r="D33" s="29">
        <v>31</v>
      </c>
      <c r="E33" s="20" t="s">
        <v>109</v>
      </c>
      <c r="F33" s="1052">
        <f>+('Prec&amp;ET2012'!E124)/1000000</f>
        <v>1400.9385338818297</v>
      </c>
      <c r="G33" s="20"/>
      <c r="H33" s="20">
        <v>2012</v>
      </c>
      <c r="I33" s="21" t="s">
        <v>394</v>
      </c>
    </row>
    <row r="34" spans="2:9" ht="30.75" thickBot="1" x14ac:dyDescent="0.3">
      <c r="B34" s="1730"/>
      <c r="D34" s="30">
        <v>32</v>
      </c>
      <c r="E34" s="18" t="s">
        <v>110</v>
      </c>
      <c r="F34" s="1052">
        <f>+('Prec&amp;ET2012'!E125)/1000000</f>
        <v>55.818756</v>
      </c>
      <c r="G34" s="18"/>
      <c r="H34" s="18">
        <v>2012</v>
      </c>
      <c r="I34" s="19" t="s">
        <v>395</v>
      </c>
    </row>
    <row r="35" spans="2:9" ht="33" customHeight="1" thickBot="1" x14ac:dyDescent="0.3">
      <c r="B35" s="1730"/>
      <c r="D35" s="30">
        <v>33</v>
      </c>
      <c r="E35" s="18" t="s">
        <v>111</v>
      </c>
      <c r="F35" s="1052">
        <f>+('Prec&amp;ET2012'!E126)/1000000</f>
        <v>16.815535662600585</v>
      </c>
      <c r="G35" s="18"/>
      <c r="H35" s="18">
        <v>2012</v>
      </c>
      <c r="I35" s="19" t="s">
        <v>396</v>
      </c>
    </row>
    <row r="36" spans="2:9" ht="180.75" thickBot="1" x14ac:dyDescent="0.3">
      <c r="B36" s="1730"/>
      <c r="D36" s="30">
        <v>34</v>
      </c>
      <c r="E36" s="18" t="s">
        <v>1719</v>
      </c>
      <c r="F36" s="1052">
        <f>+('Prec&amp;ET2012'!E128)/1000000</f>
        <v>20982.20597445557</v>
      </c>
      <c r="G36" s="18"/>
      <c r="H36" s="18">
        <v>2012</v>
      </c>
      <c r="I36" s="19" t="s">
        <v>606</v>
      </c>
    </row>
    <row r="37" spans="2:9" ht="15.75" thickBot="1" x14ac:dyDescent="0.3">
      <c r="B37" s="1730"/>
      <c r="D37" s="31">
        <v>35</v>
      </c>
      <c r="E37" s="22" t="s">
        <v>112</v>
      </c>
      <c r="F37" s="340"/>
      <c r="G37" s="341"/>
      <c r="H37" s="341"/>
      <c r="I37" s="17"/>
    </row>
    <row r="38" spans="2:9" ht="150" x14ac:dyDescent="0.25">
      <c r="B38" s="1730"/>
      <c r="D38" s="29">
        <v>36</v>
      </c>
      <c r="E38" s="24" t="s">
        <v>113</v>
      </c>
      <c r="F38" s="345">
        <v>0</v>
      </c>
      <c r="G38" s="346"/>
      <c r="H38" s="346"/>
      <c r="I38" s="25" t="s">
        <v>651</v>
      </c>
    </row>
    <row r="39" spans="2:9" ht="180" x14ac:dyDescent="0.25">
      <c r="B39" s="1730"/>
      <c r="D39" s="30">
        <v>37</v>
      </c>
      <c r="E39" s="10" t="s">
        <v>114</v>
      </c>
      <c r="F39" s="460">
        <f>+(Outflow!H14)</f>
        <v>6439.2872421415941</v>
      </c>
      <c r="G39" s="10"/>
      <c r="H39" s="10">
        <v>2012</v>
      </c>
      <c r="I39" s="16" t="s">
        <v>1065</v>
      </c>
    </row>
    <row r="40" spans="2:9" x14ac:dyDescent="0.25">
      <c r="B40" s="1730"/>
      <c r="D40" s="30">
        <v>38</v>
      </c>
      <c r="E40" s="10" t="s">
        <v>115</v>
      </c>
      <c r="F40" s="126"/>
      <c r="G40" s="10"/>
      <c r="H40" s="10"/>
      <c r="I40" s="16"/>
    </row>
    <row r="41" spans="2:9" x14ac:dyDescent="0.25">
      <c r="B41" s="1730"/>
      <c r="D41" s="30">
        <v>39</v>
      </c>
      <c r="E41" s="10" t="s">
        <v>116</v>
      </c>
      <c r="F41" s="343"/>
      <c r="G41" s="344"/>
      <c r="H41" s="344"/>
      <c r="I41" s="16"/>
    </row>
    <row r="42" spans="2:9" ht="15.75" thickBot="1" x14ac:dyDescent="0.3">
      <c r="B42" s="1730"/>
      <c r="D42" s="31">
        <v>40</v>
      </c>
      <c r="E42" s="15" t="s">
        <v>117</v>
      </c>
      <c r="F42" s="127"/>
      <c r="G42" s="15"/>
      <c r="H42" s="15"/>
      <c r="I42" s="17"/>
    </row>
    <row r="43" spans="2:9" x14ac:dyDescent="0.25">
      <c r="B43" s="1730"/>
      <c r="D43" s="29">
        <v>41</v>
      </c>
      <c r="E43" s="20" t="s">
        <v>118</v>
      </c>
      <c r="F43" s="345"/>
      <c r="G43" s="346"/>
      <c r="H43" s="346"/>
      <c r="I43" s="21"/>
    </row>
    <row r="44" spans="2:9" x14ac:dyDescent="0.25">
      <c r="B44" s="1730"/>
      <c r="D44" s="30">
        <v>42</v>
      </c>
      <c r="E44" s="18" t="s">
        <v>119</v>
      </c>
      <c r="F44" s="128"/>
      <c r="G44" s="18"/>
      <c r="H44" s="18"/>
      <c r="I44" s="19" t="s">
        <v>673</v>
      </c>
    </row>
    <row r="45" spans="2:9" x14ac:dyDescent="0.25">
      <c r="B45" s="1730"/>
      <c r="D45" s="30">
        <v>43</v>
      </c>
      <c r="E45" s="18" t="s">
        <v>120</v>
      </c>
      <c r="F45" s="128"/>
      <c r="G45" s="18"/>
      <c r="H45" s="18"/>
      <c r="I45" s="19" t="s">
        <v>673</v>
      </c>
    </row>
    <row r="46" spans="2:9" x14ac:dyDescent="0.25">
      <c r="B46" s="1730"/>
      <c r="D46" s="30">
        <v>44</v>
      </c>
      <c r="E46" s="18" t="s">
        <v>121</v>
      </c>
      <c r="F46" s="343"/>
      <c r="G46" s="344"/>
      <c r="H46" s="344"/>
      <c r="I46" s="19"/>
    </row>
    <row r="47" spans="2:9" ht="15.75" thickBot="1" x14ac:dyDescent="0.3">
      <c r="B47" s="1730"/>
      <c r="D47" s="31">
        <v>45</v>
      </c>
      <c r="E47" s="22" t="s">
        <v>122</v>
      </c>
      <c r="F47" s="129"/>
      <c r="G47" s="22"/>
      <c r="H47" s="22"/>
      <c r="I47" s="19" t="s">
        <v>673</v>
      </c>
    </row>
    <row r="48" spans="2:9" ht="195" x14ac:dyDescent="0.25">
      <c r="B48" s="1730"/>
      <c r="D48" s="29">
        <v>46</v>
      </c>
      <c r="E48" s="24" t="s">
        <v>123</v>
      </c>
      <c r="F48" s="457">
        <f>SUM(Asset_2013_Table!C5,Asset_2013_Table!C12)-SUM(Asset_2013_Table!C24,Asset_2013_Table!C15,Asset_2013_Table!C16)</f>
        <v>2763.6277332239551</v>
      </c>
      <c r="G48" s="24"/>
      <c r="H48" s="24"/>
      <c r="I48" s="25" t="s">
        <v>1064</v>
      </c>
    </row>
    <row r="49" spans="2:9" ht="45" x14ac:dyDescent="0.25">
      <c r="B49" s="1730"/>
      <c r="D49" s="30">
        <v>47</v>
      </c>
      <c r="E49" s="10" t="s">
        <v>124</v>
      </c>
      <c r="F49" s="563">
        <f>F23+F25</f>
        <v>1857.126</v>
      </c>
      <c r="G49" s="10"/>
      <c r="H49" s="10"/>
      <c r="I49" s="558" t="s">
        <v>740</v>
      </c>
    </row>
    <row r="50" spans="2:9" ht="141" customHeight="1" x14ac:dyDescent="0.25">
      <c r="B50" s="1730"/>
      <c r="D50" s="30">
        <v>48</v>
      </c>
      <c r="E50" s="10" t="s">
        <v>125</v>
      </c>
      <c r="F50" s="457">
        <f>(F25+F15)*40%</f>
        <v>131.08264346432105</v>
      </c>
      <c r="G50" s="10"/>
      <c r="H50" s="10"/>
      <c r="I50" s="16" t="s">
        <v>1046</v>
      </c>
    </row>
    <row r="51" spans="2:9" ht="180" x14ac:dyDescent="0.25">
      <c r="B51" s="1730"/>
      <c r="D51" s="30">
        <v>49</v>
      </c>
      <c r="E51" s="10" t="s">
        <v>126</v>
      </c>
      <c r="F51" s="747">
        <f>('2012NWRMP'!J34)+((Asset_2013_Table!F9-Asset_2013_Table!F16)*50%)</f>
        <v>7614.7468921911222</v>
      </c>
      <c r="G51" s="10"/>
      <c r="H51" s="10"/>
      <c r="I51" s="16" t="s">
        <v>1071</v>
      </c>
    </row>
    <row r="52" spans="2:9" ht="63" customHeight="1" thickBot="1" x14ac:dyDescent="0.3">
      <c r="B52" s="1731"/>
      <c r="D52" s="31">
        <v>50</v>
      </c>
      <c r="E52" s="15" t="s">
        <v>127</v>
      </c>
      <c r="F52" s="458">
        <f>(('2012NWRMP'!J34))*70%+'GW&amp;SOILW_2012'!A73*2%</f>
        <v>3399.8873800000001</v>
      </c>
      <c r="G52" s="15"/>
      <c r="H52" s="15"/>
      <c r="I52" s="17" t="s">
        <v>739</v>
      </c>
    </row>
    <row r="53" spans="2:9" ht="30" x14ac:dyDescent="0.25">
      <c r="B53" s="1732" t="s">
        <v>136</v>
      </c>
      <c r="D53" s="29">
        <v>51</v>
      </c>
      <c r="E53" s="20" t="s">
        <v>128</v>
      </c>
      <c r="F53" s="732">
        <f>F3+(Lakes!F68/1000000)</f>
        <v>257690.00067217631</v>
      </c>
      <c r="G53" s="20"/>
      <c r="H53" s="20"/>
      <c r="I53" s="21" t="s">
        <v>946</v>
      </c>
    </row>
    <row r="54" spans="2:9" x14ac:dyDescent="0.25">
      <c r="B54" s="1733"/>
      <c r="D54" s="30">
        <v>52</v>
      </c>
      <c r="E54" s="18" t="s">
        <v>129</v>
      </c>
      <c r="F54" s="733">
        <f>Asset_2013_Table!D24</f>
        <v>1264</v>
      </c>
      <c r="G54" s="18"/>
      <c r="H54" s="18"/>
      <c r="I54" s="19"/>
    </row>
    <row r="55" spans="2:9" ht="300" x14ac:dyDescent="0.25">
      <c r="B55" s="1733"/>
      <c r="D55" s="30">
        <v>53</v>
      </c>
      <c r="E55" s="18" t="s">
        <v>130</v>
      </c>
      <c r="F55" s="1086">
        <f>Artificial_reserv!S112</f>
        <v>68.059208898823542</v>
      </c>
      <c r="G55" s="731"/>
      <c r="H55" s="18"/>
      <c r="I55" s="19" t="s">
        <v>944</v>
      </c>
    </row>
    <row r="56" spans="2:9" ht="75" x14ac:dyDescent="0.25">
      <c r="B56" s="1733"/>
      <c r="D56" s="30">
        <v>54</v>
      </c>
      <c r="E56" s="18" t="s">
        <v>131</v>
      </c>
      <c r="F56" s="123">
        <f>Asset_2013_Table!F24</f>
        <v>3388.8607500000003</v>
      </c>
      <c r="G56" s="18"/>
      <c r="H56" s="18"/>
      <c r="I56" s="19" t="s">
        <v>1047</v>
      </c>
    </row>
    <row r="57" spans="2:9" ht="120.75" thickBot="1" x14ac:dyDescent="0.3">
      <c r="B57" s="1734"/>
      <c r="D57" s="31">
        <v>55</v>
      </c>
      <c r="E57" s="22" t="s">
        <v>132</v>
      </c>
      <c r="F57" s="735">
        <f>'GW&amp;SOILW_2012'!A75</f>
        <v>62127</v>
      </c>
      <c r="G57" s="22"/>
      <c r="H57" s="22"/>
      <c r="I57" s="23" t="s">
        <v>1042</v>
      </c>
    </row>
    <row r="58" spans="2:9" x14ac:dyDescent="0.25">
      <c r="B58" s="1735"/>
      <c r="D58" s="30">
        <v>56</v>
      </c>
      <c r="E58" s="18" t="s">
        <v>546</v>
      </c>
      <c r="F58" s="734">
        <f>Asset_2013_Table!J9</f>
        <v>31934.824999999993</v>
      </c>
      <c r="G58" s="18"/>
      <c r="H58" s="18"/>
      <c r="I58" s="19" t="s">
        <v>1048</v>
      </c>
    </row>
    <row r="59" spans="2:9" x14ac:dyDescent="0.25">
      <c r="B59" s="1736"/>
      <c r="D59" s="30">
        <v>57</v>
      </c>
      <c r="E59" s="308" t="s">
        <v>547</v>
      </c>
      <c r="F59" s="324">
        <f>Asset_2013_Table!J16</f>
        <v>22455.7788</v>
      </c>
      <c r="G59" s="18"/>
      <c r="H59" s="18"/>
      <c r="I59" s="19" t="s">
        <v>1048</v>
      </c>
    </row>
    <row r="60" spans="2:9" ht="30" x14ac:dyDescent="0.25">
      <c r="B60" s="1736"/>
      <c r="D60" s="33">
        <v>58</v>
      </c>
      <c r="E60" s="18" t="s">
        <v>548</v>
      </c>
      <c r="F60" s="307">
        <f>Asset_2013_Table!J27</f>
        <v>9479.0461999999934</v>
      </c>
      <c r="G60" s="26"/>
      <c r="H60" s="26"/>
      <c r="I60" s="27" t="s">
        <v>1049</v>
      </c>
    </row>
    <row r="61" spans="2:9" x14ac:dyDescent="0.25">
      <c r="B61" s="1736"/>
      <c r="D61" s="33">
        <v>59</v>
      </c>
      <c r="E61" s="18" t="s">
        <v>549</v>
      </c>
      <c r="F61" s="307">
        <f>Asset_2013_Table!K10</f>
        <v>850.20267600000011</v>
      </c>
      <c r="G61" s="26"/>
      <c r="H61" s="26"/>
      <c r="I61" s="27" t="s">
        <v>1048</v>
      </c>
    </row>
    <row r="62" spans="2:9" ht="15.75" thickBot="1" x14ac:dyDescent="0.3">
      <c r="B62" s="1737"/>
      <c r="D62" s="31">
        <v>60</v>
      </c>
      <c r="E62" s="22" t="s">
        <v>550</v>
      </c>
      <c r="F62" s="124">
        <f>Asset_2013_Table!K28</f>
        <v>10329.248875999991</v>
      </c>
      <c r="G62" s="22"/>
      <c r="H62" s="22"/>
      <c r="I62" s="23" t="s">
        <v>1048</v>
      </c>
    </row>
  </sheetData>
  <mergeCells count="5">
    <mergeCell ref="B3:B7"/>
    <mergeCell ref="B8:B27"/>
    <mergeCell ref="B28:B52"/>
    <mergeCell ref="B53:B57"/>
    <mergeCell ref="B58:B62"/>
  </mergeCells>
  <hyperlinks>
    <hyperlink ref="F4" location="Rivers!D4" display="Rivers!D4"/>
    <hyperlink ref="F3" location="Lakes!N61" display="Lakes!N61"/>
    <hyperlink ref="F5" location="Artificial_reserv!R112" display="Artificial_reserv!R112"/>
    <hyperlink ref="F6" location="'GW&amp;SOILW_2012'!A57" display="'GW&amp;SOILW_2012'!A57"/>
    <hyperlink ref="F7" location="'GW&amp;SOILW_2012'!A74" display="'GW&amp;SOILW_2012'!A74"/>
    <hyperlink ref="F8" location="PSUT_2013!AB16" display="PSUT_2013!AB16"/>
    <hyperlink ref="F9" location="PSUT_2013!AA12" display="PSUT_2013!AA12"/>
    <hyperlink ref="F10" location="PSUT_2013!AB16" display="PSUT_2013!AB16"/>
    <hyperlink ref="F11" location="PSUT_2013!AB16" display="PSUT_2013!AB16"/>
    <hyperlink ref="F12" location="PSUT_2013!AB16" display="PSUT_2013!AB16"/>
    <hyperlink ref="F13" location="'Prec&amp;ET2012'!E100" display="'Prec&amp;ET2012'!E100"/>
    <hyperlink ref="F14" location="'Prec&amp;ET2012'!E101" display="'Prec&amp;ET2012'!E101"/>
    <hyperlink ref="F15" location="'Prec&amp;ET2012'!E102" display="'Prec&amp;ET2012'!E102"/>
    <hyperlink ref="F16" location="'Prec&amp;ET2012'!D107" display="'Prec&amp;ET2012'!D107"/>
    <hyperlink ref="F19" location="Inflow!C11" display="Inflow!C11"/>
    <hyperlink ref="F24" location="'2012NWRMP'!J34" display="'2012NWRMP'!J34"/>
    <hyperlink ref="F25" location="'W-Assets_Data&amp;Method_2012'!F24" display="'W-Assets_Data&amp;Method_2012'!F24"/>
    <hyperlink ref="F26" location="'GW&amp;SOILW_2012'!A72" display="'GW&amp;SOILW_2012'!A72"/>
    <hyperlink ref="F27" location="'2012NWRMP'!J34" display="'2012NWRMP'!J34"/>
    <hyperlink ref="F28" location="PSUT_2013!AA12" display="PSUT_2013!AA12"/>
    <hyperlink ref="F29" location="PSUT_2013!AA13" display="PSUT_2013!AA13"/>
    <hyperlink ref="F30" location="PSUT_2012!AA14" display="PSUT_2012!AA14"/>
    <hyperlink ref="F32" location="PSUT_2012!AA16" display="PSUT_2012!AA16"/>
    <hyperlink ref="F33" location="'Prec&amp;ET2012'!E124" display="'Prec&amp;ET2012'!E124"/>
    <hyperlink ref="F34" location="'Prec&amp;ET2012'!E125" display="'Prec&amp;ET2012'!E125"/>
    <hyperlink ref="F35" location="'Prec&amp;ET2012'!E126" display="'Prec&amp;ET2012'!E126"/>
    <hyperlink ref="F36" location="'Prec&amp;ET2012'!E128" display="'Prec&amp;ET2012'!E128"/>
    <hyperlink ref="F39" location="Outflow!H14" display="Outflow!H14"/>
    <hyperlink ref="F50" location="'RBM&amp;E-2017_S'!P15" display="'RBM&amp;E-2017_S'!P15"/>
    <hyperlink ref="F51" location="'2012NWRMP'!J34" display="'2012NWRMP'!J34"/>
    <hyperlink ref="F52" location="'2012NWRMP'!J34" display="'2012NWRMP'!J34"/>
    <hyperlink ref="F55" location="Artificial_reserv!S112" display="Artificial_reserv!S112"/>
    <hyperlink ref="F53" location="Lakes!F68" display="Lakes!F68"/>
    <hyperlink ref="F57" location="'GW&amp;SOILW_2012'!A74" display="'GW&amp;SOILW_2012'!A74"/>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V52"/>
  <sheetViews>
    <sheetView topLeftCell="D1" zoomScale="120" zoomScaleNormal="120" workbookViewId="0">
      <pane ySplit="4" topLeftCell="A20" activePane="bottomLeft" state="frozen"/>
      <selection activeCell="K27" sqref="K27"/>
      <selection pane="bottomLeft" activeCell="M24" sqref="M24"/>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6.28515625" customWidth="1"/>
    <col min="13" max="14" width="9.85546875" customWidth="1"/>
    <col min="15" max="15" width="9" customWidth="1"/>
    <col min="16" max="16" width="11" customWidth="1"/>
    <col min="17" max="17" width="11.140625" customWidth="1"/>
    <col min="18" max="18" width="11.85546875" customWidth="1"/>
    <col min="22" max="16384" width="9.140625" style="2"/>
  </cols>
  <sheetData>
    <row r="1" spans="2:22" x14ac:dyDescent="0.25">
      <c r="B1" s="66" t="s">
        <v>1313</v>
      </c>
      <c r="C1" s="3"/>
      <c r="D1" s="3"/>
      <c r="E1" s="3"/>
      <c r="F1" s="3"/>
      <c r="G1" s="3"/>
      <c r="H1"/>
      <c r="J1"/>
      <c r="K1"/>
    </row>
    <row r="2" spans="2:22" customFormat="1" ht="3.75" customHeight="1" thickBot="1" x14ac:dyDescent="0.3"/>
    <row r="3" spans="2:22" ht="24.75" x14ac:dyDescent="0.25">
      <c r="B3" s="34" t="s">
        <v>69</v>
      </c>
      <c r="C3" s="1726" t="s">
        <v>49</v>
      </c>
      <c r="D3" s="1727"/>
      <c r="E3" s="1728"/>
      <c r="F3" s="366" t="s">
        <v>50</v>
      </c>
      <c r="G3" s="367" t="s">
        <v>51</v>
      </c>
      <c r="H3" s="363" t="s">
        <v>3</v>
      </c>
      <c r="I3" s="58"/>
      <c r="J3" s="365" t="s">
        <v>70</v>
      </c>
      <c r="K3" s="363" t="s">
        <v>71</v>
      </c>
      <c r="V3" s="6"/>
    </row>
    <row r="4" spans="2:22" ht="18" customHeight="1" thickBot="1" x14ac:dyDescent="0.3">
      <c r="B4" s="38"/>
      <c r="C4" s="370" t="s">
        <v>52</v>
      </c>
      <c r="D4" s="370" t="s">
        <v>68</v>
      </c>
      <c r="E4" s="370" t="s">
        <v>53</v>
      </c>
      <c r="F4" s="40"/>
      <c r="G4" s="41"/>
      <c r="H4" s="42"/>
      <c r="I4" s="58"/>
      <c r="J4" s="369"/>
      <c r="K4" s="372"/>
      <c r="V4" s="6"/>
    </row>
    <row r="5" spans="2:22" x14ac:dyDescent="0.25">
      <c r="B5" s="43" t="s">
        <v>54</v>
      </c>
      <c r="C5" s="130">
        <f>SUM(Asset_2013_Table!C5)</f>
        <v>257690.00067217631</v>
      </c>
      <c r="D5" s="130">
        <f>SUM(Asset_2013_Table!D5)</f>
        <v>1264</v>
      </c>
      <c r="E5" s="130">
        <f>SUM(Asset_2013_Table!E5)</f>
        <v>62.613469534117641</v>
      </c>
      <c r="F5" s="130">
        <f>SUM(Asset_2013_Table!F5)</f>
        <v>3388.8607500000003</v>
      </c>
      <c r="G5" s="130">
        <f>SUM(Asset_2013_Table!G5)</f>
        <v>62127</v>
      </c>
      <c r="H5" s="102">
        <f>SUM(C5:G5)</f>
        <v>324532.47489171044</v>
      </c>
      <c r="I5" s="58"/>
      <c r="J5" s="63"/>
      <c r="K5" s="50"/>
      <c r="V5" s="5"/>
    </row>
    <row r="6" spans="2:22" ht="3" customHeight="1" thickBot="1" x14ac:dyDescent="0.3">
      <c r="B6" s="59"/>
      <c r="C6" s="103"/>
      <c r="D6" s="103"/>
      <c r="E6" s="103"/>
      <c r="F6" s="103"/>
      <c r="G6" s="103"/>
      <c r="H6" s="104"/>
      <c r="I6" s="58"/>
      <c r="J6" s="439"/>
      <c r="K6" s="439"/>
      <c r="V6" s="4"/>
    </row>
    <row r="7" spans="2:22" ht="15.75" thickBot="1" x14ac:dyDescent="0.3">
      <c r="B7" s="52" t="s">
        <v>55</v>
      </c>
      <c r="C7" s="105"/>
      <c r="D7" s="105"/>
      <c r="E7" s="105"/>
      <c r="F7" s="105"/>
      <c r="G7" s="105"/>
      <c r="H7" s="106"/>
      <c r="I7" s="58"/>
      <c r="J7" s="56"/>
      <c r="K7" s="57"/>
      <c r="V7" s="4"/>
    </row>
    <row r="8" spans="2:22" x14ac:dyDescent="0.25">
      <c r="B8" s="51" t="s">
        <v>56</v>
      </c>
      <c r="C8" s="107">
        <f>SUM(Asset_2013_Table!C8,+(0))</f>
        <v>0.94265295033630991</v>
      </c>
      <c r="D8" s="107">
        <f>SUM(Asset_2013_Table!D8,+(0))</f>
        <v>329.92853261770841</v>
      </c>
      <c r="E8" s="107">
        <f>SUM(Asset_2013_Table!E8,+(0))</f>
        <v>0</v>
      </c>
      <c r="F8" s="107">
        <f>SUM(Asset_2013_Table!F8,+(0))</f>
        <v>139.27697341218976</v>
      </c>
      <c r="G8" s="107">
        <f>SUM(Asset_2013_Table!G8,+(0))</f>
        <v>1.1783161879203872</v>
      </c>
      <c r="H8" s="108">
        <f>SUM(C8:G8)</f>
        <v>471.32647516815484</v>
      </c>
      <c r="I8" s="58"/>
      <c r="J8" s="384"/>
      <c r="K8" s="385"/>
      <c r="V8" s="4"/>
    </row>
    <row r="9" spans="2:22" x14ac:dyDescent="0.25">
      <c r="B9" s="44" t="s">
        <v>48</v>
      </c>
      <c r="C9" s="109">
        <f>SUM(Asset_2013_Table!C9,+(0))</f>
        <v>2104.766296537256</v>
      </c>
      <c r="D9" s="109">
        <f>SUM(Asset_2013_Table!D9,+(0))</f>
        <v>2622.9783359641219</v>
      </c>
      <c r="E9" s="109">
        <f>SUM(Asset_2013_Table!E9,+(0))</f>
        <v>106.58060866080261</v>
      </c>
      <c r="F9" s="109">
        <f>SUM(Asset_2013_Table!F9,+(0))</f>
        <v>27100.499758837814</v>
      </c>
      <c r="G9" s="254"/>
      <c r="H9" s="110">
        <f>SUM(C9:G9)</f>
        <v>31934.824999999993</v>
      </c>
      <c r="I9" s="58"/>
      <c r="J9" s="392">
        <f>+(H9)</f>
        <v>31934.824999999993</v>
      </c>
      <c r="K9" s="393">
        <f>+(H9)</f>
        <v>31934.824999999993</v>
      </c>
      <c r="V9" s="4"/>
    </row>
    <row r="10" spans="2:22" x14ac:dyDescent="0.25">
      <c r="B10" s="45" t="s">
        <v>57</v>
      </c>
      <c r="C10" s="109">
        <f>SUM(Asset_2013_Table!C10,+(0))</f>
        <v>0</v>
      </c>
      <c r="D10" s="111">
        <f>SUM(Asset_2013_Table!D10,+(0))</f>
        <v>850.20267600000011</v>
      </c>
      <c r="E10" s="109">
        <f>SUM(Asset_2013_Table!E10,+(0))</f>
        <v>0</v>
      </c>
      <c r="F10" s="254"/>
      <c r="G10" s="109">
        <f>SUM(Asset_2013_Table!G10,+(0))</f>
        <v>0</v>
      </c>
      <c r="H10" s="110">
        <f>SUM(C10:G10)</f>
        <v>850.20267600000011</v>
      </c>
      <c r="I10" s="58"/>
      <c r="J10" s="386"/>
      <c r="K10" s="393">
        <f>+(H10)</f>
        <v>850.20267600000011</v>
      </c>
      <c r="V10" s="4"/>
    </row>
    <row r="11" spans="2:22" x14ac:dyDescent="0.25">
      <c r="B11" s="44" t="s">
        <v>58</v>
      </c>
      <c r="C11" s="109">
        <f>SUM(Asset_2013_Table!C11,+(0))</f>
        <v>1636</v>
      </c>
      <c r="D11" s="109">
        <f>SUM(Asset_2013_Table!D11,+(440))</f>
        <v>4862.5199999999995</v>
      </c>
      <c r="E11" s="112">
        <f>SUM(Asset_2013_Table!E11,+(98))</f>
        <v>319.12599999999998</v>
      </c>
      <c r="F11" s="112">
        <f>SUM(Asset_2013_Table!F11,+(0))</f>
        <v>911.12000000000012</v>
      </c>
      <c r="G11" s="112">
        <f>SUM(Asset_2013_Table!G11,+(0))</f>
        <v>3644.4800000000005</v>
      </c>
      <c r="H11" s="110">
        <f>SUM(C11:G11)</f>
        <v>11373.245999999999</v>
      </c>
      <c r="I11" s="58"/>
      <c r="J11" s="386"/>
      <c r="K11" s="387"/>
      <c r="V11" s="4"/>
    </row>
    <row r="12" spans="2:22" x14ac:dyDescent="0.25">
      <c r="B12" s="46" t="s">
        <v>59</v>
      </c>
      <c r="C12" s="113">
        <f>SUM(C8:C11)</f>
        <v>3741.7089494875922</v>
      </c>
      <c r="D12" s="113">
        <f>SUM(D8:D11)</f>
        <v>8665.6295445818287</v>
      </c>
      <c r="E12" s="113">
        <f>SUM(E8:E11)</f>
        <v>425.7066086608026</v>
      </c>
      <c r="F12" s="113">
        <f>SUM(F8:F11)</f>
        <v>28150.896732250003</v>
      </c>
      <c r="G12" s="113">
        <f>SUM(G8:G11)</f>
        <v>3645.6583161879207</v>
      </c>
      <c r="H12" s="110">
        <f>SUM(C12:G12)</f>
        <v>44629.600151168153</v>
      </c>
      <c r="I12" s="58"/>
      <c r="J12" s="351">
        <f>SUM(J8:J11)</f>
        <v>31934.824999999993</v>
      </c>
      <c r="K12" s="352">
        <f>SUM(K8:K11)</f>
        <v>32785.027675999991</v>
      </c>
      <c r="V12" s="4"/>
    </row>
    <row r="13" spans="2:22" customFormat="1" ht="6" customHeight="1" thickBot="1" x14ac:dyDescent="0.3">
      <c r="B13" s="59"/>
      <c r="C13" s="103"/>
      <c r="D13" s="103"/>
      <c r="E13" s="103"/>
      <c r="F13" s="103"/>
      <c r="G13" s="103"/>
      <c r="H13" s="104"/>
      <c r="I13" s="58"/>
      <c r="J13" s="353"/>
      <c r="K13" s="354"/>
    </row>
    <row r="14" spans="2:22" ht="15.75" thickBot="1" x14ac:dyDescent="0.3">
      <c r="B14" s="54" t="s">
        <v>60</v>
      </c>
      <c r="C14" s="114"/>
      <c r="D14" s="114"/>
      <c r="E14" s="114"/>
      <c r="F14" s="114"/>
      <c r="G14" s="114"/>
      <c r="H14" s="115"/>
      <c r="I14" s="58"/>
      <c r="J14" s="355"/>
      <c r="K14" s="356"/>
      <c r="V14" s="4"/>
    </row>
    <row r="15" spans="2:22" x14ac:dyDescent="0.25">
      <c r="B15" s="53" t="s">
        <v>61</v>
      </c>
      <c r="C15" s="109">
        <f>SUM(Asset_2013_Table!C15,+(0))</f>
        <v>18.835641425546115</v>
      </c>
      <c r="D15" s="107">
        <f>SUM(Asset_2013_Table!D15,+(0))</f>
        <v>321.90305852285195</v>
      </c>
      <c r="E15" s="107">
        <f>SUM(Asset_2013_Table!E15,+(0))</f>
        <v>268.7105794894012</v>
      </c>
      <c r="F15" s="107">
        <f>SUM(Asset_2013_Table!F15,+(0))</f>
        <v>0</v>
      </c>
      <c r="G15" s="107">
        <f>SUM(Asset_2013_Table!G15,+(0))</f>
        <v>63.874256516707881</v>
      </c>
      <c r="H15" s="116">
        <f t="shared" ref="H15:H20" si="0">SUM(C15:G15)</f>
        <v>673.32353595450718</v>
      </c>
      <c r="I15" s="58"/>
      <c r="J15" s="357"/>
      <c r="K15" s="358"/>
      <c r="M15" s="67"/>
      <c r="V15" s="4"/>
    </row>
    <row r="16" spans="2:22" x14ac:dyDescent="0.25">
      <c r="B16" s="48" t="s">
        <v>1718</v>
      </c>
      <c r="C16" s="109">
        <f>SUM(Asset_2013_Table!C16,+(0))</f>
        <v>1400.9385338818297</v>
      </c>
      <c r="D16" s="109">
        <f>SUM(Asset_2013_Table!D16,+(0))</f>
        <v>55.818756</v>
      </c>
      <c r="E16" s="109">
        <f>SUM(Asset_2013_Table!E16,+(0))</f>
        <v>16.815535662600585</v>
      </c>
      <c r="F16" s="109">
        <f>SUM(Asset_2013_Table!F16,+(0))</f>
        <v>20982.20597445557</v>
      </c>
      <c r="G16" s="254"/>
      <c r="H16" s="110">
        <f t="shared" si="0"/>
        <v>22455.7788</v>
      </c>
      <c r="I16" s="58"/>
      <c r="J16" s="392">
        <f>+(H16)</f>
        <v>22455.7788</v>
      </c>
      <c r="K16" s="394">
        <f>+(H16)</f>
        <v>22455.7788</v>
      </c>
      <c r="V16" s="4"/>
    </row>
    <row r="17" spans="2:22" x14ac:dyDescent="0.25">
      <c r="B17" s="48" t="s">
        <v>65</v>
      </c>
      <c r="C17" s="254"/>
      <c r="D17" s="109">
        <f>SUM(Asset_2013_Table!D17,+(0))</f>
        <v>6439.2872421415941</v>
      </c>
      <c r="E17" s="109">
        <f>SUM(Asset_2013_Table!E17,+(0))</f>
        <v>0</v>
      </c>
      <c r="F17" s="254"/>
      <c r="G17" s="109">
        <f>SUM(Asset_2013_Table!G17,+(0))</f>
        <v>0</v>
      </c>
      <c r="H17" s="117">
        <f t="shared" si="0"/>
        <v>6439.2872421415941</v>
      </c>
      <c r="I17" s="58"/>
      <c r="J17" s="359"/>
      <c r="K17" s="360"/>
      <c r="V17" s="4"/>
    </row>
    <row r="18" spans="2:22" x14ac:dyDescent="0.25">
      <c r="B18" s="48" t="s">
        <v>66</v>
      </c>
      <c r="C18" s="254"/>
      <c r="D18" s="109">
        <f>SUM(Asset_2013_Table!D18,+(0))</f>
        <v>0</v>
      </c>
      <c r="E18" s="109">
        <f>SUM(Asset_2013_Table!E18,+(0))</f>
        <v>0</v>
      </c>
      <c r="F18" s="254"/>
      <c r="G18" s="109">
        <f>SUM(Asset_2013_Table!G18,+(0))</f>
        <v>0</v>
      </c>
      <c r="H18" s="117">
        <f t="shared" si="0"/>
        <v>0</v>
      </c>
      <c r="I18" s="58"/>
      <c r="J18" s="359"/>
      <c r="K18" s="360"/>
      <c r="V18" s="4"/>
    </row>
    <row r="19" spans="2:22" x14ac:dyDescent="0.25">
      <c r="B19" s="48" t="s">
        <v>67</v>
      </c>
      <c r="C19" s="109">
        <f>SUM(Asset_2013_Table!C19,+(0))</f>
        <v>2763.6277332239551</v>
      </c>
      <c r="D19" s="109">
        <f>SUM(Asset_2013_Table!D19,+(0))</f>
        <v>1857.126</v>
      </c>
      <c r="E19" s="109">
        <f>SUM(Asset_2013_Table!E19,+(-23))</f>
        <v>108.08264346432105</v>
      </c>
      <c r="F19" s="109">
        <f>SUM(Asset_2013_Table!F19,+(-438))</f>
        <v>7176.7468921911222</v>
      </c>
      <c r="G19" s="109">
        <f>SUM(Asset_2013_Table!G19,+(182))</f>
        <v>3581.8873800000001</v>
      </c>
      <c r="H19" s="117">
        <f t="shared" si="0"/>
        <v>15487.4706488794</v>
      </c>
      <c r="I19" s="58"/>
      <c r="J19" s="359"/>
      <c r="K19" s="360"/>
      <c r="V19" s="4"/>
    </row>
    <row r="20" spans="2:22" ht="15.75" thickBot="1" x14ac:dyDescent="0.3">
      <c r="B20" s="47" t="s">
        <v>63</v>
      </c>
      <c r="C20" s="118">
        <f>SUM(C15:C19)</f>
        <v>4183.4019085313312</v>
      </c>
      <c r="D20" s="118">
        <f>SUM(D15:D19)</f>
        <v>8674.1350566644451</v>
      </c>
      <c r="E20" s="118">
        <f>SUM(E15:E19)</f>
        <v>393.60875861632286</v>
      </c>
      <c r="F20" s="118">
        <f>SUM(F15:F19)</f>
        <v>28158.952866646694</v>
      </c>
      <c r="G20" s="118">
        <f>SUM(G15:G19)</f>
        <v>3645.7616365167082</v>
      </c>
      <c r="H20" s="117">
        <f t="shared" si="0"/>
        <v>45055.860226975499</v>
      </c>
      <c r="I20" s="58"/>
      <c r="J20" s="361">
        <f>SUM(J15:J19)</f>
        <v>22455.7788</v>
      </c>
      <c r="K20" s="362">
        <f>SUM(K15:K19)</f>
        <v>22455.7788</v>
      </c>
      <c r="V20" s="4"/>
    </row>
    <row r="21" spans="2:22" customFormat="1" ht="3" customHeight="1" x14ac:dyDescent="0.25">
      <c r="B21" s="59"/>
      <c r="C21" s="103"/>
      <c r="D21" s="103"/>
      <c r="E21" s="103"/>
      <c r="F21" s="103"/>
      <c r="G21" s="103"/>
      <c r="H21" s="104"/>
      <c r="I21" s="58"/>
      <c r="J21" s="439"/>
      <c r="K21" s="439"/>
    </row>
    <row r="22" spans="2:22" x14ac:dyDescent="0.25">
      <c r="B22" s="69" t="s">
        <v>72</v>
      </c>
      <c r="C22" s="119">
        <f>-SUM(C5,C12,-C20,-C24)</f>
        <v>0</v>
      </c>
      <c r="D22" s="119">
        <f>-SUM(D5,D12,-D20,-D24)</f>
        <v>8.5055120826164057</v>
      </c>
      <c r="E22" s="119">
        <f>-SUM(E5,E12,-E20,-E24)</f>
        <v>-26.652110679773855</v>
      </c>
      <c r="F22" s="119">
        <f>-SUM(F5,F12,-F20,-F24)</f>
        <v>8.0561343966915047</v>
      </c>
      <c r="G22" s="119">
        <f>-SUM(G5,G12,-G20,-G24)</f>
        <v>0.10332032878068276</v>
      </c>
      <c r="H22" s="120">
        <f>SUM(C22:G22)</f>
        <v>-9.9871438716852623</v>
      </c>
      <c r="I22" s="58"/>
      <c r="J22" s="441"/>
      <c r="K22" s="441"/>
      <c r="V22" s="4"/>
    </row>
    <row r="23" spans="2:22" customFormat="1" ht="3" customHeight="1" x14ac:dyDescent="0.25">
      <c r="B23" s="59"/>
      <c r="C23" s="103"/>
      <c r="D23" s="103"/>
      <c r="E23" s="103"/>
      <c r="F23" s="103"/>
      <c r="G23" s="103"/>
      <c r="H23" s="104"/>
      <c r="I23" s="58"/>
      <c r="J23" s="441"/>
      <c r="K23" s="441"/>
    </row>
    <row r="24" spans="2:22" ht="15.75" thickBot="1" x14ac:dyDescent="0.3">
      <c r="B24" s="49" t="s">
        <v>64</v>
      </c>
      <c r="C24" s="121">
        <f>SUM(Asset_2013_Table!C24)</f>
        <v>257248.30771313258</v>
      </c>
      <c r="D24" s="121">
        <f>SUM(Asset_2013_Table!D24)</f>
        <v>1264</v>
      </c>
      <c r="E24" s="121">
        <f>SUM(Asset_2013_Table!E24)</f>
        <v>68.059208898823542</v>
      </c>
      <c r="F24" s="121">
        <f>SUM(Asset_2013_Table!F24)</f>
        <v>3388.8607500000003</v>
      </c>
      <c r="G24" s="121">
        <f>SUM(Asset_2013_Table!G24)</f>
        <v>62127</v>
      </c>
      <c r="H24" s="122">
        <f>SUM(C24:G24)</f>
        <v>324096.22767203138</v>
      </c>
      <c r="I24" s="58"/>
      <c r="J24" s="441"/>
      <c r="K24" s="441"/>
      <c r="M24" s="4">
        <f>+H24-H5</f>
        <v>-436.24721967906225</v>
      </c>
      <c r="N24" s="1675">
        <f>+M24/H5</f>
        <v>-1.3442328686046863E-3</v>
      </c>
      <c r="V24" s="5"/>
    </row>
    <row r="25" spans="2:22" ht="15.75" thickBot="1" x14ac:dyDescent="0.3">
      <c r="B25" s="8"/>
      <c r="C25" s="9"/>
      <c r="D25" s="9"/>
      <c r="E25" s="9"/>
      <c r="F25" s="9"/>
      <c r="G25" s="9"/>
      <c r="H25" s="9"/>
      <c r="J25" s="441"/>
      <c r="K25" s="441"/>
      <c r="V25" s="5"/>
    </row>
    <row r="26" spans="2:22" ht="15.75" thickBot="1" x14ac:dyDescent="0.3">
      <c r="B26" s="8"/>
      <c r="C26" s="9"/>
      <c r="D26" s="9"/>
      <c r="E26" s="9"/>
      <c r="F26" s="9"/>
      <c r="G26" s="9"/>
      <c r="H26" s="9"/>
      <c r="J26" s="326" t="s">
        <v>607</v>
      </c>
      <c r="K26" s="327" t="s">
        <v>608</v>
      </c>
      <c r="V26" s="5"/>
    </row>
    <row r="27" spans="2:22" ht="15.75" thickBot="1" x14ac:dyDescent="0.3">
      <c r="B27" s="8"/>
      <c r="C27" s="9"/>
      <c r="D27" s="9"/>
      <c r="E27" s="9"/>
      <c r="F27" s="9"/>
      <c r="G27" s="9"/>
      <c r="H27" s="9"/>
      <c r="J27" s="403">
        <f>SUM(J12,-J20)</f>
        <v>9479.0461999999934</v>
      </c>
      <c r="K27" s="442"/>
      <c r="V27" s="5"/>
    </row>
    <row r="28" spans="2:22" ht="15.75" thickBot="1" x14ac:dyDescent="0.3">
      <c r="B28" s="8"/>
      <c r="C28" s="9"/>
      <c r="D28" s="9"/>
      <c r="E28" s="9"/>
      <c r="F28" s="9"/>
      <c r="G28" s="9"/>
      <c r="H28" s="9"/>
      <c r="J28" s="325"/>
      <c r="K28" s="404">
        <f>SUM(K12,-K20)</f>
        <v>10329.248875999991</v>
      </c>
      <c r="V28" s="5"/>
    </row>
    <row r="29" spans="2:22" x14ac:dyDescent="0.25">
      <c r="H29" s="68"/>
    </row>
    <row r="30" spans="2:22" ht="15.75" thickBot="1" x14ac:dyDescent="0.3">
      <c r="B30" s="233" t="s">
        <v>947</v>
      </c>
      <c r="C30" s="233"/>
      <c r="D30" s="233"/>
      <c r="E30" s="233"/>
      <c r="F30" s="233"/>
      <c r="G30" s="233"/>
      <c r="H30" s="233"/>
      <c r="I30" s="232"/>
      <c r="J30" s="233"/>
      <c r="K30" s="233"/>
    </row>
    <row r="31" spans="2:22" ht="24.75" x14ac:dyDescent="0.25">
      <c r="B31" s="34" t="s">
        <v>69</v>
      </c>
      <c r="C31" s="1726" t="s">
        <v>49</v>
      </c>
      <c r="D31" s="1727"/>
      <c r="E31" s="1728"/>
      <c r="F31" s="35" t="s">
        <v>50</v>
      </c>
      <c r="G31" s="36" t="s">
        <v>51</v>
      </c>
      <c r="H31" s="37" t="s">
        <v>3</v>
      </c>
      <c r="I31" s="58"/>
      <c r="J31" s="61" t="s">
        <v>70</v>
      </c>
      <c r="K31" s="37" t="s">
        <v>71</v>
      </c>
    </row>
    <row r="32" spans="2:22" ht="17.25" thickBot="1" x14ac:dyDescent="0.3">
      <c r="B32" s="38"/>
      <c r="C32" s="39" t="s">
        <v>52</v>
      </c>
      <c r="D32" s="39" t="s">
        <v>68</v>
      </c>
      <c r="E32" s="39" t="s">
        <v>53</v>
      </c>
      <c r="F32" s="40"/>
      <c r="G32" s="41"/>
      <c r="H32" s="42"/>
      <c r="I32" s="58"/>
      <c r="J32" s="62"/>
      <c r="K32" s="42"/>
    </row>
    <row r="33" spans="2:11" x14ac:dyDescent="0.25">
      <c r="B33" s="43" t="s">
        <v>54</v>
      </c>
      <c r="C33" s="130">
        <f>SUM(C5,-Asset_2013_Table!C5)</f>
        <v>0</v>
      </c>
      <c r="D33" s="130">
        <f>SUM(D5,-Asset_2013_Table!D5)</f>
        <v>0</v>
      </c>
      <c r="E33" s="130">
        <f>SUM(E5,-Asset_2013_Table!E5)</f>
        <v>0</v>
      </c>
      <c r="F33" s="130">
        <f>SUM(F5,-Asset_2013_Table!F5)</f>
        <v>0</v>
      </c>
      <c r="G33" s="130">
        <f>SUM(G5,-Asset_2013_Table!G5)</f>
        <v>0</v>
      </c>
      <c r="H33" s="102">
        <f>SUM(H5,-Asset_2013_Table!H5)</f>
        <v>0</v>
      </c>
      <c r="I33" s="58"/>
      <c r="J33" s="347">
        <f>SUM(J5,-Asset_2013_Table!J5)</f>
        <v>0</v>
      </c>
      <c r="K33" s="348">
        <f>SUM(K5,-Asset_2013_Table!K5)</f>
        <v>0</v>
      </c>
    </row>
    <row r="34" spans="2:11" ht="15.75" thickBot="1" x14ac:dyDescent="0.3">
      <c r="B34" s="59"/>
      <c r="C34" s="103"/>
      <c r="D34" s="103"/>
      <c r="E34" s="103"/>
      <c r="F34" s="103"/>
      <c r="G34" s="103"/>
      <c r="H34" s="104"/>
      <c r="I34" s="58"/>
      <c r="J34" s="64"/>
      <c r="K34" s="60"/>
    </row>
    <row r="35" spans="2:11" ht="15.75" thickBot="1" x14ac:dyDescent="0.3">
      <c r="B35" s="52" t="s">
        <v>55</v>
      </c>
      <c r="C35" s="105"/>
      <c r="D35" s="105"/>
      <c r="E35" s="105"/>
      <c r="F35" s="105"/>
      <c r="G35" s="105"/>
      <c r="H35" s="106"/>
      <c r="I35" s="58"/>
      <c r="J35" s="56"/>
      <c r="K35" s="57"/>
    </row>
    <row r="36" spans="2:11" x14ac:dyDescent="0.25">
      <c r="B36" s="51" t="s">
        <v>56</v>
      </c>
      <c r="C36" s="107">
        <f>SUM(C8,-Asset_2013_Table!C8)</f>
        <v>0</v>
      </c>
      <c r="D36" s="107">
        <f>SUM(D8,-Asset_2013_Table!D8)</f>
        <v>0</v>
      </c>
      <c r="E36" s="107">
        <f>SUM(E8,-Asset_2013_Table!E8)</f>
        <v>0</v>
      </c>
      <c r="F36" s="107">
        <f>SUM(F8,-Asset_2013_Table!F8)</f>
        <v>0</v>
      </c>
      <c r="G36" s="107">
        <f>SUM(G8,-Asset_2013_Table!G8)</f>
        <v>0</v>
      </c>
      <c r="H36" s="108">
        <f>SUM(H8,-Asset_2013_Table!H8)</f>
        <v>0</v>
      </c>
      <c r="I36" s="58"/>
      <c r="J36" s="65"/>
      <c r="K36" s="55"/>
    </row>
    <row r="37" spans="2:11" x14ac:dyDescent="0.25">
      <c r="B37" s="44" t="s">
        <v>48</v>
      </c>
      <c r="C37" s="109">
        <f>SUM(C9,-Asset_2013_Table!C9)</f>
        <v>0</v>
      </c>
      <c r="D37" s="109">
        <f>SUM(D9,-Asset_2013_Table!D9)</f>
        <v>0</v>
      </c>
      <c r="E37" s="109">
        <f>SUM(E9,-Asset_2013_Table!E9)</f>
        <v>0</v>
      </c>
      <c r="F37" s="109">
        <f>SUM(F9,-Asset_2013_Table!F9)</f>
        <v>0</v>
      </c>
      <c r="G37" s="254"/>
      <c r="H37" s="110">
        <f>SUM(H9,-Asset_2013_Table!H9)</f>
        <v>0</v>
      </c>
      <c r="I37" s="58"/>
      <c r="J37" s="349">
        <f>SUM(J9,-Asset_2013_Table!J9)</f>
        <v>0</v>
      </c>
      <c r="K37" s="350">
        <f>SUM(K9,-Asset_2013_Table!K9)</f>
        <v>0</v>
      </c>
    </row>
    <row r="38" spans="2:11" x14ac:dyDescent="0.25">
      <c r="B38" s="45" t="s">
        <v>57</v>
      </c>
      <c r="C38" s="109">
        <f>SUM(C10,-Asset_2013_Table!C10)</f>
        <v>0</v>
      </c>
      <c r="D38" s="111">
        <f>SUM(D10,-Asset_2013_Table!D10)</f>
        <v>0</v>
      </c>
      <c r="E38" s="109">
        <f>SUM(E10,-Asset_2013_Table!E10)</f>
        <v>0</v>
      </c>
      <c r="F38" s="254"/>
      <c r="G38" s="109">
        <f>SUM(G10,-Asset_2013_Table!G10)</f>
        <v>0</v>
      </c>
      <c r="H38" s="110">
        <f>SUM(H10,-Asset_2013_Table!H10)</f>
        <v>0</v>
      </c>
      <c r="I38" s="58"/>
      <c r="J38" s="349"/>
      <c r="K38" s="350">
        <f>SUM(K10,-Asset_2013_Table!K10)</f>
        <v>0</v>
      </c>
    </row>
    <row r="39" spans="2:11" x14ac:dyDescent="0.25">
      <c r="B39" s="44" t="s">
        <v>58</v>
      </c>
      <c r="C39" s="109">
        <f>SUM(C11,-Asset_2013_Table!C11)</f>
        <v>0</v>
      </c>
      <c r="D39" s="109">
        <f>SUM(D11,-Asset_2013_Table!D11)</f>
        <v>440</v>
      </c>
      <c r="E39" s="112">
        <f>SUM(E11,-Asset_2013_Table!E11)</f>
        <v>98</v>
      </c>
      <c r="F39" s="112">
        <f>SUM(F11,-Asset_2013_Table!F11)</f>
        <v>0</v>
      </c>
      <c r="G39" s="112">
        <f>SUM(G11,-Asset_2013_Table!G11)</f>
        <v>0</v>
      </c>
      <c r="H39" s="110">
        <f>SUM(H11,-Asset_2013_Table!H11)</f>
        <v>538</v>
      </c>
      <c r="I39" s="58"/>
      <c r="J39" s="349"/>
      <c r="K39" s="350"/>
    </row>
    <row r="40" spans="2:11" x14ac:dyDescent="0.25">
      <c r="B40" s="46" t="s">
        <v>59</v>
      </c>
      <c r="C40" s="113">
        <f>SUM(C12,-Asset_2013_Table!C12)</f>
        <v>0</v>
      </c>
      <c r="D40" s="113">
        <f>SUM(D12,-Asset_2013_Table!D12)</f>
        <v>440</v>
      </c>
      <c r="E40" s="113">
        <f>SUM(E12,-Asset_2013_Table!E12)</f>
        <v>98</v>
      </c>
      <c r="F40" s="113">
        <f>SUM(F12,-Asset_2013_Table!F12)</f>
        <v>0</v>
      </c>
      <c r="G40" s="113">
        <f>SUM(G12,-Asset_2013_Table!G12)</f>
        <v>0</v>
      </c>
      <c r="H40" s="110">
        <f>SUM(H12,-Asset_2013_Table!H12)</f>
        <v>538</v>
      </c>
      <c r="I40" s="58"/>
      <c r="J40" s="351">
        <f>SUM(J12,-Asset_2013_Table!J12)</f>
        <v>0</v>
      </c>
      <c r="K40" s="352">
        <f>SUM(K12,-Asset_2013_Table!K12)</f>
        <v>0</v>
      </c>
    </row>
    <row r="41" spans="2:11" ht="15.75" thickBot="1" x14ac:dyDescent="0.3">
      <c r="B41" s="59"/>
      <c r="C41" s="103"/>
      <c r="D41" s="103"/>
      <c r="E41" s="103"/>
      <c r="F41" s="103"/>
      <c r="G41" s="103"/>
      <c r="H41" s="104"/>
      <c r="I41" s="58"/>
      <c r="J41" s="353"/>
      <c r="K41" s="354"/>
    </row>
    <row r="42" spans="2:11" ht="15.75" thickBot="1" x14ac:dyDescent="0.3">
      <c r="B42" s="54" t="s">
        <v>60</v>
      </c>
      <c r="C42" s="114"/>
      <c r="D42" s="114"/>
      <c r="E42" s="114"/>
      <c r="F42" s="114"/>
      <c r="G42" s="114"/>
      <c r="H42" s="115"/>
      <c r="I42" s="58"/>
      <c r="J42" s="355"/>
      <c r="K42" s="356"/>
    </row>
    <row r="43" spans="2:11" x14ac:dyDescent="0.25">
      <c r="B43" s="53" t="s">
        <v>61</v>
      </c>
      <c r="C43" s="109">
        <f>SUM(C15,-Asset_2013_Table!C15)</f>
        <v>0</v>
      </c>
      <c r="D43" s="107">
        <f>SUM(D15,-Asset_2013_Table!D15)</f>
        <v>0</v>
      </c>
      <c r="E43" s="107">
        <f>SUM(E15,-Asset_2013_Table!E15)</f>
        <v>0</v>
      </c>
      <c r="F43" s="107">
        <f>SUM(F15,-Asset_2013_Table!F15)</f>
        <v>0</v>
      </c>
      <c r="G43" s="107">
        <f>SUM(G15,-Asset_2013_Table!G15)</f>
        <v>0</v>
      </c>
      <c r="H43" s="116">
        <f>SUM(H15,-Asset_2013_Table!H15)</f>
        <v>0</v>
      </c>
      <c r="I43" s="58"/>
      <c r="J43" s="357"/>
      <c r="K43" s="358"/>
    </row>
    <row r="44" spans="2:11" x14ac:dyDescent="0.25">
      <c r="B44" s="48" t="s">
        <v>62</v>
      </c>
      <c r="C44" s="109">
        <f>SUM(C16,-Asset_2013_Table!C16)</f>
        <v>0</v>
      </c>
      <c r="D44" s="109">
        <f>SUM(D16,-Asset_2013_Table!D16)</f>
        <v>0</v>
      </c>
      <c r="E44" s="109">
        <f>SUM(E16,-Asset_2013_Table!E16)</f>
        <v>0</v>
      </c>
      <c r="F44" s="109">
        <f>SUM(F16,-Asset_2013_Table!F16)</f>
        <v>0</v>
      </c>
      <c r="G44" s="254"/>
      <c r="H44" s="110">
        <f>SUM(H16,-Asset_2013_Table!H16)</f>
        <v>0</v>
      </c>
      <c r="I44" s="58"/>
      <c r="J44" s="359">
        <f>SUM(J16,-Asset_2013_Table!J16)</f>
        <v>0</v>
      </c>
      <c r="K44" s="360">
        <f>SUM(K16,-Asset_2013_Table!K16)</f>
        <v>0</v>
      </c>
    </row>
    <row r="45" spans="2:11" x14ac:dyDescent="0.25">
      <c r="B45" s="48" t="s">
        <v>65</v>
      </c>
      <c r="C45" s="254"/>
      <c r="D45" s="109">
        <f>SUM(D17,-Asset_2013_Table!D17)</f>
        <v>0</v>
      </c>
      <c r="E45" s="109">
        <f>SUM(E17,-Asset_2013_Table!E17)</f>
        <v>0</v>
      </c>
      <c r="F45" s="254"/>
      <c r="G45" s="109">
        <f>SUM(G17,-Asset_2013_Table!G17)</f>
        <v>0</v>
      </c>
      <c r="H45" s="117">
        <f>SUM(H17,-Asset_2013_Table!H17)</f>
        <v>0</v>
      </c>
      <c r="I45" s="58"/>
      <c r="J45" s="359"/>
      <c r="K45" s="360"/>
    </row>
    <row r="46" spans="2:11" x14ac:dyDescent="0.25">
      <c r="B46" s="48" t="s">
        <v>66</v>
      </c>
      <c r="C46" s="254"/>
      <c r="D46" s="109">
        <f>SUM(D18,-Asset_2013_Table!D18)</f>
        <v>0</v>
      </c>
      <c r="E46" s="109">
        <f>SUM(E18,-Asset_2013_Table!E18)</f>
        <v>0</v>
      </c>
      <c r="F46" s="254"/>
      <c r="G46" s="109">
        <f>SUM(G18,-Asset_2013_Table!G18)</f>
        <v>0</v>
      </c>
      <c r="H46" s="117">
        <f>SUM(H18,-Asset_2013_Table!H18)</f>
        <v>0</v>
      </c>
      <c r="I46" s="58"/>
      <c r="J46" s="359"/>
      <c r="K46" s="360"/>
    </row>
    <row r="47" spans="2:11" x14ac:dyDescent="0.25">
      <c r="B47" s="48" t="s">
        <v>67</v>
      </c>
      <c r="C47" s="109">
        <f>SUM(C19,-Asset_2013_Table!C19)</f>
        <v>0</v>
      </c>
      <c r="D47" s="109">
        <f>SUM(D19,-Asset_2013_Table!D19)</f>
        <v>0</v>
      </c>
      <c r="E47" s="109">
        <f>SUM(E19,-Asset_2013_Table!E19)</f>
        <v>-23</v>
      </c>
      <c r="F47" s="109">
        <f>SUM(F19,-Asset_2013_Table!F19)</f>
        <v>-438</v>
      </c>
      <c r="G47" s="109">
        <f>SUM(G19,-Asset_2013_Table!G19)</f>
        <v>182</v>
      </c>
      <c r="H47" s="117">
        <f>SUM(H19,-Asset_2013_Table!H19)</f>
        <v>-279</v>
      </c>
      <c r="I47" s="58"/>
      <c r="J47" s="359"/>
      <c r="K47" s="360"/>
    </row>
    <row r="48" spans="2:11" ht="15.75" thickBot="1" x14ac:dyDescent="0.3">
      <c r="B48" s="47" t="s">
        <v>63</v>
      </c>
      <c r="C48" s="118">
        <f>SUM(C20,-Asset_2013_Table!C20)</f>
        <v>0</v>
      </c>
      <c r="D48" s="118">
        <f>SUM(D20,-Asset_2013_Table!D20)</f>
        <v>0</v>
      </c>
      <c r="E48" s="118">
        <f>SUM(E20,-Asset_2013_Table!E20)</f>
        <v>-23</v>
      </c>
      <c r="F48" s="118">
        <f>SUM(F20,-Asset_2013_Table!F20)</f>
        <v>-438</v>
      </c>
      <c r="G48" s="118">
        <f>SUM(G20,-Asset_2013_Table!G20)</f>
        <v>182</v>
      </c>
      <c r="H48" s="117">
        <f>SUM(H20,-Asset_2013_Table!H20)</f>
        <v>-279</v>
      </c>
      <c r="I48" s="58"/>
      <c r="J48" s="361">
        <f>SUM(J20,-Asset_2013_Table!J20)</f>
        <v>0</v>
      </c>
      <c r="K48" s="362">
        <f>SUM(K20,-Asset_2013_Table!K20)</f>
        <v>0</v>
      </c>
    </row>
    <row r="49" spans="2:9" x14ac:dyDescent="0.25">
      <c r="B49" s="59"/>
      <c r="C49" s="103"/>
      <c r="D49" s="103"/>
      <c r="E49" s="103"/>
      <c r="F49" s="103"/>
      <c r="G49" s="103"/>
      <c r="H49" s="104"/>
      <c r="I49" s="58"/>
    </row>
    <row r="50" spans="2:9" x14ac:dyDescent="0.25">
      <c r="B50" s="69" t="s">
        <v>72</v>
      </c>
      <c r="C50" s="119">
        <f>-SUM(C33,C40,-C48,-C52)</f>
        <v>0</v>
      </c>
      <c r="D50" s="119">
        <f>SUM(D22,-Asset_2013_Table!D22)</f>
        <v>-440</v>
      </c>
      <c r="E50" s="119">
        <f>SUM(E22,-Asset_2013_Table!E22)</f>
        <v>-121</v>
      </c>
      <c r="F50" s="119">
        <f>SUM(F22,-Asset_2013_Table!F22)</f>
        <v>-438</v>
      </c>
      <c r="G50" s="119">
        <f>SUM(G22,-Asset_2013_Table!G22)</f>
        <v>182</v>
      </c>
      <c r="H50" s="120">
        <f>SUM(H22,-Asset_2013_Table!H22)</f>
        <v>-817</v>
      </c>
      <c r="I50" s="58"/>
    </row>
    <row r="51" spans="2:9" x14ac:dyDescent="0.25">
      <c r="B51" s="59"/>
      <c r="C51" s="103"/>
      <c r="D51" s="103"/>
      <c r="E51" s="103"/>
      <c r="F51" s="103"/>
      <c r="G51" s="103"/>
      <c r="H51" s="104"/>
      <c r="I51" s="58"/>
    </row>
    <row r="52" spans="2:9" ht="15.75" thickBot="1" x14ac:dyDescent="0.3">
      <c r="B52" s="49" t="s">
        <v>64</v>
      </c>
      <c r="C52" s="121">
        <f>SUM(Asset_2013_Table!C49)</f>
        <v>0</v>
      </c>
      <c r="D52" s="121">
        <f>SUM(Asset_2013_Table!D49)</f>
        <v>0</v>
      </c>
      <c r="E52" s="121">
        <f>SUM(Asset_2013_Table!E49)</f>
        <v>0</v>
      </c>
      <c r="F52" s="121">
        <f>SUM(Asset_2013_Table!F49)</f>
        <v>0</v>
      </c>
      <c r="G52" s="121">
        <f>SUM(Asset_2013_Table!G49)</f>
        <v>0</v>
      </c>
      <c r="H52" s="122">
        <f>SUM(C52:G52)</f>
        <v>0</v>
      </c>
      <c r="I52" s="58"/>
    </row>
  </sheetData>
  <mergeCells count="2">
    <mergeCell ref="C3:E3"/>
    <mergeCell ref="C31:E31"/>
  </mergeCells>
  <hyperlinks>
    <hyperlink ref="J9" location="'W-Assets_Data&amp;Method_2012'!F58" display="'W-Assets_Data&amp;Method_2012'!F58"/>
    <hyperlink ref="J16" location="'W-Assets_Data&amp;Method_2012'!F59" display="'W-Assets_Data&amp;Method_2012'!F59"/>
    <hyperlink ref="K9" location="'W-Assets_Data&amp;Method_2012'!F58" display="'W-Assets_Data&amp;Method_2012'!F58"/>
    <hyperlink ref="K10" location="'W-Assets_Data&amp;Method_2012'!F61" display="'W-Assets_Data&amp;Method_2012'!F61"/>
    <hyperlink ref="K16" location="'W-Assets_Data&amp;Method_2012'!F59" display="'W-Assets_Data&amp;Method_2012'!F59"/>
    <hyperlink ref="J27" location="'W-Assets_Data&amp;Method_2012'!F60" display="'W-Assets_Data&amp;Method_2012'!F60"/>
    <hyperlink ref="K28" location="'W-Assets_Data&amp;Method_2012'!F62" display="'W-Assets_Data&amp;Method_2012'!F62"/>
  </hyperlink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pageSetUpPr fitToPage="1"/>
  </sheetPr>
  <dimension ref="A1:K605"/>
  <sheetViews>
    <sheetView topLeftCell="B1" workbookViewId="0">
      <pane ySplit="1" topLeftCell="A15" activePane="bottomLeft" state="frozen"/>
      <selection activeCell="K27" sqref="K27"/>
      <selection pane="bottomLeft" activeCell="H15" sqref="H15"/>
    </sheetView>
  </sheetViews>
  <sheetFormatPr defaultRowHeight="15" x14ac:dyDescent="0.25"/>
  <cols>
    <col min="1" max="1" width="1.85546875" customWidth="1"/>
    <col min="2" max="2" width="6.42578125" bestFit="1" customWidth="1"/>
    <col min="3" max="3" width="0.7109375" customWidth="1"/>
    <col min="4" max="4" width="5.5703125" bestFit="1" customWidth="1"/>
    <col min="5" max="5" width="11" customWidth="1"/>
    <col min="6" max="6" width="1" customWidth="1"/>
    <col min="7" max="7" width="71.7109375" bestFit="1" customWidth="1"/>
    <col min="8" max="8" width="10.7109375" bestFit="1" customWidth="1"/>
    <col min="9" max="9" width="15" customWidth="1"/>
    <col min="10" max="10" width="9.5703125" bestFit="1" customWidth="1"/>
    <col min="11" max="11" width="105.5703125" customWidth="1"/>
    <col min="12" max="12" width="10.140625" customWidth="1"/>
    <col min="13" max="13" width="10.140625" bestFit="1" customWidth="1"/>
  </cols>
  <sheetData>
    <row r="1" spans="2:11" ht="57" customHeight="1" thickBot="1" x14ac:dyDescent="0.3">
      <c r="B1" s="98"/>
      <c r="D1" s="14" t="s">
        <v>147</v>
      </c>
      <c r="E1" s="84" t="s">
        <v>12</v>
      </c>
      <c r="G1" s="28" t="s">
        <v>133</v>
      </c>
      <c r="H1" s="12" t="s">
        <v>1339</v>
      </c>
      <c r="I1" s="12" t="s">
        <v>134</v>
      </c>
      <c r="J1" s="12" t="s">
        <v>135</v>
      </c>
      <c r="K1" s="13" t="s">
        <v>76</v>
      </c>
    </row>
    <row r="2" spans="2:11" ht="15" customHeight="1" x14ac:dyDescent="0.25">
      <c r="B2" s="1749" t="s">
        <v>11</v>
      </c>
      <c r="D2" s="1745" t="s">
        <v>15</v>
      </c>
      <c r="E2" s="1746" t="s">
        <v>148</v>
      </c>
      <c r="G2" s="86" t="s">
        <v>145</v>
      </c>
      <c r="H2" s="131">
        <f>SUM(H3:H4)</f>
        <v>13010018.946100427</v>
      </c>
      <c r="I2" s="87"/>
      <c r="J2" s="87"/>
      <c r="K2" s="88"/>
    </row>
    <row r="3" spans="2:11" x14ac:dyDescent="0.25">
      <c r="B3" s="1750"/>
      <c r="D3" s="1740"/>
      <c r="E3" s="1747"/>
      <c r="G3" s="30" t="s">
        <v>23</v>
      </c>
      <c r="H3" s="126">
        <f>+(H5)</f>
        <v>13010018.946100427</v>
      </c>
      <c r="I3" s="10"/>
      <c r="J3" s="10"/>
      <c r="K3" s="16" t="s">
        <v>170</v>
      </c>
    </row>
    <row r="4" spans="2:11" x14ac:dyDescent="0.25">
      <c r="B4" s="1750"/>
      <c r="D4" s="1740"/>
      <c r="E4" s="1747"/>
      <c r="G4" s="30" t="s">
        <v>24</v>
      </c>
      <c r="H4" s="126">
        <v>0</v>
      </c>
      <c r="I4" s="10"/>
      <c r="J4" s="10"/>
      <c r="K4" s="16"/>
    </row>
    <row r="5" spans="2:11" x14ac:dyDescent="0.25">
      <c r="B5" s="1750"/>
      <c r="D5" s="1740"/>
      <c r="E5" s="1747"/>
      <c r="G5" s="89" t="s">
        <v>146</v>
      </c>
      <c r="H5" s="132">
        <f>SUM(H6+H16)</f>
        <v>13010018.946100427</v>
      </c>
      <c r="I5" s="90"/>
      <c r="J5" s="90"/>
      <c r="K5" s="91"/>
    </row>
    <row r="6" spans="2:11" x14ac:dyDescent="0.25">
      <c r="B6" s="1750"/>
      <c r="D6" s="1740"/>
      <c r="E6" s="1747"/>
      <c r="G6" s="89" t="s">
        <v>25</v>
      </c>
      <c r="H6" s="132">
        <f>SUM(H7,H12,H15)</f>
        <v>13009211.946100427</v>
      </c>
      <c r="I6" s="90"/>
      <c r="J6" s="90"/>
      <c r="K6" s="91"/>
    </row>
    <row r="7" spans="2:11" x14ac:dyDescent="0.25">
      <c r="B7" s="1750"/>
      <c r="D7" s="1740"/>
      <c r="E7" s="1747"/>
      <c r="G7" s="89" t="s">
        <v>26</v>
      </c>
      <c r="H7" s="132">
        <f>SUM(H8:H11)</f>
        <v>195157.23901430785</v>
      </c>
      <c r="I7" s="90"/>
      <c r="J7" s="90"/>
      <c r="K7" s="91"/>
    </row>
    <row r="8" spans="2:11" ht="30" x14ac:dyDescent="0.25">
      <c r="B8" s="1750"/>
      <c r="D8" s="1740"/>
      <c r="E8" s="1747"/>
      <c r="G8" s="30" t="s">
        <v>27</v>
      </c>
      <c r="H8" s="747">
        <f>+('RBM&amp;E-2017_S'!U$30*7%)</f>
        <v>13795.641425546113</v>
      </c>
      <c r="I8" s="10"/>
      <c r="J8" s="10"/>
      <c r="K8" s="16" t="s">
        <v>1044</v>
      </c>
    </row>
    <row r="9" spans="2:11" ht="30" x14ac:dyDescent="0.25">
      <c r="B9" s="1750"/>
      <c r="D9" s="1740"/>
      <c r="E9" s="1747"/>
      <c r="G9" s="30" t="s">
        <v>28</v>
      </c>
      <c r="H9" s="747">
        <f>+('RBM&amp;E-2017_S'!U$30*58%)</f>
        <v>114306.74324023922</v>
      </c>
      <c r="I9" s="10"/>
      <c r="J9" s="10"/>
      <c r="K9" s="16" t="s">
        <v>1043</v>
      </c>
    </row>
    <row r="10" spans="2:11" ht="150" x14ac:dyDescent="0.25">
      <c r="B10" s="1750"/>
      <c r="D10" s="1740"/>
      <c r="E10" s="1747"/>
      <c r="G10" s="30" t="s">
        <v>29</v>
      </c>
      <c r="H10" s="747">
        <f>+('RBM&amp;E-2017_S'!T$30*25%)+('RBM&amp;E-2017_S'!T$34*60%)</f>
        <v>47346.795169170924</v>
      </c>
      <c r="I10" s="10"/>
      <c r="J10" s="10"/>
      <c r="K10" s="16" t="s">
        <v>1088</v>
      </c>
    </row>
    <row r="11" spans="2:11" ht="45" x14ac:dyDescent="0.25">
      <c r="B11" s="1750"/>
      <c r="D11" s="1740"/>
      <c r="E11" s="1747"/>
      <c r="G11" s="30" t="s">
        <v>30</v>
      </c>
      <c r="H11" s="747">
        <f>+('RBM&amp;E-2017_S'!U$30*10%)</f>
        <v>19708.059179351592</v>
      </c>
      <c r="I11" s="10"/>
      <c r="J11" s="10"/>
      <c r="K11" s="16" t="s">
        <v>1087</v>
      </c>
    </row>
    <row r="12" spans="2:11" x14ac:dyDescent="0.25">
      <c r="B12" s="1750"/>
      <c r="D12" s="1740"/>
      <c r="E12" s="1747"/>
      <c r="G12" s="89" t="s">
        <v>31</v>
      </c>
      <c r="H12" s="132">
        <f>SUM(H13:H14)</f>
        <v>13877.667157826309</v>
      </c>
      <c r="I12" s="90"/>
      <c r="J12" s="90"/>
      <c r="K12" s="91"/>
    </row>
    <row r="13" spans="2:11" ht="195" x14ac:dyDescent="0.25">
      <c r="B13" s="1750"/>
      <c r="D13" s="1740"/>
      <c r="E13" s="1747"/>
      <c r="G13" s="30" t="s">
        <v>640</v>
      </c>
      <c r="H13" s="126">
        <f>(5657.79959)*(75%*100%)</f>
        <v>4243.3496924999999</v>
      </c>
      <c r="I13" s="10"/>
      <c r="J13" s="10"/>
      <c r="K13" s="16" t="s">
        <v>1292</v>
      </c>
    </row>
    <row r="14" spans="2:11" ht="180" x14ac:dyDescent="0.25">
      <c r="B14" s="1750"/>
      <c r="D14" s="1740"/>
      <c r="E14" s="1747"/>
      <c r="G14" s="30" t="s">
        <v>641</v>
      </c>
      <c r="H14" s="747">
        <f>+('RBM&amp;E-2017_S'!U$33*25%)</f>
        <v>9634.3174653263086</v>
      </c>
      <c r="I14" s="10"/>
      <c r="J14" s="10"/>
      <c r="K14" s="16" t="s">
        <v>1293</v>
      </c>
    </row>
    <row r="15" spans="2:11" x14ac:dyDescent="0.25">
      <c r="B15" s="1750"/>
      <c r="D15" s="1740"/>
      <c r="E15" s="1747"/>
      <c r="G15" s="1043" t="s">
        <v>32</v>
      </c>
      <c r="H15" s="1566">
        <f>+('GW&amp;SOILW_2012'!L20)</f>
        <v>12800177.039928293</v>
      </c>
      <c r="I15" s="1044"/>
      <c r="J15" s="1044"/>
      <c r="K15" s="1045"/>
    </row>
    <row r="16" spans="2:11" x14ac:dyDescent="0.25">
      <c r="B16" s="1750"/>
      <c r="D16" s="1740"/>
      <c r="E16" s="1747"/>
      <c r="G16" s="89" t="s">
        <v>33</v>
      </c>
      <c r="H16" s="132">
        <f>SUM(H17:H18)</f>
        <v>807</v>
      </c>
      <c r="I16" s="90"/>
      <c r="J16" s="90"/>
      <c r="K16" s="91"/>
    </row>
    <row r="17" spans="2:11" x14ac:dyDescent="0.25">
      <c r="B17" s="1750"/>
      <c r="D17" s="1740"/>
      <c r="E17" s="1747"/>
      <c r="G17" s="30" t="s">
        <v>34</v>
      </c>
      <c r="H17" s="126">
        <v>807</v>
      </c>
      <c r="I17" s="10"/>
      <c r="J17" s="10"/>
      <c r="K17" s="16" t="s">
        <v>1268</v>
      </c>
    </row>
    <row r="18" spans="2:11" x14ac:dyDescent="0.25">
      <c r="B18" s="1750"/>
      <c r="D18" s="1740"/>
      <c r="E18" s="1747"/>
      <c r="G18" s="30" t="s">
        <v>35</v>
      </c>
      <c r="H18" s="126">
        <v>0</v>
      </c>
      <c r="I18" s="10"/>
      <c r="J18" s="10"/>
      <c r="K18" s="16"/>
    </row>
    <row r="19" spans="2:11" ht="15.75" thickBot="1" x14ac:dyDescent="0.3">
      <c r="B19" s="1750"/>
      <c r="D19" s="1741"/>
      <c r="E19" s="1748"/>
      <c r="G19" s="1047" t="s">
        <v>36</v>
      </c>
      <c r="H19" s="1048">
        <v>90250</v>
      </c>
      <c r="I19" s="1049"/>
      <c r="J19" s="1049"/>
      <c r="K19" s="1050" t="s">
        <v>1268</v>
      </c>
    </row>
    <row r="20" spans="2:11" ht="15" customHeight="1" x14ac:dyDescent="0.25">
      <c r="B20" s="1750"/>
      <c r="D20" s="1745" t="s">
        <v>16</v>
      </c>
      <c r="E20" s="1746" t="s">
        <v>149</v>
      </c>
      <c r="G20" s="86" t="s">
        <v>145</v>
      </c>
      <c r="H20" s="131">
        <f>SUM(H21:H22)</f>
        <v>22410.000272350058</v>
      </c>
      <c r="I20" s="87"/>
      <c r="J20" s="87"/>
      <c r="K20" s="88"/>
    </row>
    <row r="21" spans="2:11" x14ac:dyDescent="0.25">
      <c r="B21" s="1750"/>
      <c r="D21" s="1740"/>
      <c r="E21" s="1747"/>
      <c r="G21" s="30" t="s">
        <v>23</v>
      </c>
      <c r="H21" s="126">
        <f>SUM(H23,-H22)</f>
        <v>22410.000272350058</v>
      </c>
      <c r="I21" s="10"/>
      <c r="J21" s="10"/>
      <c r="K21" s="16"/>
    </row>
    <row r="22" spans="2:11" x14ac:dyDescent="0.25">
      <c r="B22" s="1750"/>
      <c r="D22" s="1740"/>
      <c r="E22" s="1747"/>
      <c r="G22" s="30" t="s">
        <v>24</v>
      </c>
      <c r="H22" s="126">
        <v>0</v>
      </c>
      <c r="I22" s="10"/>
      <c r="J22" s="10"/>
      <c r="K22" s="16"/>
    </row>
    <row r="23" spans="2:11" x14ac:dyDescent="0.25">
      <c r="B23" s="1750"/>
      <c r="D23" s="1740"/>
      <c r="E23" s="1747"/>
      <c r="G23" s="89" t="s">
        <v>146</v>
      </c>
      <c r="H23" s="132">
        <f>SUM(H24+H34)</f>
        <v>22410.000272350058</v>
      </c>
      <c r="I23" s="90"/>
      <c r="J23" s="90"/>
      <c r="K23" s="91"/>
    </row>
    <row r="24" spans="2:11" x14ac:dyDescent="0.25">
      <c r="B24" s="1750"/>
      <c r="D24" s="1740"/>
      <c r="E24" s="1747"/>
      <c r="G24" s="89" t="s">
        <v>25</v>
      </c>
      <c r="H24" s="132">
        <f>SUM(H25,H30,H33)</f>
        <v>1050.2002723500577</v>
      </c>
      <c r="I24" s="90"/>
      <c r="J24" s="90"/>
      <c r="K24" s="91"/>
    </row>
    <row r="25" spans="2:11" x14ac:dyDescent="0.25">
      <c r="B25" s="1750"/>
      <c r="D25" s="1740"/>
      <c r="E25" s="1747"/>
      <c r="G25" s="89" t="s">
        <v>26</v>
      </c>
      <c r="H25" s="132">
        <f>SUM(H26:H29)</f>
        <v>986.41214235005782</v>
      </c>
      <c r="I25" s="90"/>
      <c r="J25" s="90"/>
      <c r="K25" s="91"/>
    </row>
    <row r="26" spans="2:11" x14ac:dyDescent="0.25">
      <c r="B26" s="1750"/>
      <c r="D26" s="1740"/>
      <c r="E26" s="1747"/>
      <c r="G26" s="30" t="s">
        <v>27</v>
      </c>
      <c r="H26" s="126">
        <v>0</v>
      </c>
      <c r="I26" s="10"/>
      <c r="J26" s="10"/>
      <c r="K26" s="16"/>
    </row>
    <row r="27" spans="2:11" ht="30" x14ac:dyDescent="0.25">
      <c r="B27" s="1750"/>
      <c r="D27" s="1740"/>
      <c r="E27" s="1747"/>
      <c r="G27" s="30" t="s">
        <v>28</v>
      </c>
      <c r="H27" s="747">
        <f>+('RBM&amp;E-2017_S'!U$32*100%)</f>
        <v>986.41214235005782</v>
      </c>
      <c r="I27" s="10"/>
      <c r="J27" s="10"/>
      <c r="K27" s="16" t="s">
        <v>1295</v>
      </c>
    </row>
    <row r="28" spans="2:11" x14ac:dyDescent="0.25">
      <c r="B28" s="1750"/>
      <c r="D28" s="1740"/>
      <c r="E28" s="1747"/>
      <c r="G28" s="30" t="s">
        <v>29</v>
      </c>
      <c r="H28" s="126">
        <v>0</v>
      </c>
      <c r="I28" s="10"/>
      <c r="J28" s="10"/>
      <c r="K28" s="16"/>
    </row>
    <row r="29" spans="2:11" x14ac:dyDescent="0.25">
      <c r="B29" s="1750"/>
      <c r="D29" s="1740"/>
      <c r="E29" s="1747"/>
      <c r="G29" s="30" t="s">
        <v>30</v>
      </c>
      <c r="H29" s="126">
        <v>0</v>
      </c>
      <c r="I29" s="10"/>
      <c r="J29" s="10"/>
      <c r="K29" s="16"/>
    </row>
    <row r="30" spans="2:11" ht="15" customHeight="1" x14ac:dyDescent="0.25">
      <c r="B30" s="1750"/>
      <c r="D30" s="1740"/>
      <c r="E30" s="1747"/>
      <c r="G30" s="89" t="s">
        <v>31</v>
      </c>
      <c r="H30" s="132">
        <v>63.788130000000002</v>
      </c>
      <c r="I30" s="90"/>
      <c r="J30" s="90"/>
      <c r="K30" s="91" t="s">
        <v>1318</v>
      </c>
    </row>
    <row r="31" spans="2:11" ht="15" customHeight="1" x14ac:dyDescent="0.25">
      <c r="B31" s="1750"/>
      <c r="D31" s="1740"/>
      <c r="E31" s="1747"/>
      <c r="G31" s="30" t="s">
        <v>640</v>
      </c>
      <c r="H31" s="126"/>
      <c r="I31" s="10"/>
      <c r="J31" s="10"/>
      <c r="K31" s="16"/>
    </row>
    <row r="32" spans="2:11" ht="15" customHeight="1" x14ac:dyDescent="0.25">
      <c r="B32" s="1750"/>
      <c r="D32" s="1740"/>
      <c r="E32" s="1747"/>
      <c r="G32" s="30" t="s">
        <v>641</v>
      </c>
      <c r="H32" s="126">
        <f>SUM(H30,-H31)</f>
        <v>63.788130000000002</v>
      </c>
      <c r="I32" s="10"/>
      <c r="J32" s="10"/>
      <c r="K32" s="16"/>
    </row>
    <row r="33" spans="2:11" x14ac:dyDescent="0.25">
      <c r="B33" s="1750"/>
      <c r="D33" s="1740"/>
      <c r="E33" s="1747"/>
      <c r="G33" s="1043" t="s">
        <v>32</v>
      </c>
      <c r="H33" s="1036">
        <v>0</v>
      </c>
      <c r="I33" s="1044"/>
      <c r="J33" s="1044"/>
      <c r="K33" s="1045"/>
    </row>
    <row r="34" spans="2:11" x14ac:dyDescent="0.25">
      <c r="B34" s="1750"/>
      <c r="D34" s="1740"/>
      <c r="E34" s="1747"/>
      <c r="G34" s="89" t="s">
        <v>33</v>
      </c>
      <c r="H34" s="132">
        <f>SUM(H35:H36)</f>
        <v>21359.8</v>
      </c>
      <c r="I34" s="90"/>
      <c r="J34" s="90"/>
      <c r="K34" s="91"/>
    </row>
    <row r="35" spans="2:11" x14ac:dyDescent="0.25">
      <c r="B35" s="1750"/>
      <c r="D35" s="1740"/>
      <c r="E35" s="1747"/>
      <c r="G35" s="30" t="s">
        <v>34</v>
      </c>
      <c r="H35" s="126">
        <v>21359.8</v>
      </c>
      <c r="I35" s="10"/>
      <c r="J35" s="10"/>
      <c r="K35" s="16" t="s">
        <v>1268</v>
      </c>
    </row>
    <row r="36" spans="2:11" x14ac:dyDescent="0.25">
      <c r="B36" s="1750"/>
      <c r="D36" s="1740"/>
      <c r="E36" s="1747"/>
      <c r="G36" s="30" t="s">
        <v>35</v>
      </c>
      <c r="H36" s="126">
        <v>0</v>
      </c>
      <c r="I36" s="10"/>
      <c r="J36" s="10"/>
      <c r="K36" s="16"/>
    </row>
    <row r="37" spans="2:11" ht="15.75" thickBot="1" x14ac:dyDescent="0.3">
      <c r="B37" s="1750"/>
      <c r="D37" s="1741"/>
      <c r="E37" s="1748"/>
      <c r="G37" s="1047" t="s">
        <v>36</v>
      </c>
      <c r="H37" s="1048">
        <v>0</v>
      </c>
      <c r="I37" s="1049"/>
      <c r="J37" s="1049"/>
      <c r="K37" s="1050"/>
    </row>
    <row r="38" spans="2:11" ht="15" customHeight="1" x14ac:dyDescent="0.25">
      <c r="B38" s="1750"/>
      <c r="D38" s="1745" t="s">
        <v>160</v>
      </c>
      <c r="E38" s="1746" t="s">
        <v>150</v>
      </c>
      <c r="G38" s="86" t="s">
        <v>145</v>
      </c>
      <c r="H38" s="131">
        <f>SUM(H39:H40)</f>
        <v>23937.981051793297</v>
      </c>
      <c r="I38" s="87"/>
      <c r="J38" s="87"/>
      <c r="K38" s="88"/>
    </row>
    <row r="39" spans="2:11" x14ac:dyDescent="0.25">
      <c r="B39" s="1750"/>
      <c r="D39" s="1740"/>
      <c r="E39" s="1747"/>
      <c r="G39" s="30" t="s">
        <v>23</v>
      </c>
      <c r="H39" s="126">
        <f>SUM(H41,-H40)</f>
        <v>23852.206051793295</v>
      </c>
      <c r="I39" s="10"/>
      <c r="J39" s="10"/>
      <c r="K39" s="16" t="s">
        <v>1268</v>
      </c>
    </row>
    <row r="40" spans="2:11" x14ac:dyDescent="0.25">
      <c r="B40" s="1750"/>
      <c r="D40" s="1740"/>
      <c r="E40" s="1747"/>
      <c r="G40" s="30" t="s">
        <v>24</v>
      </c>
      <c r="H40" s="126">
        <v>85.774999999999991</v>
      </c>
      <c r="I40" s="10"/>
      <c r="J40" s="10"/>
      <c r="K40" s="16" t="s">
        <v>1268</v>
      </c>
    </row>
    <row r="41" spans="2:11" x14ac:dyDescent="0.25">
      <c r="B41" s="1750"/>
      <c r="D41" s="1740"/>
      <c r="E41" s="1747"/>
      <c r="G41" s="89" t="s">
        <v>146</v>
      </c>
      <c r="H41" s="132">
        <f>SUM(H42+H52)</f>
        <v>23937.981051793297</v>
      </c>
      <c r="I41" s="90"/>
      <c r="J41" s="90"/>
      <c r="K41" s="91"/>
    </row>
    <row r="42" spans="2:11" x14ac:dyDescent="0.25">
      <c r="B42" s="1750"/>
      <c r="D42" s="1740"/>
      <c r="E42" s="1747"/>
      <c r="G42" s="89" t="s">
        <v>25</v>
      </c>
      <c r="H42" s="132">
        <f>SUM(H43,H48,H51)</f>
        <v>23909.781051793296</v>
      </c>
      <c r="I42" s="90"/>
      <c r="J42" s="90"/>
      <c r="K42" s="91"/>
    </row>
    <row r="43" spans="2:11" x14ac:dyDescent="0.25">
      <c r="B43" s="1750"/>
      <c r="D43" s="1740"/>
      <c r="E43" s="1747"/>
      <c r="G43" s="89" t="s">
        <v>26</v>
      </c>
      <c r="H43" s="132">
        <f>SUM(H44:H47)</f>
        <v>15026.920891167292</v>
      </c>
      <c r="I43" s="90"/>
      <c r="J43" s="90"/>
      <c r="K43" s="91"/>
    </row>
    <row r="44" spans="2:11" x14ac:dyDescent="0.25">
      <c r="B44" s="1750"/>
      <c r="D44" s="1740"/>
      <c r="E44" s="1747"/>
      <c r="G44" s="30" t="s">
        <v>27</v>
      </c>
      <c r="H44" s="126">
        <v>0</v>
      </c>
      <c r="I44" s="10"/>
      <c r="J44" s="10"/>
      <c r="K44" s="16"/>
    </row>
    <row r="45" spans="2:11" ht="45" x14ac:dyDescent="0.25">
      <c r="B45" s="1750"/>
      <c r="D45" s="1740"/>
      <c r="E45" s="1747"/>
      <c r="G45" s="30" t="s">
        <v>28</v>
      </c>
      <c r="H45" s="747">
        <f>+('RBM&amp;E-2017_S'!U$28*100%)+(0)</f>
        <v>11597.228992877795</v>
      </c>
      <c r="I45" s="10"/>
      <c r="J45" s="10"/>
      <c r="K45" s="16" t="s">
        <v>1308</v>
      </c>
    </row>
    <row r="46" spans="2:11" x14ac:dyDescent="0.25">
      <c r="B46" s="1750"/>
      <c r="D46" s="1740"/>
      <c r="E46" s="1747"/>
      <c r="G46" s="30" t="s">
        <v>29</v>
      </c>
      <c r="H46" s="126">
        <v>0</v>
      </c>
      <c r="I46" s="10"/>
      <c r="J46" s="10"/>
      <c r="K46" s="16"/>
    </row>
    <row r="47" spans="2:11" x14ac:dyDescent="0.25">
      <c r="B47" s="1750"/>
      <c r="D47" s="1740"/>
      <c r="E47" s="1747"/>
      <c r="G47" s="30" t="s">
        <v>30</v>
      </c>
      <c r="H47" s="747">
        <f>+('RBM&amp;E-2017_S'!U$31*50%)</f>
        <v>3429.6918982894967</v>
      </c>
      <c r="I47" s="10"/>
      <c r="J47" s="10"/>
      <c r="K47" s="16" t="s">
        <v>1310</v>
      </c>
    </row>
    <row r="48" spans="2:11" x14ac:dyDescent="0.25">
      <c r="B48" s="1750"/>
      <c r="D48" s="1740"/>
      <c r="E48" s="1747"/>
      <c r="G48" s="89" t="s">
        <v>31</v>
      </c>
      <c r="H48" s="1036">
        <f>SUM(H49:H50)</f>
        <v>8882.8601606260054</v>
      </c>
      <c r="I48" s="90"/>
      <c r="J48" s="90"/>
      <c r="K48" s="91" t="s">
        <v>1307</v>
      </c>
    </row>
    <row r="49" spans="2:11" ht="195" x14ac:dyDescent="0.25">
      <c r="B49" s="1750"/>
      <c r="D49" s="1740"/>
      <c r="E49" s="1747"/>
      <c r="G49" s="30" t="s">
        <v>640</v>
      </c>
      <c r="H49" s="747">
        <f>+('RBM&amp;E-2017_S'!U$27*30%)+('RBM&amp;E-2017_S'!U$31*25%)</f>
        <v>3314.2872253507335</v>
      </c>
      <c r="I49" s="10"/>
      <c r="J49" s="10"/>
      <c r="K49" s="16" t="s">
        <v>1309</v>
      </c>
    </row>
    <row r="50" spans="2:11" ht="195" x14ac:dyDescent="0.25">
      <c r="B50" s="1750"/>
      <c r="D50" s="1740"/>
      <c r="E50" s="1747"/>
      <c r="G50" s="30" t="s">
        <v>641</v>
      </c>
      <c r="H50" s="747">
        <f>+('RBM&amp;E-2017_S'!U$33*10%)+('RBM&amp;E-2017_S'!U$31*25%)</f>
        <v>5568.5729352752714</v>
      </c>
      <c r="I50" s="10"/>
      <c r="J50" s="10"/>
      <c r="K50" s="16" t="s">
        <v>1294</v>
      </c>
    </row>
    <row r="51" spans="2:11" x14ac:dyDescent="0.25">
      <c r="B51" s="1750"/>
      <c r="D51" s="1740"/>
      <c r="E51" s="1747"/>
      <c r="G51" s="1043" t="s">
        <v>32</v>
      </c>
      <c r="H51" s="1036">
        <v>0</v>
      </c>
      <c r="I51" s="1044"/>
      <c r="J51" s="1044"/>
      <c r="K51" s="1045"/>
    </row>
    <row r="52" spans="2:11" x14ac:dyDescent="0.25">
      <c r="B52" s="1750"/>
      <c r="D52" s="1740"/>
      <c r="E52" s="1747"/>
      <c r="G52" s="89" t="s">
        <v>33</v>
      </c>
      <c r="H52" s="132">
        <f>SUM(H53:H54)</f>
        <v>28.2</v>
      </c>
      <c r="I52" s="90"/>
      <c r="J52" s="90"/>
      <c r="K52" s="91"/>
    </row>
    <row r="53" spans="2:11" x14ac:dyDescent="0.25">
      <c r="B53" s="1750"/>
      <c r="D53" s="1740"/>
      <c r="E53" s="1747"/>
      <c r="G53" s="30" t="s">
        <v>34</v>
      </c>
      <c r="H53" s="126">
        <v>28.2</v>
      </c>
      <c r="I53" s="10"/>
      <c r="J53" s="10"/>
      <c r="K53" s="16" t="s">
        <v>1268</v>
      </c>
    </row>
    <row r="54" spans="2:11" x14ac:dyDescent="0.25">
      <c r="B54" s="1750"/>
      <c r="D54" s="1740"/>
      <c r="E54" s="1747"/>
      <c r="G54" s="30" t="s">
        <v>35</v>
      </c>
      <c r="H54" s="126">
        <v>0</v>
      </c>
      <c r="I54" s="10"/>
      <c r="J54" s="10"/>
      <c r="K54" s="16"/>
    </row>
    <row r="55" spans="2:11" ht="15.75" thickBot="1" x14ac:dyDescent="0.3">
      <c r="B55" s="1750"/>
      <c r="D55" s="1741"/>
      <c r="E55" s="1748"/>
      <c r="G55" s="1047" t="s">
        <v>36</v>
      </c>
      <c r="H55" s="1048">
        <v>642763.78523033194</v>
      </c>
      <c r="I55" s="1049"/>
      <c r="J55" s="1049"/>
      <c r="K55" s="1050" t="s">
        <v>1268</v>
      </c>
    </row>
    <row r="56" spans="2:11" ht="15" customHeight="1" x14ac:dyDescent="0.25">
      <c r="B56" s="1750"/>
      <c r="D56" s="1739">
        <v>35</v>
      </c>
      <c r="E56" s="1746" t="s">
        <v>151</v>
      </c>
      <c r="G56" s="86" t="s">
        <v>145</v>
      </c>
      <c r="H56" s="131">
        <f>SUM(H57:H58)</f>
        <v>345951.26144545968</v>
      </c>
      <c r="I56" s="87"/>
      <c r="J56" s="87"/>
      <c r="K56" s="88"/>
    </row>
    <row r="57" spans="2:11" ht="90" x14ac:dyDescent="0.25">
      <c r="B57" s="1750"/>
      <c r="D57" s="1740"/>
      <c r="E57" s="1747"/>
      <c r="G57" s="30" t="s">
        <v>23</v>
      </c>
      <c r="H57" s="126">
        <f>SUM(H59,-H58)</f>
        <v>345951.26144545968</v>
      </c>
      <c r="I57" s="10"/>
      <c r="J57" s="10"/>
      <c r="K57" s="16" t="s">
        <v>1378</v>
      </c>
    </row>
    <row r="58" spans="2:11" x14ac:dyDescent="0.25">
      <c r="B58" s="1750"/>
      <c r="D58" s="1740"/>
      <c r="E58" s="1747"/>
      <c r="G58" s="30" t="s">
        <v>24</v>
      </c>
      <c r="H58" s="126">
        <v>0</v>
      </c>
      <c r="I58" s="10"/>
      <c r="J58" s="10"/>
      <c r="K58" s="16"/>
    </row>
    <row r="59" spans="2:11" x14ac:dyDescent="0.25">
      <c r="B59" s="1750"/>
      <c r="D59" s="1740"/>
      <c r="E59" s="1747"/>
      <c r="G59" s="89" t="s">
        <v>146</v>
      </c>
      <c r="H59" s="132">
        <f>SUM(H60+H70)</f>
        <v>345951.26144545968</v>
      </c>
      <c r="I59" s="90"/>
      <c r="J59" s="90"/>
      <c r="K59" s="91"/>
    </row>
    <row r="60" spans="2:11" x14ac:dyDescent="0.25">
      <c r="B60" s="1750"/>
      <c r="D60" s="1740"/>
      <c r="E60" s="1747"/>
      <c r="G60" s="89" t="s">
        <v>25</v>
      </c>
      <c r="H60" s="132">
        <f>SUM(H61,H66,H69)</f>
        <v>345951.26144545968</v>
      </c>
      <c r="I60" s="90"/>
      <c r="J60" s="90"/>
      <c r="K60" s="91"/>
    </row>
    <row r="61" spans="2:11" x14ac:dyDescent="0.25">
      <c r="B61" s="1750"/>
      <c r="D61" s="1740"/>
      <c r="E61" s="1747"/>
      <c r="G61" s="89" t="s">
        <v>26</v>
      </c>
      <c r="H61" s="132">
        <f>SUM(H62:H65)</f>
        <v>345951.26144545968</v>
      </c>
      <c r="I61" s="90"/>
      <c r="J61" s="90"/>
      <c r="K61" s="91"/>
    </row>
    <row r="62" spans="2:11" x14ac:dyDescent="0.25">
      <c r="B62" s="1750"/>
      <c r="D62" s="1740"/>
      <c r="E62" s="1747"/>
      <c r="G62" s="30" t="s">
        <v>27</v>
      </c>
      <c r="H62" s="126">
        <v>0</v>
      </c>
      <c r="I62" s="10"/>
      <c r="J62" s="10"/>
      <c r="K62" s="16"/>
    </row>
    <row r="63" spans="2:11" ht="90" x14ac:dyDescent="0.25">
      <c r="B63" s="1750"/>
      <c r="D63" s="1740"/>
      <c r="E63" s="1747"/>
      <c r="G63" s="30" t="s">
        <v>28</v>
      </c>
      <c r="H63" s="747">
        <f>+(('RBM&amp;E-2017_S'!U29)*100%)</f>
        <v>148870.66965194378</v>
      </c>
      <c r="I63" s="10"/>
      <c r="J63" s="10"/>
      <c r="K63" s="16" t="s">
        <v>1311</v>
      </c>
    </row>
    <row r="64" spans="2:11" ht="75" x14ac:dyDescent="0.25">
      <c r="B64" s="1750"/>
      <c r="D64" s="1740"/>
      <c r="E64" s="1747"/>
      <c r="G64" s="30" t="s">
        <v>29</v>
      </c>
      <c r="H64" s="747">
        <f>+(('RBM&amp;E-2017_S'!U30)*100%)</f>
        <v>197080.59179351589</v>
      </c>
      <c r="I64" s="10"/>
      <c r="J64" s="10"/>
      <c r="K64" s="16" t="s">
        <v>1312</v>
      </c>
    </row>
    <row r="65" spans="2:11" x14ac:dyDescent="0.25">
      <c r="B65" s="1750"/>
      <c r="D65" s="1740"/>
      <c r="E65" s="1747"/>
      <c r="G65" s="30" t="s">
        <v>30</v>
      </c>
      <c r="H65" s="1034">
        <v>0</v>
      </c>
      <c r="I65" s="10"/>
      <c r="J65" s="10"/>
      <c r="K65" s="16"/>
    </row>
    <row r="66" spans="2:11" x14ac:dyDescent="0.25">
      <c r="B66" s="1750"/>
      <c r="D66" s="1740"/>
      <c r="E66" s="1747"/>
      <c r="G66" s="89" t="s">
        <v>31</v>
      </c>
      <c r="H66" s="1036">
        <f>SUM(H67:H68)</f>
        <v>0</v>
      </c>
      <c r="I66" s="90"/>
      <c r="J66" s="90"/>
      <c r="K66" s="91"/>
    </row>
    <row r="67" spans="2:11" x14ac:dyDescent="0.25">
      <c r="B67" s="1750"/>
      <c r="D67" s="1740"/>
      <c r="E67" s="1747"/>
      <c r="G67" s="30" t="s">
        <v>640</v>
      </c>
      <c r="H67" s="747"/>
      <c r="I67" s="10"/>
      <c r="J67" s="10"/>
      <c r="K67" s="16"/>
    </row>
    <row r="68" spans="2:11" x14ac:dyDescent="0.25">
      <c r="B68" s="1750"/>
      <c r="D68" s="1740"/>
      <c r="E68" s="1747"/>
      <c r="G68" s="30" t="s">
        <v>641</v>
      </c>
      <c r="H68" s="126"/>
      <c r="I68" s="10"/>
      <c r="J68" s="10"/>
      <c r="K68" s="16"/>
    </row>
    <row r="69" spans="2:11" x14ac:dyDescent="0.25">
      <c r="B69" s="1750"/>
      <c r="D69" s="1740"/>
      <c r="E69" s="1747"/>
      <c r="G69" s="1043" t="s">
        <v>32</v>
      </c>
      <c r="H69" s="1036">
        <v>0</v>
      </c>
      <c r="I69" s="1044"/>
      <c r="J69" s="1044"/>
      <c r="K69" s="1045"/>
    </row>
    <row r="70" spans="2:11" x14ac:dyDescent="0.25">
      <c r="B70" s="1750"/>
      <c r="D70" s="1740"/>
      <c r="E70" s="1747"/>
      <c r="G70" s="89" t="s">
        <v>33</v>
      </c>
      <c r="H70" s="132">
        <f>SUM(H71:H72)</f>
        <v>0</v>
      </c>
      <c r="I70" s="90"/>
      <c r="J70" s="90"/>
      <c r="K70" s="91"/>
    </row>
    <row r="71" spans="2:11" x14ac:dyDescent="0.25">
      <c r="B71" s="1750"/>
      <c r="D71" s="1740"/>
      <c r="E71" s="1747"/>
      <c r="G71" s="30" t="s">
        <v>34</v>
      </c>
      <c r="H71" s="126">
        <v>0</v>
      </c>
      <c r="I71" s="10"/>
      <c r="J71" s="10"/>
      <c r="K71" s="16"/>
    </row>
    <row r="72" spans="2:11" x14ac:dyDescent="0.25">
      <c r="B72" s="1750"/>
      <c r="D72" s="1740"/>
      <c r="E72" s="1747"/>
      <c r="G72" s="30" t="s">
        <v>35</v>
      </c>
      <c r="H72" s="126">
        <v>0</v>
      </c>
      <c r="I72" s="10"/>
      <c r="J72" s="10"/>
      <c r="K72" s="16"/>
    </row>
    <row r="73" spans="2:11" ht="15.75" thickBot="1" x14ac:dyDescent="0.3">
      <c r="B73" s="1750"/>
      <c r="D73" s="1741"/>
      <c r="E73" s="1748"/>
      <c r="G73" s="1047" t="s">
        <v>36</v>
      </c>
      <c r="H73" s="1048">
        <v>0</v>
      </c>
      <c r="I73" s="1049"/>
      <c r="J73" s="1049"/>
      <c r="K73" s="1050"/>
    </row>
    <row r="74" spans="2:11" ht="15" customHeight="1" x14ac:dyDescent="0.25">
      <c r="B74" s="1750"/>
      <c r="D74" s="1745" t="s">
        <v>18</v>
      </c>
      <c r="E74" s="1746" t="s">
        <v>152</v>
      </c>
      <c r="G74" s="86" t="s">
        <v>145</v>
      </c>
      <c r="H74" s="131">
        <f>SUM(H75:H76)</f>
        <v>53273.830348271033</v>
      </c>
      <c r="I74" s="87"/>
      <c r="J74" s="87"/>
      <c r="K74" s="88"/>
    </row>
    <row r="75" spans="2:11" x14ac:dyDescent="0.25">
      <c r="B75" s="1750"/>
      <c r="D75" s="1740"/>
      <c r="E75" s="1747"/>
      <c r="G75" s="30" t="s">
        <v>23</v>
      </c>
      <c r="H75" s="126">
        <v>3212.9128000000001</v>
      </c>
      <c r="I75" s="10"/>
      <c r="J75" s="10"/>
      <c r="K75" s="16" t="s">
        <v>1296</v>
      </c>
    </row>
    <row r="76" spans="2:11" ht="195" x14ac:dyDescent="0.25">
      <c r="B76" s="1750"/>
      <c r="D76" s="1740"/>
      <c r="E76" s="1747"/>
      <c r="G76" s="30" t="s">
        <v>24</v>
      </c>
      <c r="H76" s="747">
        <f>+('RBM&amp;E-2017_S'!U$35*100%)-(3212.9128)</f>
        <v>50060.917548271034</v>
      </c>
      <c r="I76" s="10"/>
      <c r="J76" s="10"/>
      <c r="K76" s="16" t="s">
        <v>1297</v>
      </c>
    </row>
    <row r="77" spans="2:11" ht="195" x14ac:dyDescent="0.25">
      <c r="B77" s="1750"/>
      <c r="D77" s="1740"/>
      <c r="E77" s="1747"/>
      <c r="G77" s="89" t="s">
        <v>146</v>
      </c>
      <c r="H77" s="132">
        <f>SUM(H78+H88)</f>
        <v>53068.710693793837</v>
      </c>
      <c r="I77" s="90"/>
      <c r="J77" s="90"/>
      <c r="K77" s="91" t="s">
        <v>1298</v>
      </c>
    </row>
    <row r="78" spans="2:11" x14ac:dyDescent="0.25">
      <c r="B78" s="1750"/>
      <c r="D78" s="1740"/>
      <c r="E78" s="1747"/>
      <c r="G78" s="89" t="s">
        <v>25</v>
      </c>
      <c r="H78" s="132">
        <f>SUM(H79,H84,H87)</f>
        <v>53068.710693793837</v>
      </c>
      <c r="I78" s="90"/>
      <c r="J78" s="90"/>
      <c r="K78" s="91"/>
    </row>
    <row r="79" spans="2:11" x14ac:dyDescent="0.25">
      <c r="B79" s="1750"/>
      <c r="D79" s="1740"/>
      <c r="E79" s="1747"/>
      <c r="G79" s="89" t="s">
        <v>26</v>
      </c>
      <c r="H79" s="132">
        <f>SUM(H80:H83)</f>
        <v>41023.930895441081</v>
      </c>
      <c r="I79" s="90"/>
      <c r="J79" s="90"/>
      <c r="K79" s="91"/>
    </row>
    <row r="80" spans="2:11" ht="30" x14ac:dyDescent="0.25">
      <c r="B80" s="1750"/>
      <c r="D80" s="1740"/>
      <c r="E80" s="1747"/>
      <c r="G80" s="30" t="s">
        <v>27</v>
      </c>
      <c r="H80" s="126">
        <v>0</v>
      </c>
      <c r="I80" s="10"/>
      <c r="J80" s="10"/>
      <c r="K80" s="16" t="s">
        <v>503</v>
      </c>
    </row>
    <row r="81" spans="2:11" ht="75" x14ac:dyDescent="0.25">
      <c r="B81" s="1750"/>
      <c r="D81" s="1740"/>
      <c r="E81" s="1747"/>
      <c r="G81" s="30" t="s">
        <v>28</v>
      </c>
      <c r="H81" s="747">
        <f>+('RBM&amp;E-2017_S'!T$35*(31092229.6/40175607.8))</f>
        <v>41023.930895441081</v>
      </c>
      <c r="I81" s="10"/>
      <c r="J81" s="10"/>
      <c r="K81" s="16" t="s">
        <v>1299</v>
      </c>
    </row>
    <row r="82" spans="2:11" x14ac:dyDescent="0.25">
      <c r="B82" s="1750"/>
      <c r="D82" s="1740"/>
      <c r="E82" s="1747"/>
      <c r="G82" s="30" t="s">
        <v>29</v>
      </c>
      <c r="H82" s="126">
        <v>0</v>
      </c>
      <c r="I82" s="10"/>
      <c r="J82" s="10"/>
      <c r="K82" s="16"/>
    </row>
    <row r="83" spans="2:11" x14ac:dyDescent="0.25">
      <c r="B83" s="1750"/>
      <c r="D83" s="1740"/>
      <c r="E83" s="1747"/>
      <c r="G83" s="30" t="s">
        <v>30</v>
      </c>
      <c r="H83" s="126">
        <v>0</v>
      </c>
      <c r="I83" s="10"/>
      <c r="J83" s="10"/>
      <c r="K83" s="16"/>
    </row>
    <row r="84" spans="2:11" ht="120" x14ac:dyDescent="0.25">
      <c r="B84" s="1750"/>
      <c r="D84" s="1740"/>
      <c r="E84" s="1747"/>
      <c r="G84" s="89" t="s">
        <v>31</v>
      </c>
      <c r="H84" s="747">
        <f>+('RBM&amp;E-2017_S'!U$35*(9083378.2/40175607.8))</f>
        <v>12044.779798352758</v>
      </c>
      <c r="I84" s="90"/>
      <c r="J84" s="90"/>
      <c r="K84" s="91" t="s">
        <v>1319</v>
      </c>
    </row>
    <row r="85" spans="2:11" x14ac:dyDescent="0.25">
      <c r="B85" s="1750"/>
      <c r="D85" s="1740"/>
      <c r="E85" s="1747"/>
      <c r="G85" s="30" t="s">
        <v>640</v>
      </c>
      <c r="H85" s="126"/>
      <c r="I85" s="10"/>
      <c r="J85" s="10"/>
      <c r="K85" s="16" t="s">
        <v>1316</v>
      </c>
    </row>
    <row r="86" spans="2:11" x14ac:dyDescent="0.25">
      <c r="B86" s="1750"/>
      <c r="D86" s="1740"/>
      <c r="E86" s="1747"/>
      <c r="G86" s="30" t="s">
        <v>641</v>
      </c>
      <c r="H86" s="126">
        <f>SUM(H84,-H85)</f>
        <v>12044.779798352758</v>
      </c>
      <c r="I86" s="10"/>
      <c r="J86" s="10"/>
      <c r="K86" s="16" t="s">
        <v>1316</v>
      </c>
    </row>
    <row r="87" spans="2:11" x14ac:dyDescent="0.25">
      <c r="B87" s="1750"/>
      <c r="D87" s="1740"/>
      <c r="E87" s="1747"/>
      <c r="G87" s="1043" t="s">
        <v>32</v>
      </c>
      <c r="H87" s="1036">
        <v>0</v>
      </c>
      <c r="I87" s="1044"/>
      <c r="J87" s="1044"/>
      <c r="K87" s="1045"/>
    </row>
    <row r="88" spans="2:11" x14ac:dyDescent="0.25">
      <c r="B88" s="1750"/>
      <c r="D88" s="1740"/>
      <c r="E88" s="1747"/>
      <c r="G88" s="89" t="s">
        <v>33</v>
      </c>
      <c r="H88" s="132">
        <f>SUM(H89:H90)</f>
        <v>0</v>
      </c>
      <c r="I88" s="90"/>
      <c r="J88" s="90"/>
      <c r="K88" s="91"/>
    </row>
    <row r="89" spans="2:11" x14ac:dyDescent="0.25">
      <c r="B89" s="1750"/>
      <c r="D89" s="1740"/>
      <c r="E89" s="1747"/>
      <c r="G89" s="30" t="s">
        <v>34</v>
      </c>
      <c r="H89" s="126">
        <v>0</v>
      </c>
      <c r="I89" s="10"/>
      <c r="J89" s="10"/>
      <c r="K89" s="16"/>
    </row>
    <row r="90" spans="2:11" x14ac:dyDescent="0.25">
      <c r="B90" s="1750"/>
      <c r="D90" s="1740"/>
      <c r="E90" s="1747"/>
      <c r="G90" s="30" t="s">
        <v>35</v>
      </c>
      <c r="H90" s="126">
        <v>0</v>
      </c>
      <c r="I90" s="10"/>
      <c r="J90" s="10"/>
      <c r="K90" s="16"/>
    </row>
    <row r="91" spans="2:11" ht="15.75" thickBot="1" x14ac:dyDescent="0.3">
      <c r="B91" s="1750"/>
      <c r="D91" s="1741"/>
      <c r="E91" s="1748"/>
      <c r="G91" s="1047" t="s">
        <v>36</v>
      </c>
      <c r="H91" s="1048">
        <v>0</v>
      </c>
      <c r="I91" s="1049"/>
      <c r="J91" s="1049"/>
      <c r="K91" s="1050"/>
    </row>
    <row r="92" spans="2:11" ht="15" customHeight="1" x14ac:dyDescent="0.25">
      <c r="B92" s="1750"/>
      <c r="D92" s="1745"/>
      <c r="E92" s="1742" t="s">
        <v>615</v>
      </c>
      <c r="G92" s="86" t="s">
        <v>145</v>
      </c>
      <c r="H92" s="131">
        <f>SUM(H93:H94)</f>
        <v>0</v>
      </c>
      <c r="I92" s="87"/>
      <c r="J92" s="87"/>
      <c r="K92" s="88"/>
    </row>
    <row r="93" spans="2:11" x14ac:dyDescent="0.25">
      <c r="B93" s="1750"/>
      <c r="D93" s="1740"/>
      <c r="E93" s="1743"/>
      <c r="G93" s="30" t="s">
        <v>23</v>
      </c>
      <c r="H93" s="126"/>
      <c r="I93" s="10"/>
      <c r="J93" s="10"/>
      <c r="K93" s="16"/>
    </row>
    <row r="94" spans="2:11" x14ac:dyDescent="0.25">
      <c r="B94" s="1750"/>
      <c r="D94" s="1740"/>
      <c r="E94" s="1743"/>
      <c r="G94" s="30" t="s">
        <v>24</v>
      </c>
      <c r="H94" s="126"/>
      <c r="I94" s="10"/>
      <c r="J94" s="10"/>
      <c r="K94" s="16"/>
    </row>
    <row r="95" spans="2:11" x14ac:dyDescent="0.25">
      <c r="B95" s="1750"/>
      <c r="D95" s="1740"/>
      <c r="E95" s="1743"/>
      <c r="G95" s="89" t="s">
        <v>146</v>
      </c>
      <c r="H95" s="132">
        <f>SUM(H96+H106)</f>
        <v>0</v>
      </c>
      <c r="I95" s="90"/>
      <c r="J95" s="90"/>
      <c r="K95" s="91"/>
    </row>
    <row r="96" spans="2:11" x14ac:dyDescent="0.25">
      <c r="B96" s="1750"/>
      <c r="D96" s="1740"/>
      <c r="E96" s="1743"/>
      <c r="G96" s="89" t="s">
        <v>25</v>
      </c>
      <c r="H96" s="132">
        <f>SUM(H97,H102,H105)</f>
        <v>0</v>
      </c>
      <c r="I96" s="90"/>
      <c r="J96" s="90"/>
      <c r="K96" s="91"/>
    </row>
    <row r="97" spans="2:11" x14ac:dyDescent="0.25">
      <c r="B97" s="1750"/>
      <c r="D97" s="1740"/>
      <c r="E97" s="1743"/>
      <c r="G97" s="89" t="s">
        <v>26</v>
      </c>
      <c r="H97" s="132">
        <f>SUM(H98:H101)</f>
        <v>0</v>
      </c>
      <c r="I97" s="90"/>
      <c r="J97" s="90"/>
      <c r="K97" s="91"/>
    </row>
    <row r="98" spans="2:11" x14ac:dyDescent="0.25">
      <c r="B98" s="1750"/>
      <c r="D98" s="1740"/>
      <c r="E98" s="1743"/>
      <c r="G98" s="30" t="s">
        <v>27</v>
      </c>
      <c r="H98" s="126"/>
      <c r="I98" s="10"/>
      <c r="J98" s="10"/>
      <c r="K98" s="16"/>
    </row>
    <row r="99" spans="2:11" x14ac:dyDescent="0.25">
      <c r="B99" s="1750"/>
      <c r="D99" s="1740"/>
      <c r="E99" s="1743"/>
      <c r="G99" s="30" t="s">
        <v>28</v>
      </c>
      <c r="H99" s="126"/>
      <c r="I99" s="10"/>
      <c r="J99" s="10"/>
      <c r="K99" s="16"/>
    </row>
    <row r="100" spans="2:11" x14ac:dyDescent="0.25">
      <c r="B100" s="1750"/>
      <c r="D100" s="1740"/>
      <c r="E100" s="1743"/>
      <c r="G100" s="30" t="s">
        <v>29</v>
      </c>
      <c r="H100" s="126"/>
      <c r="I100" s="10"/>
      <c r="J100" s="10"/>
      <c r="K100" s="16"/>
    </row>
    <row r="101" spans="2:11" x14ac:dyDescent="0.25">
      <c r="B101" s="1750"/>
      <c r="D101" s="1740"/>
      <c r="E101" s="1743"/>
      <c r="G101" s="30" t="s">
        <v>30</v>
      </c>
      <c r="H101" s="126"/>
      <c r="I101" s="10"/>
      <c r="J101" s="10"/>
      <c r="K101" s="16"/>
    </row>
    <row r="102" spans="2:11" x14ac:dyDescent="0.25">
      <c r="B102" s="1750"/>
      <c r="D102" s="1740"/>
      <c r="E102" s="1743"/>
      <c r="G102" s="89" t="s">
        <v>31</v>
      </c>
      <c r="H102" s="1036">
        <f>SUM(H103:H104)</f>
        <v>0</v>
      </c>
      <c r="I102" s="90"/>
      <c r="J102" s="90"/>
      <c r="K102" s="91"/>
    </row>
    <row r="103" spans="2:11" x14ac:dyDescent="0.25">
      <c r="B103" s="1750"/>
      <c r="D103" s="1740"/>
      <c r="E103" s="1743"/>
      <c r="G103" s="30" t="s">
        <v>640</v>
      </c>
      <c r="H103" s="126"/>
      <c r="I103" s="10"/>
      <c r="J103" s="10"/>
      <c r="K103" s="16"/>
    </row>
    <row r="104" spans="2:11" x14ac:dyDescent="0.25">
      <c r="B104" s="1750"/>
      <c r="D104" s="1740"/>
      <c r="E104" s="1743"/>
      <c r="G104" s="30" t="s">
        <v>641</v>
      </c>
      <c r="H104" s="126"/>
      <c r="I104" s="10"/>
      <c r="J104" s="10"/>
      <c r="K104" s="16"/>
    </row>
    <row r="105" spans="2:11" x14ac:dyDescent="0.25">
      <c r="B105" s="1750"/>
      <c r="D105" s="1740"/>
      <c r="E105" s="1743"/>
      <c r="G105" s="1043" t="s">
        <v>32</v>
      </c>
      <c r="H105" s="1036"/>
      <c r="I105" s="1044"/>
      <c r="J105" s="1044"/>
      <c r="K105" s="1045"/>
    </row>
    <row r="106" spans="2:11" x14ac:dyDescent="0.25">
      <c r="B106" s="1750"/>
      <c r="D106" s="1740"/>
      <c r="E106" s="1743"/>
      <c r="G106" s="89" t="s">
        <v>33</v>
      </c>
      <c r="H106" s="132">
        <f>SUM(H107:H108)</f>
        <v>0</v>
      </c>
      <c r="I106" s="90"/>
      <c r="J106" s="90"/>
      <c r="K106" s="91"/>
    </row>
    <row r="107" spans="2:11" x14ac:dyDescent="0.25">
      <c r="B107" s="1750"/>
      <c r="D107" s="1740"/>
      <c r="E107" s="1743"/>
      <c r="G107" s="30" t="s">
        <v>34</v>
      </c>
      <c r="H107" s="126"/>
      <c r="I107" s="10"/>
      <c r="J107" s="10"/>
      <c r="K107" s="16"/>
    </row>
    <row r="108" spans="2:11" x14ac:dyDescent="0.25">
      <c r="B108" s="1750"/>
      <c r="D108" s="1740"/>
      <c r="E108" s="1743"/>
      <c r="G108" s="30" t="s">
        <v>35</v>
      </c>
      <c r="H108" s="126"/>
      <c r="I108" s="10"/>
      <c r="J108" s="10"/>
      <c r="K108" s="16"/>
    </row>
    <row r="109" spans="2:11" ht="15.75" thickBot="1" x14ac:dyDescent="0.3">
      <c r="B109" s="1750"/>
      <c r="D109" s="1741"/>
      <c r="E109" s="1744"/>
      <c r="G109" s="1047" t="s">
        <v>36</v>
      </c>
      <c r="H109" s="1048"/>
      <c r="I109" s="1049"/>
      <c r="J109" s="1049"/>
      <c r="K109" s="1050"/>
    </row>
    <row r="110" spans="2:11" ht="15" customHeight="1" x14ac:dyDescent="0.25">
      <c r="B110" s="1750"/>
      <c r="D110" s="1745"/>
      <c r="E110" s="1742" t="s">
        <v>616</v>
      </c>
      <c r="G110" s="86" t="s">
        <v>145</v>
      </c>
      <c r="H110" s="131">
        <f>SUM(H111:H112)</f>
        <v>0</v>
      </c>
      <c r="I110" s="87"/>
      <c r="J110" s="87"/>
      <c r="K110" s="88"/>
    </row>
    <row r="111" spans="2:11" x14ac:dyDescent="0.25">
      <c r="B111" s="1750"/>
      <c r="D111" s="1740"/>
      <c r="E111" s="1743"/>
      <c r="G111" s="30" t="s">
        <v>23</v>
      </c>
      <c r="H111" s="126"/>
      <c r="I111" s="10"/>
      <c r="J111" s="10"/>
      <c r="K111" s="16"/>
    </row>
    <row r="112" spans="2:11" x14ac:dyDescent="0.25">
      <c r="B112" s="1750"/>
      <c r="D112" s="1740"/>
      <c r="E112" s="1743"/>
      <c r="G112" s="30" t="s">
        <v>24</v>
      </c>
      <c r="H112" s="126"/>
      <c r="I112" s="10"/>
      <c r="J112" s="10"/>
      <c r="K112" s="16"/>
    </row>
    <row r="113" spans="2:11" x14ac:dyDescent="0.25">
      <c r="B113" s="1750"/>
      <c r="D113" s="1740"/>
      <c r="E113" s="1743"/>
      <c r="G113" s="89" t="s">
        <v>146</v>
      </c>
      <c r="H113" s="132">
        <f>SUM(H114+H124)</f>
        <v>0</v>
      </c>
      <c r="I113" s="90"/>
      <c r="J113" s="90"/>
      <c r="K113" s="91"/>
    </row>
    <row r="114" spans="2:11" x14ac:dyDescent="0.25">
      <c r="B114" s="1750"/>
      <c r="D114" s="1740"/>
      <c r="E114" s="1743"/>
      <c r="G114" s="89" t="s">
        <v>25</v>
      </c>
      <c r="H114" s="132">
        <f>SUM(H115,H120,H123)</f>
        <v>0</v>
      </c>
      <c r="I114" s="90"/>
      <c r="J114" s="90"/>
      <c r="K114" s="91"/>
    </row>
    <row r="115" spans="2:11" x14ac:dyDescent="0.25">
      <c r="B115" s="1750"/>
      <c r="D115" s="1740"/>
      <c r="E115" s="1743"/>
      <c r="G115" s="89" t="s">
        <v>26</v>
      </c>
      <c r="H115" s="132">
        <f>SUM(H116:H119)</f>
        <v>0</v>
      </c>
      <c r="I115" s="90"/>
      <c r="J115" s="90"/>
      <c r="K115" s="91"/>
    </row>
    <row r="116" spans="2:11" x14ac:dyDescent="0.25">
      <c r="B116" s="1750"/>
      <c r="D116" s="1740"/>
      <c r="E116" s="1743"/>
      <c r="G116" s="30" t="s">
        <v>27</v>
      </c>
      <c r="H116" s="126"/>
      <c r="I116" s="10"/>
      <c r="J116" s="10"/>
      <c r="K116" s="16"/>
    </row>
    <row r="117" spans="2:11" x14ac:dyDescent="0.25">
      <c r="B117" s="1750"/>
      <c r="D117" s="1740"/>
      <c r="E117" s="1743"/>
      <c r="G117" s="30" t="s">
        <v>28</v>
      </c>
      <c r="H117" s="126"/>
      <c r="I117" s="10"/>
      <c r="J117" s="10"/>
      <c r="K117" s="16"/>
    </row>
    <row r="118" spans="2:11" x14ac:dyDescent="0.25">
      <c r="B118" s="1750"/>
      <c r="D118" s="1740"/>
      <c r="E118" s="1743"/>
      <c r="G118" s="30" t="s">
        <v>29</v>
      </c>
      <c r="H118" s="126"/>
      <c r="I118" s="10"/>
      <c r="J118" s="10"/>
      <c r="K118" s="16"/>
    </row>
    <row r="119" spans="2:11" x14ac:dyDescent="0.25">
      <c r="B119" s="1750"/>
      <c r="D119" s="1740"/>
      <c r="E119" s="1743"/>
      <c r="G119" s="30" t="s">
        <v>30</v>
      </c>
      <c r="H119" s="126"/>
      <c r="I119" s="10"/>
      <c r="J119" s="10"/>
      <c r="K119" s="16"/>
    </row>
    <row r="120" spans="2:11" x14ac:dyDescent="0.25">
      <c r="B120" s="1750"/>
      <c r="D120" s="1740"/>
      <c r="E120" s="1743"/>
      <c r="G120" s="89" t="s">
        <v>31</v>
      </c>
      <c r="H120" s="1036">
        <f>SUM(H121:H122)</f>
        <v>0</v>
      </c>
      <c r="I120" s="90"/>
      <c r="J120" s="90"/>
      <c r="K120" s="91"/>
    </row>
    <row r="121" spans="2:11" x14ac:dyDescent="0.25">
      <c r="B121" s="1750"/>
      <c r="D121" s="1740"/>
      <c r="E121" s="1743"/>
      <c r="G121" s="30" t="s">
        <v>640</v>
      </c>
      <c r="H121" s="126"/>
      <c r="I121" s="10"/>
      <c r="J121" s="10"/>
      <c r="K121" s="16"/>
    </row>
    <row r="122" spans="2:11" x14ac:dyDescent="0.25">
      <c r="B122" s="1750"/>
      <c r="D122" s="1740"/>
      <c r="E122" s="1743"/>
      <c r="G122" s="30" t="s">
        <v>641</v>
      </c>
      <c r="H122" s="126"/>
      <c r="I122" s="10"/>
      <c r="J122" s="10"/>
      <c r="K122" s="16"/>
    </row>
    <row r="123" spans="2:11" x14ac:dyDescent="0.25">
      <c r="B123" s="1750"/>
      <c r="D123" s="1740"/>
      <c r="E123" s="1743"/>
      <c r="G123" s="1043" t="s">
        <v>32</v>
      </c>
      <c r="H123" s="1036"/>
      <c r="I123" s="1044"/>
      <c r="J123" s="1044"/>
      <c r="K123" s="1045"/>
    </row>
    <row r="124" spans="2:11" x14ac:dyDescent="0.25">
      <c r="B124" s="1750"/>
      <c r="D124" s="1740"/>
      <c r="E124" s="1743"/>
      <c r="G124" s="89" t="s">
        <v>33</v>
      </c>
      <c r="H124" s="132">
        <f>SUM(H125:H126)</f>
        <v>0</v>
      </c>
      <c r="I124" s="90"/>
      <c r="J124" s="90"/>
      <c r="K124" s="91"/>
    </row>
    <row r="125" spans="2:11" x14ac:dyDescent="0.25">
      <c r="B125" s="1750"/>
      <c r="D125" s="1740"/>
      <c r="E125" s="1743"/>
      <c r="G125" s="30" t="s">
        <v>34</v>
      </c>
      <c r="H125" s="126"/>
      <c r="I125" s="10"/>
      <c r="J125" s="10"/>
      <c r="K125" s="16"/>
    </row>
    <row r="126" spans="2:11" x14ac:dyDescent="0.25">
      <c r="B126" s="1750"/>
      <c r="D126" s="1740"/>
      <c r="E126" s="1743"/>
      <c r="G126" s="30" t="s">
        <v>35</v>
      </c>
      <c r="H126" s="126"/>
      <c r="I126" s="10"/>
      <c r="J126" s="10"/>
      <c r="K126" s="16"/>
    </row>
    <row r="127" spans="2:11" ht="15.75" thickBot="1" x14ac:dyDescent="0.3">
      <c r="B127" s="1750"/>
      <c r="D127" s="1741"/>
      <c r="E127" s="1744"/>
      <c r="G127" s="1047" t="s">
        <v>36</v>
      </c>
      <c r="H127" s="1048"/>
      <c r="I127" s="1049"/>
      <c r="J127" s="1049"/>
      <c r="K127" s="1050"/>
    </row>
    <row r="128" spans="2:11" ht="15" customHeight="1" x14ac:dyDescent="0.25">
      <c r="B128" s="1750"/>
      <c r="D128" s="1739"/>
      <c r="E128" s="1742" t="s">
        <v>617</v>
      </c>
      <c r="G128" s="86" t="s">
        <v>145</v>
      </c>
      <c r="H128" s="131">
        <f>SUM(H129:H130)</f>
        <v>0</v>
      </c>
      <c r="I128" s="87"/>
      <c r="J128" s="87"/>
      <c r="K128" s="88"/>
    </row>
    <row r="129" spans="2:11" x14ac:dyDescent="0.25">
      <c r="B129" s="1750"/>
      <c r="D129" s="1740"/>
      <c r="E129" s="1743"/>
      <c r="G129" s="30" t="s">
        <v>23</v>
      </c>
      <c r="H129" s="126"/>
      <c r="I129" s="10"/>
      <c r="J129" s="10"/>
      <c r="K129" s="16"/>
    </row>
    <row r="130" spans="2:11" x14ac:dyDescent="0.25">
      <c r="B130" s="1750"/>
      <c r="D130" s="1740"/>
      <c r="E130" s="1743"/>
      <c r="G130" s="30" t="s">
        <v>24</v>
      </c>
      <c r="H130" s="126">
        <v>0</v>
      </c>
      <c r="I130" s="10"/>
      <c r="J130" s="10"/>
      <c r="K130" s="16"/>
    </row>
    <row r="131" spans="2:11" x14ac:dyDescent="0.25">
      <c r="B131" s="1750"/>
      <c r="D131" s="1740"/>
      <c r="E131" s="1743"/>
      <c r="G131" s="89" t="s">
        <v>146</v>
      </c>
      <c r="H131" s="132">
        <f>SUM(H132+H142)</f>
        <v>0</v>
      </c>
      <c r="I131" s="90"/>
      <c r="J131" s="90"/>
      <c r="K131" s="91"/>
    </row>
    <row r="132" spans="2:11" x14ac:dyDescent="0.25">
      <c r="B132" s="1750"/>
      <c r="D132" s="1740"/>
      <c r="E132" s="1743"/>
      <c r="G132" s="89" t="s">
        <v>25</v>
      </c>
      <c r="H132" s="132">
        <f>SUM(H133,H138,H141)</f>
        <v>0</v>
      </c>
      <c r="I132" s="90"/>
      <c r="J132" s="90"/>
      <c r="K132" s="91"/>
    </row>
    <row r="133" spans="2:11" x14ac:dyDescent="0.25">
      <c r="B133" s="1750"/>
      <c r="D133" s="1740"/>
      <c r="E133" s="1743"/>
      <c r="G133" s="89" t="s">
        <v>26</v>
      </c>
      <c r="H133" s="132">
        <f>SUM(H134:H137)</f>
        <v>0</v>
      </c>
      <c r="I133" s="90"/>
      <c r="J133" s="90"/>
      <c r="K133" s="91"/>
    </row>
    <row r="134" spans="2:11" x14ac:dyDescent="0.25">
      <c r="B134" s="1750"/>
      <c r="D134" s="1740"/>
      <c r="E134" s="1743"/>
      <c r="G134" s="30" t="s">
        <v>27</v>
      </c>
      <c r="H134" s="126"/>
      <c r="I134" s="10"/>
      <c r="J134" s="10"/>
      <c r="K134" s="16"/>
    </row>
    <row r="135" spans="2:11" x14ac:dyDescent="0.25">
      <c r="B135" s="1750"/>
      <c r="D135" s="1740"/>
      <c r="E135" s="1743"/>
      <c r="G135" s="30" t="s">
        <v>28</v>
      </c>
      <c r="H135" s="126"/>
      <c r="I135" s="10"/>
      <c r="J135" s="10"/>
      <c r="K135" s="16"/>
    </row>
    <row r="136" spans="2:11" x14ac:dyDescent="0.25">
      <c r="B136" s="1750"/>
      <c r="D136" s="1740"/>
      <c r="E136" s="1743"/>
      <c r="G136" s="30" t="s">
        <v>29</v>
      </c>
      <c r="H136" s="126"/>
      <c r="I136" s="10"/>
      <c r="J136" s="10"/>
      <c r="K136" s="16"/>
    </row>
    <row r="137" spans="2:11" x14ac:dyDescent="0.25">
      <c r="B137" s="1750"/>
      <c r="D137" s="1740"/>
      <c r="E137" s="1743"/>
      <c r="G137" s="30" t="s">
        <v>30</v>
      </c>
      <c r="H137" s="126"/>
      <c r="I137" s="10"/>
      <c r="J137" s="10"/>
      <c r="K137" s="16"/>
    </row>
    <row r="138" spans="2:11" x14ac:dyDescent="0.25">
      <c r="B138" s="1750"/>
      <c r="D138" s="1740"/>
      <c r="E138" s="1743"/>
      <c r="G138" s="89" t="s">
        <v>31</v>
      </c>
      <c r="H138" s="1036">
        <f>SUM(H139:H140)</f>
        <v>0</v>
      </c>
      <c r="I138" s="90"/>
      <c r="J138" s="90"/>
      <c r="K138" s="91"/>
    </row>
    <row r="139" spans="2:11" x14ac:dyDescent="0.25">
      <c r="B139" s="1750"/>
      <c r="D139" s="1740"/>
      <c r="E139" s="1743"/>
      <c r="G139" s="30" t="s">
        <v>640</v>
      </c>
      <c r="H139" s="126"/>
      <c r="I139" s="10"/>
      <c r="J139" s="10"/>
      <c r="K139" s="16"/>
    </row>
    <row r="140" spans="2:11" x14ac:dyDescent="0.25">
      <c r="B140" s="1750"/>
      <c r="D140" s="1740"/>
      <c r="E140" s="1743"/>
      <c r="G140" s="30" t="s">
        <v>641</v>
      </c>
      <c r="H140" s="126"/>
      <c r="I140" s="10"/>
      <c r="J140" s="10"/>
      <c r="K140" s="16"/>
    </row>
    <row r="141" spans="2:11" x14ac:dyDescent="0.25">
      <c r="B141" s="1750"/>
      <c r="D141" s="1740"/>
      <c r="E141" s="1743"/>
      <c r="G141" s="1043" t="s">
        <v>32</v>
      </c>
      <c r="H141" s="1036">
        <v>0</v>
      </c>
      <c r="I141" s="1044"/>
      <c r="J141" s="1044"/>
      <c r="K141" s="1045"/>
    </row>
    <row r="142" spans="2:11" x14ac:dyDescent="0.25">
      <c r="B142" s="1750"/>
      <c r="D142" s="1740"/>
      <c r="E142" s="1743"/>
      <c r="G142" s="89" t="s">
        <v>33</v>
      </c>
      <c r="H142" s="132">
        <f>SUM(H143:H144)</f>
        <v>0</v>
      </c>
      <c r="I142" s="90"/>
      <c r="J142" s="90"/>
      <c r="K142" s="91"/>
    </row>
    <row r="143" spans="2:11" x14ac:dyDescent="0.25">
      <c r="B143" s="1750"/>
      <c r="D143" s="1740"/>
      <c r="E143" s="1743"/>
      <c r="G143" s="30" t="s">
        <v>34</v>
      </c>
      <c r="H143" s="126"/>
      <c r="I143" s="10"/>
      <c r="J143" s="10"/>
      <c r="K143" s="16"/>
    </row>
    <row r="144" spans="2:11" x14ac:dyDescent="0.25">
      <c r="B144" s="1750"/>
      <c r="D144" s="1740"/>
      <c r="E144" s="1743"/>
      <c r="G144" s="30" t="s">
        <v>35</v>
      </c>
      <c r="H144" s="126"/>
      <c r="I144" s="10"/>
      <c r="J144" s="10"/>
      <c r="K144" s="16"/>
    </row>
    <row r="145" spans="2:11" ht="15.75" thickBot="1" x14ac:dyDescent="0.3">
      <c r="B145" s="1750"/>
      <c r="D145" s="1741"/>
      <c r="E145" s="1744"/>
      <c r="G145" s="1047" t="s">
        <v>36</v>
      </c>
      <c r="H145" s="1048"/>
      <c r="I145" s="1049"/>
      <c r="J145" s="1049"/>
      <c r="K145" s="1050"/>
    </row>
    <row r="146" spans="2:11" ht="15" customHeight="1" x14ac:dyDescent="0.25">
      <c r="B146" s="1750"/>
      <c r="D146" s="1745" t="s">
        <v>19</v>
      </c>
      <c r="E146" s="1746" t="s">
        <v>153</v>
      </c>
      <c r="G146" s="86" t="s">
        <v>145</v>
      </c>
      <c r="H146" s="131">
        <f>SUM(H147:H148)</f>
        <v>0</v>
      </c>
      <c r="I146" s="87"/>
      <c r="J146" s="87"/>
      <c r="K146" s="88"/>
    </row>
    <row r="147" spans="2:11" x14ac:dyDescent="0.25">
      <c r="B147" s="1750"/>
      <c r="D147" s="1740"/>
      <c r="E147" s="1747"/>
      <c r="G147" s="30" t="s">
        <v>23</v>
      </c>
      <c r="H147" s="126">
        <v>0</v>
      </c>
      <c r="I147" s="10"/>
      <c r="J147" s="10"/>
      <c r="K147" s="16"/>
    </row>
    <row r="148" spans="2:11" x14ac:dyDescent="0.25">
      <c r="B148" s="1750"/>
      <c r="D148" s="1740"/>
      <c r="E148" s="1747"/>
      <c r="G148" s="30" t="s">
        <v>24</v>
      </c>
      <c r="H148" s="126">
        <v>0</v>
      </c>
      <c r="I148" s="10"/>
      <c r="J148" s="10"/>
      <c r="K148" s="16"/>
    </row>
    <row r="149" spans="2:11" x14ac:dyDescent="0.25">
      <c r="B149" s="1750"/>
      <c r="D149" s="1740"/>
      <c r="E149" s="1747"/>
      <c r="G149" s="89" t="s">
        <v>146</v>
      </c>
      <c r="H149" s="132">
        <f>SUM(H150+H160)</f>
        <v>0</v>
      </c>
      <c r="I149" s="90"/>
      <c r="J149" s="90"/>
      <c r="K149" s="91"/>
    </row>
    <row r="150" spans="2:11" x14ac:dyDescent="0.25">
      <c r="B150" s="1750"/>
      <c r="D150" s="1740"/>
      <c r="E150" s="1747"/>
      <c r="G150" s="89" t="s">
        <v>25</v>
      </c>
      <c r="H150" s="132">
        <f>SUM(H151,H156,H159)</f>
        <v>0</v>
      </c>
      <c r="I150" s="90"/>
      <c r="J150" s="90"/>
      <c r="K150" s="91"/>
    </row>
    <row r="151" spans="2:11" x14ac:dyDescent="0.25">
      <c r="B151" s="1750"/>
      <c r="D151" s="1740"/>
      <c r="E151" s="1747"/>
      <c r="G151" s="89" t="s">
        <v>26</v>
      </c>
      <c r="H151" s="132">
        <f>SUM(H152:H155)</f>
        <v>0</v>
      </c>
      <c r="I151" s="90"/>
      <c r="J151" s="90"/>
      <c r="K151" s="91"/>
    </row>
    <row r="152" spans="2:11" x14ac:dyDescent="0.25">
      <c r="B152" s="1750"/>
      <c r="D152" s="1740"/>
      <c r="E152" s="1747"/>
      <c r="G152" s="30" t="s">
        <v>27</v>
      </c>
      <c r="H152" s="126">
        <v>0</v>
      </c>
      <c r="I152" s="10"/>
      <c r="J152" s="10"/>
      <c r="K152" s="16"/>
    </row>
    <row r="153" spans="2:11" x14ac:dyDescent="0.25">
      <c r="B153" s="1750"/>
      <c r="D153" s="1740"/>
      <c r="E153" s="1747"/>
      <c r="G153" s="30" t="s">
        <v>28</v>
      </c>
      <c r="H153" s="126">
        <v>0</v>
      </c>
      <c r="I153" s="10"/>
      <c r="J153" s="10"/>
      <c r="K153" s="16"/>
    </row>
    <row r="154" spans="2:11" x14ac:dyDescent="0.25">
      <c r="B154" s="1750"/>
      <c r="D154" s="1740"/>
      <c r="E154" s="1747"/>
      <c r="G154" s="30" t="s">
        <v>29</v>
      </c>
      <c r="H154" s="126">
        <v>0</v>
      </c>
      <c r="I154" s="10"/>
      <c r="J154" s="10"/>
      <c r="K154" s="16"/>
    </row>
    <row r="155" spans="2:11" x14ac:dyDescent="0.25">
      <c r="B155" s="1750"/>
      <c r="D155" s="1740"/>
      <c r="E155" s="1747"/>
      <c r="G155" s="30" t="s">
        <v>30</v>
      </c>
      <c r="H155" s="126">
        <v>0</v>
      </c>
      <c r="I155" s="10"/>
      <c r="J155" s="10"/>
      <c r="K155" s="16"/>
    </row>
    <row r="156" spans="2:11" x14ac:dyDescent="0.25">
      <c r="B156" s="1750"/>
      <c r="D156" s="1740"/>
      <c r="E156" s="1747"/>
      <c r="G156" s="89" t="s">
        <v>31</v>
      </c>
      <c r="H156" s="1036">
        <f>SUM(H157:H158)</f>
        <v>0</v>
      </c>
      <c r="I156" s="90"/>
      <c r="J156" s="90"/>
      <c r="K156" s="91"/>
    </row>
    <row r="157" spans="2:11" x14ac:dyDescent="0.25">
      <c r="B157" s="1750"/>
      <c r="D157" s="1740"/>
      <c r="E157" s="1747"/>
      <c r="G157" s="30" t="s">
        <v>640</v>
      </c>
      <c r="H157" s="126"/>
      <c r="I157" s="10"/>
      <c r="J157" s="10"/>
      <c r="K157" s="16"/>
    </row>
    <row r="158" spans="2:11" x14ac:dyDescent="0.25">
      <c r="B158" s="1750"/>
      <c r="D158" s="1740"/>
      <c r="E158" s="1747"/>
      <c r="G158" s="30" t="s">
        <v>641</v>
      </c>
      <c r="H158" s="126"/>
      <c r="I158" s="10"/>
      <c r="J158" s="10"/>
      <c r="K158" s="16"/>
    </row>
    <row r="159" spans="2:11" x14ac:dyDescent="0.25">
      <c r="B159" s="1750"/>
      <c r="D159" s="1740"/>
      <c r="E159" s="1747"/>
      <c r="G159" s="1043" t="s">
        <v>32</v>
      </c>
      <c r="H159" s="1036">
        <v>0</v>
      </c>
      <c r="I159" s="1044"/>
      <c r="J159" s="1044"/>
      <c r="K159" s="1045"/>
    </row>
    <row r="160" spans="2:11" x14ac:dyDescent="0.25">
      <c r="B160" s="1750"/>
      <c r="D160" s="1740"/>
      <c r="E160" s="1747"/>
      <c r="G160" s="89" t="s">
        <v>33</v>
      </c>
      <c r="H160" s="132">
        <f>SUM(H161:H162)</f>
        <v>0</v>
      </c>
      <c r="I160" s="90"/>
      <c r="J160" s="90"/>
      <c r="K160" s="91"/>
    </row>
    <row r="161" spans="2:11" x14ac:dyDescent="0.25">
      <c r="B161" s="1750"/>
      <c r="D161" s="1740"/>
      <c r="E161" s="1747"/>
      <c r="G161" s="30" t="s">
        <v>34</v>
      </c>
      <c r="H161" s="126">
        <v>0</v>
      </c>
      <c r="I161" s="10"/>
      <c r="J161" s="10"/>
      <c r="K161" s="16"/>
    </row>
    <row r="162" spans="2:11" x14ac:dyDescent="0.25">
      <c r="B162" s="1750"/>
      <c r="D162" s="1740"/>
      <c r="E162" s="1747"/>
      <c r="G162" s="30" t="s">
        <v>35</v>
      </c>
      <c r="H162" s="126">
        <v>0</v>
      </c>
      <c r="I162" s="10"/>
      <c r="J162" s="10"/>
      <c r="K162" s="16"/>
    </row>
    <row r="163" spans="2:11" ht="15.75" thickBot="1" x14ac:dyDescent="0.3">
      <c r="B163" s="1750"/>
      <c r="D163" s="1741"/>
      <c r="E163" s="1748"/>
      <c r="G163" s="1047" t="s">
        <v>36</v>
      </c>
      <c r="H163" s="1048">
        <v>16672.61</v>
      </c>
      <c r="I163" s="1049"/>
      <c r="J163" s="1049"/>
      <c r="K163" s="1050" t="s">
        <v>1317</v>
      </c>
    </row>
    <row r="164" spans="2:11" ht="15" customHeight="1" x14ac:dyDescent="0.25">
      <c r="B164" s="1750"/>
      <c r="D164" s="1745"/>
      <c r="E164" s="1742" t="s">
        <v>639</v>
      </c>
      <c r="G164" s="86" t="s">
        <v>145</v>
      </c>
      <c r="H164" s="131">
        <f>SUM(H165:H166)</f>
        <v>0</v>
      </c>
      <c r="I164" s="87"/>
      <c r="J164" s="87"/>
      <c r="K164" s="88"/>
    </row>
    <row r="165" spans="2:11" x14ac:dyDescent="0.25">
      <c r="B165" s="1750"/>
      <c r="D165" s="1740"/>
      <c r="E165" s="1743"/>
      <c r="G165" s="30" t="s">
        <v>23</v>
      </c>
      <c r="H165" s="126"/>
      <c r="I165" s="10"/>
      <c r="J165" s="10"/>
      <c r="K165" s="16"/>
    </row>
    <row r="166" spans="2:11" x14ac:dyDescent="0.25">
      <c r="B166" s="1750"/>
      <c r="D166" s="1740"/>
      <c r="E166" s="1743"/>
      <c r="G166" s="30" t="s">
        <v>24</v>
      </c>
      <c r="H166" s="126"/>
      <c r="I166" s="10"/>
      <c r="J166" s="10"/>
      <c r="K166" s="16"/>
    </row>
    <row r="167" spans="2:11" x14ac:dyDescent="0.25">
      <c r="B167" s="1750"/>
      <c r="D167" s="1740"/>
      <c r="E167" s="1743"/>
      <c r="G167" s="89" t="s">
        <v>146</v>
      </c>
      <c r="H167" s="132">
        <f>SUM(H168+H178)</f>
        <v>0</v>
      </c>
      <c r="I167" s="90"/>
      <c r="J167" s="90"/>
      <c r="K167" s="91"/>
    </row>
    <row r="168" spans="2:11" x14ac:dyDescent="0.25">
      <c r="B168" s="1750"/>
      <c r="D168" s="1740"/>
      <c r="E168" s="1743"/>
      <c r="G168" s="89" t="s">
        <v>25</v>
      </c>
      <c r="H168" s="132">
        <f>SUM(H169,H174,H177)</f>
        <v>0</v>
      </c>
      <c r="I168" s="90"/>
      <c r="J168" s="90"/>
      <c r="K168" s="91"/>
    </row>
    <row r="169" spans="2:11" x14ac:dyDescent="0.25">
      <c r="B169" s="1750"/>
      <c r="D169" s="1740"/>
      <c r="E169" s="1743"/>
      <c r="G169" s="89" t="s">
        <v>26</v>
      </c>
      <c r="H169" s="132">
        <f>SUM(H170:H173)</f>
        <v>0</v>
      </c>
      <c r="I169" s="90"/>
      <c r="J169" s="90"/>
      <c r="K169" s="91"/>
    </row>
    <row r="170" spans="2:11" x14ac:dyDescent="0.25">
      <c r="B170" s="1750"/>
      <c r="D170" s="1740"/>
      <c r="E170" s="1743"/>
      <c r="G170" s="30" t="s">
        <v>27</v>
      </c>
      <c r="H170" s="126"/>
      <c r="I170" s="10"/>
      <c r="J170" s="10"/>
      <c r="K170" s="16"/>
    </row>
    <row r="171" spans="2:11" x14ac:dyDescent="0.25">
      <c r="B171" s="1750"/>
      <c r="D171" s="1740"/>
      <c r="E171" s="1743"/>
      <c r="G171" s="30" t="s">
        <v>28</v>
      </c>
      <c r="H171" s="126"/>
      <c r="I171" s="10"/>
      <c r="J171" s="10"/>
      <c r="K171" s="16"/>
    </row>
    <row r="172" spans="2:11" x14ac:dyDescent="0.25">
      <c r="B172" s="1750"/>
      <c r="D172" s="1740"/>
      <c r="E172" s="1743"/>
      <c r="G172" s="30" t="s">
        <v>29</v>
      </c>
      <c r="H172" s="126"/>
      <c r="I172" s="10"/>
      <c r="J172" s="10"/>
      <c r="K172" s="16"/>
    </row>
    <row r="173" spans="2:11" x14ac:dyDescent="0.25">
      <c r="B173" s="1750"/>
      <c r="D173" s="1740"/>
      <c r="E173" s="1743"/>
      <c r="G173" s="30" t="s">
        <v>30</v>
      </c>
      <c r="H173" s="126"/>
      <c r="I173" s="10"/>
      <c r="J173" s="10"/>
      <c r="K173" s="16"/>
    </row>
    <row r="174" spans="2:11" x14ac:dyDescent="0.25">
      <c r="B174" s="1750"/>
      <c r="D174" s="1740"/>
      <c r="E174" s="1743"/>
      <c r="G174" s="89" t="s">
        <v>31</v>
      </c>
      <c r="H174" s="1036">
        <f>SUM(H175:H176)</f>
        <v>0</v>
      </c>
      <c r="I174" s="90"/>
      <c r="J174" s="90"/>
      <c r="K174" s="91"/>
    </row>
    <row r="175" spans="2:11" x14ac:dyDescent="0.25">
      <c r="B175" s="1750"/>
      <c r="D175" s="1740"/>
      <c r="E175" s="1743"/>
      <c r="G175" s="30" t="s">
        <v>640</v>
      </c>
      <c r="H175" s="126"/>
      <c r="I175" s="10"/>
      <c r="J175" s="10"/>
      <c r="K175" s="16"/>
    </row>
    <row r="176" spans="2:11" x14ac:dyDescent="0.25">
      <c r="B176" s="1750"/>
      <c r="D176" s="1740"/>
      <c r="E176" s="1743"/>
      <c r="G176" s="30" t="s">
        <v>641</v>
      </c>
      <c r="H176" s="126"/>
      <c r="I176" s="10"/>
      <c r="J176" s="10"/>
      <c r="K176" s="16"/>
    </row>
    <row r="177" spans="2:11" x14ac:dyDescent="0.25">
      <c r="B177" s="1750"/>
      <c r="D177" s="1740"/>
      <c r="E177" s="1743"/>
      <c r="G177" s="1043" t="s">
        <v>32</v>
      </c>
      <c r="H177" s="1036"/>
      <c r="I177" s="1044"/>
      <c r="J177" s="1044"/>
      <c r="K177" s="1045"/>
    </row>
    <row r="178" spans="2:11" x14ac:dyDescent="0.25">
      <c r="B178" s="1750"/>
      <c r="D178" s="1740"/>
      <c r="E178" s="1743"/>
      <c r="G178" s="89" t="s">
        <v>33</v>
      </c>
      <c r="H178" s="132">
        <f>SUM(H179:H180)</f>
        <v>0</v>
      </c>
      <c r="I178" s="90"/>
      <c r="J178" s="90"/>
      <c r="K178" s="91"/>
    </row>
    <row r="179" spans="2:11" x14ac:dyDescent="0.25">
      <c r="B179" s="1750"/>
      <c r="D179" s="1740"/>
      <c r="E179" s="1743"/>
      <c r="G179" s="30" t="s">
        <v>34</v>
      </c>
      <c r="H179" s="126"/>
      <c r="I179" s="10"/>
      <c r="J179" s="10"/>
      <c r="K179" s="16"/>
    </row>
    <row r="180" spans="2:11" x14ac:dyDescent="0.25">
      <c r="B180" s="1750"/>
      <c r="D180" s="1740"/>
      <c r="E180" s="1743"/>
      <c r="G180" s="30" t="s">
        <v>35</v>
      </c>
      <c r="H180" s="126"/>
      <c r="I180" s="10"/>
      <c r="J180" s="10"/>
      <c r="K180" s="16"/>
    </row>
    <row r="181" spans="2:11" ht="15.75" thickBot="1" x14ac:dyDescent="0.3">
      <c r="B181" s="1750"/>
      <c r="D181" s="1741"/>
      <c r="E181" s="1744"/>
      <c r="G181" s="1047" t="s">
        <v>36</v>
      </c>
      <c r="H181" s="1048"/>
      <c r="I181" s="1049"/>
      <c r="J181" s="1049"/>
      <c r="K181" s="1050"/>
    </row>
    <row r="182" spans="2:11" ht="15" customHeight="1" x14ac:dyDescent="0.25">
      <c r="B182" s="1750"/>
      <c r="D182" s="1745" t="s">
        <v>20</v>
      </c>
      <c r="E182" s="1746" t="s">
        <v>154</v>
      </c>
      <c r="G182" s="86" t="s">
        <v>145</v>
      </c>
      <c r="H182" s="131">
        <f>SUM(H183:H184)</f>
        <v>0.06</v>
      </c>
      <c r="I182" s="87"/>
      <c r="J182" s="87"/>
      <c r="K182" s="88"/>
    </row>
    <row r="183" spans="2:11" x14ac:dyDescent="0.25">
      <c r="B183" s="1750"/>
      <c r="D183" s="1740"/>
      <c r="E183" s="1747"/>
      <c r="G183" s="30" t="s">
        <v>23</v>
      </c>
      <c r="H183" s="126">
        <v>0.06</v>
      </c>
      <c r="I183" s="10"/>
      <c r="J183" s="10"/>
      <c r="K183" s="16"/>
    </row>
    <row r="184" spans="2:11" x14ac:dyDescent="0.25">
      <c r="B184" s="1750"/>
      <c r="D184" s="1740"/>
      <c r="E184" s="1747"/>
      <c r="G184" s="30" t="s">
        <v>24</v>
      </c>
      <c r="H184" s="126">
        <v>0</v>
      </c>
      <c r="I184" s="10"/>
      <c r="J184" s="10"/>
      <c r="K184" s="16"/>
    </row>
    <row r="185" spans="2:11" x14ac:dyDescent="0.25">
      <c r="B185" s="1750"/>
      <c r="D185" s="1740"/>
      <c r="E185" s="1747"/>
      <c r="G185" s="89" t="s">
        <v>146</v>
      </c>
      <c r="H185" s="132">
        <f>SUM(H186+H196)</f>
        <v>0.06</v>
      </c>
      <c r="I185" s="90"/>
      <c r="J185" s="90"/>
      <c r="K185" s="91"/>
    </row>
    <row r="186" spans="2:11" x14ac:dyDescent="0.25">
      <c r="B186" s="1750"/>
      <c r="D186" s="1740"/>
      <c r="E186" s="1747"/>
      <c r="G186" s="89" t="s">
        <v>25</v>
      </c>
      <c r="H186" s="132">
        <f>SUM(H187,H192,H195)</f>
        <v>0</v>
      </c>
      <c r="I186" s="90"/>
      <c r="J186" s="90"/>
      <c r="K186" s="91"/>
    </row>
    <row r="187" spans="2:11" x14ac:dyDescent="0.25">
      <c r="B187" s="1750"/>
      <c r="D187" s="1740"/>
      <c r="E187" s="1747"/>
      <c r="G187" s="89" t="s">
        <v>26</v>
      </c>
      <c r="H187" s="132">
        <f>SUM(H188:H191)</f>
        <v>0</v>
      </c>
      <c r="I187" s="90"/>
      <c r="J187" s="90"/>
      <c r="K187" s="91"/>
    </row>
    <row r="188" spans="2:11" x14ac:dyDescent="0.25">
      <c r="B188" s="1750"/>
      <c r="D188" s="1740"/>
      <c r="E188" s="1747"/>
      <c r="G188" s="30" t="s">
        <v>27</v>
      </c>
      <c r="H188" s="126">
        <v>0</v>
      </c>
      <c r="I188" s="10"/>
      <c r="J188" s="10"/>
      <c r="K188" s="16"/>
    </row>
    <row r="189" spans="2:11" x14ac:dyDescent="0.25">
      <c r="B189" s="1750"/>
      <c r="D189" s="1740"/>
      <c r="E189" s="1747"/>
      <c r="G189" s="30" t="s">
        <v>28</v>
      </c>
      <c r="H189" s="126">
        <v>0</v>
      </c>
      <c r="I189" s="10"/>
      <c r="J189" s="10"/>
      <c r="K189" s="16"/>
    </row>
    <row r="190" spans="2:11" x14ac:dyDescent="0.25">
      <c r="B190" s="1750"/>
      <c r="D190" s="1740"/>
      <c r="E190" s="1747"/>
      <c r="G190" s="30" t="s">
        <v>29</v>
      </c>
      <c r="H190" s="126">
        <v>0</v>
      </c>
      <c r="I190" s="10"/>
      <c r="J190" s="10"/>
      <c r="K190" s="16"/>
    </row>
    <row r="191" spans="2:11" x14ac:dyDescent="0.25">
      <c r="B191" s="1750"/>
      <c r="D191" s="1740"/>
      <c r="E191" s="1747"/>
      <c r="G191" s="30" t="s">
        <v>30</v>
      </c>
      <c r="H191" s="126">
        <v>0</v>
      </c>
      <c r="I191" s="10"/>
      <c r="J191" s="10"/>
      <c r="K191" s="16"/>
    </row>
    <row r="192" spans="2:11" x14ac:dyDescent="0.25">
      <c r="B192" s="1750"/>
      <c r="D192" s="1740"/>
      <c r="E192" s="1747"/>
      <c r="G192" s="89" t="s">
        <v>31</v>
      </c>
      <c r="H192" s="1036">
        <f>SUM(H193:H194)</f>
        <v>0</v>
      </c>
      <c r="I192" s="90"/>
      <c r="J192" s="90"/>
      <c r="K192" s="91"/>
    </row>
    <row r="193" spans="2:11" x14ac:dyDescent="0.25">
      <c r="B193" s="1750"/>
      <c r="D193" s="1740"/>
      <c r="E193" s="1747"/>
      <c r="G193" s="30" t="s">
        <v>640</v>
      </c>
      <c r="H193" s="126"/>
      <c r="I193" s="10"/>
      <c r="J193" s="10"/>
      <c r="K193" s="16"/>
    </row>
    <row r="194" spans="2:11" x14ac:dyDescent="0.25">
      <c r="B194" s="1750"/>
      <c r="D194" s="1740"/>
      <c r="E194" s="1747"/>
      <c r="G194" s="30" t="s">
        <v>641</v>
      </c>
      <c r="H194" s="126"/>
      <c r="I194" s="10"/>
      <c r="J194" s="10"/>
      <c r="K194" s="16"/>
    </row>
    <row r="195" spans="2:11" x14ac:dyDescent="0.25">
      <c r="B195" s="1750"/>
      <c r="D195" s="1740"/>
      <c r="E195" s="1747"/>
      <c r="G195" s="1043" t="s">
        <v>32</v>
      </c>
      <c r="H195" s="1036">
        <v>0</v>
      </c>
      <c r="I195" s="1044"/>
      <c r="J195" s="1044"/>
      <c r="K195" s="1045"/>
    </row>
    <row r="196" spans="2:11" x14ac:dyDescent="0.25">
      <c r="B196" s="1750"/>
      <c r="D196" s="1740"/>
      <c r="E196" s="1747"/>
      <c r="G196" s="89" t="s">
        <v>33</v>
      </c>
      <c r="H196" s="132">
        <f>SUM(H197:H198)</f>
        <v>0.06</v>
      </c>
      <c r="I196" s="90"/>
      <c r="J196" s="90"/>
      <c r="K196" s="91"/>
    </row>
    <row r="197" spans="2:11" x14ac:dyDescent="0.25">
      <c r="B197" s="1750"/>
      <c r="D197" s="1740"/>
      <c r="E197" s="1747"/>
      <c r="G197" s="30" t="s">
        <v>34</v>
      </c>
      <c r="H197" s="126">
        <v>0.06</v>
      </c>
      <c r="I197" s="10"/>
      <c r="J197" s="10"/>
      <c r="K197" s="16"/>
    </row>
    <row r="198" spans="2:11" x14ac:dyDescent="0.25">
      <c r="B198" s="1750"/>
      <c r="D198" s="1740"/>
      <c r="E198" s="1747"/>
      <c r="G198" s="30" t="s">
        <v>35</v>
      </c>
      <c r="H198" s="126">
        <v>0</v>
      </c>
      <c r="I198" s="10"/>
      <c r="J198" s="10"/>
      <c r="K198" s="16"/>
    </row>
    <row r="199" spans="2:11" ht="15.75" thickBot="1" x14ac:dyDescent="0.3">
      <c r="B199" s="1750"/>
      <c r="D199" s="1741"/>
      <c r="E199" s="1748"/>
      <c r="G199" s="1047" t="s">
        <v>36</v>
      </c>
      <c r="H199" s="1048">
        <v>76.030545405347283</v>
      </c>
      <c r="I199" s="1049"/>
      <c r="J199" s="1049"/>
      <c r="K199" s="1050"/>
    </row>
    <row r="200" spans="2:11" ht="15" customHeight="1" x14ac:dyDescent="0.25">
      <c r="B200" s="1750"/>
      <c r="D200" s="1745"/>
      <c r="E200" s="1742" t="s">
        <v>619</v>
      </c>
      <c r="G200" s="86" t="s">
        <v>145</v>
      </c>
      <c r="H200" s="131">
        <f>SUM(H201:H202)</f>
        <v>0</v>
      </c>
      <c r="I200" s="87"/>
      <c r="J200" s="87"/>
      <c r="K200" s="88"/>
    </row>
    <row r="201" spans="2:11" x14ac:dyDescent="0.25">
      <c r="B201" s="1750"/>
      <c r="D201" s="1740"/>
      <c r="E201" s="1743"/>
      <c r="G201" s="30" t="s">
        <v>23</v>
      </c>
      <c r="H201" s="126"/>
      <c r="I201" s="10"/>
      <c r="J201" s="10"/>
      <c r="K201" s="16"/>
    </row>
    <row r="202" spans="2:11" x14ac:dyDescent="0.25">
      <c r="B202" s="1750"/>
      <c r="D202" s="1740"/>
      <c r="E202" s="1743"/>
      <c r="G202" s="30" t="s">
        <v>24</v>
      </c>
      <c r="H202" s="126"/>
      <c r="I202" s="10"/>
      <c r="J202" s="10"/>
      <c r="K202" s="16"/>
    </row>
    <row r="203" spans="2:11" x14ac:dyDescent="0.25">
      <c r="B203" s="1750"/>
      <c r="D203" s="1740"/>
      <c r="E203" s="1743"/>
      <c r="G203" s="89" t="s">
        <v>146</v>
      </c>
      <c r="H203" s="132">
        <f>SUM(H204+H214)</f>
        <v>0</v>
      </c>
      <c r="I203" s="90"/>
      <c r="J203" s="90"/>
      <c r="K203" s="91"/>
    </row>
    <row r="204" spans="2:11" x14ac:dyDescent="0.25">
      <c r="B204" s="1750"/>
      <c r="D204" s="1740"/>
      <c r="E204" s="1743"/>
      <c r="G204" s="89" t="s">
        <v>25</v>
      </c>
      <c r="H204" s="132">
        <f>SUM(H205,H210,H213)</f>
        <v>0</v>
      </c>
      <c r="I204" s="90"/>
      <c r="J204" s="90"/>
      <c r="K204" s="91"/>
    </row>
    <row r="205" spans="2:11" x14ac:dyDescent="0.25">
      <c r="B205" s="1750"/>
      <c r="D205" s="1740"/>
      <c r="E205" s="1743"/>
      <c r="G205" s="89" t="s">
        <v>26</v>
      </c>
      <c r="H205" s="132">
        <f>SUM(H206:H209)</f>
        <v>0</v>
      </c>
      <c r="I205" s="90"/>
      <c r="J205" s="90"/>
      <c r="K205" s="91"/>
    </row>
    <row r="206" spans="2:11" x14ac:dyDescent="0.25">
      <c r="B206" s="1750"/>
      <c r="D206" s="1740"/>
      <c r="E206" s="1743"/>
      <c r="G206" s="30" t="s">
        <v>27</v>
      </c>
      <c r="H206" s="126"/>
      <c r="I206" s="10"/>
      <c r="J206" s="10"/>
      <c r="K206" s="16"/>
    </row>
    <row r="207" spans="2:11" x14ac:dyDescent="0.25">
      <c r="B207" s="1750"/>
      <c r="D207" s="1740"/>
      <c r="E207" s="1743"/>
      <c r="G207" s="30" t="s">
        <v>28</v>
      </c>
      <c r="H207" s="126"/>
      <c r="I207" s="10"/>
      <c r="J207" s="10"/>
      <c r="K207" s="16"/>
    </row>
    <row r="208" spans="2:11" x14ac:dyDescent="0.25">
      <c r="B208" s="1750"/>
      <c r="D208" s="1740"/>
      <c r="E208" s="1743"/>
      <c r="G208" s="30" t="s">
        <v>29</v>
      </c>
      <c r="H208" s="126"/>
      <c r="I208" s="10"/>
      <c r="J208" s="10"/>
      <c r="K208" s="16"/>
    </row>
    <row r="209" spans="2:11" x14ac:dyDescent="0.25">
      <c r="B209" s="1750"/>
      <c r="D209" s="1740"/>
      <c r="E209" s="1743"/>
      <c r="G209" s="30" t="s">
        <v>30</v>
      </c>
      <c r="H209" s="126"/>
      <c r="I209" s="10"/>
      <c r="J209" s="10"/>
      <c r="K209" s="16"/>
    </row>
    <row r="210" spans="2:11" x14ac:dyDescent="0.25">
      <c r="B210" s="1750"/>
      <c r="D210" s="1740"/>
      <c r="E210" s="1743"/>
      <c r="G210" s="89" t="s">
        <v>31</v>
      </c>
      <c r="H210" s="1036">
        <f>SUM(H211:H212)</f>
        <v>0</v>
      </c>
      <c r="I210" s="90"/>
      <c r="J210" s="90"/>
      <c r="K210" s="91"/>
    </row>
    <row r="211" spans="2:11" x14ac:dyDescent="0.25">
      <c r="B211" s="1750"/>
      <c r="D211" s="1740"/>
      <c r="E211" s="1743"/>
      <c r="G211" s="30" t="s">
        <v>640</v>
      </c>
      <c r="H211" s="126"/>
      <c r="I211" s="10"/>
      <c r="J211" s="10"/>
      <c r="K211" s="16"/>
    </row>
    <row r="212" spans="2:11" x14ac:dyDescent="0.25">
      <c r="B212" s="1750"/>
      <c r="D212" s="1740"/>
      <c r="E212" s="1743"/>
      <c r="G212" s="30" t="s">
        <v>641</v>
      </c>
      <c r="H212" s="126"/>
      <c r="I212" s="10"/>
      <c r="J212" s="10"/>
      <c r="K212" s="16"/>
    </row>
    <row r="213" spans="2:11" x14ac:dyDescent="0.25">
      <c r="B213" s="1750"/>
      <c r="D213" s="1740"/>
      <c r="E213" s="1743"/>
      <c r="G213" s="1043" t="s">
        <v>32</v>
      </c>
      <c r="H213" s="1036"/>
      <c r="I213" s="1044"/>
      <c r="J213" s="1044"/>
      <c r="K213" s="1045"/>
    </row>
    <row r="214" spans="2:11" x14ac:dyDescent="0.25">
      <c r="B214" s="1750"/>
      <c r="D214" s="1740"/>
      <c r="E214" s="1743"/>
      <c r="G214" s="89" t="s">
        <v>33</v>
      </c>
      <c r="H214" s="132">
        <f>SUM(H215:H216)</f>
        <v>0</v>
      </c>
      <c r="I214" s="90"/>
      <c r="J214" s="90"/>
      <c r="K214" s="91"/>
    </row>
    <row r="215" spans="2:11" x14ac:dyDescent="0.25">
      <c r="B215" s="1750"/>
      <c r="D215" s="1740"/>
      <c r="E215" s="1743"/>
      <c r="G215" s="30" t="s">
        <v>34</v>
      </c>
      <c r="H215" s="126"/>
      <c r="I215" s="10"/>
      <c r="J215" s="10"/>
      <c r="K215" s="16"/>
    </row>
    <row r="216" spans="2:11" x14ac:dyDescent="0.25">
      <c r="B216" s="1750"/>
      <c r="D216" s="1740"/>
      <c r="E216" s="1743"/>
      <c r="G216" s="30" t="s">
        <v>35</v>
      </c>
      <c r="H216" s="126"/>
      <c r="I216" s="10"/>
      <c r="J216" s="10"/>
      <c r="K216" s="16"/>
    </row>
    <row r="217" spans="2:11" ht="15.75" thickBot="1" x14ac:dyDescent="0.3">
      <c r="B217" s="1750"/>
      <c r="D217" s="1741"/>
      <c r="E217" s="1744"/>
      <c r="G217" s="1047" t="s">
        <v>36</v>
      </c>
      <c r="H217" s="1048"/>
      <c r="I217" s="1049"/>
      <c r="J217" s="1049"/>
      <c r="K217" s="1050"/>
    </row>
    <row r="218" spans="2:11" ht="15" customHeight="1" x14ac:dyDescent="0.25">
      <c r="B218" s="1750"/>
      <c r="D218" s="1745"/>
      <c r="E218" s="1742" t="s">
        <v>620</v>
      </c>
      <c r="G218" s="86" t="s">
        <v>145</v>
      </c>
      <c r="H218" s="131">
        <f>SUM(H219:H220)</f>
        <v>0</v>
      </c>
      <c r="I218" s="87"/>
      <c r="J218" s="87"/>
      <c r="K218" s="88"/>
    </row>
    <row r="219" spans="2:11" x14ac:dyDescent="0.25">
      <c r="B219" s="1750"/>
      <c r="D219" s="1740"/>
      <c r="E219" s="1743"/>
      <c r="G219" s="30" t="s">
        <v>23</v>
      </c>
      <c r="H219" s="126"/>
      <c r="I219" s="10"/>
      <c r="J219" s="10"/>
      <c r="K219" s="16"/>
    </row>
    <row r="220" spans="2:11" x14ac:dyDescent="0.25">
      <c r="B220" s="1750"/>
      <c r="D220" s="1740"/>
      <c r="E220" s="1743"/>
      <c r="G220" s="30" t="s">
        <v>24</v>
      </c>
      <c r="H220" s="126"/>
      <c r="I220" s="10"/>
      <c r="J220" s="10"/>
      <c r="K220" s="16"/>
    </row>
    <row r="221" spans="2:11" x14ac:dyDescent="0.25">
      <c r="B221" s="1750"/>
      <c r="D221" s="1740"/>
      <c r="E221" s="1743"/>
      <c r="G221" s="89" t="s">
        <v>146</v>
      </c>
      <c r="H221" s="132">
        <f>SUM(H222+H232)</f>
        <v>0</v>
      </c>
      <c r="I221" s="90"/>
      <c r="J221" s="90"/>
      <c r="K221" s="91"/>
    </row>
    <row r="222" spans="2:11" x14ac:dyDescent="0.25">
      <c r="B222" s="1750"/>
      <c r="D222" s="1740"/>
      <c r="E222" s="1743"/>
      <c r="G222" s="89" t="s">
        <v>25</v>
      </c>
      <c r="H222" s="132">
        <f>SUM(H223,H228,H231)</f>
        <v>0</v>
      </c>
      <c r="I222" s="90"/>
      <c r="J222" s="90"/>
      <c r="K222" s="91"/>
    </row>
    <row r="223" spans="2:11" x14ac:dyDescent="0.25">
      <c r="B223" s="1750"/>
      <c r="D223" s="1740"/>
      <c r="E223" s="1743"/>
      <c r="G223" s="89" t="s">
        <v>26</v>
      </c>
      <c r="H223" s="132">
        <f>SUM(H224:H227)</f>
        <v>0</v>
      </c>
      <c r="I223" s="90"/>
      <c r="J223" s="90"/>
      <c r="K223" s="91"/>
    </row>
    <row r="224" spans="2:11" x14ac:dyDescent="0.25">
      <c r="B224" s="1750"/>
      <c r="D224" s="1740"/>
      <c r="E224" s="1743"/>
      <c r="G224" s="30" t="s">
        <v>27</v>
      </c>
      <c r="H224" s="126"/>
      <c r="I224" s="10"/>
      <c r="J224" s="10"/>
      <c r="K224" s="16"/>
    </row>
    <row r="225" spans="2:11" x14ac:dyDescent="0.25">
      <c r="B225" s="1750"/>
      <c r="D225" s="1740"/>
      <c r="E225" s="1743"/>
      <c r="G225" s="30" t="s">
        <v>28</v>
      </c>
      <c r="H225" s="126"/>
      <c r="I225" s="10"/>
      <c r="J225" s="10"/>
      <c r="K225" s="16"/>
    </row>
    <row r="226" spans="2:11" x14ac:dyDescent="0.25">
      <c r="B226" s="1750"/>
      <c r="D226" s="1740"/>
      <c r="E226" s="1743"/>
      <c r="G226" s="30" t="s">
        <v>29</v>
      </c>
      <c r="H226" s="126"/>
      <c r="I226" s="10"/>
      <c r="J226" s="10"/>
      <c r="K226" s="16"/>
    </row>
    <row r="227" spans="2:11" x14ac:dyDescent="0.25">
      <c r="B227" s="1750"/>
      <c r="D227" s="1740"/>
      <c r="E227" s="1743"/>
      <c r="G227" s="30" t="s">
        <v>30</v>
      </c>
      <c r="H227" s="126"/>
      <c r="I227" s="10"/>
      <c r="J227" s="10"/>
      <c r="K227" s="16"/>
    </row>
    <row r="228" spans="2:11" x14ac:dyDescent="0.25">
      <c r="B228" s="1750"/>
      <c r="D228" s="1740"/>
      <c r="E228" s="1743"/>
      <c r="G228" s="89" t="s">
        <v>31</v>
      </c>
      <c r="H228" s="1036">
        <f>SUM(H229:H230)</f>
        <v>0</v>
      </c>
      <c r="I228" s="90"/>
      <c r="J228" s="90"/>
      <c r="K228" s="91"/>
    </row>
    <row r="229" spans="2:11" x14ac:dyDescent="0.25">
      <c r="B229" s="1750"/>
      <c r="D229" s="1740"/>
      <c r="E229" s="1743"/>
      <c r="G229" s="30" t="s">
        <v>640</v>
      </c>
      <c r="H229" s="126"/>
      <c r="I229" s="10"/>
      <c r="J229" s="10"/>
      <c r="K229" s="16"/>
    </row>
    <row r="230" spans="2:11" x14ac:dyDescent="0.25">
      <c r="B230" s="1750"/>
      <c r="D230" s="1740"/>
      <c r="E230" s="1743"/>
      <c r="G230" s="30" t="s">
        <v>641</v>
      </c>
      <c r="H230" s="126"/>
      <c r="I230" s="10"/>
      <c r="J230" s="10"/>
      <c r="K230" s="16"/>
    </row>
    <row r="231" spans="2:11" x14ac:dyDescent="0.25">
      <c r="B231" s="1750"/>
      <c r="D231" s="1740"/>
      <c r="E231" s="1743"/>
      <c r="G231" s="1043" t="s">
        <v>32</v>
      </c>
      <c r="H231" s="1036"/>
      <c r="I231" s="1044"/>
      <c r="J231" s="1044"/>
      <c r="K231" s="1045"/>
    </row>
    <row r="232" spans="2:11" x14ac:dyDescent="0.25">
      <c r="B232" s="1750"/>
      <c r="D232" s="1740"/>
      <c r="E232" s="1743"/>
      <c r="G232" s="89" t="s">
        <v>33</v>
      </c>
      <c r="H232" s="132">
        <f>SUM(H233:H234)</f>
        <v>0</v>
      </c>
      <c r="I232" s="90"/>
      <c r="J232" s="90"/>
      <c r="K232" s="91"/>
    </row>
    <row r="233" spans="2:11" x14ac:dyDescent="0.25">
      <c r="B233" s="1750"/>
      <c r="D233" s="1740"/>
      <c r="E233" s="1743"/>
      <c r="G233" s="30" t="s">
        <v>34</v>
      </c>
      <c r="H233" s="126"/>
      <c r="I233" s="10"/>
      <c r="J233" s="10"/>
      <c r="K233" s="16"/>
    </row>
    <row r="234" spans="2:11" x14ac:dyDescent="0.25">
      <c r="B234" s="1750"/>
      <c r="D234" s="1740"/>
      <c r="E234" s="1743"/>
      <c r="G234" s="30" t="s">
        <v>35</v>
      </c>
      <c r="H234" s="126"/>
      <c r="I234" s="10"/>
      <c r="J234" s="10"/>
      <c r="K234" s="16"/>
    </row>
    <row r="235" spans="2:11" ht="15.75" thickBot="1" x14ac:dyDescent="0.3">
      <c r="B235" s="1750"/>
      <c r="D235" s="1741"/>
      <c r="E235" s="1744"/>
      <c r="G235" s="1047" t="s">
        <v>36</v>
      </c>
      <c r="H235" s="1048"/>
      <c r="I235" s="1049"/>
      <c r="J235" s="1049"/>
      <c r="K235" s="1050"/>
    </row>
    <row r="236" spans="2:11" ht="15" customHeight="1" x14ac:dyDescent="0.25">
      <c r="B236" s="1750"/>
      <c r="D236" s="1739"/>
      <c r="E236" s="1742" t="s">
        <v>621</v>
      </c>
      <c r="G236" s="86" t="s">
        <v>145</v>
      </c>
      <c r="H236" s="131">
        <f>SUM(H237:H238)</f>
        <v>0</v>
      </c>
      <c r="I236" s="87"/>
      <c r="J236" s="87"/>
      <c r="K236" s="88"/>
    </row>
    <row r="237" spans="2:11" x14ac:dyDescent="0.25">
      <c r="B237" s="1750"/>
      <c r="D237" s="1740"/>
      <c r="E237" s="1743"/>
      <c r="G237" s="30" t="s">
        <v>23</v>
      </c>
      <c r="H237" s="126"/>
      <c r="I237" s="10"/>
      <c r="J237" s="10"/>
      <c r="K237" s="16"/>
    </row>
    <row r="238" spans="2:11" x14ac:dyDescent="0.25">
      <c r="B238" s="1750"/>
      <c r="D238" s="1740"/>
      <c r="E238" s="1743"/>
      <c r="G238" s="30" t="s">
        <v>24</v>
      </c>
      <c r="H238" s="126"/>
      <c r="I238" s="10"/>
      <c r="J238" s="10"/>
      <c r="K238" s="16"/>
    </row>
    <row r="239" spans="2:11" x14ac:dyDescent="0.25">
      <c r="B239" s="1750"/>
      <c r="D239" s="1740"/>
      <c r="E239" s="1743"/>
      <c r="G239" s="89" t="s">
        <v>146</v>
      </c>
      <c r="H239" s="132">
        <f>SUM(H240+H250)</f>
        <v>0</v>
      </c>
      <c r="I239" s="90"/>
      <c r="J239" s="90"/>
      <c r="K239" s="91"/>
    </row>
    <row r="240" spans="2:11" x14ac:dyDescent="0.25">
      <c r="B240" s="1750"/>
      <c r="D240" s="1740"/>
      <c r="E240" s="1743"/>
      <c r="G240" s="89" t="s">
        <v>25</v>
      </c>
      <c r="H240" s="132">
        <f>SUM(H241,H246,H249)</f>
        <v>0</v>
      </c>
      <c r="I240" s="90"/>
      <c r="J240" s="90"/>
      <c r="K240" s="91"/>
    </row>
    <row r="241" spans="2:11" x14ac:dyDescent="0.25">
      <c r="B241" s="1750"/>
      <c r="D241" s="1740"/>
      <c r="E241" s="1743"/>
      <c r="G241" s="89" t="s">
        <v>26</v>
      </c>
      <c r="H241" s="132">
        <f>SUM(H242:H245)</f>
        <v>0</v>
      </c>
      <c r="I241" s="90"/>
      <c r="J241" s="90"/>
      <c r="K241" s="91"/>
    </row>
    <row r="242" spans="2:11" x14ac:dyDescent="0.25">
      <c r="B242" s="1750"/>
      <c r="D242" s="1740"/>
      <c r="E242" s="1743"/>
      <c r="G242" s="30" t="s">
        <v>27</v>
      </c>
      <c r="H242" s="126"/>
      <c r="I242" s="10"/>
      <c r="J242" s="10"/>
      <c r="K242" s="16"/>
    </row>
    <row r="243" spans="2:11" x14ac:dyDescent="0.25">
      <c r="B243" s="1750"/>
      <c r="D243" s="1740"/>
      <c r="E243" s="1743"/>
      <c r="G243" s="30" t="s">
        <v>28</v>
      </c>
      <c r="H243" s="126"/>
      <c r="I243" s="10"/>
      <c r="J243" s="10"/>
      <c r="K243" s="16"/>
    </row>
    <row r="244" spans="2:11" x14ac:dyDescent="0.25">
      <c r="B244" s="1750"/>
      <c r="D244" s="1740"/>
      <c r="E244" s="1743"/>
      <c r="G244" s="30" t="s">
        <v>29</v>
      </c>
      <c r="H244" s="126"/>
      <c r="I244" s="10"/>
      <c r="J244" s="10"/>
      <c r="K244" s="16"/>
    </row>
    <row r="245" spans="2:11" x14ac:dyDescent="0.25">
      <c r="B245" s="1750"/>
      <c r="D245" s="1740"/>
      <c r="E245" s="1743"/>
      <c r="G245" s="30" t="s">
        <v>30</v>
      </c>
      <c r="H245" s="126"/>
      <c r="I245" s="10"/>
      <c r="J245" s="10"/>
      <c r="K245" s="16"/>
    </row>
    <row r="246" spans="2:11" x14ac:dyDescent="0.25">
      <c r="B246" s="1750"/>
      <c r="D246" s="1740"/>
      <c r="E246" s="1743"/>
      <c r="G246" s="89" t="s">
        <v>31</v>
      </c>
      <c r="H246" s="1036">
        <f>SUM(H247:H248)</f>
        <v>0</v>
      </c>
      <c r="I246" s="90"/>
      <c r="J246" s="90"/>
      <c r="K246" s="91"/>
    </row>
    <row r="247" spans="2:11" x14ac:dyDescent="0.25">
      <c r="B247" s="1750"/>
      <c r="D247" s="1740"/>
      <c r="E247" s="1743"/>
      <c r="G247" s="30" t="s">
        <v>640</v>
      </c>
      <c r="H247" s="126"/>
      <c r="I247" s="10"/>
      <c r="J247" s="10"/>
      <c r="K247" s="16"/>
    </row>
    <row r="248" spans="2:11" x14ac:dyDescent="0.25">
      <c r="B248" s="1750"/>
      <c r="D248" s="1740"/>
      <c r="E248" s="1743"/>
      <c r="G248" s="30" t="s">
        <v>641</v>
      </c>
      <c r="H248" s="126"/>
      <c r="I248" s="10"/>
      <c r="J248" s="10"/>
      <c r="K248" s="16"/>
    </row>
    <row r="249" spans="2:11" x14ac:dyDescent="0.25">
      <c r="B249" s="1750"/>
      <c r="D249" s="1740"/>
      <c r="E249" s="1743"/>
      <c r="G249" s="1043" t="s">
        <v>32</v>
      </c>
      <c r="H249" s="1036"/>
      <c r="I249" s="1044"/>
      <c r="J249" s="1044"/>
      <c r="K249" s="1045"/>
    </row>
    <row r="250" spans="2:11" x14ac:dyDescent="0.25">
      <c r="B250" s="1750"/>
      <c r="D250" s="1740"/>
      <c r="E250" s="1743"/>
      <c r="G250" s="89" t="s">
        <v>33</v>
      </c>
      <c r="H250" s="132">
        <f>SUM(H251:H252)</f>
        <v>0</v>
      </c>
      <c r="I250" s="90"/>
      <c r="J250" s="90"/>
      <c r="K250" s="91"/>
    </row>
    <row r="251" spans="2:11" x14ac:dyDescent="0.25">
      <c r="B251" s="1750"/>
      <c r="D251" s="1740"/>
      <c r="E251" s="1743"/>
      <c r="G251" s="30" t="s">
        <v>34</v>
      </c>
      <c r="H251" s="126"/>
      <c r="I251" s="10"/>
      <c r="J251" s="10"/>
      <c r="K251" s="16"/>
    </row>
    <row r="252" spans="2:11" x14ac:dyDescent="0.25">
      <c r="B252" s="1750"/>
      <c r="D252" s="1740"/>
      <c r="E252" s="1743"/>
      <c r="G252" s="30" t="s">
        <v>35</v>
      </c>
      <c r="H252" s="126"/>
      <c r="I252" s="10"/>
      <c r="J252" s="10"/>
      <c r="K252" s="16"/>
    </row>
    <row r="253" spans="2:11" ht="15.75" thickBot="1" x14ac:dyDescent="0.3">
      <c r="B253" s="1750"/>
      <c r="D253" s="1741"/>
      <c r="E253" s="1744"/>
      <c r="G253" s="1047" t="s">
        <v>36</v>
      </c>
      <c r="H253" s="1048"/>
      <c r="I253" s="1049"/>
      <c r="J253" s="1049"/>
      <c r="K253" s="1050"/>
    </row>
    <row r="254" spans="2:11" ht="15" customHeight="1" x14ac:dyDescent="0.25">
      <c r="B254" s="1750"/>
      <c r="D254" s="1739"/>
      <c r="E254" s="1742" t="s">
        <v>622</v>
      </c>
      <c r="G254" s="86" t="s">
        <v>145</v>
      </c>
      <c r="H254" s="131">
        <f>SUM(H255:H256)</f>
        <v>0</v>
      </c>
      <c r="I254" s="87"/>
      <c r="J254" s="87"/>
      <c r="K254" s="88"/>
    </row>
    <row r="255" spans="2:11" x14ac:dyDescent="0.25">
      <c r="B255" s="1750"/>
      <c r="D255" s="1740"/>
      <c r="E255" s="1743"/>
      <c r="G255" s="30" t="s">
        <v>23</v>
      </c>
      <c r="H255" s="126"/>
      <c r="I255" s="10"/>
      <c r="J255" s="10"/>
      <c r="K255" s="16"/>
    </row>
    <row r="256" spans="2:11" x14ac:dyDescent="0.25">
      <c r="B256" s="1750"/>
      <c r="D256" s="1740"/>
      <c r="E256" s="1743"/>
      <c r="G256" s="30" t="s">
        <v>24</v>
      </c>
      <c r="H256" s="126"/>
      <c r="I256" s="10"/>
      <c r="J256" s="10"/>
      <c r="K256" s="16"/>
    </row>
    <row r="257" spans="2:11" x14ac:dyDescent="0.25">
      <c r="B257" s="1750"/>
      <c r="D257" s="1740"/>
      <c r="E257" s="1743"/>
      <c r="G257" s="89" t="s">
        <v>146</v>
      </c>
      <c r="H257" s="132">
        <f>SUM(H258+H268)</f>
        <v>0</v>
      </c>
      <c r="I257" s="90"/>
      <c r="J257" s="90"/>
      <c r="K257" s="91"/>
    </row>
    <row r="258" spans="2:11" x14ac:dyDescent="0.25">
      <c r="B258" s="1750"/>
      <c r="D258" s="1740"/>
      <c r="E258" s="1743"/>
      <c r="G258" s="89" t="s">
        <v>25</v>
      </c>
      <c r="H258" s="132">
        <f>SUM(H259,H264,H267)</f>
        <v>0</v>
      </c>
      <c r="I258" s="90"/>
      <c r="J258" s="90"/>
      <c r="K258" s="91"/>
    </row>
    <row r="259" spans="2:11" x14ac:dyDescent="0.25">
      <c r="B259" s="1750"/>
      <c r="D259" s="1740"/>
      <c r="E259" s="1743"/>
      <c r="G259" s="89" t="s">
        <v>26</v>
      </c>
      <c r="H259" s="132">
        <f>SUM(H260:H263)</f>
        <v>0</v>
      </c>
      <c r="I259" s="90"/>
      <c r="J259" s="90"/>
      <c r="K259" s="91"/>
    </row>
    <row r="260" spans="2:11" x14ac:dyDescent="0.25">
      <c r="B260" s="1750"/>
      <c r="D260" s="1740"/>
      <c r="E260" s="1743"/>
      <c r="G260" s="30" t="s">
        <v>27</v>
      </c>
      <c r="H260" s="126"/>
      <c r="I260" s="10"/>
      <c r="J260" s="10"/>
      <c r="K260" s="16"/>
    </row>
    <row r="261" spans="2:11" x14ac:dyDescent="0.25">
      <c r="B261" s="1750"/>
      <c r="D261" s="1740"/>
      <c r="E261" s="1743"/>
      <c r="G261" s="30" t="s">
        <v>28</v>
      </c>
      <c r="H261" s="126"/>
      <c r="I261" s="10"/>
      <c r="J261" s="10"/>
      <c r="K261" s="16"/>
    </row>
    <row r="262" spans="2:11" x14ac:dyDescent="0.25">
      <c r="B262" s="1750"/>
      <c r="D262" s="1740"/>
      <c r="E262" s="1743"/>
      <c r="G262" s="30" t="s">
        <v>29</v>
      </c>
      <c r="H262" s="126"/>
      <c r="I262" s="10"/>
      <c r="J262" s="10"/>
      <c r="K262" s="16"/>
    </row>
    <row r="263" spans="2:11" x14ac:dyDescent="0.25">
      <c r="B263" s="1750"/>
      <c r="D263" s="1740"/>
      <c r="E263" s="1743"/>
      <c r="G263" s="30" t="s">
        <v>30</v>
      </c>
      <c r="H263" s="126"/>
      <c r="I263" s="10"/>
      <c r="J263" s="10"/>
      <c r="K263" s="16"/>
    </row>
    <row r="264" spans="2:11" x14ac:dyDescent="0.25">
      <c r="B264" s="1750"/>
      <c r="D264" s="1740"/>
      <c r="E264" s="1743"/>
      <c r="G264" s="89" t="s">
        <v>31</v>
      </c>
      <c r="H264" s="1036">
        <f>SUM(H265:H266)</f>
        <v>0</v>
      </c>
      <c r="I264" s="90"/>
      <c r="J264" s="90"/>
      <c r="K264" s="91"/>
    </row>
    <row r="265" spans="2:11" x14ac:dyDescent="0.25">
      <c r="B265" s="1750"/>
      <c r="D265" s="1740"/>
      <c r="E265" s="1743"/>
      <c r="G265" s="30" t="s">
        <v>640</v>
      </c>
      <c r="H265" s="126"/>
      <c r="I265" s="10"/>
      <c r="J265" s="10"/>
      <c r="K265" s="16"/>
    </row>
    <row r="266" spans="2:11" x14ac:dyDescent="0.25">
      <c r="B266" s="1750"/>
      <c r="D266" s="1740"/>
      <c r="E266" s="1743"/>
      <c r="G266" s="30" t="s">
        <v>641</v>
      </c>
      <c r="H266" s="126"/>
      <c r="I266" s="10"/>
      <c r="J266" s="10"/>
      <c r="K266" s="16"/>
    </row>
    <row r="267" spans="2:11" x14ac:dyDescent="0.25">
      <c r="B267" s="1750"/>
      <c r="D267" s="1740"/>
      <c r="E267" s="1743"/>
      <c r="G267" s="1043" t="s">
        <v>32</v>
      </c>
      <c r="H267" s="1036"/>
      <c r="I267" s="1044"/>
      <c r="J267" s="1044"/>
      <c r="K267" s="1045"/>
    </row>
    <row r="268" spans="2:11" x14ac:dyDescent="0.25">
      <c r="B268" s="1750"/>
      <c r="D268" s="1740"/>
      <c r="E268" s="1743"/>
      <c r="G268" s="89" t="s">
        <v>33</v>
      </c>
      <c r="H268" s="132">
        <f>SUM(H269:H270)</f>
        <v>0</v>
      </c>
      <c r="I268" s="90"/>
      <c r="J268" s="90"/>
      <c r="K268" s="91"/>
    </row>
    <row r="269" spans="2:11" x14ac:dyDescent="0.25">
      <c r="B269" s="1750"/>
      <c r="D269" s="1740"/>
      <c r="E269" s="1743"/>
      <c r="G269" s="30" t="s">
        <v>34</v>
      </c>
      <c r="H269" s="126"/>
      <c r="I269" s="10"/>
      <c r="J269" s="10"/>
      <c r="K269" s="16"/>
    </row>
    <row r="270" spans="2:11" x14ac:dyDescent="0.25">
      <c r="B270" s="1750"/>
      <c r="D270" s="1740"/>
      <c r="E270" s="1743"/>
      <c r="G270" s="30" t="s">
        <v>35</v>
      </c>
      <c r="H270" s="126"/>
      <c r="I270" s="10"/>
      <c r="J270" s="10"/>
      <c r="K270" s="16"/>
    </row>
    <row r="271" spans="2:11" ht="15.75" thickBot="1" x14ac:dyDescent="0.3">
      <c r="B271" s="1750"/>
      <c r="D271" s="1741"/>
      <c r="E271" s="1744"/>
      <c r="G271" s="1047" t="s">
        <v>36</v>
      </c>
      <c r="H271" s="1048"/>
      <c r="I271" s="1049"/>
      <c r="J271" s="1049"/>
      <c r="K271" s="1050"/>
    </row>
    <row r="272" spans="2:11" ht="15" customHeight="1" x14ac:dyDescent="0.25">
      <c r="B272" s="1750"/>
      <c r="D272" s="1739">
        <v>85</v>
      </c>
      <c r="E272" s="1746" t="s">
        <v>155</v>
      </c>
      <c r="G272" s="86" t="s">
        <v>145</v>
      </c>
      <c r="H272" s="131">
        <f>SUM(H273:H274)</f>
        <v>133.11539999999999</v>
      </c>
      <c r="I272" s="87"/>
      <c r="J272" s="87"/>
      <c r="K272" s="88"/>
    </row>
    <row r="273" spans="2:11" x14ac:dyDescent="0.25">
      <c r="B273" s="1750"/>
      <c r="D273" s="1740"/>
      <c r="E273" s="1747"/>
      <c r="G273" s="30" t="s">
        <v>23</v>
      </c>
      <c r="H273" s="126">
        <v>133.11539999999999</v>
      </c>
      <c r="I273" s="10"/>
      <c r="J273" s="10"/>
      <c r="K273" s="16"/>
    </row>
    <row r="274" spans="2:11" x14ac:dyDescent="0.25">
      <c r="B274" s="1750"/>
      <c r="D274" s="1740"/>
      <c r="E274" s="1747"/>
      <c r="G274" s="30" t="s">
        <v>24</v>
      </c>
      <c r="H274" s="126">
        <v>0</v>
      </c>
      <c r="I274" s="10"/>
      <c r="J274" s="10"/>
      <c r="K274" s="16"/>
    </row>
    <row r="275" spans="2:11" x14ac:dyDescent="0.25">
      <c r="B275" s="1750"/>
      <c r="D275" s="1740"/>
      <c r="E275" s="1747"/>
      <c r="G275" s="89" t="s">
        <v>146</v>
      </c>
      <c r="H275" s="132">
        <f>SUM(H276+H286)</f>
        <v>133.11539999999999</v>
      </c>
      <c r="I275" s="90"/>
      <c r="J275" s="90"/>
      <c r="K275" s="91"/>
    </row>
    <row r="276" spans="2:11" x14ac:dyDescent="0.25">
      <c r="B276" s="1750"/>
      <c r="D276" s="1740"/>
      <c r="E276" s="1747"/>
      <c r="G276" s="89" t="s">
        <v>25</v>
      </c>
      <c r="H276" s="132">
        <f>SUM(H277,H282,H285)</f>
        <v>133.11539999999999</v>
      </c>
      <c r="I276" s="90"/>
      <c r="J276" s="90"/>
      <c r="K276" s="91"/>
    </row>
    <row r="277" spans="2:11" x14ac:dyDescent="0.25">
      <c r="B277" s="1750"/>
      <c r="D277" s="1740"/>
      <c r="E277" s="1747"/>
      <c r="G277" s="89" t="s">
        <v>26</v>
      </c>
      <c r="H277" s="132">
        <f>SUM(H278:H281)</f>
        <v>0</v>
      </c>
      <c r="I277" s="90"/>
      <c r="J277" s="90"/>
      <c r="K277" s="91"/>
    </row>
    <row r="278" spans="2:11" x14ac:dyDescent="0.25">
      <c r="B278" s="1750"/>
      <c r="D278" s="1740"/>
      <c r="E278" s="1747"/>
      <c r="G278" s="30" t="s">
        <v>27</v>
      </c>
      <c r="H278" s="126">
        <v>0</v>
      </c>
      <c r="I278" s="10"/>
      <c r="J278" s="10"/>
      <c r="K278" s="16"/>
    </row>
    <row r="279" spans="2:11" x14ac:dyDescent="0.25">
      <c r="B279" s="1750"/>
      <c r="D279" s="1740"/>
      <c r="E279" s="1747"/>
      <c r="G279" s="30" t="s">
        <v>28</v>
      </c>
      <c r="H279" s="126">
        <v>0</v>
      </c>
      <c r="I279" s="10"/>
      <c r="J279" s="10"/>
      <c r="K279" s="16"/>
    </row>
    <row r="280" spans="2:11" x14ac:dyDescent="0.25">
      <c r="B280" s="1750"/>
      <c r="D280" s="1740"/>
      <c r="E280" s="1747"/>
      <c r="G280" s="30" t="s">
        <v>29</v>
      </c>
      <c r="H280" s="126">
        <v>0</v>
      </c>
      <c r="I280" s="10"/>
      <c r="J280" s="10"/>
      <c r="K280" s="16"/>
    </row>
    <row r="281" spans="2:11" x14ac:dyDescent="0.25">
      <c r="B281" s="1750"/>
      <c r="D281" s="1740"/>
      <c r="E281" s="1747"/>
      <c r="G281" s="30" t="s">
        <v>30</v>
      </c>
      <c r="H281" s="126">
        <v>0</v>
      </c>
      <c r="I281" s="10"/>
      <c r="J281" s="10"/>
      <c r="K281" s="16"/>
    </row>
    <row r="282" spans="2:11" x14ac:dyDescent="0.25">
      <c r="B282" s="1750"/>
      <c r="D282" s="1740"/>
      <c r="E282" s="1747"/>
      <c r="G282" s="89" t="s">
        <v>31</v>
      </c>
      <c r="H282" s="132">
        <v>133.11539999999999</v>
      </c>
      <c r="I282" s="90"/>
      <c r="J282" s="90"/>
      <c r="K282" s="91" t="s">
        <v>1305</v>
      </c>
    </row>
    <row r="283" spans="2:11" x14ac:dyDescent="0.25">
      <c r="B283" s="1750"/>
      <c r="D283" s="1740"/>
      <c r="E283" s="1747"/>
      <c r="G283" s="30" t="s">
        <v>640</v>
      </c>
      <c r="H283" s="126">
        <f>H282*95%</f>
        <v>126.45962999999999</v>
      </c>
      <c r="I283" s="10"/>
      <c r="J283" s="10"/>
      <c r="K283" s="16"/>
    </row>
    <row r="284" spans="2:11" x14ac:dyDescent="0.25">
      <c r="B284" s="1750"/>
      <c r="D284" s="1740"/>
      <c r="E284" s="1747"/>
      <c r="G284" s="30" t="s">
        <v>641</v>
      </c>
      <c r="H284" s="126">
        <f>H282*5%</f>
        <v>6.6557700000000004</v>
      </c>
      <c r="I284" s="10"/>
      <c r="J284" s="10"/>
      <c r="K284" s="16"/>
    </row>
    <row r="285" spans="2:11" x14ac:dyDescent="0.25">
      <c r="B285" s="1750"/>
      <c r="D285" s="1740"/>
      <c r="E285" s="1747"/>
      <c r="G285" s="1043" t="s">
        <v>32</v>
      </c>
      <c r="H285" s="1036">
        <v>0</v>
      </c>
      <c r="I285" s="1044"/>
      <c r="J285" s="1044"/>
      <c r="K285" s="1045"/>
    </row>
    <row r="286" spans="2:11" x14ac:dyDescent="0.25">
      <c r="B286" s="1750"/>
      <c r="D286" s="1740"/>
      <c r="E286" s="1747"/>
      <c r="G286" s="89" t="s">
        <v>33</v>
      </c>
      <c r="H286" s="132">
        <f>SUM(H287:H288)</f>
        <v>0</v>
      </c>
      <c r="I286" s="90"/>
      <c r="J286" s="90"/>
      <c r="K286" s="91"/>
    </row>
    <row r="287" spans="2:11" x14ac:dyDescent="0.25">
      <c r="B287" s="1750"/>
      <c r="D287" s="1740"/>
      <c r="E287" s="1747"/>
      <c r="G287" s="30" t="s">
        <v>34</v>
      </c>
      <c r="H287" s="126">
        <v>0</v>
      </c>
      <c r="I287" s="10"/>
      <c r="J287" s="10"/>
      <c r="K287" s="16"/>
    </row>
    <row r="288" spans="2:11" x14ac:dyDescent="0.25">
      <c r="B288" s="1750"/>
      <c r="D288" s="1740"/>
      <c r="E288" s="1747"/>
      <c r="G288" s="30" t="s">
        <v>35</v>
      </c>
      <c r="H288" s="126">
        <v>0</v>
      </c>
      <c r="I288" s="10"/>
      <c r="J288" s="10"/>
      <c r="K288" s="16"/>
    </row>
    <row r="289" spans="2:11" ht="15.75" thickBot="1" x14ac:dyDescent="0.3">
      <c r="B289" s="1750"/>
      <c r="D289" s="1741"/>
      <c r="E289" s="1748"/>
      <c r="G289" s="1047" t="s">
        <v>36</v>
      </c>
      <c r="H289" s="1048">
        <v>224372.33</v>
      </c>
      <c r="I289" s="1049"/>
      <c r="J289" s="1049"/>
      <c r="K289" s="1050" t="s">
        <v>1268</v>
      </c>
    </row>
    <row r="290" spans="2:11" ht="15" customHeight="1" x14ac:dyDescent="0.25">
      <c r="B290" s="1750"/>
      <c r="D290" s="1745" t="s">
        <v>21</v>
      </c>
      <c r="E290" s="1746" t="s">
        <v>156</v>
      </c>
      <c r="G290" s="86" t="s">
        <v>145</v>
      </c>
      <c r="H290" s="131">
        <f>SUM(H291:H292)</f>
        <v>588.7795155737706</v>
      </c>
      <c r="I290" s="87"/>
      <c r="J290" s="87"/>
      <c r="K290" s="88"/>
    </row>
    <row r="291" spans="2:11" x14ac:dyDescent="0.25">
      <c r="B291" s="1750"/>
      <c r="D291" s="1740"/>
      <c r="E291" s="1747"/>
      <c r="G291" s="30" t="s">
        <v>23</v>
      </c>
      <c r="H291" s="126">
        <v>588.7795155737706</v>
      </c>
      <c r="I291" s="10"/>
      <c r="J291" s="10"/>
      <c r="K291" s="16"/>
    </row>
    <row r="292" spans="2:11" x14ac:dyDescent="0.25">
      <c r="B292" s="1750"/>
      <c r="D292" s="1740"/>
      <c r="E292" s="1747"/>
      <c r="G292" s="30" t="s">
        <v>24</v>
      </c>
      <c r="H292" s="126">
        <v>0</v>
      </c>
      <c r="I292" s="10"/>
      <c r="J292" s="10"/>
      <c r="K292" s="16"/>
    </row>
    <row r="293" spans="2:11" x14ac:dyDescent="0.25">
      <c r="B293" s="1750"/>
      <c r="D293" s="1740"/>
      <c r="E293" s="1747"/>
      <c r="G293" s="89" t="s">
        <v>146</v>
      </c>
      <c r="H293" s="132">
        <f>SUM(H294+H304)</f>
        <v>588.7795155737706</v>
      </c>
      <c r="I293" s="90"/>
      <c r="J293" s="90"/>
      <c r="K293" s="91"/>
    </row>
    <row r="294" spans="2:11" x14ac:dyDescent="0.25">
      <c r="B294" s="1750"/>
      <c r="D294" s="1740"/>
      <c r="E294" s="1747"/>
      <c r="G294" s="89" t="s">
        <v>25</v>
      </c>
      <c r="H294" s="132">
        <f>SUM(H295,H300,H303)</f>
        <v>90.790815573770487</v>
      </c>
      <c r="I294" s="90"/>
      <c r="J294" s="90"/>
      <c r="K294" s="91"/>
    </row>
    <row r="295" spans="2:11" x14ac:dyDescent="0.25">
      <c r="B295" s="1750"/>
      <c r="D295" s="1740"/>
      <c r="E295" s="1747"/>
      <c r="G295" s="89" t="s">
        <v>26</v>
      </c>
      <c r="H295" s="132">
        <f>SUM(H296:H299)</f>
        <v>0</v>
      </c>
      <c r="I295" s="90"/>
      <c r="J295" s="90"/>
      <c r="K295" s="91"/>
    </row>
    <row r="296" spans="2:11" x14ac:dyDescent="0.25">
      <c r="B296" s="1750"/>
      <c r="D296" s="1740"/>
      <c r="E296" s="1747"/>
      <c r="G296" s="30" t="s">
        <v>27</v>
      </c>
      <c r="H296" s="126">
        <v>0</v>
      </c>
      <c r="I296" s="10"/>
      <c r="J296" s="10"/>
      <c r="K296" s="16"/>
    </row>
    <row r="297" spans="2:11" x14ac:dyDescent="0.25">
      <c r="B297" s="1750"/>
      <c r="D297" s="1740"/>
      <c r="E297" s="1747"/>
      <c r="G297" s="30" t="s">
        <v>28</v>
      </c>
      <c r="H297" s="126">
        <v>0</v>
      </c>
      <c r="I297" s="10"/>
      <c r="J297" s="10"/>
      <c r="K297" s="16"/>
    </row>
    <row r="298" spans="2:11" x14ac:dyDescent="0.25">
      <c r="B298" s="1750"/>
      <c r="D298" s="1740"/>
      <c r="E298" s="1747"/>
      <c r="G298" s="30" t="s">
        <v>29</v>
      </c>
      <c r="H298" s="126">
        <v>0</v>
      </c>
      <c r="I298" s="10"/>
      <c r="J298" s="10"/>
      <c r="K298" s="16"/>
    </row>
    <row r="299" spans="2:11" x14ac:dyDescent="0.25">
      <c r="B299" s="1750"/>
      <c r="D299" s="1740"/>
      <c r="E299" s="1747"/>
      <c r="G299" s="30" t="s">
        <v>30</v>
      </c>
      <c r="H299" s="126">
        <v>0</v>
      </c>
      <c r="I299" s="10"/>
      <c r="J299" s="10"/>
      <c r="K299" s="16"/>
    </row>
    <row r="300" spans="2:11" x14ac:dyDescent="0.25">
      <c r="B300" s="1750"/>
      <c r="D300" s="1740"/>
      <c r="E300" s="1747"/>
      <c r="G300" s="89" t="s">
        <v>31</v>
      </c>
      <c r="H300" s="132">
        <v>90.790815573770487</v>
      </c>
      <c r="I300" s="90"/>
      <c r="J300" s="90"/>
      <c r="K300" s="91" t="s">
        <v>1306</v>
      </c>
    </row>
    <row r="301" spans="2:11" x14ac:dyDescent="0.25">
      <c r="B301" s="1750"/>
      <c r="D301" s="1740"/>
      <c r="E301" s="1747"/>
      <c r="G301" s="30" t="s">
        <v>640</v>
      </c>
      <c r="H301" s="126">
        <f>H300*20%</f>
        <v>18.1581631147541</v>
      </c>
      <c r="I301" s="10"/>
      <c r="J301" s="10"/>
      <c r="K301" s="16"/>
    </row>
    <row r="302" spans="2:11" x14ac:dyDescent="0.25">
      <c r="B302" s="1750"/>
      <c r="D302" s="1740"/>
      <c r="E302" s="1747"/>
      <c r="G302" s="30" t="s">
        <v>641</v>
      </c>
      <c r="H302" s="126">
        <f>H300*80%</f>
        <v>72.632652459016398</v>
      </c>
      <c r="I302" s="10"/>
      <c r="J302" s="10"/>
      <c r="K302" s="16"/>
    </row>
    <row r="303" spans="2:11" x14ac:dyDescent="0.25">
      <c r="B303" s="1750"/>
      <c r="D303" s="1740"/>
      <c r="E303" s="1747"/>
      <c r="G303" s="1043" t="s">
        <v>32</v>
      </c>
      <c r="H303" s="1036">
        <v>0</v>
      </c>
      <c r="I303" s="1044"/>
      <c r="J303" s="1044"/>
      <c r="K303" s="1045"/>
    </row>
    <row r="304" spans="2:11" x14ac:dyDescent="0.25">
      <c r="B304" s="1750"/>
      <c r="D304" s="1740"/>
      <c r="E304" s="1747"/>
      <c r="G304" s="89" t="s">
        <v>33</v>
      </c>
      <c r="H304" s="132">
        <f>SUM(H305:H306)</f>
        <v>497.98870000000005</v>
      </c>
      <c r="I304" s="90"/>
      <c r="J304" s="90"/>
      <c r="K304" s="91"/>
    </row>
    <row r="305" spans="2:11" x14ac:dyDescent="0.25">
      <c r="B305" s="1750"/>
      <c r="D305" s="1740"/>
      <c r="E305" s="1747"/>
      <c r="G305" s="30" t="s">
        <v>34</v>
      </c>
      <c r="H305" s="126">
        <v>497.98870000000005</v>
      </c>
      <c r="I305" s="10"/>
      <c r="J305" s="10"/>
      <c r="K305" s="16" t="s">
        <v>1268</v>
      </c>
    </row>
    <row r="306" spans="2:11" x14ac:dyDescent="0.25">
      <c r="B306" s="1750"/>
      <c r="D306" s="1740"/>
      <c r="E306" s="1747"/>
      <c r="G306" s="30" t="s">
        <v>35</v>
      </c>
      <c r="H306" s="126">
        <v>0</v>
      </c>
      <c r="I306" s="10"/>
      <c r="J306" s="10"/>
      <c r="K306" s="16"/>
    </row>
    <row r="307" spans="2:11" ht="15.75" thickBot="1" x14ac:dyDescent="0.3">
      <c r="B307" s="1750"/>
      <c r="D307" s="1741"/>
      <c r="E307" s="1748"/>
      <c r="G307" s="1047" t="s">
        <v>36</v>
      </c>
      <c r="H307" s="1048">
        <v>3720.9427500000002</v>
      </c>
      <c r="I307" s="1049"/>
      <c r="J307" s="1049"/>
      <c r="K307" s="1050" t="s">
        <v>1268</v>
      </c>
    </row>
    <row r="308" spans="2:11" ht="15" customHeight="1" x14ac:dyDescent="0.25">
      <c r="B308" s="1750"/>
      <c r="D308" s="1739"/>
      <c r="E308" s="1742" t="s">
        <v>623</v>
      </c>
      <c r="G308" s="86" t="s">
        <v>145</v>
      </c>
      <c r="H308" s="131">
        <f>SUM(H309:H310)</f>
        <v>0</v>
      </c>
      <c r="I308" s="87"/>
      <c r="J308" s="87"/>
      <c r="K308" s="88"/>
    </row>
    <row r="309" spans="2:11" x14ac:dyDescent="0.25">
      <c r="B309" s="1750"/>
      <c r="D309" s="1740"/>
      <c r="E309" s="1743"/>
      <c r="G309" s="30" t="s">
        <v>23</v>
      </c>
      <c r="H309" s="126"/>
      <c r="I309" s="10"/>
      <c r="J309" s="10"/>
      <c r="K309" s="16"/>
    </row>
    <row r="310" spans="2:11" x14ac:dyDescent="0.25">
      <c r="B310" s="1750"/>
      <c r="D310" s="1740"/>
      <c r="E310" s="1743"/>
      <c r="G310" s="30" t="s">
        <v>24</v>
      </c>
      <c r="H310" s="126"/>
      <c r="I310" s="10"/>
      <c r="J310" s="10"/>
      <c r="K310" s="16"/>
    </row>
    <row r="311" spans="2:11" x14ac:dyDescent="0.25">
      <c r="B311" s="1750"/>
      <c r="D311" s="1740"/>
      <c r="E311" s="1743"/>
      <c r="G311" s="89" t="s">
        <v>146</v>
      </c>
      <c r="H311" s="132">
        <f>SUM(H312+H322)</f>
        <v>0</v>
      </c>
      <c r="I311" s="90"/>
      <c r="J311" s="90"/>
      <c r="K311" s="91"/>
    </row>
    <row r="312" spans="2:11" x14ac:dyDescent="0.25">
      <c r="B312" s="1750"/>
      <c r="D312" s="1740"/>
      <c r="E312" s="1743"/>
      <c r="G312" s="89" t="s">
        <v>25</v>
      </c>
      <c r="H312" s="132">
        <f>SUM(H313,H318,H321)</f>
        <v>0</v>
      </c>
      <c r="I312" s="90"/>
      <c r="J312" s="90"/>
      <c r="K312" s="91"/>
    </row>
    <row r="313" spans="2:11" x14ac:dyDescent="0.25">
      <c r="B313" s="1750"/>
      <c r="D313" s="1740"/>
      <c r="E313" s="1743"/>
      <c r="G313" s="89" t="s">
        <v>26</v>
      </c>
      <c r="H313" s="132">
        <f>SUM(H314:H317)</f>
        <v>0</v>
      </c>
      <c r="I313" s="90"/>
      <c r="J313" s="90"/>
      <c r="K313" s="91"/>
    </row>
    <row r="314" spans="2:11" x14ac:dyDescent="0.25">
      <c r="B314" s="1750"/>
      <c r="D314" s="1740"/>
      <c r="E314" s="1743"/>
      <c r="G314" s="30" t="s">
        <v>27</v>
      </c>
      <c r="H314" s="126"/>
      <c r="I314" s="10"/>
      <c r="J314" s="10"/>
      <c r="K314" s="16"/>
    </row>
    <row r="315" spans="2:11" x14ac:dyDescent="0.25">
      <c r="B315" s="1750"/>
      <c r="D315" s="1740"/>
      <c r="E315" s="1743"/>
      <c r="G315" s="30" t="s">
        <v>28</v>
      </c>
      <c r="H315" s="126"/>
      <c r="I315" s="10"/>
      <c r="J315" s="10"/>
      <c r="K315" s="16"/>
    </row>
    <row r="316" spans="2:11" x14ac:dyDescent="0.25">
      <c r="B316" s="1750"/>
      <c r="D316" s="1740"/>
      <c r="E316" s="1743"/>
      <c r="G316" s="30" t="s">
        <v>29</v>
      </c>
      <c r="H316" s="126"/>
      <c r="I316" s="10"/>
      <c r="J316" s="10"/>
      <c r="K316" s="16"/>
    </row>
    <row r="317" spans="2:11" x14ac:dyDescent="0.25">
      <c r="B317" s="1750"/>
      <c r="D317" s="1740"/>
      <c r="E317" s="1743"/>
      <c r="G317" s="30" t="s">
        <v>30</v>
      </c>
      <c r="H317" s="126"/>
      <c r="I317" s="10"/>
      <c r="J317" s="10"/>
      <c r="K317" s="16"/>
    </row>
    <row r="318" spans="2:11" x14ac:dyDescent="0.25">
      <c r="B318" s="1750"/>
      <c r="D318" s="1740"/>
      <c r="E318" s="1743"/>
      <c r="G318" s="89" t="s">
        <v>31</v>
      </c>
      <c r="H318" s="1036">
        <f>SUM(H319:H320)</f>
        <v>0</v>
      </c>
      <c r="I318" s="90"/>
      <c r="J318" s="90"/>
      <c r="K318" s="91"/>
    </row>
    <row r="319" spans="2:11" x14ac:dyDescent="0.25">
      <c r="B319" s="1750"/>
      <c r="D319" s="1740"/>
      <c r="E319" s="1743"/>
      <c r="G319" s="30" t="s">
        <v>640</v>
      </c>
      <c r="H319" s="126"/>
      <c r="I319" s="10"/>
      <c r="J319" s="10"/>
      <c r="K319" s="16"/>
    </row>
    <row r="320" spans="2:11" x14ac:dyDescent="0.25">
      <c r="B320" s="1750"/>
      <c r="D320" s="1740"/>
      <c r="E320" s="1743"/>
      <c r="G320" s="30" t="s">
        <v>641</v>
      </c>
      <c r="H320" s="126"/>
      <c r="I320" s="10"/>
      <c r="J320" s="10"/>
      <c r="K320" s="16"/>
    </row>
    <row r="321" spans="2:11" x14ac:dyDescent="0.25">
      <c r="B321" s="1750"/>
      <c r="D321" s="1740"/>
      <c r="E321" s="1743"/>
      <c r="G321" s="1043" t="s">
        <v>32</v>
      </c>
      <c r="H321" s="1036"/>
      <c r="I321" s="1044"/>
      <c r="J321" s="1044"/>
      <c r="K321" s="1045"/>
    </row>
    <row r="322" spans="2:11" x14ac:dyDescent="0.25">
      <c r="B322" s="1750"/>
      <c r="D322" s="1740"/>
      <c r="E322" s="1743"/>
      <c r="G322" s="89" t="s">
        <v>33</v>
      </c>
      <c r="H322" s="132">
        <f>SUM(H323:H324)</f>
        <v>0</v>
      </c>
      <c r="I322" s="90"/>
      <c r="J322" s="90"/>
      <c r="K322" s="91"/>
    </row>
    <row r="323" spans="2:11" x14ac:dyDescent="0.25">
      <c r="B323" s="1750"/>
      <c r="D323" s="1740"/>
      <c r="E323" s="1743"/>
      <c r="G323" s="30" t="s">
        <v>34</v>
      </c>
      <c r="H323" s="126"/>
      <c r="I323" s="10"/>
      <c r="J323" s="10"/>
      <c r="K323" s="16"/>
    </row>
    <row r="324" spans="2:11" x14ac:dyDescent="0.25">
      <c r="B324" s="1750"/>
      <c r="D324" s="1740"/>
      <c r="E324" s="1743"/>
      <c r="G324" s="30" t="s">
        <v>35</v>
      </c>
      <c r="H324" s="126"/>
      <c r="I324" s="10"/>
      <c r="J324" s="10"/>
      <c r="K324" s="16"/>
    </row>
    <row r="325" spans="2:11" ht="15.75" thickBot="1" x14ac:dyDescent="0.3">
      <c r="B325" s="1750"/>
      <c r="D325" s="1741"/>
      <c r="E325" s="1744"/>
      <c r="G325" s="1047" t="s">
        <v>36</v>
      </c>
      <c r="H325" s="1048"/>
      <c r="I325" s="1049"/>
      <c r="J325" s="1049"/>
      <c r="K325" s="1050"/>
    </row>
    <row r="326" spans="2:11" ht="15" customHeight="1" x14ac:dyDescent="0.25">
      <c r="B326" s="1750"/>
      <c r="D326" s="1745" t="s">
        <v>22</v>
      </c>
      <c r="E326" s="1746" t="s">
        <v>157</v>
      </c>
      <c r="G326" s="86" t="s">
        <v>145</v>
      </c>
      <c r="H326" s="131">
        <f>SUM(H327:H328)</f>
        <v>11.709600000000002</v>
      </c>
      <c r="I326" s="87"/>
      <c r="J326" s="87"/>
      <c r="K326" s="88"/>
    </row>
    <row r="327" spans="2:11" x14ac:dyDescent="0.25">
      <c r="B327" s="1750"/>
      <c r="D327" s="1740"/>
      <c r="E327" s="1747"/>
      <c r="G327" s="30" t="s">
        <v>23</v>
      </c>
      <c r="H327" s="126">
        <v>11.709600000000002</v>
      </c>
      <c r="I327" s="10"/>
      <c r="J327" s="10"/>
      <c r="K327" s="16"/>
    </row>
    <row r="328" spans="2:11" x14ac:dyDescent="0.25">
      <c r="B328" s="1750"/>
      <c r="D328" s="1740"/>
      <c r="E328" s="1747"/>
      <c r="G328" s="30" t="s">
        <v>24</v>
      </c>
      <c r="H328" s="126">
        <v>0</v>
      </c>
      <c r="I328" s="10"/>
      <c r="J328" s="10"/>
      <c r="K328" s="16"/>
    </row>
    <row r="329" spans="2:11" x14ac:dyDescent="0.25">
      <c r="B329" s="1750"/>
      <c r="D329" s="1740"/>
      <c r="E329" s="1747"/>
      <c r="G329" s="89" t="s">
        <v>146</v>
      </c>
      <c r="H329" s="132">
        <f>SUM(H330+H340)</f>
        <v>11.709600000000002</v>
      </c>
      <c r="I329" s="90"/>
      <c r="J329" s="90"/>
      <c r="K329" s="91"/>
    </row>
    <row r="330" spans="2:11" x14ac:dyDescent="0.25">
      <c r="B330" s="1750"/>
      <c r="D330" s="1740"/>
      <c r="E330" s="1747"/>
      <c r="G330" s="89" t="s">
        <v>25</v>
      </c>
      <c r="H330" s="132">
        <f>SUM(H331,H336,H339)</f>
        <v>2.0736000000000003</v>
      </c>
      <c r="I330" s="90"/>
      <c r="J330" s="90"/>
      <c r="K330" s="91"/>
    </row>
    <row r="331" spans="2:11" x14ac:dyDescent="0.25">
      <c r="B331" s="1750"/>
      <c r="D331" s="1740"/>
      <c r="E331" s="1747"/>
      <c r="G331" s="89" t="s">
        <v>26</v>
      </c>
      <c r="H331" s="132">
        <f>SUM(H332:H335)</f>
        <v>2.0736000000000003</v>
      </c>
      <c r="I331" s="90"/>
      <c r="J331" s="90"/>
      <c r="K331" s="91"/>
    </row>
    <row r="332" spans="2:11" x14ac:dyDescent="0.25">
      <c r="B332" s="1750"/>
      <c r="D332" s="1740"/>
      <c r="E332" s="1747"/>
      <c r="G332" s="30" t="s">
        <v>27</v>
      </c>
      <c r="H332" s="126">
        <v>0</v>
      </c>
      <c r="I332" s="10"/>
      <c r="J332" s="10"/>
      <c r="K332" s="16"/>
    </row>
    <row r="333" spans="2:11" x14ac:dyDescent="0.25">
      <c r="B333" s="1750"/>
      <c r="D333" s="1740"/>
      <c r="E333" s="1747"/>
      <c r="G333" s="30" t="s">
        <v>28</v>
      </c>
      <c r="H333" s="126">
        <v>2.0736000000000003</v>
      </c>
      <c r="I333" s="10"/>
      <c r="J333" s="10"/>
      <c r="K333" s="16"/>
    </row>
    <row r="334" spans="2:11" x14ac:dyDescent="0.25">
      <c r="B334" s="1750"/>
      <c r="D334" s="1740"/>
      <c r="E334" s="1747"/>
      <c r="G334" s="30" t="s">
        <v>29</v>
      </c>
      <c r="H334" s="126">
        <v>0</v>
      </c>
      <c r="I334" s="10"/>
      <c r="J334" s="10"/>
      <c r="K334" s="16"/>
    </row>
    <row r="335" spans="2:11" x14ac:dyDescent="0.25">
      <c r="B335" s="1750"/>
      <c r="D335" s="1740"/>
      <c r="E335" s="1747"/>
      <c r="G335" s="30" t="s">
        <v>30</v>
      </c>
      <c r="H335" s="126">
        <v>0</v>
      </c>
      <c r="I335" s="10"/>
      <c r="J335" s="10"/>
      <c r="K335" s="16"/>
    </row>
    <row r="336" spans="2:11" x14ac:dyDescent="0.25">
      <c r="B336" s="1750"/>
      <c r="D336" s="1740"/>
      <c r="E336" s="1747"/>
      <c r="G336" s="89" t="s">
        <v>31</v>
      </c>
      <c r="H336" s="1036">
        <f>SUM(H337:H338)</f>
        <v>0</v>
      </c>
      <c r="I336" s="90"/>
      <c r="J336" s="90"/>
      <c r="K336" s="91"/>
    </row>
    <row r="337" spans="2:11" x14ac:dyDescent="0.25">
      <c r="B337" s="1750"/>
      <c r="D337" s="1740"/>
      <c r="E337" s="1747"/>
      <c r="G337" s="30" t="s">
        <v>640</v>
      </c>
      <c r="H337" s="126"/>
      <c r="I337" s="10"/>
      <c r="J337" s="10"/>
      <c r="K337" s="16"/>
    </row>
    <row r="338" spans="2:11" x14ac:dyDescent="0.25">
      <c r="B338" s="1750"/>
      <c r="D338" s="1740"/>
      <c r="E338" s="1747"/>
      <c r="G338" s="30" t="s">
        <v>641</v>
      </c>
      <c r="H338" s="126"/>
      <c r="I338" s="10"/>
      <c r="J338" s="10"/>
      <c r="K338" s="16"/>
    </row>
    <row r="339" spans="2:11" x14ac:dyDescent="0.25">
      <c r="B339" s="1750"/>
      <c r="D339" s="1740"/>
      <c r="E339" s="1747"/>
      <c r="G339" s="1043" t="s">
        <v>32</v>
      </c>
      <c r="H339" s="1036">
        <v>0</v>
      </c>
      <c r="I339" s="1044"/>
      <c r="J339" s="1044"/>
      <c r="K339" s="1045"/>
    </row>
    <row r="340" spans="2:11" x14ac:dyDescent="0.25">
      <c r="B340" s="1750"/>
      <c r="D340" s="1740"/>
      <c r="E340" s="1747"/>
      <c r="G340" s="89" t="s">
        <v>33</v>
      </c>
      <c r="H340" s="132">
        <f>SUM(H341:H342)</f>
        <v>9.636000000000001</v>
      </c>
      <c r="I340" s="90"/>
      <c r="J340" s="90"/>
      <c r="K340" s="91"/>
    </row>
    <row r="341" spans="2:11" x14ac:dyDescent="0.25">
      <c r="B341" s="1750"/>
      <c r="D341" s="1740"/>
      <c r="E341" s="1747"/>
      <c r="G341" s="30" t="s">
        <v>34</v>
      </c>
      <c r="H341" s="126">
        <v>9.636000000000001</v>
      </c>
      <c r="I341" s="10"/>
      <c r="J341" s="10"/>
      <c r="K341" s="16"/>
    </row>
    <row r="342" spans="2:11" x14ac:dyDescent="0.25">
      <c r="B342" s="1750"/>
      <c r="D342" s="1740"/>
      <c r="E342" s="1747"/>
      <c r="G342" s="30" t="s">
        <v>35</v>
      </c>
      <c r="H342" s="126">
        <v>0</v>
      </c>
      <c r="I342" s="10"/>
      <c r="J342" s="10"/>
      <c r="K342" s="16"/>
    </row>
    <row r="343" spans="2:11" ht="15.75" thickBot="1" x14ac:dyDescent="0.3">
      <c r="B343" s="1750"/>
      <c r="D343" s="1741"/>
      <c r="E343" s="1748"/>
      <c r="G343" s="1047" t="s">
        <v>36</v>
      </c>
      <c r="H343" s="1048">
        <v>131.69367175295594</v>
      </c>
      <c r="I343" s="1049"/>
      <c r="J343" s="1049"/>
      <c r="K343" s="1050" t="s">
        <v>1268</v>
      </c>
    </row>
    <row r="344" spans="2:11" ht="15" customHeight="1" x14ac:dyDescent="0.25">
      <c r="B344" s="1750"/>
      <c r="D344" s="1739"/>
      <c r="E344" s="1742" t="s">
        <v>624</v>
      </c>
      <c r="G344" s="86" t="s">
        <v>145</v>
      </c>
      <c r="H344" s="131">
        <f>SUM(H345:H346)</f>
        <v>0</v>
      </c>
      <c r="I344" s="87"/>
      <c r="J344" s="87"/>
      <c r="K344" s="88"/>
    </row>
    <row r="345" spans="2:11" x14ac:dyDescent="0.25">
      <c r="B345" s="1750"/>
      <c r="D345" s="1740"/>
      <c r="E345" s="1743"/>
      <c r="G345" s="30" t="s">
        <v>23</v>
      </c>
      <c r="H345" s="126"/>
      <c r="I345" s="10"/>
      <c r="J345" s="10"/>
      <c r="K345" s="16"/>
    </row>
    <row r="346" spans="2:11" x14ac:dyDescent="0.25">
      <c r="B346" s="1750"/>
      <c r="D346" s="1740"/>
      <c r="E346" s="1743"/>
      <c r="G346" s="30" t="s">
        <v>24</v>
      </c>
      <c r="H346" s="126"/>
      <c r="I346" s="10"/>
      <c r="J346" s="10"/>
      <c r="K346" s="16"/>
    </row>
    <row r="347" spans="2:11" x14ac:dyDescent="0.25">
      <c r="B347" s="1750"/>
      <c r="D347" s="1740"/>
      <c r="E347" s="1743"/>
      <c r="G347" s="89" t="s">
        <v>146</v>
      </c>
      <c r="H347" s="132">
        <f>SUM(H348+H358)</f>
        <v>0</v>
      </c>
      <c r="I347" s="90"/>
      <c r="J347" s="90"/>
      <c r="K347" s="91"/>
    </row>
    <row r="348" spans="2:11" x14ac:dyDescent="0.25">
      <c r="B348" s="1750"/>
      <c r="D348" s="1740"/>
      <c r="E348" s="1743"/>
      <c r="G348" s="89" t="s">
        <v>25</v>
      </c>
      <c r="H348" s="132">
        <f>SUM(H349,H354,H357)</f>
        <v>0</v>
      </c>
      <c r="I348" s="90"/>
      <c r="J348" s="90"/>
      <c r="K348" s="91"/>
    </row>
    <row r="349" spans="2:11" x14ac:dyDescent="0.25">
      <c r="B349" s="1750"/>
      <c r="D349" s="1740"/>
      <c r="E349" s="1743"/>
      <c r="G349" s="89" t="s">
        <v>26</v>
      </c>
      <c r="H349" s="132">
        <f>SUM(H350:H353)</f>
        <v>0</v>
      </c>
      <c r="I349" s="90"/>
      <c r="J349" s="90"/>
      <c r="K349" s="91"/>
    </row>
    <row r="350" spans="2:11" x14ac:dyDescent="0.25">
      <c r="B350" s="1750"/>
      <c r="D350" s="1740"/>
      <c r="E350" s="1743"/>
      <c r="G350" s="30" t="s">
        <v>27</v>
      </c>
      <c r="H350" s="126"/>
      <c r="I350" s="10"/>
      <c r="J350" s="10"/>
      <c r="K350" s="16"/>
    </row>
    <row r="351" spans="2:11" x14ac:dyDescent="0.25">
      <c r="B351" s="1750"/>
      <c r="D351" s="1740"/>
      <c r="E351" s="1743"/>
      <c r="G351" s="30" t="s">
        <v>28</v>
      </c>
      <c r="H351" s="126"/>
      <c r="I351" s="10"/>
      <c r="J351" s="10"/>
      <c r="K351" s="16"/>
    </row>
    <row r="352" spans="2:11" x14ac:dyDescent="0.25">
      <c r="B352" s="1750"/>
      <c r="D352" s="1740"/>
      <c r="E352" s="1743"/>
      <c r="G352" s="30" t="s">
        <v>29</v>
      </c>
      <c r="H352" s="126"/>
      <c r="I352" s="10"/>
      <c r="J352" s="10"/>
      <c r="K352" s="16"/>
    </row>
    <row r="353" spans="2:11" x14ac:dyDescent="0.25">
      <c r="B353" s="1750"/>
      <c r="D353" s="1740"/>
      <c r="E353" s="1743"/>
      <c r="G353" s="30" t="s">
        <v>30</v>
      </c>
      <c r="H353" s="126"/>
      <c r="I353" s="10"/>
      <c r="J353" s="10"/>
      <c r="K353" s="16"/>
    </row>
    <row r="354" spans="2:11" x14ac:dyDescent="0.25">
      <c r="B354" s="1750"/>
      <c r="D354" s="1740"/>
      <c r="E354" s="1743"/>
      <c r="G354" s="89" t="s">
        <v>31</v>
      </c>
      <c r="H354" s="1036">
        <f>SUM(H355:H356)</f>
        <v>0</v>
      </c>
      <c r="I354" s="90"/>
      <c r="J354" s="90"/>
      <c r="K354" s="91"/>
    </row>
    <row r="355" spans="2:11" x14ac:dyDescent="0.25">
      <c r="B355" s="1750"/>
      <c r="D355" s="1740"/>
      <c r="E355" s="1743"/>
      <c r="G355" s="30" t="s">
        <v>640</v>
      </c>
      <c r="H355" s="126"/>
      <c r="I355" s="10"/>
      <c r="J355" s="10"/>
      <c r="K355" s="16"/>
    </row>
    <row r="356" spans="2:11" x14ac:dyDescent="0.25">
      <c r="B356" s="1750"/>
      <c r="D356" s="1740"/>
      <c r="E356" s="1743"/>
      <c r="G356" s="30" t="s">
        <v>641</v>
      </c>
      <c r="H356" s="126"/>
      <c r="I356" s="10"/>
      <c r="J356" s="10"/>
      <c r="K356" s="16"/>
    </row>
    <row r="357" spans="2:11" x14ac:dyDescent="0.25">
      <c r="B357" s="1750"/>
      <c r="D357" s="1740"/>
      <c r="E357" s="1743"/>
      <c r="G357" s="1043" t="s">
        <v>32</v>
      </c>
      <c r="H357" s="1036"/>
      <c r="I357" s="1044"/>
      <c r="J357" s="1044"/>
      <c r="K357" s="1045"/>
    </row>
    <row r="358" spans="2:11" x14ac:dyDescent="0.25">
      <c r="B358" s="1750"/>
      <c r="D358" s="1740"/>
      <c r="E358" s="1743"/>
      <c r="G358" s="89" t="s">
        <v>33</v>
      </c>
      <c r="H358" s="132">
        <f>SUM(H359:H360)</f>
        <v>0</v>
      </c>
      <c r="I358" s="90"/>
      <c r="J358" s="90"/>
      <c r="K358" s="91"/>
    </row>
    <row r="359" spans="2:11" x14ac:dyDescent="0.25">
      <c r="B359" s="1750"/>
      <c r="D359" s="1740"/>
      <c r="E359" s="1743"/>
      <c r="G359" s="30" t="s">
        <v>34</v>
      </c>
      <c r="H359" s="126"/>
      <c r="I359" s="10"/>
      <c r="J359" s="10"/>
      <c r="K359" s="16"/>
    </row>
    <row r="360" spans="2:11" x14ac:dyDescent="0.25">
      <c r="B360" s="1750"/>
      <c r="D360" s="1740"/>
      <c r="E360" s="1743"/>
      <c r="G360" s="30" t="s">
        <v>35</v>
      </c>
      <c r="H360" s="126"/>
      <c r="I360" s="10"/>
      <c r="J360" s="10"/>
      <c r="K360" s="16"/>
    </row>
    <row r="361" spans="2:11" ht="15.75" thickBot="1" x14ac:dyDescent="0.3">
      <c r="B361" s="1750"/>
      <c r="D361" s="1741"/>
      <c r="E361" s="1744"/>
      <c r="G361" s="1047" t="s">
        <v>36</v>
      </c>
      <c r="H361" s="1048"/>
      <c r="I361" s="1049"/>
      <c r="J361" s="1049"/>
      <c r="K361" s="1050"/>
    </row>
    <row r="362" spans="2:11" ht="5.25" customHeight="1" x14ac:dyDescent="0.25">
      <c r="B362" s="1750"/>
      <c r="D362" s="95"/>
      <c r="E362" s="93"/>
      <c r="G362" s="94"/>
      <c r="H362" s="133"/>
      <c r="I362" s="94"/>
      <c r="J362" s="94"/>
      <c r="K362" s="85"/>
    </row>
    <row r="363" spans="2:11" x14ac:dyDescent="0.25">
      <c r="B363" s="1750"/>
      <c r="C363" s="92"/>
      <c r="D363" s="96"/>
      <c r="E363" s="92"/>
      <c r="F363" s="92"/>
      <c r="G363" s="92"/>
      <c r="H363" s="134"/>
      <c r="I363" s="92"/>
      <c r="J363" s="92"/>
      <c r="K363" s="92"/>
    </row>
    <row r="364" spans="2:11" ht="5.25" customHeight="1" thickBot="1" x14ac:dyDescent="0.3">
      <c r="B364" s="1750"/>
      <c r="D364" s="97"/>
      <c r="H364" s="4"/>
    </row>
    <row r="365" spans="2:11" ht="15" customHeight="1" x14ac:dyDescent="0.25">
      <c r="B365" s="1750"/>
      <c r="D365" s="1739">
        <v>98</v>
      </c>
      <c r="E365" s="1746" t="s">
        <v>158</v>
      </c>
      <c r="G365" s="86" t="s">
        <v>145</v>
      </c>
      <c r="H365" s="131">
        <f>H368</f>
        <v>40632.696503402331</v>
      </c>
      <c r="I365" s="87"/>
      <c r="J365" s="87"/>
      <c r="K365" s="88"/>
    </row>
    <row r="366" spans="2:11" x14ac:dyDescent="0.25">
      <c r="B366" s="1750"/>
      <c r="D366" s="1740"/>
      <c r="E366" s="1747"/>
      <c r="G366" s="30" t="s">
        <v>23</v>
      </c>
      <c r="H366" s="126">
        <f>SUM(H365,-H367)</f>
        <v>40632.696503402331</v>
      </c>
      <c r="I366" s="10"/>
      <c r="J366" s="10"/>
      <c r="K366" s="16"/>
    </row>
    <row r="367" spans="2:11" x14ac:dyDescent="0.25">
      <c r="B367" s="1750"/>
      <c r="D367" s="1740"/>
      <c r="E367" s="1747"/>
      <c r="G367" s="30" t="s">
        <v>24</v>
      </c>
      <c r="H367" s="126"/>
      <c r="I367" s="10"/>
      <c r="J367" s="10"/>
      <c r="K367" s="16"/>
    </row>
    <row r="368" spans="2:11" x14ac:dyDescent="0.25">
      <c r="B368" s="1750"/>
      <c r="D368" s="1740"/>
      <c r="E368" s="1747"/>
      <c r="G368" s="89" t="s">
        <v>146</v>
      </c>
      <c r="H368" s="132">
        <f>SUM(H369+H379)</f>
        <v>40632.696503402331</v>
      </c>
      <c r="I368" s="90"/>
      <c r="J368" s="90"/>
      <c r="K368" s="91"/>
    </row>
    <row r="369" spans="2:11" x14ac:dyDescent="0.25">
      <c r="B369" s="1750"/>
      <c r="D369" s="1740"/>
      <c r="E369" s="1747"/>
      <c r="G369" s="89" t="s">
        <v>25</v>
      </c>
      <c r="H369" s="132">
        <f>SUM(H370,H375,H378)</f>
        <v>40082.696503402331</v>
      </c>
      <c r="I369" s="90"/>
      <c r="J369" s="90"/>
      <c r="K369" s="91"/>
    </row>
    <row r="370" spans="2:11" x14ac:dyDescent="0.25">
      <c r="B370" s="1750"/>
      <c r="D370" s="1740"/>
      <c r="E370" s="1747"/>
      <c r="G370" s="89" t="s">
        <v>26</v>
      </c>
      <c r="H370" s="132">
        <f>SUM(H371:H374)</f>
        <v>11301.441449073298</v>
      </c>
      <c r="I370" s="90"/>
      <c r="J370" s="90"/>
      <c r="K370" s="91"/>
    </row>
    <row r="371" spans="2:11" x14ac:dyDescent="0.25">
      <c r="B371" s="1750"/>
      <c r="D371" s="1740"/>
      <c r="E371" s="1747"/>
      <c r="G371" s="30" t="s">
        <v>27</v>
      </c>
      <c r="H371" s="126">
        <v>5040</v>
      </c>
      <c r="I371" s="10"/>
      <c r="J371" s="10"/>
      <c r="K371" s="16"/>
    </row>
    <row r="372" spans="2:11" x14ac:dyDescent="0.25">
      <c r="B372" s="1750"/>
      <c r="D372" s="1740"/>
      <c r="E372" s="1747"/>
      <c r="G372" s="30" t="s">
        <v>28</v>
      </c>
      <c r="H372" s="126">
        <v>5116</v>
      </c>
      <c r="I372" s="10"/>
      <c r="J372" s="10"/>
      <c r="K372" s="16"/>
    </row>
    <row r="373" spans="2:11" x14ac:dyDescent="0.25">
      <c r="B373" s="1750"/>
      <c r="D373" s="1740"/>
      <c r="E373" s="1747"/>
      <c r="G373" s="30" t="s">
        <v>29</v>
      </c>
      <c r="H373" s="747">
        <f>+('RBM&amp;E-2017_S'!T$34*40%)</f>
        <v>11.441449073297617</v>
      </c>
      <c r="I373" s="10"/>
      <c r="J373" s="10"/>
      <c r="K373" s="16"/>
    </row>
    <row r="374" spans="2:11" x14ac:dyDescent="0.25">
      <c r="B374" s="1750"/>
      <c r="D374" s="1740"/>
      <c r="E374" s="1747"/>
      <c r="G374" s="30" t="s">
        <v>30</v>
      </c>
      <c r="H374" s="126">
        <v>1134</v>
      </c>
      <c r="I374" s="10"/>
      <c r="J374" s="10"/>
      <c r="K374" s="16"/>
    </row>
    <row r="375" spans="2:11" x14ac:dyDescent="0.25">
      <c r="B375" s="1750"/>
      <c r="D375" s="1740"/>
      <c r="E375" s="1747"/>
      <c r="G375" s="89" t="s">
        <v>31</v>
      </c>
      <c r="H375" s="132">
        <f>SUM(H376:H377)</f>
        <v>28781.255054329034</v>
      </c>
      <c r="I375" s="90"/>
      <c r="J375" s="90"/>
      <c r="K375" s="91" t="s">
        <v>1304</v>
      </c>
    </row>
    <row r="376" spans="2:11" ht="120" x14ac:dyDescent="0.25">
      <c r="B376" s="1750"/>
      <c r="D376" s="1740"/>
      <c r="E376" s="1747"/>
      <c r="G376" s="30" t="s">
        <v>640</v>
      </c>
      <c r="H376" s="1080">
        <f>+('RBM&amp;E-2017_S'!U$27*70%)</f>
        <v>3732.0296444806318</v>
      </c>
      <c r="I376" s="10"/>
      <c r="J376" s="10"/>
      <c r="K376" s="16" t="s">
        <v>1089</v>
      </c>
    </row>
    <row r="377" spans="2:11" ht="120" x14ac:dyDescent="0.25">
      <c r="B377" s="1750"/>
      <c r="D377" s="1740"/>
      <c r="E377" s="1747"/>
      <c r="G377" s="30" t="s">
        <v>641</v>
      </c>
      <c r="H377" s="1080">
        <f>+('RBM&amp;E-2017_S'!U$33*65%)</f>
        <v>25049.225409848405</v>
      </c>
      <c r="I377" s="10"/>
      <c r="J377" s="10"/>
      <c r="K377" s="16" t="s">
        <v>1089</v>
      </c>
    </row>
    <row r="378" spans="2:11" ht="30" x14ac:dyDescent="0.25">
      <c r="B378" s="1750"/>
      <c r="D378" s="1740"/>
      <c r="E378" s="1747"/>
      <c r="G378" s="1043" t="s">
        <v>32</v>
      </c>
      <c r="H378" s="1034"/>
      <c r="I378" s="1044"/>
      <c r="J378" s="1044"/>
      <c r="K378" s="1045" t="s">
        <v>1314</v>
      </c>
    </row>
    <row r="379" spans="2:11" x14ac:dyDescent="0.25">
      <c r="B379" s="1750"/>
      <c r="D379" s="1740"/>
      <c r="E379" s="1747"/>
      <c r="G379" s="89" t="s">
        <v>33</v>
      </c>
      <c r="H379" s="132">
        <f>SUM(H380:H381)</f>
        <v>550</v>
      </c>
      <c r="I379" s="90"/>
      <c r="J379" s="90"/>
      <c r="K379" s="91"/>
    </row>
    <row r="380" spans="2:11" x14ac:dyDescent="0.25">
      <c r="B380" s="1750"/>
      <c r="D380" s="1740"/>
      <c r="E380" s="1747"/>
      <c r="G380" s="30" t="s">
        <v>34</v>
      </c>
      <c r="H380" s="126">
        <v>550</v>
      </c>
      <c r="I380" s="10"/>
      <c r="J380" s="10"/>
      <c r="K380" s="16" t="s">
        <v>1268</v>
      </c>
    </row>
    <row r="381" spans="2:11" x14ac:dyDescent="0.25">
      <c r="B381" s="1750"/>
      <c r="D381" s="1740"/>
      <c r="E381" s="1747"/>
      <c r="G381" s="30" t="s">
        <v>35</v>
      </c>
      <c r="H381" s="126"/>
      <c r="I381" s="10"/>
      <c r="J381" s="10"/>
      <c r="K381" s="16"/>
    </row>
    <row r="382" spans="2:11" ht="15.75" thickBot="1" x14ac:dyDescent="0.3">
      <c r="B382" s="1750"/>
      <c r="D382" s="1741"/>
      <c r="E382" s="1748"/>
      <c r="G382" s="1047" t="s">
        <v>36</v>
      </c>
      <c r="H382" s="1048">
        <v>176061</v>
      </c>
      <c r="I382" s="1049"/>
      <c r="J382" s="1049"/>
      <c r="K382" s="1050" t="s">
        <v>1268</v>
      </c>
    </row>
    <row r="383" spans="2:11" ht="15" customHeight="1" x14ac:dyDescent="0.25">
      <c r="B383" s="1750"/>
      <c r="D383" s="1739">
        <v>99</v>
      </c>
      <c r="E383" s="1746" t="s">
        <v>159</v>
      </c>
      <c r="G383" s="86" t="s">
        <v>145</v>
      </c>
      <c r="H383" s="131">
        <f>SUM(H384:H385)</f>
        <v>0</v>
      </c>
      <c r="I383" s="87"/>
      <c r="J383" s="87"/>
      <c r="K383" s="88"/>
    </row>
    <row r="384" spans="2:11" x14ac:dyDescent="0.25">
      <c r="B384" s="1750"/>
      <c r="D384" s="1740"/>
      <c r="E384" s="1747"/>
      <c r="G384" s="30" t="s">
        <v>23</v>
      </c>
      <c r="H384" s="126"/>
      <c r="I384" s="10"/>
      <c r="J384" s="10"/>
      <c r="K384" s="16"/>
    </row>
    <row r="385" spans="2:11" x14ac:dyDescent="0.25">
      <c r="B385" s="1750"/>
      <c r="D385" s="1740"/>
      <c r="E385" s="1747"/>
      <c r="G385" s="30" t="s">
        <v>24</v>
      </c>
      <c r="H385" s="126"/>
      <c r="I385" s="10"/>
      <c r="J385" s="10"/>
      <c r="K385" s="16"/>
    </row>
    <row r="386" spans="2:11" x14ac:dyDescent="0.25">
      <c r="B386" s="1750"/>
      <c r="D386" s="1740"/>
      <c r="E386" s="1747"/>
      <c r="G386" s="89" t="s">
        <v>146</v>
      </c>
      <c r="H386" s="132">
        <f>SUM(H387+H397)</f>
        <v>0</v>
      </c>
      <c r="I386" s="90"/>
      <c r="J386" s="90"/>
      <c r="K386" s="91"/>
    </row>
    <row r="387" spans="2:11" x14ac:dyDescent="0.25">
      <c r="B387" s="1750"/>
      <c r="D387" s="1740"/>
      <c r="E387" s="1747"/>
      <c r="G387" s="89" t="s">
        <v>25</v>
      </c>
      <c r="H387" s="132">
        <f>SUM(H388,H393,H396)</f>
        <v>0</v>
      </c>
      <c r="I387" s="90"/>
      <c r="J387" s="90"/>
      <c r="K387" s="91"/>
    </row>
    <row r="388" spans="2:11" x14ac:dyDescent="0.25">
      <c r="B388" s="1750"/>
      <c r="D388" s="1740"/>
      <c r="E388" s="1747"/>
      <c r="G388" s="89" t="s">
        <v>26</v>
      </c>
      <c r="H388" s="132">
        <f>SUM(H389:H392)</f>
        <v>0</v>
      </c>
      <c r="I388" s="90"/>
      <c r="J388" s="90"/>
      <c r="K388" s="91"/>
    </row>
    <row r="389" spans="2:11" x14ac:dyDescent="0.25">
      <c r="B389" s="1750"/>
      <c r="D389" s="1740"/>
      <c r="E389" s="1747"/>
      <c r="G389" s="30" t="s">
        <v>27</v>
      </c>
      <c r="H389" s="126"/>
      <c r="I389" s="10"/>
      <c r="J389" s="10"/>
      <c r="K389" s="16"/>
    </row>
    <row r="390" spans="2:11" x14ac:dyDescent="0.25">
      <c r="B390" s="1750"/>
      <c r="D390" s="1740"/>
      <c r="E390" s="1747"/>
      <c r="G390" s="30" t="s">
        <v>28</v>
      </c>
      <c r="H390" s="126"/>
      <c r="I390" s="10"/>
      <c r="J390" s="10"/>
      <c r="K390" s="16"/>
    </row>
    <row r="391" spans="2:11" x14ac:dyDescent="0.25">
      <c r="B391" s="1750"/>
      <c r="D391" s="1740"/>
      <c r="E391" s="1747"/>
      <c r="G391" s="30" t="s">
        <v>29</v>
      </c>
      <c r="H391" s="126"/>
      <c r="I391" s="10"/>
      <c r="J391" s="10"/>
      <c r="K391" s="16"/>
    </row>
    <row r="392" spans="2:11" x14ac:dyDescent="0.25">
      <c r="B392" s="1750"/>
      <c r="D392" s="1740"/>
      <c r="E392" s="1747"/>
      <c r="G392" s="30" t="s">
        <v>30</v>
      </c>
      <c r="H392" s="126"/>
      <c r="I392" s="10"/>
      <c r="J392" s="10"/>
      <c r="K392" s="16"/>
    </row>
    <row r="393" spans="2:11" x14ac:dyDescent="0.25">
      <c r="B393" s="1750"/>
      <c r="D393" s="1740"/>
      <c r="E393" s="1747"/>
      <c r="G393" s="89" t="s">
        <v>31</v>
      </c>
      <c r="H393" s="132"/>
      <c r="I393" s="90"/>
      <c r="J393" s="90"/>
      <c r="K393" s="91"/>
    </row>
    <row r="394" spans="2:11" x14ac:dyDescent="0.25">
      <c r="B394" s="1750"/>
      <c r="D394" s="1740"/>
      <c r="E394" s="1747"/>
      <c r="G394" s="30" t="s">
        <v>640</v>
      </c>
      <c r="H394" s="126"/>
      <c r="I394" s="10"/>
      <c r="J394" s="10"/>
      <c r="K394" s="16"/>
    </row>
    <row r="395" spans="2:11" x14ac:dyDescent="0.25">
      <c r="B395" s="1750"/>
      <c r="D395" s="1740"/>
      <c r="E395" s="1747"/>
      <c r="G395" s="30" t="s">
        <v>641</v>
      </c>
      <c r="H395" s="126"/>
      <c r="I395" s="10"/>
      <c r="J395" s="10"/>
      <c r="K395" s="16"/>
    </row>
    <row r="396" spans="2:11" x14ac:dyDescent="0.25">
      <c r="B396" s="1750"/>
      <c r="D396" s="1740"/>
      <c r="E396" s="1747"/>
      <c r="G396" s="1043" t="s">
        <v>32</v>
      </c>
      <c r="H396" s="1036"/>
      <c r="I396" s="1044"/>
      <c r="J396" s="1044"/>
      <c r="K396" s="1045"/>
    </row>
    <row r="397" spans="2:11" x14ac:dyDescent="0.25">
      <c r="B397" s="1750"/>
      <c r="D397" s="1740"/>
      <c r="E397" s="1747"/>
      <c r="G397" s="89" t="s">
        <v>33</v>
      </c>
      <c r="H397" s="132">
        <f>SUM(H398:H399)</f>
        <v>0</v>
      </c>
      <c r="I397" s="90"/>
      <c r="J397" s="90"/>
      <c r="K397" s="91"/>
    </row>
    <row r="398" spans="2:11" x14ac:dyDescent="0.25">
      <c r="B398" s="1750"/>
      <c r="D398" s="1740"/>
      <c r="E398" s="1747"/>
      <c r="G398" s="30" t="s">
        <v>34</v>
      </c>
      <c r="H398" s="126"/>
      <c r="I398" s="10"/>
      <c r="J398" s="10"/>
      <c r="K398" s="16"/>
    </row>
    <row r="399" spans="2:11" x14ac:dyDescent="0.25">
      <c r="B399" s="1750"/>
      <c r="D399" s="1740"/>
      <c r="E399" s="1747"/>
      <c r="G399" s="30" t="s">
        <v>35</v>
      </c>
      <c r="H399" s="126"/>
      <c r="I399" s="10"/>
      <c r="J399" s="10"/>
      <c r="K399" s="16"/>
    </row>
    <row r="400" spans="2:11" ht="15.75" thickBot="1" x14ac:dyDescent="0.3">
      <c r="B400" s="1751"/>
      <c r="D400" s="1741"/>
      <c r="E400" s="1748"/>
      <c r="G400" s="1047" t="s">
        <v>36</v>
      </c>
      <c r="H400" s="1048">
        <v>6514.5680899999998</v>
      </c>
      <c r="I400" s="1049"/>
      <c r="J400" s="1049"/>
      <c r="K400" s="1050" t="s">
        <v>1268</v>
      </c>
    </row>
    <row r="401" spans="1:11" x14ac:dyDescent="0.25">
      <c r="H401" s="4"/>
    </row>
    <row r="402" spans="1:11" ht="38.25" customHeight="1" x14ac:dyDescent="0.25">
      <c r="A402" s="83"/>
      <c r="B402" s="83"/>
      <c r="C402" s="83"/>
      <c r="D402" s="83"/>
      <c r="E402" s="83"/>
      <c r="F402" s="83"/>
      <c r="G402" s="83"/>
      <c r="H402" s="135"/>
      <c r="I402" s="83"/>
      <c r="J402" s="83"/>
      <c r="K402" s="83"/>
    </row>
    <row r="403" spans="1:11" ht="15.75" thickBot="1" x14ac:dyDescent="0.3">
      <c r="H403" s="4"/>
    </row>
    <row r="404" spans="1:11" ht="45.75" thickBot="1" x14ac:dyDescent="0.3">
      <c r="B404" s="98"/>
      <c r="D404" s="14" t="s">
        <v>147</v>
      </c>
      <c r="E404" s="84" t="s">
        <v>12</v>
      </c>
      <c r="G404" s="28" t="s">
        <v>133</v>
      </c>
      <c r="H404" s="136" t="s">
        <v>75</v>
      </c>
      <c r="I404" s="12" t="s">
        <v>134</v>
      </c>
      <c r="J404" s="12" t="s">
        <v>135</v>
      </c>
      <c r="K404" s="13" t="s">
        <v>76</v>
      </c>
    </row>
    <row r="405" spans="1:11" ht="15" customHeight="1" x14ac:dyDescent="0.25">
      <c r="B405" s="1749" t="s">
        <v>38</v>
      </c>
      <c r="D405" s="1745" t="s">
        <v>15</v>
      </c>
      <c r="E405" s="1746" t="s">
        <v>148</v>
      </c>
      <c r="G405" s="86" t="s">
        <v>39</v>
      </c>
      <c r="H405" s="131">
        <f>SUM(H406:H407)</f>
        <v>0</v>
      </c>
      <c r="I405" s="87"/>
      <c r="J405" s="87"/>
      <c r="K405" s="88"/>
    </row>
    <row r="406" spans="1:11" x14ac:dyDescent="0.25">
      <c r="B406" s="1750"/>
      <c r="D406" s="1740"/>
      <c r="E406" s="1747"/>
      <c r="G406" s="30" t="s">
        <v>40</v>
      </c>
      <c r="H406" s="126"/>
      <c r="I406" s="10"/>
      <c r="J406" s="10"/>
      <c r="K406" s="16"/>
    </row>
    <row r="407" spans="1:11" x14ac:dyDescent="0.25">
      <c r="B407" s="1750"/>
      <c r="D407" s="1740"/>
      <c r="E407" s="1747"/>
      <c r="G407" s="30" t="s">
        <v>41</v>
      </c>
      <c r="H407" s="126"/>
      <c r="I407" s="10"/>
      <c r="J407" s="10"/>
      <c r="K407" s="16"/>
    </row>
    <row r="408" spans="1:11" x14ac:dyDescent="0.25">
      <c r="B408" s="1750"/>
      <c r="D408" s="1740"/>
      <c r="E408" s="1747"/>
      <c r="G408" s="89" t="s">
        <v>161</v>
      </c>
      <c r="H408" s="132">
        <f>SUM(H409,H413)</f>
        <v>1474325.5673850428</v>
      </c>
      <c r="I408" s="90"/>
      <c r="J408" s="90"/>
      <c r="K408" s="91"/>
    </row>
    <row r="409" spans="1:11" x14ac:dyDescent="0.25">
      <c r="B409" s="1750"/>
      <c r="D409" s="1740"/>
      <c r="E409" s="1747"/>
      <c r="G409" s="89" t="s">
        <v>43</v>
      </c>
      <c r="H409" s="132">
        <f>SUM(H410:H412)</f>
        <v>1474325.5673850428</v>
      </c>
      <c r="I409" s="90"/>
      <c r="J409" s="90"/>
      <c r="K409" s="91"/>
    </row>
    <row r="410" spans="1:11" x14ac:dyDescent="0.25">
      <c r="B410" s="1750"/>
      <c r="D410" s="1740"/>
      <c r="E410" s="1747"/>
      <c r="G410" s="30" t="s">
        <v>44</v>
      </c>
      <c r="H410" s="437">
        <f>91372.372775+(H3*0.05)</f>
        <v>741873.3200800214</v>
      </c>
      <c r="I410" s="10"/>
      <c r="J410" s="10"/>
      <c r="K410" s="16"/>
    </row>
    <row r="411" spans="1:11" x14ac:dyDescent="0.25">
      <c r="B411" s="1750"/>
      <c r="D411" s="1740"/>
      <c r="E411" s="1747"/>
      <c r="G411" s="30" t="s">
        <v>45</v>
      </c>
      <c r="H411" s="126">
        <v>81951.3</v>
      </c>
      <c r="I411" s="10"/>
      <c r="J411" s="10"/>
      <c r="K411" s="16"/>
    </row>
    <row r="412" spans="1:11" x14ac:dyDescent="0.25">
      <c r="B412" s="1750"/>
      <c r="D412" s="1740"/>
      <c r="E412" s="1747"/>
      <c r="G412" s="30" t="s">
        <v>46</v>
      </c>
      <c r="H412" s="438">
        <f>H3*0.05</f>
        <v>650500.94730502134</v>
      </c>
      <c r="I412" s="10"/>
      <c r="J412" s="10"/>
      <c r="K412" s="16"/>
    </row>
    <row r="413" spans="1:11" ht="15.75" thickBot="1" x14ac:dyDescent="0.3">
      <c r="B413" s="1750"/>
      <c r="D413" s="1741"/>
      <c r="E413" s="1748"/>
      <c r="G413" s="31" t="s">
        <v>47</v>
      </c>
      <c r="H413" s="127"/>
      <c r="I413" s="15"/>
      <c r="J413" s="15"/>
      <c r="K413" s="17"/>
    </row>
    <row r="414" spans="1:11" ht="15" customHeight="1" x14ac:dyDescent="0.25">
      <c r="B414" s="1750"/>
      <c r="D414" s="1745" t="s">
        <v>16</v>
      </c>
      <c r="E414" s="1746" t="s">
        <v>149</v>
      </c>
      <c r="G414" s="86" t="s">
        <v>39</v>
      </c>
      <c r="H414" s="131">
        <f>SUM(H415:H416)</f>
        <v>21289.500258732554</v>
      </c>
      <c r="I414" s="87"/>
      <c r="J414" s="87"/>
      <c r="K414" s="88"/>
    </row>
    <row r="415" spans="1:11" x14ac:dyDescent="0.25">
      <c r="B415" s="1750"/>
      <c r="D415" s="1740"/>
      <c r="E415" s="1747"/>
      <c r="G415" s="30" t="s">
        <v>40</v>
      </c>
      <c r="H415" s="126">
        <f>H20*95%</f>
        <v>21289.500258732554</v>
      </c>
      <c r="I415" s="10"/>
      <c r="J415" s="10"/>
      <c r="K415" s="16"/>
    </row>
    <row r="416" spans="1:11" x14ac:dyDescent="0.25">
      <c r="B416" s="1750"/>
      <c r="D416" s="1740"/>
      <c r="E416" s="1747"/>
      <c r="G416" s="30" t="s">
        <v>41</v>
      </c>
      <c r="H416" s="126"/>
      <c r="I416" s="10"/>
      <c r="J416" s="10"/>
      <c r="K416" s="16"/>
    </row>
    <row r="417" spans="2:11" x14ac:dyDescent="0.25">
      <c r="B417" s="1750"/>
      <c r="D417" s="1740"/>
      <c r="E417" s="1747"/>
      <c r="G417" s="89" t="s">
        <v>161</v>
      </c>
      <c r="H417" s="132">
        <f>SUM(H418,H422)</f>
        <v>54.219910499999997</v>
      </c>
      <c r="I417" s="90"/>
      <c r="J417" s="90"/>
      <c r="K417" s="91"/>
    </row>
    <row r="418" spans="2:11" x14ac:dyDescent="0.25">
      <c r="B418" s="1750"/>
      <c r="D418" s="1740"/>
      <c r="E418" s="1747"/>
      <c r="G418" s="89" t="s">
        <v>43</v>
      </c>
      <c r="H418" s="132">
        <f>SUM(H419:H421)</f>
        <v>54.219910499999997</v>
      </c>
      <c r="I418" s="90"/>
      <c r="J418" s="90"/>
      <c r="K418" s="91"/>
    </row>
    <row r="419" spans="2:11" x14ac:dyDescent="0.25">
      <c r="B419" s="1750"/>
      <c r="D419" s="1740"/>
      <c r="E419" s="1747"/>
      <c r="G419" s="30" t="s">
        <v>44</v>
      </c>
      <c r="H419" s="126">
        <f>H30*2%</f>
        <v>1.2757626</v>
      </c>
      <c r="I419" s="10"/>
      <c r="J419" s="10"/>
      <c r="K419" s="16"/>
    </row>
    <row r="420" spans="2:11" x14ac:dyDescent="0.25">
      <c r="B420" s="1750"/>
      <c r="D420" s="1740"/>
      <c r="E420" s="1747"/>
      <c r="G420" s="30" t="s">
        <v>45</v>
      </c>
      <c r="H420" s="126">
        <f>H30*3%</f>
        <v>1.9136439000000001</v>
      </c>
      <c r="I420" s="10"/>
      <c r="J420" s="10"/>
      <c r="K420" s="16"/>
    </row>
    <row r="421" spans="2:11" x14ac:dyDescent="0.25">
      <c r="B421" s="1750"/>
      <c r="D421" s="1740"/>
      <c r="E421" s="1747"/>
      <c r="G421" s="30" t="s">
        <v>46</v>
      </c>
      <c r="H421" s="126">
        <v>51.030504000000001</v>
      </c>
      <c r="I421" s="10"/>
      <c r="J421" s="10"/>
      <c r="K421" s="16"/>
    </row>
    <row r="422" spans="2:11" ht="15.75" thickBot="1" x14ac:dyDescent="0.3">
      <c r="B422" s="1750"/>
      <c r="D422" s="1741"/>
      <c r="E422" s="1748"/>
      <c r="G422" s="31" t="s">
        <v>47</v>
      </c>
      <c r="H422" s="127"/>
      <c r="I422" s="15"/>
      <c r="J422" s="15"/>
      <c r="K422" s="17"/>
    </row>
    <row r="423" spans="2:11" ht="15" customHeight="1" x14ac:dyDescent="0.25">
      <c r="B423" s="1750"/>
      <c r="D423" s="1745" t="s">
        <v>160</v>
      </c>
      <c r="E423" s="1746" t="s">
        <v>150</v>
      </c>
      <c r="G423" s="86" t="s">
        <v>39</v>
      </c>
      <c r="H423" s="131">
        <f>SUM(H424:H425)</f>
        <v>816.87563283886971</v>
      </c>
      <c r="I423" s="87"/>
      <c r="J423" s="87"/>
      <c r="K423" s="88"/>
    </row>
    <row r="424" spans="2:11" x14ac:dyDescent="0.25">
      <c r="B424" s="1750"/>
      <c r="D424" s="1740"/>
      <c r="E424" s="1747"/>
      <c r="G424" s="30" t="s">
        <v>40</v>
      </c>
      <c r="H424" s="126">
        <v>346.29059499999994</v>
      </c>
      <c r="I424" s="10"/>
      <c r="J424" s="10"/>
      <c r="K424" s="16"/>
    </row>
    <row r="425" spans="2:11" x14ac:dyDescent="0.25">
      <c r="B425" s="1750"/>
      <c r="D425" s="1740"/>
      <c r="E425" s="1747"/>
      <c r="G425" s="30" t="s">
        <v>41</v>
      </c>
      <c r="H425" s="126">
        <v>470.58503783886977</v>
      </c>
      <c r="I425" s="10"/>
      <c r="J425" s="10"/>
      <c r="K425" s="16"/>
    </row>
    <row r="426" spans="2:11" x14ac:dyDescent="0.25">
      <c r="B426" s="1750"/>
      <c r="D426" s="1740"/>
      <c r="E426" s="1747"/>
      <c r="G426" s="89" t="s">
        <v>161</v>
      </c>
      <c r="H426" s="132">
        <f>SUM(H427,H431)</f>
        <v>514699.26072578493</v>
      </c>
      <c r="I426" s="90"/>
      <c r="J426" s="90"/>
      <c r="K426" s="91"/>
    </row>
    <row r="427" spans="2:11" x14ac:dyDescent="0.25">
      <c r="B427" s="1750"/>
      <c r="D427" s="1740"/>
      <c r="E427" s="1747"/>
      <c r="G427" s="89" t="s">
        <v>43</v>
      </c>
      <c r="H427" s="132">
        <f>SUM(H428:H430)</f>
        <v>514699.26072578493</v>
      </c>
      <c r="I427" s="90"/>
      <c r="J427" s="90"/>
      <c r="K427" s="91"/>
    </row>
    <row r="428" spans="2:11" x14ac:dyDescent="0.25">
      <c r="B428" s="1750"/>
      <c r="D428" s="1740"/>
      <c r="E428" s="1747"/>
      <c r="G428" s="30" t="s">
        <v>44</v>
      </c>
      <c r="H428" s="126">
        <v>514526.07285221177</v>
      </c>
      <c r="I428" s="10"/>
      <c r="J428" s="10"/>
      <c r="K428" s="16"/>
    </row>
    <row r="429" spans="2:11" x14ac:dyDescent="0.25">
      <c r="B429" s="1750"/>
      <c r="D429" s="1740"/>
      <c r="E429" s="1747"/>
      <c r="G429" s="30" t="s">
        <v>45</v>
      </c>
      <c r="H429" s="126">
        <v>166.95464286320009</v>
      </c>
      <c r="I429" s="10"/>
      <c r="J429" s="10"/>
      <c r="K429" s="16"/>
    </row>
    <row r="430" spans="2:11" x14ac:dyDescent="0.25">
      <c r="B430" s="1750"/>
      <c r="D430" s="1740"/>
      <c r="E430" s="1747"/>
      <c r="G430" s="30" t="s">
        <v>46</v>
      </c>
      <c r="H430" s="126">
        <v>6.2332307099999991</v>
      </c>
      <c r="I430" s="10"/>
      <c r="J430" s="10"/>
      <c r="K430" s="16"/>
    </row>
    <row r="431" spans="2:11" ht="15.75" thickBot="1" x14ac:dyDescent="0.3">
      <c r="B431" s="1750"/>
      <c r="D431" s="1741"/>
      <c r="E431" s="1748"/>
      <c r="G431" s="31" t="s">
        <v>47</v>
      </c>
      <c r="H431" s="127"/>
      <c r="I431" s="15"/>
      <c r="J431" s="15"/>
      <c r="K431" s="17"/>
    </row>
    <row r="432" spans="2:11" ht="15" customHeight="1" x14ac:dyDescent="0.25">
      <c r="B432" s="1750"/>
      <c r="D432" s="1739">
        <v>35</v>
      </c>
      <c r="E432" s="1746" t="s">
        <v>151</v>
      </c>
      <c r="G432" s="86" t="s">
        <v>39</v>
      </c>
      <c r="H432" s="131">
        <f>SUM(H433:H434)</f>
        <v>0</v>
      </c>
      <c r="I432" s="87"/>
      <c r="J432" s="87"/>
      <c r="K432" s="88"/>
    </row>
    <row r="433" spans="2:11" x14ac:dyDescent="0.25">
      <c r="B433" s="1750"/>
      <c r="D433" s="1740"/>
      <c r="E433" s="1747"/>
      <c r="G433" s="30" t="s">
        <v>40</v>
      </c>
      <c r="H433" s="126"/>
      <c r="I433" s="10"/>
      <c r="J433" s="10"/>
      <c r="K433" s="16"/>
    </row>
    <row r="434" spans="2:11" x14ac:dyDescent="0.25">
      <c r="B434" s="1750"/>
      <c r="D434" s="1740"/>
      <c r="E434" s="1747"/>
      <c r="G434" s="30" t="s">
        <v>41</v>
      </c>
      <c r="H434" s="126"/>
      <c r="I434" s="10"/>
      <c r="J434" s="10"/>
      <c r="K434" s="16"/>
    </row>
    <row r="435" spans="2:11" x14ac:dyDescent="0.25">
      <c r="B435" s="1750"/>
      <c r="D435" s="1740"/>
      <c r="E435" s="1747"/>
      <c r="G435" s="89" t="s">
        <v>161</v>
      </c>
      <c r="H435" s="132">
        <f>SUM(H436,H440)</f>
        <v>328653.69837318669</v>
      </c>
      <c r="I435" s="90"/>
      <c r="J435" s="90"/>
      <c r="K435" s="91"/>
    </row>
    <row r="436" spans="2:11" x14ac:dyDescent="0.25">
      <c r="B436" s="1750"/>
      <c r="D436" s="1740"/>
      <c r="E436" s="1747"/>
      <c r="G436" s="89" t="s">
        <v>43</v>
      </c>
      <c r="H436" s="132">
        <f>SUM(H437:H439)</f>
        <v>328653.69837318669</v>
      </c>
      <c r="I436" s="90"/>
      <c r="J436" s="90"/>
      <c r="K436" s="91"/>
    </row>
    <row r="437" spans="2:11" x14ac:dyDescent="0.25">
      <c r="B437" s="1750"/>
      <c r="D437" s="1740"/>
      <c r="E437" s="1747"/>
      <c r="G437" s="30" t="s">
        <v>44</v>
      </c>
      <c r="H437" s="1034">
        <f>SUM(H61)*95%</f>
        <v>328653.69837318669</v>
      </c>
      <c r="I437" s="10"/>
      <c r="J437" s="10"/>
      <c r="K437" s="16" t="s">
        <v>1523</v>
      </c>
    </row>
    <row r="438" spans="2:11" x14ac:dyDescent="0.25">
      <c r="B438" s="1750"/>
      <c r="D438" s="1740"/>
      <c r="E438" s="1747"/>
      <c r="G438" s="30" t="s">
        <v>45</v>
      </c>
      <c r="H438" s="126"/>
      <c r="I438" s="10"/>
      <c r="J438" s="10"/>
      <c r="K438" s="16"/>
    </row>
    <row r="439" spans="2:11" x14ac:dyDescent="0.25">
      <c r="B439" s="1750"/>
      <c r="D439" s="1740"/>
      <c r="E439" s="1747"/>
      <c r="G439" s="30" t="s">
        <v>46</v>
      </c>
      <c r="H439" s="126"/>
      <c r="I439" s="10"/>
      <c r="J439" s="10"/>
      <c r="K439" s="16"/>
    </row>
    <row r="440" spans="2:11" ht="15.75" thickBot="1" x14ac:dyDescent="0.3">
      <c r="B440" s="1750"/>
      <c r="D440" s="1741"/>
      <c r="E440" s="1748"/>
      <c r="G440" s="31" t="s">
        <v>47</v>
      </c>
      <c r="H440" s="127"/>
      <c r="I440" s="15"/>
      <c r="J440" s="15"/>
      <c r="K440" s="17"/>
    </row>
    <row r="441" spans="2:11" ht="15" customHeight="1" x14ac:dyDescent="0.25">
      <c r="B441" s="1750"/>
      <c r="D441" s="1745" t="s">
        <v>18</v>
      </c>
      <c r="E441" s="1746" t="s">
        <v>152</v>
      </c>
      <c r="G441" s="86" t="s">
        <v>39</v>
      </c>
      <c r="H441" s="131">
        <f>SUM(H442:H443)</f>
        <v>0</v>
      </c>
      <c r="I441" s="87"/>
      <c r="J441" s="87"/>
      <c r="K441" s="88"/>
    </row>
    <row r="442" spans="2:11" x14ac:dyDescent="0.25">
      <c r="B442" s="1750"/>
      <c r="D442" s="1740"/>
      <c r="E442" s="1747"/>
      <c r="G442" s="30" t="s">
        <v>40</v>
      </c>
      <c r="H442" s="126"/>
      <c r="I442" s="10"/>
      <c r="J442" s="10"/>
      <c r="K442" s="16"/>
    </row>
    <row r="443" spans="2:11" x14ac:dyDescent="0.25">
      <c r="B443" s="1750"/>
      <c r="D443" s="1740"/>
      <c r="E443" s="1747"/>
      <c r="G443" s="30" t="s">
        <v>41</v>
      </c>
      <c r="H443" s="126"/>
      <c r="I443" s="10"/>
      <c r="J443" s="10"/>
      <c r="K443" s="16"/>
    </row>
    <row r="444" spans="2:11" x14ac:dyDescent="0.25">
      <c r="B444" s="1750"/>
      <c r="D444" s="1740"/>
      <c r="E444" s="1747"/>
      <c r="G444" s="89" t="s">
        <v>161</v>
      </c>
      <c r="H444" s="132">
        <f>SUM(H445,H449)</f>
        <v>2570.3302400000002</v>
      </c>
      <c r="I444" s="90"/>
      <c r="J444" s="90"/>
      <c r="K444" s="91"/>
    </row>
    <row r="445" spans="2:11" x14ac:dyDescent="0.25">
      <c r="B445" s="1750"/>
      <c r="D445" s="1740"/>
      <c r="E445" s="1747"/>
      <c r="G445" s="89" t="s">
        <v>43</v>
      </c>
      <c r="H445" s="132">
        <f>SUM(H446:H448)</f>
        <v>2570.3302400000002</v>
      </c>
      <c r="I445" s="90"/>
      <c r="J445" s="90"/>
      <c r="K445" s="91"/>
    </row>
    <row r="446" spans="2:11" x14ac:dyDescent="0.25">
      <c r="B446" s="1750"/>
      <c r="D446" s="1740"/>
      <c r="E446" s="1747"/>
      <c r="G446" s="30" t="s">
        <v>44</v>
      </c>
      <c r="H446" s="126">
        <v>2570.3302400000002</v>
      </c>
      <c r="I446" s="10"/>
      <c r="J446" s="10"/>
      <c r="K446" s="16"/>
    </row>
    <row r="447" spans="2:11" x14ac:dyDescent="0.25">
      <c r="B447" s="1750"/>
      <c r="D447" s="1740"/>
      <c r="E447" s="1747"/>
      <c r="G447" s="30" t="s">
        <v>45</v>
      </c>
      <c r="H447" s="126"/>
      <c r="I447" s="10"/>
      <c r="J447" s="10"/>
      <c r="K447" s="16"/>
    </row>
    <row r="448" spans="2:11" x14ac:dyDescent="0.25">
      <c r="B448" s="1750"/>
      <c r="D448" s="1740"/>
      <c r="E448" s="1747"/>
      <c r="G448" s="30" t="s">
        <v>46</v>
      </c>
      <c r="H448" s="126"/>
      <c r="I448" s="10"/>
      <c r="J448" s="10"/>
      <c r="K448" s="16"/>
    </row>
    <row r="449" spans="2:11" ht="15.75" thickBot="1" x14ac:dyDescent="0.3">
      <c r="B449" s="1750"/>
      <c r="D449" s="1741"/>
      <c r="E449" s="1748"/>
      <c r="G449" s="31" t="s">
        <v>47</v>
      </c>
      <c r="H449" s="127"/>
      <c r="I449" s="15"/>
      <c r="J449" s="15"/>
      <c r="K449" s="17"/>
    </row>
    <row r="450" spans="2:11" ht="15" customHeight="1" x14ac:dyDescent="0.25">
      <c r="B450" s="1750"/>
      <c r="D450" s="1745"/>
      <c r="E450" s="1742" t="s">
        <v>643</v>
      </c>
      <c r="G450" s="86" t="s">
        <v>39</v>
      </c>
      <c r="H450" s="131">
        <f>SUM(H451:H452)</f>
        <v>0</v>
      </c>
      <c r="I450" s="87"/>
      <c r="J450" s="87"/>
      <c r="K450" s="88"/>
    </row>
    <row r="451" spans="2:11" x14ac:dyDescent="0.25">
      <c r="B451" s="1750"/>
      <c r="D451" s="1740"/>
      <c r="E451" s="1743"/>
      <c r="G451" s="30" t="s">
        <v>40</v>
      </c>
      <c r="H451" s="126"/>
      <c r="I451" s="10"/>
      <c r="J451" s="10"/>
      <c r="K451" s="16"/>
    </row>
    <row r="452" spans="2:11" x14ac:dyDescent="0.25">
      <c r="B452" s="1750"/>
      <c r="D452" s="1740"/>
      <c r="E452" s="1743"/>
      <c r="G452" s="30" t="s">
        <v>41</v>
      </c>
      <c r="H452" s="126"/>
      <c r="I452" s="10"/>
      <c r="J452" s="10"/>
      <c r="K452" s="16"/>
    </row>
    <row r="453" spans="2:11" x14ac:dyDescent="0.25">
      <c r="B453" s="1750"/>
      <c r="D453" s="1740"/>
      <c r="E453" s="1743"/>
      <c r="G453" s="89" t="s">
        <v>161</v>
      </c>
      <c r="H453" s="132">
        <f>SUM(H454,H458)</f>
        <v>0</v>
      </c>
      <c r="I453" s="90"/>
      <c r="J453" s="90"/>
      <c r="K453" s="91"/>
    </row>
    <row r="454" spans="2:11" x14ac:dyDescent="0.25">
      <c r="B454" s="1750"/>
      <c r="D454" s="1740"/>
      <c r="E454" s="1743"/>
      <c r="G454" s="89" t="s">
        <v>43</v>
      </c>
      <c r="H454" s="132">
        <f>SUM(H455:H457)</f>
        <v>0</v>
      </c>
      <c r="I454" s="90"/>
      <c r="J454" s="90"/>
      <c r="K454" s="91"/>
    </row>
    <row r="455" spans="2:11" x14ac:dyDescent="0.25">
      <c r="B455" s="1750"/>
      <c r="D455" s="1740"/>
      <c r="E455" s="1743"/>
      <c r="G455" s="30" t="s">
        <v>44</v>
      </c>
      <c r="H455" s="126"/>
      <c r="I455" s="10"/>
      <c r="J455" s="10"/>
      <c r="K455" s="16"/>
    </row>
    <row r="456" spans="2:11" x14ac:dyDescent="0.25">
      <c r="B456" s="1750"/>
      <c r="D456" s="1740"/>
      <c r="E456" s="1743"/>
      <c r="G456" s="30" t="s">
        <v>45</v>
      </c>
      <c r="H456" s="126"/>
      <c r="I456" s="10"/>
      <c r="J456" s="10"/>
      <c r="K456" s="16"/>
    </row>
    <row r="457" spans="2:11" x14ac:dyDescent="0.25">
      <c r="B457" s="1750"/>
      <c r="D457" s="1740"/>
      <c r="E457" s="1743"/>
      <c r="G457" s="30" t="s">
        <v>46</v>
      </c>
      <c r="H457" s="126"/>
      <c r="I457" s="10"/>
      <c r="J457" s="10"/>
      <c r="K457" s="16"/>
    </row>
    <row r="458" spans="2:11" ht="15.75" thickBot="1" x14ac:dyDescent="0.3">
      <c r="B458" s="1750"/>
      <c r="D458" s="1741"/>
      <c r="E458" s="1744"/>
      <c r="G458" s="31" t="s">
        <v>47</v>
      </c>
      <c r="H458" s="127"/>
      <c r="I458" s="15"/>
      <c r="J458" s="15"/>
      <c r="K458" s="17"/>
    </row>
    <row r="459" spans="2:11" ht="15" customHeight="1" x14ac:dyDescent="0.25">
      <c r="B459" s="1750"/>
      <c r="D459" s="1745"/>
      <c r="E459" s="1742" t="s">
        <v>644</v>
      </c>
      <c r="G459" s="86" t="s">
        <v>39</v>
      </c>
      <c r="H459" s="131">
        <f>SUM(H460:H461)</f>
        <v>0</v>
      </c>
      <c r="I459" s="87"/>
      <c r="J459" s="87"/>
      <c r="K459" s="88"/>
    </row>
    <row r="460" spans="2:11" x14ac:dyDescent="0.25">
      <c r="B460" s="1750"/>
      <c r="D460" s="1740"/>
      <c r="E460" s="1743"/>
      <c r="G460" s="30" t="s">
        <v>40</v>
      </c>
      <c r="H460" s="126"/>
      <c r="I460" s="10"/>
      <c r="J460" s="10"/>
      <c r="K460" s="16"/>
    </row>
    <row r="461" spans="2:11" x14ac:dyDescent="0.25">
      <c r="B461" s="1750"/>
      <c r="D461" s="1740"/>
      <c r="E461" s="1743"/>
      <c r="G461" s="30" t="s">
        <v>41</v>
      </c>
      <c r="H461" s="126"/>
      <c r="I461" s="10"/>
      <c r="J461" s="10"/>
      <c r="K461" s="16"/>
    </row>
    <row r="462" spans="2:11" x14ac:dyDescent="0.25">
      <c r="B462" s="1750"/>
      <c r="D462" s="1740"/>
      <c r="E462" s="1743"/>
      <c r="G462" s="89" t="s">
        <v>161</v>
      </c>
      <c r="H462" s="132">
        <f>SUM(H463,H467)</f>
        <v>0</v>
      </c>
      <c r="I462" s="90"/>
      <c r="J462" s="90"/>
      <c r="K462" s="91"/>
    </row>
    <row r="463" spans="2:11" x14ac:dyDescent="0.25">
      <c r="B463" s="1750"/>
      <c r="D463" s="1740"/>
      <c r="E463" s="1743"/>
      <c r="G463" s="89" t="s">
        <v>43</v>
      </c>
      <c r="H463" s="132">
        <f>SUM(H464:H466)</f>
        <v>0</v>
      </c>
      <c r="I463" s="90"/>
      <c r="J463" s="90"/>
      <c r="K463" s="91"/>
    </row>
    <row r="464" spans="2:11" x14ac:dyDescent="0.25">
      <c r="B464" s="1750"/>
      <c r="D464" s="1740"/>
      <c r="E464" s="1743"/>
      <c r="G464" s="30" t="s">
        <v>44</v>
      </c>
      <c r="H464" s="126"/>
      <c r="I464" s="10"/>
      <c r="J464" s="10"/>
      <c r="K464" s="16"/>
    </row>
    <row r="465" spans="2:11" x14ac:dyDescent="0.25">
      <c r="B465" s="1750"/>
      <c r="D465" s="1740"/>
      <c r="E465" s="1743"/>
      <c r="G465" s="30" t="s">
        <v>45</v>
      </c>
      <c r="H465" s="126"/>
      <c r="I465" s="10"/>
      <c r="J465" s="10"/>
      <c r="K465" s="16"/>
    </row>
    <row r="466" spans="2:11" x14ac:dyDescent="0.25">
      <c r="B466" s="1750"/>
      <c r="D466" s="1740"/>
      <c r="E466" s="1743"/>
      <c r="G466" s="30" t="s">
        <v>46</v>
      </c>
      <c r="H466" s="126"/>
      <c r="I466" s="10"/>
      <c r="J466" s="10"/>
      <c r="K466" s="16"/>
    </row>
    <row r="467" spans="2:11" ht="15.75" thickBot="1" x14ac:dyDescent="0.3">
      <c r="B467" s="1750"/>
      <c r="D467" s="1741"/>
      <c r="E467" s="1744"/>
      <c r="G467" s="31" t="s">
        <v>47</v>
      </c>
      <c r="H467" s="127"/>
      <c r="I467" s="15"/>
      <c r="J467" s="15"/>
      <c r="K467" s="17"/>
    </row>
    <row r="468" spans="2:11" ht="15" customHeight="1" x14ac:dyDescent="0.25">
      <c r="B468" s="1750"/>
      <c r="D468" s="1745"/>
      <c r="E468" s="1742" t="s">
        <v>645</v>
      </c>
      <c r="G468" s="86" t="s">
        <v>39</v>
      </c>
      <c r="H468" s="131">
        <f>SUM(H469:H470)</f>
        <v>0</v>
      </c>
      <c r="I468" s="87"/>
      <c r="J468" s="87"/>
      <c r="K468" s="88"/>
    </row>
    <row r="469" spans="2:11" x14ac:dyDescent="0.25">
      <c r="B469" s="1750"/>
      <c r="D469" s="1740"/>
      <c r="E469" s="1743"/>
      <c r="G469" s="30" t="s">
        <v>40</v>
      </c>
      <c r="H469" s="126"/>
      <c r="I469" s="10"/>
      <c r="J469" s="10"/>
      <c r="K469" s="16"/>
    </row>
    <row r="470" spans="2:11" x14ac:dyDescent="0.25">
      <c r="B470" s="1750"/>
      <c r="D470" s="1740"/>
      <c r="E470" s="1743"/>
      <c r="G470" s="30" t="s">
        <v>41</v>
      </c>
      <c r="H470" s="126"/>
      <c r="I470" s="10"/>
      <c r="J470" s="10"/>
      <c r="K470" s="16"/>
    </row>
    <row r="471" spans="2:11" x14ac:dyDescent="0.25">
      <c r="B471" s="1750"/>
      <c r="D471" s="1740"/>
      <c r="E471" s="1743"/>
      <c r="G471" s="89" t="s">
        <v>161</v>
      </c>
      <c r="H471" s="132">
        <f>SUM(H472,H476)</f>
        <v>0</v>
      </c>
      <c r="I471" s="90"/>
      <c r="J471" s="90"/>
      <c r="K471" s="91"/>
    </row>
    <row r="472" spans="2:11" x14ac:dyDescent="0.25">
      <c r="B472" s="1750"/>
      <c r="D472" s="1740"/>
      <c r="E472" s="1743"/>
      <c r="G472" s="89" t="s">
        <v>43</v>
      </c>
      <c r="H472" s="132">
        <f>SUM(H473:H475)</f>
        <v>0</v>
      </c>
      <c r="I472" s="90"/>
      <c r="J472" s="90"/>
      <c r="K472" s="91"/>
    </row>
    <row r="473" spans="2:11" x14ac:dyDescent="0.25">
      <c r="B473" s="1750"/>
      <c r="D473" s="1740"/>
      <c r="E473" s="1743"/>
      <c r="G473" s="30" t="s">
        <v>44</v>
      </c>
      <c r="H473" s="126"/>
      <c r="I473" s="10"/>
      <c r="J473" s="10"/>
      <c r="K473" s="16"/>
    </row>
    <row r="474" spans="2:11" x14ac:dyDescent="0.25">
      <c r="B474" s="1750"/>
      <c r="D474" s="1740"/>
      <c r="E474" s="1743"/>
      <c r="G474" s="30" t="s">
        <v>45</v>
      </c>
      <c r="H474" s="126"/>
      <c r="I474" s="10"/>
      <c r="J474" s="10"/>
      <c r="K474" s="16"/>
    </row>
    <row r="475" spans="2:11" x14ac:dyDescent="0.25">
      <c r="B475" s="1750"/>
      <c r="D475" s="1740"/>
      <c r="E475" s="1743"/>
      <c r="G475" s="30" t="s">
        <v>46</v>
      </c>
      <c r="H475" s="126"/>
      <c r="I475" s="10"/>
      <c r="J475" s="10"/>
      <c r="K475" s="16"/>
    </row>
    <row r="476" spans="2:11" ht="15.75" thickBot="1" x14ac:dyDescent="0.3">
      <c r="B476" s="1750"/>
      <c r="D476" s="1741"/>
      <c r="E476" s="1744"/>
      <c r="G476" s="31" t="s">
        <v>47</v>
      </c>
      <c r="H476" s="127"/>
      <c r="I476" s="15"/>
      <c r="J476" s="15"/>
      <c r="K476" s="17"/>
    </row>
    <row r="477" spans="2:11" ht="15" customHeight="1" x14ac:dyDescent="0.25">
      <c r="B477" s="1750"/>
      <c r="D477" s="1745" t="s">
        <v>19</v>
      </c>
      <c r="E477" s="1746" t="s">
        <v>153</v>
      </c>
      <c r="G477" s="86" t="s">
        <v>39</v>
      </c>
      <c r="H477" s="131">
        <f>SUM(H478:H479)</f>
        <v>12671.183667903779</v>
      </c>
      <c r="I477" s="87"/>
      <c r="J477" s="87"/>
      <c r="K477" s="88"/>
    </row>
    <row r="478" spans="2:11" x14ac:dyDescent="0.25">
      <c r="B478" s="1750"/>
      <c r="D478" s="1740"/>
      <c r="E478" s="1747"/>
      <c r="G478" s="30" t="s">
        <v>40</v>
      </c>
      <c r="H478" s="126">
        <v>12671.183667903779</v>
      </c>
      <c r="I478" s="10"/>
      <c r="J478" s="10"/>
      <c r="K478" s="16"/>
    </row>
    <row r="479" spans="2:11" x14ac:dyDescent="0.25">
      <c r="B479" s="1750"/>
      <c r="D479" s="1740"/>
      <c r="E479" s="1747"/>
      <c r="G479" s="30" t="s">
        <v>41</v>
      </c>
      <c r="H479" s="126"/>
      <c r="I479" s="10"/>
      <c r="J479" s="10"/>
      <c r="K479" s="16"/>
    </row>
    <row r="480" spans="2:11" x14ac:dyDescent="0.25">
      <c r="B480" s="1750"/>
      <c r="D480" s="1740"/>
      <c r="E480" s="1747"/>
      <c r="G480" s="89" t="s">
        <v>161</v>
      </c>
      <c r="H480" s="132">
        <f>SUM(H481,H485)</f>
        <v>301.01142363711335</v>
      </c>
      <c r="I480" s="90"/>
      <c r="J480" s="90"/>
      <c r="K480" s="91"/>
    </row>
    <row r="481" spans="2:11" x14ac:dyDescent="0.25">
      <c r="B481" s="1750"/>
      <c r="D481" s="1740"/>
      <c r="E481" s="1747"/>
      <c r="G481" s="89" t="s">
        <v>43</v>
      </c>
      <c r="H481" s="132">
        <f>SUM(H482:H484)</f>
        <v>301.01142363711335</v>
      </c>
      <c r="I481" s="90"/>
      <c r="J481" s="90"/>
      <c r="K481" s="91"/>
    </row>
    <row r="482" spans="2:11" x14ac:dyDescent="0.25">
      <c r="B482" s="1750"/>
      <c r="D482" s="1740"/>
      <c r="E482" s="1747"/>
      <c r="G482" s="30" t="s">
        <v>44</v>
      </c>
      <c r="H482" s="126">
        <v>159.09130227903779</v>
      </c>
      <c r="I482" s="10"/>
      <c r="J482" s="10"/>
      <c r="K482" s="16"/>
    </row>
    <row r="483" spans="2:11" x14ac:dyDescent="0.25">
      <c r="B483" s="1750"/>
      <c r="D483" s="1740"/>
      <c r="E483" s="1747"/>
      <c r="G483" s="30" t="s">
        <v>45</v>
      </c>
      <c r="H483" s="126"/>
      <c r="I483" s="10"/>
      <c r="J483" s="10"/>
      <c r="K483" s="16"/>
    </row>
    <row r="484" spans="2:11" x14ac:dyDescent="0.25">
      <c r="B484" s="1750"/>
      <c r="D484" s="1740"/>
      <c r="E484" s="1747"/>
      <c r="G484" s="30" t="s">
        <v>46</v>
      </c>
      <c r="H484" s="126">
        <v>141.92012135807559</v>
      </c>
      <c r="I484" s="10"/>
      <c r="J484" s="10"/>
      <c r="K484" s="16"/>
    </row>
    <row r="485" spans="2:11" ht="15.75" thickBot="1" x14ac:dyDescent="0.3">
      <c r="B485" s="1750"/>
      <c r="D485" s="1741"/>
      <c r="E485" s="1748"/>
      <c r="G485" s="31" t="s">
        <v>47</v>
      </c>
      <c r="H485" s="127"/>
      <c r="I485" s="15"/>
      <c r="J485" s="15"/>
      <c r="K485" s="17"/>
    </row>
    <row r="486" spans="2:11" ht="15" customHeight="1" x14ac:dyDescent="0.25">
      <c r="B486" s="1750"/>
      <c r="D486" s="1745"/>
      <c r="E486" s="1742" t="s">
        <v>646</v>
      </c>
      <c r="G486" s="86" t="s">
        <v>39</v>
      </c>
      <c r="H486" s="131">
        <f>SUM(H487:H488)</f>
        <v>0</v>
      </c>
      <c r="I486" s="87"/>
      <c r="J486" s="87"/>
      <c r="K486" s="88"/>
    </row>
    <row r="487" spans="2:11" x14ac:dyDescent="0.25">
      <c r="B487" s="1750"/>
      <c r="D487" s="1740"/>
      <c r="E487" s="1743"/>
      <c r="G487" s="30" t="s">
        <v>40</v>
      </c>
      <c r="H487" s="126"/>
      <c r="I487" s="10"/>
      <c r="J487" s="10"/>
      <c r="K487" s="16"/>
    </row>
    <row r="488" spans="2:11" x14ac:dyDescent="0.25">
      <c r="B488" s="1750"/>
      <c r="D488" s="1740"/>
      <c r="E488" s="1743"/>
      <c r="G488" s="30" t="s">
        <v>41</v>
      </c>
      <c r="H488" s="126"/>
      <c r="I488" s="10"/>
      <c r="J488" s="10"/>
      <c r="K488" s="16"/>
    </row>
    <row r="489" spans="2:11" x14ac:dyDescent="0.25">
      <c r="B489" s="1750"/>
      <c r="D489" s="1740"/>
      <c r="E489" s="1743"/>
      <c r="G489" s="89" t="s">
        <v>161</v>
      </c>
      <c r="H489" s="132">
        <f>SUM(H490,H494)</f>
        <v>0</v>
      </c>
      <c r="I489" s="90"/>
      <c r="J489" s="90"/>
      <c r="K489" s="91"/>
    </row>
    <row r="490" spans="2:11" x14ac:dyDescent="0.25">
      <c r="B490" s="1750"/>
      <c r="D490" s="1740"/>
      <c r="E490" s="1743"/>
      <c r="G490" s="89" t="s">
        <v>43</v>
      </c>
      <c r="H490" s="132">
        <f>SUM(H491:H493)</f>
        <v>0</v>
      </c>
      <c r="I490" s="90"/>
      <c r="J490" s="90"/>
      <c r="K490" s="91"/>
    </row>
    <row r="491" spans="2:11" x14ac:dyDescent="0.25">
      <c r="B491" s="1750"/>
      <c r="D491" s="1740"/>
      <c r="E491" s="1743"/>
      <c r="G491" s="30" t="s">
        <v>44</v>
      </c>
      <c r="H491" s="126"/>
      <c r="I491" s="10"/>
      <c r="J491" s="10"/>
      <c r="K491" s="16"/>
    </row>
    <row r="492" spans="2:11" x14ac:dyDescent="0.25">
      <c r="B492" s="1750"/>
      <c r="D492" s="1740"/>
      <c r="E492" s="1743"/>
      <c r="G492" s="30" t="s">
        <v>45</v>
      </c>
      <c r="H492" s="126"/>
      <c r="I492" s="10"/>
      <c r="J492" s="10"/>
      <c r="K492" s="16"/>
    </row>
    <row r="493" spans="2:11" x14ac:dyDescent="0.25">
      <c r="B493" s="1750"/>
      <c r="D493" s="1740"/>
      <c r="E493" s="1743"/>
      <c r="G493" s="30" t="s">
        <v>46</v>
      </c>
      <c r="H493" s="126"/>
      <c r="I493" s="10"/>
      <c r="J493" s="10"/>
      <c r="K493" s="16"/>
    </row>
    <row r="494" spans="2:11" ht="15.75" thickBot="1" x14ac:dyDescent="0.3">
      <c r="B494" s="1750"/>
      <c r="D494" s="1741"/>
      <c r="E494" s="1744"/>
      <c r="G494" s="31" t="s">
        <v>47</v>
      </c>
      <c r="H494" s="127"/>
      <c r="I494" s="15"/>
      <c r="J494" s="15"/>
      <c r="K494" s="17"/>
    </row>
    <row r="495" spans="2:11" ht="15" customHeight="1" x14ac:dyDescent="0.25">
      <c r="B495" s="1750"/>
      <c r="D495" s="1745" t="s">
        <v>20</v>
      </c>
      <c r="E495" s="1746" t="s">
        <v>154</v>
      </c>
      <c r="G495" s="86" t="s">
        <v>39</v>
      </c>
      <c r="H495" s="131">
        <f>SUM(H496:H497)</f>
        <v>5.6106036082474233</v>
      </c>
      <c r="I495" s="87"/>
      <c r="J495" s="87"/>
      <c r="K495" s="88"/>
    </row>
    <row r="496" spans="2:11" x14ac:dyDescent="0.25">
      <c r="B496" s="1750"/>
      <c r="D496" s="1740"/>
      <c r="E496" s="1747"/>
      <c r="G496" s="30" t="s">
        <v>40</v>
      </c>
      <c r="H496" s="126">
        <v>2.3110416666666667</v>
      </c>
      <c r="I496" s="10"/>
      <c r="J496" s="10"/>
      <c r="K496" s="16"/>
    </row>
    <row r="497" spans="2:11" x14ac:dyDescent="0.25">
      <c r="B497" s="1750"/>
      <c r="D497" s="1740"/>
      <c r="E497" s="1747"/>
      <c r="G497" s="30" t="s">
        <v>41</v>
      </c>
      <c r="H497" s="126">
        <v>3.2995619415807562</v>
      </c>
      <c r="I497" s="10"/>
      <c r="J497" s="10"/>
      <c r="K497" s="16"/>
    </row>
    <row r="498" spans="2:11" x14ac:dyDescent="0.25">
      <c r="B498" s="1750"/>
      <c r="D498" s="1740"/>
      <c r="E498" s="1747"/>
      <c r="G498" s="89" t="s">
        <v>161</v>
      </c>
      <c r="H498" s="132">
        <f>SUM(H499,H503)</f>
        <v>56.868619657611163</v>
      </c>
      <c r="I498" s="90"/>
      <c r="J498" s="90"/>
      <c r="K498" s="91"/>
    </row>
    <row r="499" spans="2:11" x14ac:dyDescent="0.25">
      <c r="B499" s="1750"/>
      <c r="D499" s="1740"/>
      <c r="E499" s="1747"/>
      <c r="G499" s="89" t="s">
        <v>43</v>
      </c>
      <c r="H499" s="132">
        <f>SUM(H500:H502)</f>
        <v>56.868619657611163</v>
      </c>
      <c r="I499" s="90"/>
      <c r="J499" s="90"/>
      <c r="K499" s="91"/>
    </row>
    <row r="500" spans="2:11" x14ac:dyDescent="0.25">
      <c r="B500" s="1750"/>
      <c r="D500" s="1740"/>
      <c r="E500" s="1747"/>
      <c r="G500" s="30" t="s">
        <v>44</v>
      </c>
      <c r="H500" s="126">
        <v>46.976258591065296</v>
      </c>
      <c r="I500" s="10"/>
      <c r="J500" s="10"/>
      <c r="K500" s="16"/>
    </row>
    <row r="501" spans="2:11" x14ac:dyDescent="0.25">
      <c r="B501" s="1750"/>
      <c r="D501" s="1740"/>
      <c r="E501" s="1747"/>
      <c r="G501" s="30" t="s">
        <v>45</v>
      </c>
      <c r="H501" s="126">
        <v>4.7351202749140899</v>
      </c>
      <c r="I501" s="10"/>
      <c r="J501" s="10"/>
      <c r="K501" s="16"/>
    </row>
    <row r="502" spans="2:11" x14ac:dyDescent="0.25">
      <c r="B502" s="1750"/>
      <c r="D502" s="1740"/>
      <c r="E502" s="1747"/>
      <c r="G502" s="30" t="s">
        <v>46</v>
      </c>
      <c r="H502" s="126">
        <v>5.1572407916317804</v>
      </c>
      <c r="I502" s="10"/>
      <c r="J502" s="10"/>
      <c r="K502" s="16"/>
    </row>
    <row r="503" spans="2:11" ht="15.75" thickBot="1" x14ac:dyDescent="0.3">
      <c r="B503" s="1750"/>
      <c r="D503" s="1741"/>
      <c r="E503" s="1748"/>
      <c r="G503" s="31" t="s">
        <v>47</v>
      </c>
      <c r="H503" s="127"/>
      <c r="I503" s="15"/>
      <c r="J503" s="15"/>
      <c r="K503" s="17"/>
    </row>
    <row r="504" spans="2:11" ht="15" customHeight="1" x14ac:dyDescent="0.25">
      <c r="B504" s="1750"/>
      <c r="D504" s="1745"/>
      <c r="E504" s="1742" t="s">
        <v>647</v>
      </c>
      <c r="G504" s="86" t="s">
        <v>39</v>
      </c>
      <c r="H504" s="131">
        <f>SUM(H505:H506)</f>
        <v>0</v>
      </c>
      <c r="I504" s="87"/>
      <c r="J504" s="87"/>
      <c r="K504" s="88"/>
    </row>
    <row r="505" spans="2:11" x14ac:dyDescent="0.25">
      <c r="B505" s="1750"/>
      <c r="D505" s="1740"/>
      <c r="E505" s="1743"/>
      <c r="G505" s="30" t="s">
        <v>40</v>
      </c>
      <c r="H505" s="126"/>
      <c r="I505" s="10"/>
      <c r="J505" s="10"/>
      <c r="K505" s="16"/>
    </row>
    <row r="506" spans="2:11" x14ac:dyDescent="0.25">
      <c r="B506" s="1750"/>
      <c r="D506" s="1740"/>
      <c r="E506" s="1743"/>
      <c r="G506" s="30" t="s">
        <v>41</v>
      </c>
      <c r="H506" s="126"/>
      <c r="I506" s="10"/>
      <c r="J506" s="10"/>
      <c r="K506" s="16"/>
    </row>
    <row r="507" spans="2:11" x14ac:dyDescent="0.25">
      <c r="B507" s="1750"/>
      <c r="D507" s="1740"/>
      <c r="E507" s="1743"/>
      <c r="G507" s="89" t="s">
        <v>161</v>
      </c>
      <c r="H507" s="132">
        <f>SUM(H508,H512)</f>
        <v>0</v>
      </c>
      <c r="I507" s="90"/>
      <c r="J507" s="90"/>
      <c r="K507" s="91"/>
    </row>
    <row r="508" spans="2:11" x14ac:dyDescent="0.25">
      <c r="B508" s="1750"/>
      <c r="D508" s="1740"/>
      <c r="E508" s="1743"/>
      <c r="G508" s="89" t="s">
        <v>43</v>
      </c>
      <c r="H508" s="132">
        <f>SUM(H509:H511)</f>
        <v>0</v>
      </c>
      <c r="I508" s="90"/>
      <c r="J508" s="90"/>
      <c r="K508" s="91"/>
    </row>
    <row r="509" spans="2:11" x14ac:dyDescent="0.25">
      <c r="B509" s="1750"/>
      <c r="D509" s="1740"/>
      <c r="E509" s="1743"/>
      <c r="G509" s="30" t="s">
        <v>44</v>
      </c>
      <c r="H509" s="126"/>
      <c r="I509" s="10"/>
      <c r="J509" s="10"/>
      <c r="K509" s="16"/>
    </row>
    <row r="510" spans="2:11" x14ac:dyDescent="0.25">
      <c r="B510" s="1750"/>
      <c r="D510" s="1740"/>
      <c r="E510" s="1743"/>
      <c r="G510" s="30" t="s">
        <v>45</v>
      </c>
      <c r="H510" s="126"/>
      <c r="I510" s="10"/>
      <c r="J510" s="10"/>
      <c r="K510" s="16"/>
    </row>
    <row r="511" spans="2:11" x14ac:dyDescent="0.25">
      <c r="B511" s="1750"/>
      <c r="D511" s="1740"/>
      <c r="E511" s="1743"/>
      <c r="G511" s="30" t="s">
        <v>46</v>
      </c>
      <c r="H511" s="126"/>
      <c r="I511" s="10"/>
      <c r="J511" s="10"/>
      <c r="K511" s="16"/>
    </row>
    <row r="512" spans="2:11" ht="15.75" thickBot="1" x14ac:dyDescent="0.3">
      <c r="B512" s="1750"/>
      <c r="D512" s="1741"/>
      <c r="E512" s="1744"/>
      <c r="G512" s="31" t="s">
        <v>47</v>
      </c>
      <c r="H512" s="127"/>
      <c r="I512" s="15"/>
      <c r="J512" s="15"/>
      <c r="K512" s="17"/>
    </row>
    <row r="513" spans="2:11" ht="15" customHeight="1" x14ac:dyDescent="0.25">
      <c r="B513" s="1750"/>
      <c r="D513" s="1745"/>
      <c r="E513" s="1742" t="s">
        <v>648</v>
      </c>
      <c r="G513" s="86" t="s">
        <v>39</v>
      </c>
      <c r="H513" s="131">
        <f>SUM(H514:H515)</f>
        <v>0</v>
      </c>
      <c r="I513" s="87"/>
      <c r="J513" s="87"/>
      <c r="K513" s="88"/>
    </row>
    <row r="514" spans="2:11" x14ac:dyDescent="0.25">
      <c r="B514" s="1750"/>
      <c r="D514" s="1740"/>
      <c r="E514" s="1743"/>
      <c r="G514" s="30" t="s">
        <v>40</v>
      </c>
      <c r="H514" s="126"/>
      <c r="I514" s="10"/>
      <c r="J514" s="10"/>
      <c r="K514" s="16"/>
    </row>
    <row r="515" spans="2:11" x14ac:dyDescent="0.25">
      <c r="B515" s="1750"/>
      <c r="D515" s="1740"/>
      <c r="E515" s="1743"/>
      <c r="G515" s="30" t="s">
        <v>41</v>
      </c>
      <c r="H515" s="126"/>
      <c r="I515" s="10"/>
      <c r="J515" s="10"/>
      <c r="K515" s="16"/>
    </row>
    <row r="516" spans="2:11" x14ac:dyDescent="0.25">
      <c r="B516" s="1750"/>
      <c r="D516" s="1740"/>
      <c r="E516" s="1743"/>
      <c r="G516" s="89" t="s">
        <v>161</v>
      </c>
      <c r="H516" s="132">
        <f>SUM(H517,H521)</f>
        <v>0</v>
      </c>
      <c r="I516" s="90"/>
      <c r="J516" s="90"/>
      <c r="K516" s="91"/>
    </row>
    <row r="517" spans="2:11" x14ac:dyDescent="0.25">
      <c r="B517" s="1750"/>
      <c r="D517" s="1740"/>
      <c r="E517" s="1743"/>
      <c r="G517" s="89" t="s">
        <v>43</v>
      </c>
      <c r="H517" s="132">
        <f>SUM(H518:H520)</f>
        <v>0</v>
      </c>
      <c r="I517" s="90"/>
      <c r="J517" s="90"/>
      <c r="K517" s="91"/>
    </row>
    <row r="518" spans="2:11" x14ac:dyDescent="0.25">
      <c r="B518" s="1750"/>
      <c r="D518" s="1740"/>
      <c r="E518" s="1743"/>
      <c r="G518" s="30" t="s">
        <v>44</v>
      </c>
      <c r="H518" s="126"/>
      <c r="I518" s="10"/>
      <c r="J518" s="10"/>
      <c r="K518" s="16"/>
    </row>
    <row r="519" spans="2:11" x14ac:dyDescent="0.25">
      <c r="B519" s="1750"/>
      <c r="D519" s="1740"/>
      <c r="E519" s="1743"/>
      <c r="G519" s="30" t="s">
        <v>45</v>
      </c>
      <c r="H519" s="126"/>
      <c r="I519" s="10"/>
      <c r="J519" s="10"/>
      <c r="K519" s="16"/>
    </row>
    <row r="520" spans="2:11" x14ac:dyDescent="0.25">
      <c r="B520" s="1750"/>
      <c r="D520" s="1740"/>
      <c r="E520" s="1743"/>
      <c r="G520" s="30" t="s">
        <v>46</v>
      </c>
      <c r="H520" s="126"/>
      <c r="I520" s="10"/>
      <c r="J520" s="10"/>
      <c r="K520" s="16"/>
    </row>
    <row r="521" spans="2:11" ht="15.75" thickBot="1" x14ac:dyDescent="0.3">
      <c r="B521" s="1750"/>
      <c r="D521" s="1741"/>
      <c r="E521" s="1744"/>
      <c r="G521" s="31" t="s">
        <v>47</v>
      </c>
      <c r="H521" s="127"/>
      <c r="I521" s="15"/>
      <c r="J521" s="15"/>
      <c r="K521" s="17"/>
    </row>
    <row r="522" spans="2:11" ht="15" customHeight="1" x14ac:dyDescent="0.25">
      <c r="B522" s="1750"/>
      <c r="D522" s="1745"/>
      <c r="E522" s="1742" t="s">
        <v>621</v>
      </c>
      <c r="G522" s="86" t="s">
        <v>39</v>
      </c>
      <c r="H522" s="131">
        <f>SUM(H523:H524)</f>
        <v>0</v>
      </c>
      <c r="I522" s="87"/>
      <c r="J522" s="87"/>
      <c r="K522" s="88"/>
    </row>
    <row r="523" spans="2:11" x14ac:dyDescent="0.25">
      <c r="B523" s="1750"/>
      <c r="D523" s="1740"/>
      <c r="E523" s="1743"/>
      <c r="G523" s="30" t="s">
        <v>40</v>
      </c>
      <c r="H523" s="126"/>
      <c r="I523" s="10"/>
      <c r="J523" s="10"/>
      <c r="K523" s="16"/>
    </row>
    <row r="524" spans="2:11" x14ac:dyDescent="0.25">
      <c r="B524" s="1750"/>
      <c r="D524" s="1740"/>
      <c r="E524" s="1743"/>
      <c r="G524" s="30" t="s">
        <v>41</v>
      </c>
      <c r="H524" s="126"/>
      <c r="I524" s="10"/>
      <c r="J524" s="10"/>
      <c r="K524" s="16"/>
    </row>
    <row r="525" spans="2:11" x14ac:dyDescent="0.25">
      <c r="B525" s="1750"/>
      <c r="D525" s="1740"/>
      <c r="E525" s="1743"/>
      <c r="G525" s="89" t="s">
        <v>161</v>
      </c>
      <c r="H525" s="132">
        <f>SUM(H526,H530)</f>
        <v>0</v>
      </c>
      <c r="I525" s="90"/>
      <c r="J525" s="90"/>
      <c r="K525" s="91"/>
    </row>
    <row r="526" spans="2:11" x14ac:dyDescent="0.25">
      <c r="B526" s="1750"/>
      <c r="D526" s="1740"/>
      <c r="E526" s="1743"/>
      <c r="G526" s="89" t="s">
        <v>43</v>
      </c>
      <c r="H526" s="132">
        <f>SUM(H527:H529)</f>
        <v>0</v>
      </c>
      <c r="I526" s="90"/>
      <c r="J526" s="90"/>
      <c r="K526" s="91"/>
    </row>
    <row r="527" spans="2:11" x14ac:dyDescent="0.25">
      <c r="B527" s="1750"/>
      <c r="D527" s="1740"/>
      <c r="E527" s="1743"/>
      <c r="G527" s="30" t="s">
        <v>44</v>
      </c>
      <c r="H527" s="126"/>
      <c r="I527" s="10"/>
      <c r="J527" s="10"/>
      <c r="K527" s="16"/>
    </row>
    <row r="528" spans="2:11" x14ac:dyDescent="0.25">
      <c r="B528" s="1750"/>
      <c r="D528" s="1740"/>
      <c r="E528" s="1743"/>
      <c r="G528" s="30" t="s">
        <v>45</v>
      </c>
      <c r="H528" s="126"/>
      <c r="I528" s="10"/>
      <c r="J528" s="10"/>
      <c r="K528" s="16"/>
    </row>
    <row r="529" spans="2:11" x14ac:dyDescent="0.25">
      <c r="B529" s="1750"/>
      <c r="D529" s="1740"/>
      <c r="E529" s="1743"/>
      <c r="G529" s="30" t="s">
        <v>46</v>
      </c>
      <c r="H529" s="126"/>
      <c r="I529" s="10"/>
      <c r="J529" s="10"/>
      <c r="K529" s="16"/>
    </row>
    <row r="530" spans="2:11" ht="15.75" thickBot="1" x14ac:dyDescent="0.3">
      <c r="B530" s="1750"/>
      <c r="D530" s="1741"/>
      <c r="E530" s="1744"/>
      <c r="G530" s="31" t="s">
        <v>47</v>
      </c>
      <c r="H530" s="127"/>
      <c r="I530" s="15"/>
      <c r="J530" s="15"/>
      <c r="K530" s="17"/>
    </row>
    <row r="531" spans="2:11" ht="15" customHeight="1" x14ac:dyDescent="0.25">
      <c r="B531" s="1750"/>
      <c r="D531" s="1745"/>
      <c r="E531" s="1742" t="s">
        <v>649</v>
      </c>
      <c r="G531" s="86" t="s">
        <v>39</v>
      </c>
      <c r="H531" s="131">
        <f>SUM(H532:H533)</f>
        <v>0</v>
      </c>
      <c r="I531" s="87"/>
      <c r="J531" s="87"/>
      <c r="K531" s="88"/>
    </row>
    <row r="532" spans="2:11" x14ac:dyDescent="0.25">
      <c r="B532" s="1750"/>
      <c r="D532" s="1740"/>
      <c r="E532" s="1743"/>
      <c r="G532" s="30" t="s">
        <v>40</v>
      </c>
      <c r="H532" s="126"/>
      <c r="I532" s="10"/>
      <c r="J532" s="10"/>
      <c r="K532" s="16"/>
    </row>
    <row r="533" spans="2:11" x14ac:dyDescent="0.25">
      <c r="B533" s="1750"/>
      <c r="D533" s="1740"/>
      <c r="E533" s="1743"/>
      <c r="G533" s="30" t="s">
        <v>41</v>
      </c>
      <c r="H533" s="126"/>
      <c r="I533" s="10"/>
      <c r="J533" s="10"/>
      <c r="K533" s="16"/>
    </row>
    <row r="534" spans="2:11" x14ac:dyDescent="0.25">
      <c r="B534" s="1750"/>
      <c r="D534" s="1740"/>
      <c r="E534" s="1743"/>
      <c r="G534" s="89" t="s">
        <v>161</v>
      </c>
      <c r="H534" s="132">
        <f>SUM(H535,H539)</f>
        <v>0</v>
      </c>
      <c r="I534" s="90"/>
      <c r="J534" s="90"/>
      <c r="K534" s="91"/>
    </row>
    <row r="535" spans="2:11" x14ac:dyDescent="0.25">
      <c r="B535" s="1750"/>
      <c r="D535" s="1740"/>
      <c r="E535" s="1743"/>
      <c r="G535" s="89" t="s">
        <v>43</v>
      </c>
      <c r="H535" s="132">
        <f>SUM(H536:H538)</f>
        <v>0</v>
      </c>
      <c r="I535" s="90"/>
      <c r="J535" s="90"/>
      <c r="K535" s="91"/>
    </row>
    <row r="536" spans="2:11" x14ac:dyDescent="0.25">
      <c r="B536" s="1750"/>
      <c r="D536" s="1740"/>
      <c r="E536" s="1743"/>
      <c r="G536" s="30" t="s">
        <v>44</v>
      </c>
      <c r="H536" s="126"/>
      <c r="I536" s="10"/>
      <c r="J536" s="10"/>
      <c r="K536" s="16"/>
    </row>
    <row r="537" spans="2:11" x14ac:dyDescent="0.25">
      <c r="B537" s="1750"/>
      <c r="D537" s="1740"/>
      <c r="E537" s="1743"/>
      <c r="G537" s="30" t="s">
        <v>45</v>
      </c>
      <c r="H537" s="126"/>
      <c r="I537" s="10"/>
      <c r="J537" s="10"/>
      <c r="K537" s="16"/>
    </row>
    <row r="538" spans="2:11" x14ac:dyDescent="0.25">
      <c r="B538" s="1750"/>
      <c r="D538" s="1740"/>
      <c r="E538" s="1743"/>
      <c r="G538" s="30" t="s">
        <v>46</v>
      </c>
      <c r="H538" s="126"/>
      <c r="I538" s="10"/>
      <c r="J538" s="10"/>
      <c r="K538" s="16"/>
    </row>
    <row r="539" spans="2:11" ht="15.75" thickBot="1" x14ac:dyDescent="0.3">
      <c r="B539" s="1750"/>
      <c r="D539" s="1741"/>
      <c r="E539" s="1744"/>
      <c r="G539" s="31" t="s">
        <v>47</v>
      </c>
      <c r="H539" s="127"/>
      <c r="I539" s="15"/>
      <c r="J539" s="15"/>
      <c r="K539" s="17"/>
    </row>
    <row r="540" spans="2:11" ht="15" customHeight="1" x14ac:dyDescent="0.25">
      <c r="B540" s="1750"/>
      <c r="D540" s="1739">
        <v>85</v>
      </c>
      <c r="E540" s="1746" t="s">
        <v>155</v>
      </c>
      <c r="G540" s="86" t="s">
        <v>39</v>
      </c>
      <c r="H540" s="131">
        <f>SUM(H541:H542)</f>
        <v>0</v>
      </c>
      <c r="I540" s="87"/>
      <c r="J540" s="87"/>
      <c r="K540" s="88"/>
    </row>
    <row r="541" spans="2:11" x14ac:dyDescent="0.25">
      <c r="B541" s="1750"/>
      <c r="D541" s="1740"/>
      <c r="E541" s="1747"/>
      <c r="G541" s="30" t="s">
        <v>40</v>
      </c>
      <c r="H541" s="126"/>
      <c r="I541" s="10"/>
      <c r="J541" s="10"/>
      <c r="K541" s="16"/>
    </row>
    <row r="542" spans="2:11" x14ac:dyDescent="0.25">
      <c r="B542" s="1750"/>
      <c r="D542" s="1740"/>
      <c r="E542" s="1747"/>
      <c r="G542" s="30" t="s">
        <v>41</v>
      </c>
      <c r="H542" s="126"/>
      <c r="I542" s="10"/>
      <c r="J542" s="10"/>
      <c r="K542" s="16"/>
    </row>
    <row r="543" spans="2:11" x14ac:dyDescent="0.25">
      <c r="B543" s="1750"/>
      <c r="D543" s="1740"/>
      <c r="E543" s="1747"/>
      <c r="G543" s="89" t="s">
        <v>161</v>
      </c>
      <c r="H543" s="132">
        <f>SUM(H544,H548)</f>
        <v>179497.86400000003</v>
      </c>
      <c r="I543" s="90"/>
      <c r="J543" s="90"/>
      <c r="K543" s="91"/>
    </row>
    <row r="544" spans="2:11" x14ac:dyDescent="0.25">
      <c r="B544" s="1750"/>
      <c r="D544" s="1740"/>
      <c r="E544" s="1747"/>
      <c r="G544" s="89" t="s">
        <v>43</v>
      </c>
      <c r="H544" s="132">
        <f>SUM(H545:H547)</f>
        <v>179497.86400000003</v>
      </c>
      <c r="I544" s="90"/>
      <c r="J544" s="90"/>
      <c r="K544" s="91"/>
    </row>
    <row r="545" spans="2:11" x14ac:dyDescent="0.25">
      <c r="B545" s="1750"/>
      <c r="D545" s="1740"/>
      <c r="E545" s="1747"/>
      <c r="G545" s="30" t="s">
        <v>44</v>
      </c>
      <c r="H545" s="126">
        <v>44209.770400000001</v>
      </c>
      <c r="I545" s="10"/>
      <c r="J545" s="10"/>
      <c r="K545" s="16"/>
    </row>
    <row r="546" spans="2:11" x14ac:dyDescent="0.25">
      <c r="B546" s="1750"/>
      <c r="D546" s="1740"/>
      <c r="E546" s="1747"/>
      <c r="G546" s="30" t="s">
        <v>45</v>
      </c>
      <c r="H546" s="126">
        <v>135288.09360000002</v>
      </c>
      <c r="I546" s="10"/>
      <c r="J546" s="10"/>
      <c r="K546" s="16"/>
    </row>
    <row r="547" spans="2:11" x14ac:dyDescent="0.25">
      <c r="B547" s="1750"/>
      <c r="D547" s="1740"/>
      <c r="E547" s="1747"/>
      <c r="G547" s="30" t="s">
        <v>46</v>
      </c>
      <c r="H547" s="126"/>
      <c r="I547" s="10"/>
      <c r="J547" s="10"/>
      <c r="K547" s="16"/>
    </row>
    <row r="548" spans="2:11" ht="15.75" thickBot="1" x14ac:dyDescent="0.3">
      <c r="B548" s="1750"/>
      <c r="D548" s="1741"/>
      <c r="E548" s="1748"/>
      <c r="G548" s="31" t="s">
        <v>47</v>
      </c>
      <c r="H548" s="127"/>
      <c r="I548" s="15"/>
      <c r="J548" s="15"/>
      <c r="K548" s="17"/>
    </row>
    <row r="549" spans="2:11" ht="15" customHeight="1" x14ac:dyDescent="0.25">
      <c r="B549" s="1750"/>
      <c r="D549" s="1745" t="s">
        <v>21</v>
      </c>
      <c r="E549" s="1746" t="s">
        <v>156</v>
      </c>
      <c r="G549" s="86" t="s">
        <v>39</v>
      </c>
      <c r="H549" s="131">
        <f>SUM(H550:H551)</f>
        <v>0</v>
      </c>
      <c r="I549" s="87"/>
      <c r="J549" s="87"/>
      <c r="K549" s="88"/>
    </row>
    <row r="550" spans="2:11" x14ac:dyDescent="0.25">
      <c r="B550" s="1750"/>
      <c r="D550" s="1740"/>
      <c r="E550" s="1747"/>
      <c r="G550" s="30" t="s">
        <v>40</v>
      </c>
      <c r="H550" s="126"/>
      <c r="I550" s="10"/>
      <c r="J550" s="10"/>
      <c r="K550" s="16"/>
    </row>
    <row r="551" spans="2:11" x14ac:dyDescent="0.25">
      <c r="B551" s="1750"/>
      <c r="D551" s="1740"/>
      <c r="E551" s="1747"/>
      <c r="G551" s="30" t="s">
        <v>41</v>
      </c>
      <c r="H551" s="126"/>
      <c r="I551" s="10"/>
      <c r="J551" s="10"/>
      <c r="K551" s="16"/>
    </row>
    <row r="552" spans="2:11" x14ac:dyDescent="0.25">
      <c r="B552" s="1750"/>
      <c r="D552" s="1740"/>
      <c r="E552" s="1747"/>
      <c r="G552" s="89" t="s">
        <v>161</v>
      </c>
      <c r="H552" s="132">
        <f>SUM(H553,H557)</f>
        <v>3447.7778158871602</v>
      </c>
      <c r="I552" s="90"/>
      <c r="J552" s="90"/>
      <c r="K552" s="91"/>
    </row>
    <row r="553" spans="2:11" x14ac:dyDescent="0.25">
      <c r="B553" s="1750"/>
      <c r="D553" s="1740"/>
      <c r="E553" s="1747"/>
      <c r="G553" s="89" t="s">
        <v>43</v>
      </c>
      <c r="H553" s="132">
        <f>SUM(H554:H556)</f>
        <v>3447.7778158871602</v>
      </c>
      <c r="I553" s="90"/>
      <c r="J553" s="90"/>
      <c r="K553" s="91"/>
    </row>
    <row r="554" spans="2:11" x14ac:dyDescent="0.25">
      <c r="B554" s="1750"/>
      <c r="D554" s="1740"/>
      <c r="E554" s="1747"/>
      <c r="G554" s="30" t="s">
        <v>44</v>
      </c>
      <c r="H554" s="126"/>
      <c r="I554" s="10"/>
      <c r="J554" s="10"/>
      <c r="K554" s="16"/>
    </row>
    <row r="555" spans="2:11" x14ac:dyDescent="0.25">
      <c r="B555" s="1750"/>
      <c r="D555" s="1740"/>
      <c r="E555" s="1747"/>
      <c r="G555" s="30" t="s">
        <v>45</v>
      </c>
      <c r="H555" s="126">
        <v>3201.047978608482</v>
      </c>
      <c r="I555" s="10"/>
      <c r="J555" s="10"/>
      <c r="K555" s="16"/>
    </row>
    <row r="556" spans="2:11" x14ac:dyDescent="0.25">
      <c r="B556" s="1750"/>
      <c r="D556" s="1740"/>
      <c r="E556" s="1747"/>
      <c r="G556" s="30" t="s">
        <v>46</v>
      </c>
      <c r="H556" s="126">
        <v>246.72983727867833</v>
      </c>
      <c r="I556" s="10"/>
      <c r="J556" s="10"/>
      <c r="K556" s="16"/>
    </row>
    <row r="557" spans="2:11" ht="15.75" thickBot="1" x14ac:dyDescent="0.3">
      <c r="B557" s="1750"/>
      <c r="D557" s="1741"/>
      <c r="E557" s="1748"/>
      <c r="G557" s="31" t="s">
        <v>47</v>
      </c>
      <c r="H557" s="127"/>
      <c r="I557" s="15"/>
      <c r="J557" s="15"/>
      <c r="K557" s="17"/>
    </row>
    <row r="558" spans="2:11" ht="15" customHeight="1" x14ac:dyDescent="0.25">
      <c r="B558" s="1750"/>
      <c r="D558" s="1745"/>
      <c r="E558" s="1742" t="s">
        <v>623</v>
      </c>
      <c r="G558" s="86" t="s">
        <v>39</v>
      </c>
      <c r="H558" s="131">
        <f>SUM(H559:H560)</f>
        <v>0</v>
      </c>
      <c r="I558" s="87"/>
      <c r="J558" s="87"/>
      <c r="K558" s="88"/>
    </row>
    <row r="559" spans="2:11" x14ac:dyDescent="0.25">
      <c r="B559" s="1750"/>
      <c r="D559" s="1740"/>
      <c r="E559" s="1743"/>
      <c r="G559" s="30" t="s">
        <v>40</v>
      </c>
      <c r="H559" s="126"/>
      <c r="I559" s="10"/>
      <c r="J559" s="10"/>
      <c r="K559" s="16"/>
    </row>
    <row r="560" spans="2:11" x14ac:dyDescent="0.25">
      <c r="B560" s="1750"/>
      <c r="D560" s="1740"/>
      <c r="E560" s="1743"/>
      <c r="G560" s="30" t="s">
        <v>41</v>
      </c>
      <c r="H560" s="126"/>
      <c r="I560" s="10"/>
      <c r="J560" s="10"/>
      <c r="K560" s="16"/>
    </row>
    <row r="561" spans="2:11" x14ac:dyDescent="0.25">
      <c r="B561" s="1750"/>
      <c r="D561" s="1740"/>
      <c r="E561" s="1743"/>
      <c r="G561" s="89" t="s">
        <v>161</v>
      </c>
      <c r="H561" s="132">
        <f>SUM(H562,H566)</f>
        <v>0</v>
      </c>
      <c r="I561" s="90"/>
      <c r="J561" s="90"/>
      <c r="K561" s="91"/>
    </row>
    <row r="562" spans="2:11" x14ac:dyDescent="0.25">
      <c r="B562" s="1750"/>
      <c r="D562" s="1740"/>
      <c r="E562" s="1743"/>
      <c r="G562" s="89" t="s">
        <v>43</v>
      </c>
      <c r="H562" s="132">
        <f>SUM(H563:H565)</f>
        <v>0</v>
      </c>
      <c r="I562" s="90"/>
      <c r="J562" s="90"/>
      <c r="K562" s="91"/>
    </row>
    <row r="563" spans="2:11" x14ac:dyDescent="0.25">
      <c r="B563" s="1750"/>
      <c r="D563" s="1740"/>
      <c r="E563" s="1743"/>
      <c r="G563" s="30" t="s">
        <v>44</v>
      </c>
      <c r="H563" s="126"/>
      <c r="I563" s="10"/>
      <c r="J563" s="10"/>
      <c r="K563" s="16"/>
    </row>
    <row r="564" spans="2:11" x14ac:dyDescent="0.25">
      <c r="B564" s="1750"/>
      <c r="D564" s="1740"/>
      <c r="E564" s="1743"/>
      <c r="G564" s="30" t="s">
        <v>45</v>
      </c>
      <c r="H564" s="126"/>
      <c r="I564" s="10"/>
      <c r="J564" s="10"/>
      <c r="K564" s="16"/>
    </row>
    <row r="565" spans="2:11" x14ac:dyDescent="0.25">
      <c r="B565" s="1750"/>
      <c r="D565" s="1740"/>
      <c r="E565" s="1743"/>
      <c r="G565" s="30" t="s">
        <v>46</v>
      </c>
      <c r="H565" s="126"/>
      <c r="I565" s="10"/>
      <c r="J565" s="10"/>
      <c r="K565" s="16"/>
    </row>
    <row r="566" spans="2:11" ht="15.75" thickBot="1" x14ac:dyDescent="0.3">
      <c r="B566" s="1750"/>
      <c r="D566" s="1741"/>
      <c r="E566" s="1744"/>
      <c r="G566" s="31" t="s">
        <v>47</v>
      </c>
      <c r="H566" s="127"/>
      <c r="I566" s="15"/>
      <c r="J566" s="15"/>
      <c r="K566" s="17"/>
    </row>
    <row r="567" spans="2:11" ht="15" customHeight="1" x14ac:dyDescent="0.25">
      <c r="B567" s="1750"/>
      <c r="D567" s="1745" t="s">
        <v>22</v>
      </c>
      <c r="E567" s="1746" t="s">
        <v>157</v>
      </c>
      <c r="G567" s="86" t="s">
        <v>39</v>
      </c>
      <c r="H567" s="131">
        <f>SUM(H568:H569)</f>
        <v>0</v>
      </c>
      <c r="I567" s="87"/>
      <c r="J567" s="87"/>
      <c r="K567" s="88"/>
    </row>
    <row r="568" spans="2:11" x14ac:dyDescent="0.25">
      <c r="B568" s="1750"/>
      <c r="D568" s="1740"/>
      <c r="E568" s="1747"/>
      <c r="G568" s="30" t="s">
        <v>40</v>
      </c>
      <c r="H568" s="126"/>
      <c r="I568" s="10"/>
      <c r="J568" s="10"/>
      <c r="K568" s="16"/>
    </row>
    <row r="569" spans="2:11" x14ac:dyDescent="0.25">
      <c r="B569" s="1750"/>
      <c r="D569" s="1740"/>
      <c r="E569" s="1747"/>
      <c r="G569" s="30" t="s">
        <v>41</v>
      </c>
      <c r="H569" s="126"/>
      <c r="I569" s="10"/>
      <c r="J569" s="10"/>
      <c r="K569" s="16"/>
    </row>
    <row r="570" spans="2:11" x14ac:dyDescent="0.25">
      <c r="B570" s="1750"/>
      <c r="D570" s="1740"/>
      <c r="E570" s="1747"/>
      <c r="G570" s="89" t="s">
        <v>161</v>
      </c>
      <c r="H570" s="132">
        <f>SUM(H571,H575)</f>
        <v>10.714873014735879</v>
      </c>
      <c r="I570" s="90"/>
      <c r="J570" s="90"/>
      <c r="K570" s="91"/>
    </row>
    <row r="571" spans="2:11" x14ac:dyDescent="0.25">
      <c r="B571" s="1750"/>
      <c r="D571" s="1740"/>
      <c r="E571" s="1747"/>
      <c r="G571" s="89" t="s">
        <v>43</v>
      </c>
      <c r="H571" s="132">
        <f>SUM(H572:H574)</f>
        <v>10.714873014735879</v>
      </c>
      <c r="I571" s="90"/>
      <c r="J571" s="90"/>
      <c r="K571" s="91"/>
    </row>
    <row r="572" spans="2:11" x14ac:dyDescent="0.25">
      <c r="B572" s="1750"/>
      <c r="D572" s="1740"/>
      <c r="E572" s="1747"/>
      <c r="G572" s="30" t="s">
        <v>44</v>
      </c>
      <c r="H572" s="126">
        <v>1.1818737127147767</v>
      </c>
      <c r="I572" s="10"/>
      <c r="J572" s="10"/>
      <c r="K572" s="16"/>
    </row>
    <row r="573" spans="2:11" x14ac:dyDescent="0.25">
      <c r="B573" s="1750"/>
      <c r="D573" s="1740"/>
      <c r="E573" s="1747"/>
      <c r="G573" s="30" t="s">
        <v>45</v>
      </c>
      <c r="H573" s="126">
        <v>9.3718228896499678</v>
      </c>
      <c r="I573" s="10"/>
      <c r="J573" s="10"/>
      <c r="K573" s="16"/>
    </row>
    <row r="574" spans="2:11" x14ac:dyDescent="0.25">
      <c r="B574" s="1750"/>
      <c r="D574" s="1740"/>
      <c r="E574" s="1747"/>
      <c r="G574" s="30" t="s">
        <v>46</v>
      </c>
      <c r="H574" s="126">
        <v>0.16117641237113403</v>
      </c>
      <c r="I574" s="10"/>
      <c r="J574" s="10"/>
      <c r="K574" s="16"/>
    </row>
    <row r="575" spans="2:11" ht="15.75" thickBot="1" x14ac:dyDescent="0.3">
      <c r="B575" s="1750"/>
      <c r="D575" s="1741"/>
      <c r="E575" s="1748"/>
      <c r="G575" s="31" t="s">
        <v>47</v>
      </c>
      <c r="H575" s="127"/>
      <c r="I575" s="15"/>
      <c r="J575" s="15"/>
      <c r="K575" s="17"/>
    </row>
    <row r="576" spans="2:11" ht="15" customHeight="1" x14ac:dyDescent="0.25">
      <c r="B576" s="1750"/>
      <c r="D576" s="1745"/>
      <c r="E576" s="1742" t="s">
        <v>650</v>
      </c>
      <c r="G576" s="86" t="s">
        <v>39</v>
      </c>
      <c r="H576" s="131">
        <f>SUM(H577:H578)</f>
        <v>0</v>
      </c>
      <c r="I576" s="87"/>
      <c r="J576" s="87"/>
      <c r="K576" s="88"/>
    </row>
    <row r="577" spans="2:11" x14ac:dyDescent="0.25">
      <c r="B577" s="1750"/>
      <c r="D577" s="1740"/>
      <c r="E577" s="1743"/>
      <c r="G577" s="30" t="s">
        <v>40</v>
      </c>
      <c r="H577" s="126"/>
      <c r="I577" s="10"/>
      <c r="J577" s="10"/>
      <c r="K577" s="16"/>
    </row>
    <row r="578" spans="2:11" x14ac:dyDescent="0.25">
      <c r="B578" s="1750"/>
      <c r="D578" s="1740"/>
      <c r="E578" s="1743"/>
      <c r="G578" s="30" t="s">
        <v>41</v>
      </c>
      <c r="H578" s="126"/>
      <c r="I578" s="10"/>
      <c r="J578" s="10"/>
      <c r="K578" s="16"/>
    </row>
    <row r="579" spans="2:11" x14ac:dyDescent="0.25">
      <c r="B579" s="1750"/>
      <c r="D579" s="1740"/>
      <c r="E579" s="1743"/>
      <c r="G579" s="89" t="s">
        <v>161</v>
      </c>
      <c r="H579" s="132">
        <f>SUM(H580,H584)</f>
        <v>0</v>
      </c>
      <c r="I579" s="90"/>
      <c r="J579" s="90"/>
      <c r="K579" s="91"/>
    </row>
    <row r="580" spans="2:11" x14ac:dyDescent="0.25">
      <c r="B580" s="1750"/>
      <c r="D580" s="1740"/>
      <c r="E580" s="1743"/>
      <c r="G580" s="89" t="s">
        <v>43</v>
      </c>
      <c r="H580" s="132">
        <f>SUM(H581:H583)</f>
        <v>0</v>
      </c>
      <c r="I580" s="90"/>
      <c r="J580" s="90"/>
      <c r="K580" s="91"/>
    </row>
    <row r="581" spans="2:11" x14ac:dyDescent="0.25">
      <c r="B581" s="1750"/>
      <c r="D581" s="1740"/>
      <c r="E581" s="1743"/>
      <c r="G581" s="30" t="s">
        <v>44</v>
      </c>
      <c r="H581" s="126"/>
      <c r="I581" s="10"/>
      <c r="J581" s="10"/>
      <c r="K581" s="16"/>
    </row>
    <row r="582" spans="2:11" x14ac:dyDescent="0.25">
      <c r="B582" s="1750"/>
      <c r="D582" s="1740"/>
      <c r="E582" s="1743"/>
      <c r="G582" s="30" t="s">
        <v>45</v>
      </c>
      <c r="H582" s="126"/>
      <c r="I582" s="10"/>
      <c r="J582" s="10"/>
      <c r="K582" s="16"/>
    </row>
    <row r="583" spans="2:11" x14ac:dyDescent="0.25">
      <c r="B583" s="1750"/>
      <c r="D583" s="1740"/>
      <c r="E583" s="1743"/>
      <c r="G583" s="30" t="s">
        <v>46</v>
      </c>
      <c r="H583" s="126"/>
      <c r="I583" s="10"/>
      <c r="J583" s="10"/>
      <c r="K583" s="16"/>
    </row>
    <row r="584" spans="2:11" ht="15.75" thickBot="1" x14ac:dyDescent="0.3">
      <c r="B584" s="1750"/>
      <c r="D584" s="1741"/>
      <c r="E584" s="1744"/>
      <c r="G584" s="31" t="s">
        <v>47</v>
      </c>
      <c r="H584" s="127"/>
      <c r="I584" s="15"/>
      <c r="J584" s="15"/>
      <c r="K584" s="17"/>
    </row>
    <row r="585" spans="2:11" x14ac:dyDescent="0.25">
      <c r="B585" s="1750"/>
      <c r="D585" s="95"/>
      <c r="E585" s="93"/>
      <c r="G585" s="94"/>
      <c r="H585" s="133"/>
      <c r="I585" s="94"/>
      <c r="J585" s="94"/>
      <c r="K585" s="85"/>
    </row>
    <row r="586" spans="2:11" x14ac:dyDescent="0.25">
      <c r="B586" s="1750"/>
      <c r="C586" s="92"/>
      <c r="D586" s="96"/>
      <c r="E586" s="92"/>
      <c r="F586" s="92"/>
      <c r="G586" s="92"/>
      <c r="H586" s="134"/>
      <c r="I586" s="92"/>
      <c r="J586" s="92"/>
      <c r="K586" s="92"/>
    </row>
    <row r="587" spans="2:11" ht="15.75" thickBot="1" x14ac:dyDescent="0.3">
      <c r="B587" s="1750"/>
      <c r="D587" s="97"/>
      <c r="H587" s="4"/>
    </row>
    <row r="588" spans="2:11" ht="15" customHeight="1" x14ac:dyDescent="0.25">
      <c r="B588" s="1750"/>
      <c r="D588" s="1739">
        <v>98</v>
      </c>
      <c r="E588" s="1746" t="s">
        <v>158</v>
      </c>
      <c r="G588" s="86" t="s">
        <v>39</v>
      </c>
      <c r="H588" s="131">
        <f>SUM(H589:H590)</f>
        <v>0</v>
      </c>
      <c r="I588" s="87"/>
      <c r="J588" s="87"/>
      <c r="K588" s="88"/>
    </row>
    <row r="589" spans="2:11" x14ac:dyDescent="0.25">
      <c r="B589" s="1750"/>
      <c r="D589" s="1740"/>
      <c r="E589" s="1747"/>
      <c r="G589" s="30" t="s">
        <v>40</v>
      </c>
      <c r="H589" s="126"/>
      <c r="I589" s="10"/>
      <c r="J589" s="10"/>
      <c r="K589" s="16"/>
    </row>
    <row r="590" spans="2:11" x14ac:dyDescent="0.25">
      <c r="B590" s="1750"/>
      <c r="D590" s="1740"/>
      <c r="E590" s="1747"/>
      <c r="G590" s="30" t="s">
        <v>41</v>
      </c>
      <c r="H590" s="126"/>
      <c r="I590" s="10"/>
      <c r="J590" s="10"/>
      <c r="K590" s="16"/>
    </row>
    <row r="591" spans="2:11" x14ac:dyDescent="0.25">
      <c r="B591" s="1750"/>
      <c r="D591" s="1740"/>
      <c r="E591" s="1747"/>
      <c r="G591" s="89" t="s">
        <v>161</v>
      </c>
      <c r="H591" s="132">
        <f>SUM(H592,H596)</f>
        <v>82781</v>
      </c>
      <c r="I591" s="90"/>
      <c r="J591" s="90"/>
      <c r="K591" s="91"/>
    </row>
    <row r="592" spans="2:11" x14ac:dyDescent="0.25">
      <c r="B592" s="1750"/>
      <c r="D592" s="1740"/>
      <c r="E592" s="1747"/>
      <c r="G592" s="89" t="s">
        <v>43</v>
      </c>
      <c r="H592" s="132">
        <f>SUM(H593:H595)</f>
        <v>72433</v>
      </c>
      <c r="I592" s="90"/>
      <c r="J592" s="90"/>
      <c r="K592" s="91"/>
    </row>
    <row r="593" spans="2:11" x14ac:dyDescent="0.25">
      <c r="B593" s="1750"/>
      <c r="D593" s="1740"/>
      <c r="E593" s="1747"/>
      <c r="G593" s="30" t="s">
        <v>44</v>
      </c>
      <c r="H593" s="126">
        <v>41390</v>
      </c>
      <c r="I593" s="10"/>
      <c r="J593" s="10"/>
      <c r="K593" s="16"/>
    </row>
    <row r="594" spans="2:11" x14ac:dyDescent="0.25">
      <c r="B594" s="1750"/>
      <c r="D594" s="1740"/>
      <c r="E594" s="1747"/>
      <c r="G594" s="30" t="s">
        <v>45</v>
      </c>
      <c r="H594" s="126">
        <v>20695</v>
      </c>
      <c r="I594" s="10"/>
      <c r="J594" s="10"/>
      <c r="K594" s="16"/>
    </row>
    <row r="595" spans="2:11" x14ac:dyDescent="0.25">
      <c r="B595" s="1750"/>
      <c r="D595" s="1740"/>
      <c r="E595" s="1747"/>
      <c r="G595" s="30" t="s">
        <v>46</v>
      </c>
      <c r="H595" s="126">
        <v>10348</v>
      </c>
      <c r="I595" s="10"/>
      <c r="J595" s="10"/>
      <c r="K595" s="16"/>
    </row>
    <row r="596" spans="2:11" ht="15.75" thickBot="1" x14ac:dyDescent="0.3">
      <c r="B596" s="1750"/>
      <c r="D596" s="1741"/>
      <c r="E596" s="1748"/>
      <c r="G596" s="31" t="s">
        <v>47</v>
      </c>
      <c r="H596" s="127">
        <v>10348</v>
      </c>
      <c r="I596" s="15"/>
      <c r="J596" s="15"/>
      <c r="K596" s="17"/>
    </row>
    <row r="597" spans="2:11" ht="15" customHeight="1" x14ac:dyDescent="0.25">
      <c r="B597" s="1750"/>
      <c r="D597" s="1739">
        <v>99</v>
      </c>
      <c r="E597" s="1746" t="s">
        <v>159</v>
      </c>
      <c r="G597" s="86" t="s">
        <v>39</v>
      </c>
      <c r="H597" s="131">
        <f>SUM(H598:H599)</f>
        <v>0</v>
      </c>
      <c r="I597" s="87"/>
      <c r="J597" s="87"/>
      <c r="K597" s="88"/>
    </row>
    <row r="598" spans="2:11" x14ac:dyDescent="0.25">
      <c r="B598" s="1750"/>
      <c r="D598" s="1740"/>
      <c r="E598" s="1747"/>
      <c r="G598" s="30" t="s">
        <v>40</v>
      </c>
      <c r="H598" s="126"/>
      <c r="I598" s="10"/>
      <c r="J598" s="10"/>
      <c r="K598" s="16"/>
    </row>
    <row r="599" spans="2:11" x14ac:dyDescent="0.25">
      <c r="B599" s="1750"/>
      <c r="D599" s="1740"/>
      <c r="E599" s="1747"/>
      <c r="G599" s="30" t="s">
        <v>41</v>
      </c>
      <c r="H599" s="126"/>
      <c r="I599" s="10"/>
      <c r="J599" s="10"/>
      <c r="K599" s="16"/>
    </row>
    <row r="600" spans="2:11" x14ac:dyDescent="0.25">
      <c r="B600" s="1750"/>
      <c r="D600" s="1740"/>
      <c r="E600" s="1747"/>
      <c r="G600" s="89" t="s">
        <v>161</v>
      </c>
      <c r="H600" s="132">
        <f>SUM(H601,H605)</f>
        <v>5211.6544753063881</v>
      </c>
      <c r="I600" s="90"/>
      <c r="J600" s="90"/>
      <c r="K600" s="91"/>
    </row>
    <row r="601" spans="2:11" x14ac:dyDescent="0.25">
      <c r="B601" s="1750"/>
      <c r="D601" s="1740"/>
      <c r="E601" s="1747"/>
      <c r="G601" s="89" t="s">
        <v>43</v>
      </c>
      <c r="H601" s="132">
        <f>SUM(H602:H604)</f>
        <v>5211.6544753063881</v>
      </c>
      <c r="I601" s="90"/>
      <c r="J601" s="90"/>
      <c r="K601" s="91"/>
    </row>
    <row r="602" spans="2:11" x14ac:dyDescent="0.25">
      <c r="B602" s="1750"/>
      <c r="D602" s="1740"/>
      <c r="E602" s="1747"/>
      <c r="G602" s="30" t="s">
        <v>44</v>
      </c>
      <c r="H602" s="126">
        <v>4688.7652799999996</v>
      </c>
      <c r="I602" s="10"/>
      <c r="J602" s="10"/>
      <c r="K602" s="16"/>
    </row>
    <row r="603" spans="2:11" x14ac:dyDescent="0.25">
      <c r="B603" s="1750"/>
      <c r="D603" s="1740"/>
      <c r="E603" s="1747"/>
      <c r="G603" s="30" t="s">
        <v>45</v>
      </c>
      <c r="H603" s="126">
        <v>522.8891953063885</v>
      </c>
      <c r="I603" s="10"/>
      <c r="J603" s="10"/>
      <c r="K603" s="16"/>
    </row>
    <row r="604" spans="2:11" x14ac:dyDescent="0.25">
      <c r="B604" s="1750"/>
      <c r="D604" s="1740"/>
      <c r="E604" s="1747"/>
      <c r="G604" s="30" t="s">
        <v>46</v>
      </c>
      <c r="H604" s="126"/>
      <c r="I604" s="10"/>
      <c r="J604" s="10"/>
      <c r="K604" s="16"/>
    </row>
    <row r="605" spans="2:11" ht="15.75" thickBot="1" x14ac:dyDescent="0.3">
      <c r="B605" s="1751"/>
      <c r="D605" s="1741"/>
      <c r="E605" s="1748"/>
      <c r="G605" s="31" t="s">
        <v>47</v>
      </c>
      <c r="H605" s="127"/>
      <c r="I605" s="15"/>
      <c r="J605" s="15"/>
      <c r="K605" s="17"/>
    </row>
  </sheetData>
  <mergeCells count="90">
    <mergeCell ref="E597:E605"/>
    <mergeCell ref="D540:D548"/>
    <mergeCell ref="E540:E548"/>
    <mergeCell ref="D549:D557"/>
    <mergeCell ref="E549:E557"/>
    <mergeCell ref="D567:D575"/>
    <mergeCell ref="D597:D605"/>
    <mergeCell ref="D576:D584"/>
    <mergeCell ref="B405:B605"/>
    <mergeCell ref="D405:D413"/>
    <mergeCell ref="E405:E413"/>
    <mergeCell ref="D414:D422"/>
    <mergeCell ref="E414:E422"/>
    <mergeCell ref="D423:D431"/>
    <mergeCell ref="E423:E431"/>
    <mergeCell ref="D432:D440"/>
    <mergeCell ref="E432:E440"/>
    <mergeCell ref="D441:D449"/>
    <mergeCell ref="E495:E503"/>
    <mergeCell ref="D531:D539"/>
    <mergeCell ref="E531:E539"/>
    <mergeCell ref="E567:E575"/>
    <mergeCell ref="D558:D566"/>
    <mergeCell ref="E558:E566"/>
    <mergeCell ref="E504:E512"/>
    <mergeCell ref="E513:E521"/>
    <mergeCell ref="D522:D530"/>
    <mergeCell ref="E522:E530"/>
    <mergeCell ref="D495:D503"/>
    <mergeCell ref="E441:E449"/>
    <mergeCell ref="D477:D485"/>
    <mergeCell ref="E477:E485"/>
    <mergeCell ref="D588:D596"/>
    <mergeCell ref="E588:E596"/>
    <mergeCell ref="E468:E476"/>
    <mergeCell ref="D486:D494"/>
    <mergeCell ref="E486:E494"/>
    <mergeCell ref="D450:D458"/>
    <mergeCell ref="E450:E458"/>
    <mergeCell ref="D513:D521"/>
    <mergeCell ref="D459:D467"/>
    <mergeCell ref="E459:E467"/>
    <mergeCell ref="D468:D476"/>
    <mergeCell ref="E576:E584"/>
    <mergeCell ref="D504:D512"/>
    <mergeCell ref="E56:E73"/>
    <mergeCell ref="D74:D91"/>
    <mergeCell ref="D272:D289"/>
    <mergeCell ref="E272:E289"/>
    <mergeCell ref="D365:D382"/>
    <mergeCell ref="E365:E382"/>
    <mergeCell ref="D344:D361"/>
    <mergeCell ref="E344:E361"/>
    <mergeCell ref="E128:E145"/>
    <mergeCell ref="E164:E181"/>
    <mergeCell ref="E110:E127"/>
    <mergeCell ref="D128:D145"/>
    <mergeCell ref="D164:D181"/>
    <mergeCell ref="E290:E307"/>
    <mergeCell ref="D326:D343"/>
    <mergeCell ref="E326:E343"/>
    <mergeCell ref="B2:B400"/>
    <mergeCell ref="D2:D19"/>
    <mergeCell ref="E2:E19"/>
    <mergeCell ref="D20:D37"/>
    <mergeCell ref="E20:E37"/>
    <mergeCell ref="D38:D55"/>
    <mergeCell ref="E38:E55"/>
    <mergeCell ref="E74:E91"/>
    <mergeCell ref="D56:D73"/>
    <mergeCell ref="D146:D163"/>
    <mergeCell ref="E146:E163"/>
    <mergeCell ref="D182:D199"/>
    <mergeCell ref="E182:E199"/>
    <mergeCell ref="D92:D109"/>
    <mergeCell ref="E92:E109"/>
    <mergeCell ref="D110:D127"/>
    <mergeCell ref="D290:D307"/>
    <mergeCell ref="D308:D325"/>
    <mergeCell ref="E308:E325"/>
    <mergeCell ref="D383:D400"/>
    <mergeCell ref="D200:D217"/>
    <mergeCell ref="E200:E217"/>
    <mergeCell ref="D218:D235"/>
    <mergeCell ref="E218:E235"/>
    <mergeCell ref="D236:D253"/>
    <mergeCell ref="E236:E253"/>
    <mergeCell ref="E383:E400"/>
    <mergeCell ref="D254:D271"/>
    <mergeCell ref="E254:E271"/>
  </mergeCells>
  <hyperlinks>
    <hyperlink ref="H9" location="'RBM&amp;E-2017_S'!U30" display="'RBM&amp;E-2017_S'!U30"/>
    <hyperlink ref="H10" location="'RBM&amp;E-2017_S'!U30" display="'RBM&amp;E-2017_S'!U30"/>
    <hyperlink ref="H8" location="'RBM&amp;E-2017_S'!U30" display="'RBM&amp;E-2017_S'!U30"/>
    <hyperlink ref="H11" location="'RBM&amp;E-2017_S'!U30" display="'RBM&amp;E-2017_S'!U30"/>
    <hyperlink ref="H377" location="'RBM&amp;E-2017_S'!U33" display="'RBM&amp;E-2017_S'!U33"/>
    <hyperlink ref="H14" location="'RBM&amp;E-2017_S'!U33" display="'RBM&amp;E-2017_S'!U33"/>
    <hyperlink ref="H63" location="'RBM&amp;E-2017_S'!U29" display="'RBM&amp;E-2017_S'!U29"/>
    <hyperlink ref="H45" location="'RBM&amp;E-2017_S'!U28" display="'RBM&amp;E-2017_S'!U28"/>
    <hyperlink ref="H376" location="'RBM&amp;E-2017_S'!U27" display="'RBM&amp;E-2017_S'!U27"/>
    <hyperlink ref="H49" location="'RBM&amp;E-2017_S'!U28" display="'RBM&amp;E-2017_S'!U28"/>
    <hyperlink ref="H50" location="'RBM&amp;E-2017_S'!U33" display="'RBM&amp;E-2017_S'!U33"/>
    <hyperlink ref="H373" location="'RBM&amp;E-2017_S'!T34" display="'RBM&amp;E-2017_S'!T34"/>
    <hyperlink ref="H27" location="'RBM&amp;E-2017_S'!U32" display="'RBM&amp;E-2017_S'!U32"/>
    <hyperlink ref="H64" location="'RBM&amp;E-2017_S'!U30" display="'RBM&amp;E-2017_S'!U30"/>
    <hyperlink ref="H47" location="'RBM&amp;E-2017_S'!U31" display="'RBM&amp;E-2017_S'!U31"/>
    <hyperlink ref="H76" location="'RBM&amp;E-2017_S'!U35" display="'RBM&amp;E-2017_S'!U35"/>
    <hyperlink ref="H81" location="'RBM&amp;E-2017_S'!T35" display="'RBM&amp;E-2017_S'!T35"/>
    <hyperlink ref="H84" location="'RBM&amp;E-2017_S'!U35" display="'RBM&amp;E-2017_S'!U35"/>
    <hyperlink ref="H15" location="'GW&amp;SOILW_2012'!L20" display="'GW&amp;SOILW_2012'!L20"/>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C50"/>
  <sheetViews>
    <sheetView zoomScale="110" zoomScaleNormal="110" workbookViewId="0">
      <pane xSplit="2" ySplit="5" topLeftCell="C6" activePane="bottomRight" state="frozen"/>
      <selection activeCell="K27" sqref="K27"/>
      <selection pane="topRight" activeCell="K27" sqref="K27"/>
      <selection pane="bottomLeft" activeCell="K27" sqref="K27"/>
      <selection pane="bottomRight" activeCell="C19" sqref="C19"/>
    </sheetView>
  </sheetViews>
  <sheetFormatPr defaultRowHeight="12.75" x14ac:dyDescent="0.2"/>
  <cols>
    <col min="1" max="1" width="7.140625" style="1" customWidth="1"/>
    <col min="2" max="2" width="24.5703125" style="1" customWidth="1"/>
    <col min="3" max="3" width="10.28515625" style="1" bestFit="1" customWidth="1"/>
    <col min="4" max="4" width="9.28515625" style="1" bestFit="1" customWidth="1"/>
    <col min="5" max="5" width="9.85546875" style="1" bestFit="1" customWidth="1"/>
    <col min="6" max="6" width="11.140625" style="1" bestFit="1" customWidth="1"/>
    <col min="7" max="7" width="7.7109375" style="1" bestFit="1" customWidth="1"/>
    <col min="8" max="8" width="7.7109375" style="1" hidden="1" customWidth="1"/>
    <col min="9" max="9" width="8.140625" style="1" hidden="1" customWidth="1"/>
    <col min="10" max="10" width="7.42578125" style="1" hidden="1" customWidth="1"/>
    <col min="11" max="11" width="6.85546875" style="1" customWidth="1"/>
    <col min="12" max="12" width="6.85546875" style="1" hidden="1" customWidth="1"/>
    <col min="13" max="13" width="9.28515625" style="1" bestFit="1" customWidth="1"/>
    <col min="14" max="15" width="8.42578125" style="1" hidden="1" customWidth="1"/>
    <col min="16" max="16" width="8.7109375" style="1" hidden="1" customWidth="1"/>
    <col min="17" max="17" width="8.5703125" style="1" hidden="1" customWidth="1"/>
    <col min="18" max="18" width="7.42578125" style="1" bestFit="1" customWidth="1"/>
    <col min="19" max="19" width="6.5703125" style="1" bestFit="1" customWidth="1"/>
    <col min="20" max="20" width="6.85546875" style="1" hidden="1" customWidth="1"/>
    <col min="21" max="21" width="9.28515625" style="1" customWidth="1"/>
    <col min="22" max="22" width="15.140625" style="1" hidden="1" customWidth="1"/>
    <col min="23" max="23" width="8.5703125" style="1" bestFit="1" customWidth="1"/>
    <col min="24" max="24" width="8.7109375" style="1" bestFit="1" customWidth="1"/>
    <col min="25" max="25" width="11" style="1" customWidth="1"/>
    <col min="26" max="26" width="5.85546875" style="1" customWidth="1"/>
    <col min="27" max="27" width="8.5703125" style="1" customWidth="1"/>
    <col min="28" max="28" width="4.7109375" style="1" customWidth="1"/>
    <col min="29" max="16384" width="9.140625" style="1"/>
  </cols>
  <sheetData>
    <row r="1" spans="1:29" ht="12.75" customHeight="1" x14ac:dyDescent="0.2">
      <c r="B1" s="1497" t="s">
        <v>1678</v>
      </c>
      <c r="C1" s="1756" t="s">
        <v>1680</v>
      </c>
      <c r="D1" s="1756"/>
      <c r="E1" s="1756"/>
      <c r="F1" s="1756"/>
      <c r="G1" s="1756"/>
      <c r="H1" s="1756"/>
      <c r="I1" s="1756"/>
      <c r="J1" s="1756"/>
      <c r="K1" s="1756"/>
      <c r="L1" s="1756"/>
      <c r="M1" s="1756"/>
      <c r="N1" s="1756"/>
      <c r="O1" s="1756"/>
      <c r="P1" s="1756"/>
      <c r="Q1" s="1756"/>
      <c r="R1" s="1756"/>
      <c r="S1" s="1756"/>
      <c r="T1" s="1756"/>
      <c r="U1" s="1756"/>
      <c r="V1" s="1756"/>
      <c r="W1" s="1756"/>
      <c r="X1" s="1756"/>
      <c r="Y1" s="1756"/>
      <c r="Z1" s="1756"/>
      <c r="AA1" s="1756"/>
      <c r="AB1" s="1497"/>
    </row>
    <row r="2" spans="1:29" ht="12.75" customHeight="1" x14ac:dyDescent="0.2">
      <c r="A2" s="1498"/>
      <c r="B2" s="1499">
        <v>2013</v>
      </c>
      <c r="C2" s="1757" t="s">
        <v>577</v>
      </c>
      <c r="D2" s="1757"/>
      <c r="E2" s="1757"/>
      <c r="F2" s="1757"/>
      <c r="G2" s="1757"/>
      <c r="H2" s="1757"/>
      <c r="I2" s="1757"/>
      <c r="J2" s="1757"/>
      <c r="K2" s="1757"/>
      <c r="L2" s="1757"/>
      <c r="M2" s="1757"/>
      <c r="N2" s="1757"/>
      <c r="O2" s="1757"/>
      <c r="P2" s="1757"/>
      <c r="Q2" s="1757"/>
      <c r="R2" s="1757"/>
      <c r="S2" s="1757"/>
      <c r="T2" s="1757"/>
      <c r="U2" s="1757"/>
      <c r="V2" s="1757"/>
      <c r="W2" s="1757"/>
      <c r="X2" s="1757"/>
      <c r="Y2" s="1757"/>
      <c r="Z2" s="1757"/>
      <c r="AA2" s="1757"/>
      <c r="AB2" s="70"/>
    </row>
    <row r="3" spans="1:29" ht="12.75" customHeight="1" x14ac:dyDescent="0.2">
      <c r="A3" s="1752" t="s">
        <v>578</v>
      </c>
      <c r="B3" s="1753"/>
      <c r="C3" s="1758" t="s">
        <v>12</v>
      </c>
      <c r="D3" s="1759"/>
      <c r="E3" s="1759"/>
      <c r="F3" s="1759"/>
      <c r="G3" s="1759"/>
      <c r="H3" s="1759"/>
      <c r="I3" s="1759"/>
      <c r="J3" s="1759"/>
      <c r="K3" s="1759"/>
      <c r="L3" s="1759"/>
      <c r="M3" s="1759"/>
      <c r="N3" s="1759"/>
      <c r="O3" s="1759"/>
      <c r="P3" s="1759"/>
      <c r="Q3" s="1759"/>
      <c r="R3" s="1759"/>
      <c r="S3" s="1759"/>
      <c r="T3" s="1759"/>
      <c r="U3" s="1759"/>
      <c r="V3" s="306"/>
      <c r="W3" s="1760" t="s">
        <v>1276</v>
      </c>
      <c r="X3" s="99"/>
      <c r="Y3" s="1761" t="s">
        <v>2</v>
      </c>
      <c r="Z3" s="1761" t="s">
        <v>13</v>
      </c>
      <c r="AA3" s="1761" t="s">
        <v>14</v>
      </c>
      <c r="AB3" s="70"/>
    </row>
    <row r="4" spans="1:29" ht="50.25" x14ac:dyDescent="0.2">
      <c r="A4" s="1754"/>
      <c r="B4" s="1755"/>
      <c r="C4" s="71" t="s">
        <v>6</v>
      </c>
      <c r="D4" s="71" t="s">
        <v>7</v>
      </c>
      <c r="E4" s="71" t="s">
        <v>8</v>
      </c>
      <c r="F4" s="71" t="s">
        <v>9</v>
      </c>
      <c r="G4" s="71" t="s">
        <v>137</v>
      </c>
      <c r="H4" s="373" t="s">
        <v>615</v>
      </c>
      <c r="I4" s="373" t="s">
        <v>616</v>
      </c>
      <c r="J4" s="373" t="s">
        <v>617</v>
      </c>
      <c r="K4" s="71" t="s">
        <v>0</v>
      </c>
      <c r="L4" s="373" t="s">
        <v>618</v>
      </c>
      <c r="M4" s="71" t="s">
        <v>138</v>
      </c>
      <c r="N4" s="373" t="s">
        <v>619</v>
      </c>
      <c r="O4" s="373" t="s">
        <v>620</v>
      </c>
      <c r="P4" s="373" t="s">
        <v>621</v>
      </c>
      <c r="Q4" s="373" t="s">
        <v>622</v>
      </c>
      <c r="R4" s="71" t="s">
        <v>1</v>
      </c>
      <c r="S4" s="71" t="s">
        <v>10</v>
      </c>
      <c r="T4" s="374" t="s">
        <v>623</v>
      </c>
      <c r="U4" s="72" t="s">
        <v>139</v>
      </c>
      <c r="V4" s="374" t="s">
        <v>624</v>
      </c>
      <c r="W4" s="1760"/>
      <c r="X4" s="73" t="s">
        <v>642</v>
      </c>
      <c r="Y4" s="1761"/>
      <c r="Z4" s="1761"/>
      <c r="AA4" s="1761"/>
      <c r="AB4" s="74"/>
    </row>
    <row r="5" spans="1:29" ht="12.75" customHeight="1" x14ac:dyDescent="0.2">
      <c r="A5" s="750"/>
      <c r="B5" s="749" t="s">
        <v>1081</v>
      </c>
      <c r="C5" s="146" t="s">
        <v>15</v>
      </c>
      <c r="D5" s="146" t="s">
        <v>16</v>
      </c>
      <c r="E5" s="146" t="s">
        <v>17</v>
      </c>
      <c r="F5" s="147">
        <v>35</v>
      </c>
      <c r="G5" s="146" t="s">
        <v>18</v>
      </c>
      <c r="H5" s="146"/>
      <c r="I5" s="146"/>
      <c r="J5" s="146"/>
      <c r="K5" s="146" t="s">
        <v>19</v>
      </c>
      <c r="L5" s="146"/>
      <c r="M5" s="146" t="s">
        <v>20</v>
      </c>
      <c r="N5" s="146"/>
      <c r="O5" s="146"/>
      <c r="P5" s="146"/>
      <c r="Q5" s="146"/>
      <c r="R5" s="147">
        <v>85</v>
      </c>
      <c r="S5" s="146" t="s">
        <v>21</v>
      </c>
      <c r="T5" s="146"/>
      <c r="U5" s="146" t="s">
        <v>22</v>
      </c>
      <c r="V5" s="146"/>
      <c r="W5" s="165" t="s">
        <v>3</v>
      </c>
      <c r="X5" s="100">
        <v>98</v>
      </c>
      <c r="Y5" s="148">
        <v>99</v>
      </c>
      <c r="Z5" s="100"/>
      <c r="AA5" s="73"/>
      <c r="AB5" s="74"/>
    </row>
    <row r="6" spans="1:29" x14ac:dyDescent="0.2">
      <c r="A6" s="1762" t="s">
        <v>4</v>
      </c>
      <c r="B6" s="377" t="s">
        <v>140</v>
      </c>
      <c r="C6" s="170">
        <f>'PSUT_Data&amp;Method_2013'!H2</f>
        <v>13010018.946100427</v>
      </c>
      <c r="D6" s="174">
        <f>'PSUT_Data&amp;Method_2013'!H20</f>
        <v>22410.000272350058</v>
      </c>
      <c r="E6" s="174">
        <f>'PSUT_Data&amp;Method_2013'!H38</f>
        <v>23937.981051793297</v>
      </c>
      <c r="F6" s="174">
        <f>'PSUT_Data&amp;Method_2013'!H56</f>
        <v>345951.26144545968</v>
      </c>
      <c r="G6" s="174">
        <f>'PSUT_Data&amp;Method_2013'!H74</f>
        <v>53273.830348271033</v>
      </c>
      <c r="H6" s="174">
        <f>'PSUT_Data&amp;Method_2013'!H92</f>
        <v>0</v>
      </c>
      <c r="I6" s="174">
        <f>'PSUT_Data&amp;Method_2013'!H110</f>
        <v>0</v>
      </c>
      <c r="J6" s="174">
        <f>'PSUT_Data&amp;Method_2013'!H128</f>
        <v>0</v>
      </c>
      <c r="K6" s="174">
        <f>'PSUT_Data&amp;Method_2013'!H146</f>
        <v>0</v>
      </c>
      <c r="L6" s="174">
        <f>'PSUT_Data&amp;Method_2013'!H164</f>
        <v>0</v>
      </c>
      <c r="M6" s="174">
        <f>'PSUT_Data&amp;Method_2013'!H182</f>
        <v>0.06</v>
      </c>
      <c r="N6" s="174">
        <f>'PSUT_Data&amp;Method_2013'!H200</f>
        <v>0</v>
      </c>
      <c r="O6" s="174">
        <f>'PSUT_Data&amp;Method_2013'!H218</f>
        <v>0</v>
      </c>
      <c r="P6" s="174">
        <f>'PSUT_Data&amp;Method_2013'!H236</f>
        <v>0</v>
      </c>
      <c r="Q6" s="174">
        <f>'PSUT_Data&amp;Method_2013'!H254</f>
        <v>0</v>
      </c>
      <c r="R6" s="174">
        <f>'PSUT_Data&amp;Method_2013'!H272</f>
        <v>133.11539999999999</v>
      </c>
      <c r="S6" s="174">
        <f>'PSUT_Data&amp;Method_2013'!H290</f>
        <v>588.7795155737706</v>
      </c>
      <c r="T6" s="174">
        <f>'PSUT_Data&amp;Method_2013'!H308</f>
        <v>0</v>
      </c>
      <c r="U6" s="174">
        <f>'PSUT_Data&amp;Method_2013'!H326</f>
        <v>11.709600000000002</v>
      </c>
      <c r="V6" s="174">
        <f>'PSUT_Data&amp;Method_2013'!H344</f>
        <v>0</v>
      </c>
      <c r="W6" s="155">
        <f>SUM(C6:V6)</f>
        <v>13456325.683733875</v>
      </c>
      <c r="X6" s="174">
        <f>'PSUT_Data&amp;Method_2013'!H365</f>
        <v>40632.696503402331</v>
      </c>
      <c r="Y6" s="174">
        <f>'PSUT_Data&amp;Method_2013'!H383</f>
        <v>0</v>
      </c>
      <c r="Z6" s="160"/>
      <c r="AA6" s="158">
        <f>W6+X6+Y6</f>
        <v>13496958.380237278</v>
      </c>
      <c r="AB6" s="74"/>
    </row>
    <row r="7" spans="1:29" ht="12" customHeight="1" x14ac:dyDescent="0.2">
      <c r="A7" s="1763"/>
      <c r="B7" s="154" t="s">
        <v>23</v>
      </c>
      <c r="C7" s="167">
        <f>'PSUT_Data&amp;Method_2013'!H3</f>
        <v>13010018.946100427</v>
      </c>
      <c r="D7" s="171">
        <f>'PSUT_Data&amp;Method_2013'!H21</f>
        <v>22410.000272350058</v>
      </c>
      <c r="E7" s="171">
        <f>'PSUT_Data&amp;Method_2013'!H39</f>
        <v>23852.206051793295</v>
      </c>
      <c r="F7" s="171">
        <f>'PSUT_Data&amp;Method_2013'!H57</f>
        <v>345951.26144545968</v>
      </c>
      <c r="G7" s="171">
        <f>'PSUT_Data&amp;Method_2013'!H75</f>
        <v>3212.9128000000001</v>
      </c>
      <c r="H7" s="171">
        <f>'PSUT_Data&amp;Method_2013'!H93</f>
        <v>0</v>
      </c>
      <c r="I7" s="171">
        <f>'PSUT_Data&amp;Method_2013'!H111</f>
        <v>0</v>
      </c>
      <c r="J7" s="171">
        <f>'PSUT_Data&amp;Method_2013'!H129</f>
        <v>0</v>
      </c>
      <c r="K7" s="171">
        <f>'PSUT_Data&amp;Method_2013'!H147</f>
        <v>0</v>
      </c>
      <c r="L7" s="171">
        <f>'PSUT_Data&amp;Method_2013'!H165</f>
        <v>0</v>
      </c>
      <c r="M7" s="171">
        <f>'PSUT_Data&amp;Method_2013'!H183</f>
        <v>0.06</v>
      </c>
      <c r="N7" s="171">
        <f>'PSUT_Data&amp;Method_2013'!H201</f>
        <v>0</v>
      </c>
      <c r="O7" s="171">
        <f>'PSUT_Data&amp;Method_2013'!H219</f>
        <v>0</v>
      </c>
      <c r="P7" s="171">
        <f>'PSUT_Data&amp;Method_2013'!H237</f>
        <v>0</v>
      </c>
      <c r="Q7" s="171">
        <f>'PSUT_Data&amp;Method_2013'!H255</f>
        <v>0</v>
      </c>
      <c r="R7" s="171">
        <f>'PSUT_Data&amp;Method_2013'!H273</f>
        <v>133.11539999999999</v>
      </c>
      <c r="S7" s="171">
        <f>'PSUT_Data&amp;Method_2013'!H291</f>
        <v>588.7795155737706</v>
      </c>
      <c r="T7" s="171">
        <f>'PSUT_Data&amp;Method_2013'!H309</f>
        <v>0</v>
      </c>
      <c r="U7" s="171">
        <f>'PSUT_Data&amp;Method_2013'!H327</f>
        <v>11.709600000000002</v>
      </c>
      <c r="V7" s="171">
        <f>'PSUT_Data&amp;Method_2013'!H345</f>
        <v>0</v>
      </c>
      <c r="W7" s="142">
        <f t="shared" ref="W7:W23" si="0">SUM(C7:V7)</f>
        <v>13406178.991185602</v>
      </c>
      <c r="X7" s="171">
        <f>'PSUT_Data&amp;Method_2013'!H366</f>
        <v>40632.696503402331</v>
      </c>
      <c r="Y7" s="171">
        <f>'PSUT_Data&amp;Method_2013'!H384</f>
        <v>0</v>
      </c>
      <c r="Z7" s="76"/>
      <c r="AA7" s="143">
        <f t="shared" ref="AA7:AA23" si="1">W7+X7+Y7</f>
        <v>13446811.687689004</v>
      </c>
      <c r="AB7" s="74"/>
      <c r="AC7" s="75"/>
    </row>
    <row r="8" spans="1:29" ht="12" customHeight="1" x14ac:dyDescent="0.2">
      <c r="A8" s="1763"/>
      <c r="B8" s="150" t="s">
        <v>24</v>
      </c>
      <c r="C8" s="168">
        <f>'PSUT_Data&amp;Method_2013'!H4</f>
        <v>0</v>
      </c>
      <c r="D8" s="172">
        <f>'PSUT_Data&amp;Method_2013'!H22</f>
        <v>0</v>
      </c>
      <c r="E8" s="172">
        <f>'PSUT_Data&amp;Method_2013'!H40</f>
        <v>85.774999999999991</v>
      </c>
      <c r="F8" s="172">
        <f>'PSUT_Data&amp;Method_2013'!H58</f>
        <v>0</v>
      </c>
      <c r="G8" s="172">
        <f>'PSUT_Data&amp;Method_2013'!H76</f>
        <v>50060.917548271034</v>
      </c>
      <c r="H8" s="172">
        <f>'PSUT_Data&amp;Method_2013'!H94</f>
        <v>0</v>
      </c>
      <c r="I8" s="172">
        <f>'PSUT_Data&amp;Method_2013'!H112</f>
        <v>0</v>
      </c>
      <c r="J8" s="172">
        <f>'PSUT_Data&amp;Method_2013'!H130</f>
        <v>0</v>
      </c>
      <c r="K8" s="172">
        <f>'PSUT_Data&amp;Method_2013'!H148</f>
        <v>0</v>
      </c>
      <c r="L8" s="172">
        <f>'PSUT_Data&amp;Method_2013'!H166</f>
        <v>0</v>
      </c>
      <c r="M8" s="172">
        <f>'PSUT_Data&amp;Method_2013'!H184</f>
        <v>0</v>
      </c>
      <c r="N8" s="172">
        <f>'PSUT_Data&amp;Method_2013'!H202</f>
        <v>0</v>
      </c>
      <c r="O8" s="172">
        <f>'PSUT_Data&amp;Method_2013'!H220</f>
        <v>0</v>
      </c>
      <c r="P8" s="172">
        <f>'PSUT_Data&amp;Method_2013'!H238</f>
        <v>0</v>
      </c>
      <c r="Q8" s="172">
        <f>'PSUT_Data&amp;Method_2013'!H256</f>
        <v>0</v>
      </c>
      <c r="R8" s="172">
        <f>'PSUT_Data&amp;Method_2013'!H274</f>
        <v>0</v>
      </c>
      <c r="S8" s="172">
        <f>'PSUT_Data&amp;Method_2013'!H292</f>
        <v>0</v>
      </c>
      <c r="T8" s="172">
        <f>'PSUT_Data&amp;Method_2013'!H310</f>
        <v>0</v>
      </c>
      <c r="U8" s="172">
        <f>'PSUT_Data&amp;Method_2013'!H328</f>
        <v>0</v>
      </c>
      <c r="V8" s="172">
        <f>'PSUT_Data&amp;Method_2013'!H346</f>
        <v>0</v>
      </c>
      <c r="W8" s="149">
        <f t="shared" si="0"/>
        <v>50146.692548271036</v>
      </c>
      <c r="X8" s="172">
        <f>'PSUT_Data&amp;Method_2013'!H367</f>
        <v>0</v>
      </c>
      <c r="Y8" s="172">
        <f>'PSUT_Data&amp;Method_2013'!H385</f>
        <v>0</v>
      </c>
      <c r="Z8" s="76"/>
      <c r="AA8" s="143">
        <f t="shared" si="1"/>
        <v>50146.692548271036</v>
      </c>
      <c r="AB8" s="74"/>
      <c r="AC8" s="75"/>
    </row>
    <row r="9" spans="1:29" ht="12" customHeight="1" x14ac:dyDescent="0.2">
      <c r="A9" s="1763"/>
      <c r="B9" s="377" t="s">
        <v>141</v>
      </c>
      <c r="C9" s="170">
        <f>'PSUT_Data&amp;Method_2013'!H5</f>
        <v>13010018.946100427</v>
      </c>
      <c r="D9" s="174">
        <f>'PSUT_Data&amp;Method_2013'!H23</f>
        <v>22410.000272350058</v>
      </c>
      <c r="E9" s="174">
        <f>'PSUT_Data&amp;Method_2013'!H41</f>
        <v>23937.981051793297</v>
      </c>
      <c r="F9" s="174">
        <f>'PSUT_Data&amp;Method_2013'!H59</f>
        <v>345951.26144545968</v>
      </c>
      <c r="G9" s="174">
        <f>'PSUT_Data&amp;Method_2013'!H77</f>
        <v>53068.710693793837</v>
      </c>
      <c r="H9" s="174">
        <f>'PSUT_Data&amp;Method_2013'!H95</f>
        <v>0</v>
      </c>
      <c r="I9" s="174">
        <f>'PSUT_Data&amp;Method_2013'!H113</f>
        <v>0</v>
      </c>
      <c r="J9" s="174">
        <f>'PSUT_Data&amp;Method_2013'!H131</f>
        <v>0</v>
      </c>
      <c r="K9" s="174">
        <f>'PSUT_Data&amp;Method_2013'!H149</f>
        <v>0</v>
      </c>
      <c r="L9" s="174">
        <f>'PSUT_Data&amp;Method_2013'!H167</f>
        <v>0</v>
      </c>
      <c r="M9" s="174">
        <f>'PSUT_Data&amp;Method_2013'!H185</f>
        <v>0.06</v>
      </c>
      <c r="N9" s="174">
        <f>'PSUT_Data&amp;Method_2013'!H203</f>
        <v>0</v>
      </c>
      <c r="O9" s="174">
        <f>'PSUT_Data&amp;Method_2013'!H221</f>
        <v>0</v>
      </c>
      <c r="P9" s="174">
        <f>'PSUT_Data&amp;Method_2013'!H239</f>
        <v>0</v>
      </c>
      <c r="Q9" s="174">
        <f>'PSUT_Data&amp;Method_2013'!H257</f>
        <v>0</v>
      </c>
      <c r="R9" s="174">
        <f>'PSUT_Data&amp;Method_2013'!H275</f>
        <v>133.11539999999999</v>
      </c>
      <c r="S9" s="174">
        <f>'PSUT_Data&amp;Method_2013'!H293</f>
        <v>588.7795155737706</v>
      </c>
      <c r="T9" s="174">
        <f>'PSUT_Data&amp;Method_2013'!H311</f>
        <v>0</v>
      </c>
      <c r="U9" s="174">
        <f>'PSUT_Data&amp;Method_2013'!H329</f>
        <v>11.709600000000002</v>
      </c>
      <c r="V9" s="174">
        <f>'PSUT_Data&amp;Method_2013'!H347</f>
        <v>0</v>
      </c>
      <c r="W9" s="155">
        <f t="shared" si="0"/>
        <v>13456120.564079396</v>
      </c>
      <c r="X9" s="174">
        <f>'PSUT_Data&amp;Method_2013'!H368</f>
        <v>40632.696503402331</v>
      </c>
      <c r="Y9" s="174">
        <f>'PSUT_Data&amp;Method_2013'!H386</f>
        <v>0</v>
      </c>
      <c r="Z9" s="76"/>
      <c r="AA9" s="158">
        <f t="shared" si="1"/>
        <v>13496753.260582799</v>
      </c>
      <c r="AB9" s="74"/>
      <c r="AC9" s="75"/>
    </row>
    <row r="10" spans="1:29" ht="12" customHeight="1" x14ac:dyDescent="0.2">
      <c r="A10" s="1763"/>
      <c r="B10" s="378" t="s">
        <v>25</v>
      </c>
      <c r="C10" s="169">
        <f>'PSUT_Data&amp;Method_2013'!H6</f>
        <v>13009211.946100427</v>
      </c>
      <c r="D10" s="173">
        <f>'PSUT_Data&amp;Method_2013'!H24</f>
        <v>1050.2002723500577</v>
      </c>
      <c r="E10" s="173">
        <f>'PSUT_Data&amp;Method_2013'!H42</f>
        <v>23909.781051793296</v>
      </c>
      <c r="F10" s="173">
        <f>'PSUT_Data&amp;Method_2013'!H60</f>
        <v>345951.26144545968</v>
      </c>
      <c r="G10" s="173">
        <f>'PSUT_Data&amp;Method_2013'!H78</f>
        <v>53068.710693793837</v>
      </c>
      <c r="H10" s="173">
        <f>'PSUT_Data&amp;Method_2013'!H96</f>
        <v>0</v>
      </c>
      <c r="I10" s="173">
        <f>'PSUT_Data&amp;Method_2013'!H114</f>
        <v>0</v>
      </c>
      <c r="J10" s="173">
        <f>'PSUT_Data&amp;Method_2013'!H132</f>
        <v>0</v>
      </c>
      <c r="K10" s="173">
        <f>'PSUT_Data&amp;Method_2013'!H150</f>
        <v>0</v>
      </c>
      <c r="L10" s="173">
        <f>'PSUT_Data&amp;Method_2013'!H168</f>
        <v>0</v>
      </c>
      <c r="M10" s="173">
        <f>'PSUT_Data&amp;Method_2013'!H186</f>
        <v>0</v>
      </c>
      <c r="N10" s="173">
        <f>'PSUT_Data&amp;Method_2013'!H204</f>
        <v>0</v>
      </c>
      <c r="O10" s="173">
        <f>'PSUT_Data&amp;Method_2013'!H222</f>
        <v>0</v>
      </c>
      <c r="P10" s="173">
        <f>'PSUT_Data&amp;Method_2013'!H240</f>
        <v>0</v>
      </c>
      <c r="Q10" s="173">
        <f>'PSUT_Data&amp;Method_2013'!H258</f>
        <v>0</v>
      </c>
      <c r="R10" s="173">
        <f>'PSUT_Data&amp;Method_2013'!H276</f>
        <v>133.11539999999999</v>
      </c>
      <c r="S10" s="173">
        <f>'PSUT_Data&amp;Method_2013'!H294</f>
        <v>90.790815573770487</v>
      </c>
      <c r="T10" s="173">
        <f>'PSUT_Data&amp;Method_2013'!H312</f>
        <v>0</v>
      </c>
      <c r="U10" s="173">
        <f>'PSUT_Data&amp;Method_2013'!H330</f>
        <v>2.0736000000000003</v>
      </c>
      <c r="V10" s="173">
        <f>'PSUT_Data&amp;Method_2013'!H348</f>
        <v>0</v>
      </c>
      <c r="W10" s="82">
        <f t="shared" si="0"/>
        <v>13433417.879379395</v>
      </c>
      <c r="X10" s="173">
        <f>'PSUT_Data&amp;Method_2013'!H369</f>
        <v>40082.696503402331</v>
      </c>
      <c r="Y10" s="173">
        <f>'PSUT_Data&amp;Method_2013'!H387</f>
        <v>0</v>
      </c>
      <c r="Z10" s="76"/>
      <c r="AA10" s="158">
        <f t="shared" si="1"/>
        <v>13473500.575882798</v>
      </c>
      <c r="AB10" s="74"/>
      <c r="AC10" s="75"/>
    </row>
    <row r="11" spans="1:29" ht="12" customHeight="1" x14ac:dyDescent="0.2">
      <c r="A11" s="1763"/>
      <c r="B11" s="379" t="s">
        <v>26</v>
      </c>
      <c r="C11" s="170">
        <f>'PSUT_Data&amp;Method_2013'!H7</f>
        <v>195157.23901430785</v>
      </c>
      <c r="D11" s="174">
        <f>'PSUT_Data&amp;Method_2013'!H25</f>
        <v>986.41214235005782</v>
      </c>
      <c r="E11" s="174">
        <f>'PSUT_Data&amp;Method_2013'!H43</f>
        <v>15026.920891167292</v>
      </c>
      <c r="F11" s="174">
        <f>'PSUT_Data&amp;Method_2013'!H61</f>
        <v>345951.26144545968</v>
      </c>
      <c r="G11" s="174">
        <f>'PSUT_Data&amp;Method_2013'!H79</f>
        <v>41023.930895441081</v>
      </c>
      <c r="H11" s="174">
        <f>'PSUT_Data&amp;Method_2013'!H97</f>
        <v>0</v>
      </c>
      <c r="I11" s="174">
        <f>'PSUT_Data&amp;Method_2013'!H115</f>
        <v>0</v>
      </c>
      <c r="J11" s="174">
        <f>'PSUT_Data&amp;Method_2013'!H133</f>
        <v>0</v>
      </c>
      <c r="K11" s="174">
        <f>'PSUT_Data&amp;Method_2013'!H151</f>
        <v>0</v>
      </c>
      <c r="L11" s="174">
        <f>'PSUT_Data&amp;Method_2013'!H169</f>
        <v>0</v>
      </c>
      <c r="M11" s="174">
        <f>'PSUT_Data&amp;Method_2013'!H187</f>
        <v>0</v>
      </c>
      <c r="N11" s="174">
        <f>'PSUT_Data&amp;Method_2013'!H205</f>
        <v>0</v>
      </c>
      <c r="O11" s="174">
        <f>'PSUT_Data&amp;Method_2013'!H223</f>
        <v>0</v>
      </c>
      <c r="P11" s="174">
        <f>'PSUT_Data&amp;Method_2013'!H241</f>
        <v>0</v>
      </c>
      <c r="Q11" s="174">
        <f>'PSUT_Data&amp;Method_2013'!H259</f>
        <v>0</v>
      </c>
      <c r="R11" s="174">
        <f>'PSUT_Data&amp;Method_2013'!H277</f>
        <v>0</v>
      </c>
      <c r="S11" s="174">
        <f>'PSUT_Data&amp;Method_2013'!H295</f>
        <v>0</v>
      </c>
      <c r="T11" s="174">
        <f>'PSUT_Data&amp;Method_2013'!H313</f>
        <v>0</v>
      </c>
      <c r="U11" s="174">
        <f>'PSUT_Data&amp;Method_2013'!H331</f>
        <v>2.0736000000000003</v>
      </c>
      <c r="V11" s="174">
        <f>'PSUT_Data&amp;Method_2013'!H349</f>
        <v>0</v>
      </c>
      <c r="W11" s="138">
        <f t="shared" si="0"/>
        <v>598147.83798872598</v>
      </c>
      <c r="X11" s="174">
        <f>'PSUT_Data&amp;Method_2013'!H370</f>
        <v>11301.441449073298</v>
      </c>
      <c r="Y11" s="174">
        <f>'PSUT_Data&amp;Method_2013'!H388</f>
        <v>0</v>
      </c>
      <c r="Z11" s="76"/>
      <c r="AA11" s="143">
        <f t="shared" si="1"/>
        <v>609449.27943779924</v>
      </c>
      <c r="AB11" s="74"/>
      <c r="AC11" s="75"/>
    </row>
    <row r="12" spans="1:29" ht="12" customHeight="1" x14ac:dyDescent="0.2">
      <c r="A12" s="1763"/>
      <c r="B12" s="152" t="s">
        <v>27</v>
      </c>
      <c r="C12" s="167">
        <f>'PSUT_Data&amp;Method_2013'!H8</f>
        <v>13795.641425546113</v>
      </c>
      <c r="D12" s="171">
        <f>'PSUT_Data&amp;Method_2013'!H26</f>
        <v>0</v>
      </c>
      <c r="E12" s="171">
        <f>'PSUT_Data&amp;Method_2013'!H44</f>
        <v>0</v>
      </c>
      <c r="F12" s="171">
        <f>'PSUT_Data&amp;Method_2013'!H62</f>
        <v>0</v>
      </c>
      <c r="G12" s="171">
        <f>'PSUT_Data&amp;Method_2013'!H80</f>
        <v>0</v>
      </c>
      <c r="H12" s="171">
        <f>'PSUT_Data&amp;Method_2013'!H98</f>
        <v>0</v>
      </c>
      <c r="I12" s="171">
        <f>'PSUT_Data&amp;Method_2013'!H116</f>
        <v>0</v>
      </c>
      <c r="J12" s="171">
        <f>'PSUT_Data&amp;Method_2013'!H134</f>
        <v>0</v>
      </c>
      <c r="K12" s="171">
        <f>'PSUT_Data&amp;Method_2013'!H152</f>
        <v>0</v>
      </c>
      <c r="L12" s="171">
        <f>'PSUT_Data&amp;Method_2013'!H170</f>
        <v>0</v>
      </c>
      <c r="M12" s="171">
        <f>'PSUT_Data&amp;Method_2013'!H188</f>
        <v>0</v>
      </c>
      <c r="N12" s="171">
        <f>'PSUT_Data&amp;Method_2013'!H206</f>
        <v>0</v>
      </c>
      <c r="O12" s="171">
        <f>'PSUT_Data&amp;Method_2013'!H224</f>
        <v>0</v>
      </c>
      <c r="P12" s="171">
        <f>'PSUT_Data&amp;Method_2013'!H242</f>
        <v>0</v>
      </c>
      <c r="Q12" s="171">
        <f>'PSUT_Data&amp;Method_2013'!H260</f>
        <v>0</v>
      </c>
      <c r="R12" s="171">
        <f>'PSUT_Data&amp;Method_2013'!H278</f>
        <v>0</v>
      </c>
      <c r="S12" s="171">
        <f>'PSUT_Data&amp;Method_2013'!H296</f>
        <v>0</v>
      </c>
      <c r="T12" s="171">
        <f>'PSUT_Data&amp;Method_2013'!H314</f>
        <v>0</v>
      </c>
      <c r="U12" s="171">
        <f>'PSUT_Data&amp;Method_2013'!H332</f>
        <v>0</v>
      </c>
      <c r="V12" s="171">
        <f>'PSUT_Data&amp;Method_2013'!H350</f>
        <v>0</v>
      </c>
      <c r="W12" s="142">
        <f t="shared" si="0"/>
        <v>13795.641425546113</v>
      </c>
      <c r="X12" s="171">
        <f>'PSUT_Data&amp;Method_2013'!H371</f>
        <v>5040</v>
      </c>
      <c r="Y12" s="171">
        <f>'PSUT_Data&amp;Method_2013'!H389</f>
        <v>0</v>
      </c>
      <c r="Z12" s="76"/>
      <c r="AA12" s="143">
        <f t="shared" si="1"/>
        <v>18835.641425546113</v>
      </c>
      <c r="AB12" s="74"/>
      <c r="AC12" s="75"/>
    </row>
    <row r="13" spans="1:29" ht="12" customHeight="1" x14ac:dyDescent="0.2">
      <c r="A13" s="1763"/>
      <c r="B13" s="144" t="s">
        <v>28</v>
      </c>
      <c r="C13" s="169">
        <f>'PSUT_Data&amp;Method_2013'!H9</f>
        <v>114306.74324023922</v>
      </c>
      <c r="D13" s="173">
        <f>'PSUT_Data&amp;Method_2013'!H27</f>
        <v>986.41214235005782</v>
      </c>
      <c r="E13" s="173">
        <f>'PSUT_Data&amp;Method_2013'!H45</f>
        <v>11597.228992877795</v>
      </c>
      <c r="F13" s="173">
        <f>'PSUT_Data&amp;Method_2013'!H63</f>
        <v>148870.66965194378</v>
      </c>
      <c r="G13" s="173">
        <f>'PSUT_Data&amp;Method_2013'!H81</f>
        <v>41023.930895441081</v>
      </c>
      <c r="H13" s="173">
        <f>'PSUT_Data&amp;Method_2013'!H99</f>
        <v>0</v>
      </c>
      <c r="I13" s="173">
        <f>'PSUT_Data&amp;Method_2013'!H117</f>
        <v>0</v>
      </c>
      <c r="J13" s="173">
        <f>'PSUT_Data&amp;Method_2013'!H135</f>
        <v>0</v>
      </c>
      <c r="K13" s="173">
        <f>'PSUT_Data&amp;Method_2013'!H153</f>
        <v>0</v>
      </c>
      <c r="L13" s="173">
        <f>'PSUT_Data&amp;Method_2013'!H171</f>
        <v>0</v>
      </c>
      <c r="M13" s="173">
        <f>'PSUT_Data&amp;Method_2013'!H189</f>
        <v>0</v>
      </c>
      <c r="N13" s="173">
        <f>'PSUT_Data&amp;Method_2013'!H207</f>
        <v>0</v>
      </c>
      <c r="O13" s="173">
        <f>'PSUT_Data&amp;Method_2013'!H225</f>
        <v>0</v>
      </c>
      <c r="P13" s="173">
        <f>'PSUT_Data&amp;Method_2013'!H243</f>
        <v>0</v>
      </c>
      <c r="Q13" s="173">
        <f>'PSUT_Data&amp;Method_2013'!H261</f>
        <v>0</v>
      </c>
      <c r="R13" s="173">
        <f>'PSUT_Data&amp;Method_2013'!H279</f>
        <v>0</v>
      </c>
      <c r="S13" s="173">
        <f>'PSUT_Data&amp;Method_2013'!H297</f>
        <v>0</v>
      </c>
      <c r="T13" s="173">
        <f>'PSUT_Data&amp;Method_2013'!H315</f>
        <v>0</v>
      </c>
      <c r="U13" s="173">
        <f>'PSUT_Data&amp;Method_2013'!H333</f>
        <v>2.0736000000000003</v>
      </c>
      <c r="V13" s="173">
        <f>'PSUT_Data&amp;Method_2013'!H351</f>
        <v>0</v>
      </c>
      <c r="W13" s="140">
        <f t="shared" si="0"/>
        <v>316787.05852285196</v>
      </c>
      <c r="X13" s="173">
        <f>'PSUT_Data&amp;Method_2013'!H372</f>
        <v>5116</v>
      </c>
      <c r="Y13" s="173">
        <f>'PSUT_Data&amp;Method_2013'!H390</f>
        <v>0</v>
      </c>
      <c r="Z13" s="76"/>
      <c r="AA13" s="143">
        <f t="shared" si="1"/>
        <v>321903.05852285196</v>
      </c>
      <c r="AB13" s="74"/>
      <c r="AC13" s="75"/>
    </row>
    <row r="14" spans="1:29" ht="12" customHeight="1" x14ac:dyDescent="0.2">
      <c r="A14" s="1763"/>
      <c r="B14" s="144" t="s">
        <v>29</v>
      </c>
      <c r="C14" s="169">
        <f>'PSUT_Data&amp;Method_2013'!H10</f>
        <v>47346.795169170924</v>
      </c>
      <c r="D14" s="173">
        <f>'PSUT_Data&amp;Method_2013'!H28</f>
        <v>0</v>
      </c>
      <c r="E14" s="173">
        <f>'PSUT_Data&amp;Method_2013'!H46</f>
        <v>0</v>
      </c>
      <c r="F14" s="173">
        <f>'PSUT_Data&amp;Method_2013'!H64</f>
        <v>197080.59179351589</v>
      </c>
      <c r="G14" s="173">
        <f>'PSUT_Data&amp;Method_2013'!H82</f>
        <v>0</v>
      </c>
      <c r="H14" s="173">
        <f>'PSUT_Data&amp;Method_2013'!H100</f>
        <v>0</v>
      </c>
      <c r="I14" s="173">
        <f>'PSUT_Data&amp;Method_2013'!H118</f>
        <v>0</v>
      </c>
      <c r="J14" s="173">
        <f>'PSUT_Data&amp;Method_2013'!H136</f>
        <v>0</v>
      </c>
      <c r="K14" s="173">
        <f>'PSUT_Data&amp;Method_2013'!H154</f>
        <v>0</v>
      </c>
      <c r="L14" s="173">
        <f>'PSUT_Data&amp;Method_2013'!H172</f>
        <v>0</v>
      </c>
      <c r="M14" s="173">
        <f>'PSUT_Data&amp;Method_2013'!H190</f>
        <v>0</v>
      </c>
      <c r="N14" s="173">
        <f>'PSUT_Data&amp;Method_2013'!H208</f>
        <v>0</v>
      </c>
      <c r="O14" s="173">
        <f>'PSUT_Data&amp;Method_2013'!H226</f>
        <v>0</v>
      </c>
      <c r="P14" s="173">
        <f>'PSUT_Data&amp;Method_2013'!H244</f>
        <v>0</v>
      </c>
      <c r="Q14" s="173">
        <f>'PSUT_Data&amp;Method_2013'!H262</f>
        <v>0</v>
      </c>
      <c r="R14" s="173">
        <f>'PSUT_Data&amp;Method_2013'!H280</f>
        <v>0</v>
      </c>
      <c r="S14" s="173">
        <f>'PSUT_Data&amp;Method_2013'!H298</f>
        <v>0</v>
      </c>
      <c r="T14" s="173">
        <f>'PSUT_Data&amp;Method_2013'!H316</f>
        <v>0</v>
      </c>
      <c r="U14" s="173">
        <f>'PSUT_Data&amp;Method_2013'!H334</f>
        <v>0</v>
      </c>
      <c r="V14" s="173">
        <f>'PSUT_Data&amp;Method_2013'!H352</f>
        <v>0</v>
      </c>
      <c r="W14" s="140">
        <f t="shared" si="0"/>
        <v>244427.38696268681</v>
      </c>
      <c r="X14" s="173">
        <f>'PSUT_Data&amp;Method_2013'!H373</f>
        <v>11.441449073297617</v>
      </c>
      <c r="Y14" s="173">
        <f>'PSUT_Data&amp;Method_2013'!H391</f>
        <v>0</v>
      </c>
      <c r="Z14" s="76"/>
      <c r="AA14" s="143">
        <f t="shared" si="1"/>
        <v>244438.8284117601</v>
      </c>
      <c r="AB14" s="74"/>
      <c r="AC14" s="75"/>
    </row>
    <row r="15" spans="1:29" ht="24" customHeight="1" x14ac:dyDescent="0.2">
      <c r="A15" s="1763"/>
      <c r="B15" s="145" t="s">
        <v>30</v>
      </c>
      <c r="C15" s="168">
        <f>'PSUT_Data&amp;Method_2013'!H11</f>
        <v>19708.059179351592</v>
      </c>
      <c r="D15" s="172">
        <f>'PSUT_Data&amp;Method_2013'!H29</f>
        <v>0</v>
      </c>
      <c r="E15" s="172">
        <f>'PSUT_Data&amp;Method_2013'!H47</f>
        <v>3429.6918982894967</v>
      </c>
      <c r="F15" s="172">
        <f>'PSUT_Data&amp;Method_2013'!H65</f>
        <v>0</v>
      </c>
      <c r="G15" s="172">
        <f>'PSUT_Data&amp;Method_2013'!H83</f>
        <v>0</v>
      </c>
      <c r="H15" s="172">
        <f>'PSUT_Data&amp;Method_2013'!H101</f>
        <v>0</v>
      </c>
      <c r="I15" s="172">
        <f>'PSUT_Data&amp;Method_2013'!H119</f>
        <v>0</v>
      </c>
      <c r="J15" s="172">
        <f>'PSUT_Data&amp;Method_2013'!H137</f>
        <v>0</v>
      </c>
      <c r="K15" s="172">
        <f>'PSUT_Data&amp;Method_2013'!H155</f>
        <v>0</v>
      </c>
      <c r="L15" s="172">
        <f>'PSUT_Data&amp;Method_2013'!H173</f>
        <v>0</v>
      </c>
      <c r="M15" s="172">
        <f>'PSUT_Data&amp;Method_2013'!H191</f>
        <v>0</v>
      </c>
      <c r="N15" s="172">
        <f>'PSUT_Data&amp;Method_2013'!H209</f>
        <v>0</v>
      </c>
      <c r="O15" s="172">
        <f>'PSUT_Data&amp;Method_2013'!H227</f>
        <v>0</v>
      </c>
      <c r="P15" s="172">
        <f>'PSUT_Data&amp;Method_2013'!H245</f>
        <v>0</v>
      </c>
      <c r="Q15" s="172">
        <f>'PSUT_Data&amp;Method_2013'!H263</f>
        <v>0</v>
      </c>
      <c r="R15" s="172">
        <f>'PSUT_Data&amp;Method_2013'!H281</f>
        <v>0</v>
      </c>
      <c r="S15" s="172">
        <f>'PSUT_Data&amp;Method_2013'!H299</f>
        <v>0</v>
      </c>
      <c r="T15" s="172">
        <f>'PSUT_Data&amp;Method_2013'!H317</f>
        <v>0</v>
      </c>
      <c r="U15" s="172">
        <f>'PSUT_Data&amp;Method_2013'!H335</f>
        <v>0</v>
      </c>
      <c r="V15" s="172">
        <f>'PSUT_Data&amp;Method_2013'!H353</f>
        <v>0</v>
      </c>
      <c r="W15" s="149">
        <f t="shared" si="0"/>
        <v>23137.751077641089</v>
      </c>
      <c r="X15" s="172">
        <f>'PSUT_Data&amp;Method_2013'!H374</f>
        <v>1134</v>
      </c>
      <c r="Y15" s="172">
        <f>'PSUT_Data&amp;Method_2013'!H392</f>
        <v>0</v>
      </c>
      <c r="Z15" s="76"/>
      <c r="AA15" s="143">
        <f t="shared" si="1"/>
        <v>24271.751077641089</v>
      </c>
      <c r="AB15" s="74"/>
      <c r="AC15" s="75"/>
    </row>
    <row r="16" spans="1:29" ht="12" customHeight="1" x14ac:dyDescent="0.2">
      <c r="A16" s="1763"/>
      <c r="B16" s="379" t="s">
        <v>31</v>
      </c>
      <c r="C16" s="170">
        <f>'PSUT_Data&amp;Method_2013'!H12</f>
        <v>13877.667157826309</v>
      </c>
      <c r="D16" s="174">
        <f>'PSUT_Data&amp;Method_2013'!H30</f>
        <v>63.788130000000002</v>
      </c>
      <c r="E16" s="174">
        <f>'PSUT_Data&amp;Method_2013'!H48</f>
        <v>8882.8601606260054</v>
      </c>
      <c r="F16" s="174">
        <f>'PSUT_Data&amp;Method_2013'!H66</f>
        <v>0</v>
      </c>
      <c r="G16" s="174">
        <f>'PSUT_Data&amp;Method_2013'!H84</f>
        <v>12044.779798352758</v>
      </c>
      <c r="H16" s="174">
        <f>'PSUT_Data&amp;Method_2013'!H102</f>
        <v>0</v>
      </c>
      <c r="I16" s="174">
        <f>'PSUT_Data&amp;Method_2013'!H120</f>
        <v>0</v>
      </c>
      <c r="J16" s="174">
        <f>'PSUT_Data&amp;Method_2013'!H138</f>
        <v>0</v>
      </c>
      <c r="K16" s="174">
        <f>'PSUT_Data&amp;Method_2013'!H156</f>
        <v>0</v>
      </c>
      <c r="L16" s="174">
        <f>'PSUT_Data&amp;Method_2013'!H174</f>
        <v>0</v>
      </c>
      <c r="M16" s="174">
        <f>'PSUT_Data&amp;Method_2013'!H192</f>
        <v>0</v>
      </c>
      <c r="N16" s="174">
        <f>'PSUT_Data&amp;Method_2013'!H210</f>
        <v>0</v>
      </c>
      <c r="O16" s="174">
        <f>'PSUT_Data&amp;Method_2013'!H228</f>
        <v>0</v>
      </c>
      <c r="P16" s="174">
        <f>'PSUT_Data&amp;Method_2013'!H246</f>
        <v>0</v>
      </c>
      <c r="Q16" s="174">
        <f>'PSUT_Data&amp;Method_2013'!H264</f>
        <v>0</v>
      </c>
      <c r="R16" s="174">
        <f>'PSUT_Data&amp;Method_2013'!H282</f>
        <v>133.11539999999999</v>
      </c>
      <c r="S16" s="174">
        <f>'PSUT_Data&amp;Method_2013'!H300</f>
        <v>90.790815573770487</v>
      </c>
      <c r="T16" s="174">
        <f>'PSUT_Data&amp;Method_2013'!H318</f>
        <v>0</v>
      </c>
      <c r="U16" s="174">
        <f>'PSUT_Data&amp;Method_2013'!H336</f>
        <v>0</v>
      </c>
      <c r="V16" s="174">
        <f>'PSUT_Data&amp;Method_2013'!H354</f>
        <v>0</v>
      </c>
      <c r="W16" s="138">
        <f t="shared" si="0"/>
        <v>35093.001462378845</v>
      </c>
      <c r="X16" s="174">
        <f>'PSUT_Data&amp;Method_2013'!H375</f>
        <v>28781.255054329034</v>
      </c>
      <c r="Y16" s="383">
        <f>'PSUT_Data&amp;Method_2013'!H393</f>
        <v>0</v>
      </c>
      <c r="Z16" s="76"/>
      <c r="AA16" s="143">
        <f t="shared" si="1"/>
        <v>63874.256516707879</v>
      </c>
      <c r="AB16" s="74"/>
      <c r="AC16" s="75"/>
    </row>
    <row r="17" spans="1:29" ht="12" customHeight="1" x14ac:dyDescent="0.2">
      <c r="A17" s="1763"/>
      <c r="B17" s="144" t="s">
        <v>461</v>
      </c>
      <c r="C17" s="382">
        <f>'PSUT_Data&amp;Method_2013'!H13</f>
        <v>4243.3496924999999</v>
      </c>
      <c r="D17" s="173">
        <f>'PSUT_Data&amp;Method_2013'!H31</f>
        <v>0</v>
      </c>
      <c r="E17" s="173">
        <f>'PSUT_Data&amp;Method_2013'!H49</f>
        <v>3314.2872253507335</v>
      </c>
      <c r="F17" s="173">
        <f>'PSUT_Data&amp;Method_2013'!H67</f>
        <v>0</v>
      </c>
      <c r="G17" s="173">
        <f>'PSUT_Data&amp;Method_2013'!H85</f>
        <v>0</v>
      </c>
      <c r="H17" s="1638">
        <f>'PSUT_Data&amp;Method_2013'!H103</f>
        <v>0</v>
      </c>
      <c r="I17" s="1638">
        <f>'PSUT_Data&amp;Method_2013'!H121</f>
        <v>0</v>
      </c>
      <c r="J17" s="1638">
        <f>'PSUT_Data&amp;Method_2013'!H139</f>
        <v>0</v>
      </c>
      <c r="K17" s="173">
        <f>'PSUT_Data&amp;Method_2013'!H157</f>
        <v>0</v>
      </c>
      <c r="L17" s="1638">
        <f>'PSUT_Data&amp;Method_2013'!H175</f>
        <v>0</v>
      </c>
      <c r="M17" s="173">
        <f>'PSUT_Data&amp;Method_2013'!H193</f>
        <v>0</v>
      </c>
      <c r="N17" s="1638">
        <f>'PSUT_Data&amp;Method_2013'!H211</f>
        <v>0</v>
      </c>
      <c r="O17" s="1638">
        <f>'PSUT_Data&amp;Method_2013'!H229</f>
        <v>0</v>
      </c>
      <c r="P17" s="1638">
        <f>'PSUT_Data&amp;Method_2013'!H247</f>
        <v>0</v>
      </c>
      <c r="Q17" s="1638">
        <f>'PSUT_Data&amp;Method_2013'!H265</f>
        <v>0</v>
      </c>
      <c r="R17" s="173">
        <f>'PSUT_Data&amp;Method_2013'!H283</f>
        <v>126.45962999999999</v>
      </c>
      <c r="S17" s="173">
        <f>'PSUT_Data&amp;Method_2013'!H301</f>
        <v>18.1581631147541</v>
      </c>
      <c r="T17" s="173">
        <f>'PSUT_Data&amp;Method_2013'!H319</f>
        <v>0</v>
      </c>
      <c r="U17" s="173">
        <f>'PSUT_Data&amp;Method_2013'!H337</f>
        <v>0</v>
      </c>
      <c r="V17" s="173">
        <f>'PSUT_Data&amp;Method_2013'!H355</f>
        <v>0</v>
      </c>
      <c r="W17" s="140">
        <f t="shared" si="0"/>
        <v>7702.2547109654879</v>
      </c>
      <c r="X17" s="173">
        <f>'PSUT_Data&amp;Method_2013'!H376</f>
        <v>3732.0296444806318</v>
      </c>
      <c r="Y17" s="173">
        <f>'PSUT_Data&amp;Method_2013'!H394</f>
        <v>0</v>
      </c>
      <c r="Z17" s="76"/>
      <c r="AA17" s="143"/>
      <c r="AB17" s="74"/>
      <c r="AC17" s="75"/>
    </row>
    <row r="18" spans="1:29" ht="12" customHeight="1" x14ac:dyDescent="0.2">
      <c r="A18" s="1763"/>
      <c r="B18" s="144" t="s">
        <v>462</v>
      </c>
      <c r="C18" s="382">
        <f>'PSUT_Data&amp;Method_2013'!H14</f>
        <v>9634.3174653263086</v>
      </c>
      <c r="D18" s="173">
        <f>'PSUT_Data&amp;Method_2013'!H32</f>
        <v>63.788130000000002</v>
      </c>
      <c r="E18" s="173">
        <f>'PSUT_Data&amp;Method_2013'!H50</f>
        <v>5568.5729352752714</v>
      </c>
      <c r="F18" s="173">
        <f>'PSUT_Data&amp;Method_2013'!H68</f>
        <v>0</v>
      </c>
      <c r="G18" s="173">
        <f>'PSUT_Data&amp;Method_2013'!H86</f>
        <v>12044.779798352758</v>
      </c>
      <c r="H18" s="1638">
        <f>'PSUT_Data&amp;Method_2013'!H104</f>
        <v>0</v>
      </c>
      <c r="I18" s="1638">
        <f>'PSUT_Data&amp;Method_2013'!H122</f>
        <v>0</v>
      </c>
      <c r="J18" s="1638">
        <f>'PSUT_Data&amp;Method_2013'!H140</f>
        <v>0</v>
      </c>
      <c r="K18" s="173">
        <f>'PSUT_Data&amp;Method_2013'!H158</f>
        <v>0</v>
      </c>
      <c r="L18" s="1638">
        <f>'PSUT_Data&amp;Method_2013'!H176</f>
        <v>0</v>
      </c>
      <c r="M18" s="173">
        <f>'PSUT_Data&amp;Method_2013'!H194</f>
        <v>0</v>
      </c>
      <c r="N18" s="1638">
        <f>'PSUT_Data&amp;Method_2013'!H212</f>
        <v>0</v>
      </c>
      <c r="O18" s="1638">
        <f>'PSUT_Data&amp;Method_2013'!H230</f>
        <v>0</v>
      </c>
      <c r="P18" s="1638">
        <f>'PSUT_Data&amp;Method_2013'!H248</f>
        <v>0</v>
      </c>
      <c r="Q18" s="1638">
        <f>'PSUT_Data&amp;Method_2013'!H266</f>
        <v>0</v>
      </c>
      <c r="R18" s="173">
        <f>'PSUT_Data&amp;Method_2013'!H284</f>
        <v>6.6557700000000004</v>
      </c>
      <c r="S18" s="173">
        <f>'PSUT_Data&amp;Method_2013'!H302</f>
        <v>72.632652459016398</v>
      </c>
      <c r="T18" s="173">
        <f>'PSUT_Data&amp;Method_2013'!H320</f>
        <v>0</v>
      </c>
      <c r="U18" s="173">
        <f>'PSUT_Data&amp;Method_2013'!H338</f>
        <v>0</v>
      </c>
      <c r="V18" s="173">
        <f>'PSUT_Data&amp;Method_2013'!H356</f>
        <v>0</v>
      </c>
      <c r="W18" s="140">
        <f t="shared" si="0"/>
        <v>27390.746751413353</v>
      </c>
      <c r="X18" s="173">
        <f>'PSUT_Data&amp;Method_2013'!H377</f>
        <v>25049.225409848405</v>
      </c>
      <c r="Y18" s="173">
        <f>'PSUT_Data&amp;Method_2013'!H395</f>
        <v>0</v>
      </c>
      <c r="Z18" s="76"/>
      <c r="AA18" s="143"/>
      <c r="AB18" s="74"/>
      <c r="AC18" s="75"/>
    </row>
    <row r="19" spans="1:29" ht="12" customHeight="1" x14ac:dyDescent="0.2">
      <c r="A19" s="1763"/>
      <c r="B19" s="156" t="s">
        <v>32</v>
      </c>
      <c r="C19" s="170">
        <f>'PSUT_Data&amp;Method_2013'!H15</f>
        <v>12800177.039928293</v>
      </c>
      <c r="D19" s="174">
        <f>'PSUT_Data&amp;Method_2013'!H33</f>
        <v>0</v>
      </c>
      <c r="E19" s="174">
        <f>'PSUT_Data&amp;Method_2013'!H51</f>
        <v>0</v>
      </c>
      <c r="F19" s="174">
        <f>'PSUT_Data&amp;Method_2013'!H69</f>
        <v>0</v>
      </c>
      <c r="G19" s="174">
        <f>'PSUT_Data&amp;Method_2013'!H87</f>
        <v>0</v>
      </c>
      <c r="H19" s="174">
        <f>'PSUT_Data&amp;Method_2013'!H105</f>
        <v>0</v>
      </c>
      <c r="I19" s="174">
        <f>'PSUT_Data&amp;Method_2013'!H123</f>
        <v>0</v>
      </c>
      <c r="J19" s="174">
        <f>'PSUT_Data&amp;Method_2013'!H141</f>
        <v>0</v>
      </c>
      <c r="K19" s="174">
        <f>'PSUT_Data&amp;Method_2013'!H159</f>
        <v>0</v>
      </c>
      <c r="L19" s="174">
        <f>'PSUT_Data&amp;Method_2013'!H177</f>
        <v>0</v>
      </c>
      <c r="M19" s="174">
        <f>'PSUT_Data&amp;Method_2013'!H195</f>
        <v>0</v>
      </c>
      <c r="N19" s="174">
        <f>'PSUT_Data&amp;Method_2013'!H213</f>
        <v>0</v>
      </c>
      <c r="O19" s="174">
        <f>'PSUT_Data&amp;Method_2013'!H231</f>
        <v>0</v>
      </c>
      <c r="P19" s="174">
        <f>'PSUT_Data&amp;Method_2013'!H249</f>
        <v>0</v>
      </c>
      <c r="Q19" s="174">
        <f>'PSUT_Data&amp;Method_2013'!H267</f>
        <v>0</v>
      </c>
      <c r="R19" s="174">
        <f>'PSUT_Data&amp;Method_2013'!H285</f>
        <v>0</v>
      </c>
      <c r="S19" s="174">
        <f>'PSUT_Data&amp;Method_2013'!H303</f>
        <v>0</v>
      </c>
      <c r="T19" s="174">
        <f>'PSUT_Data&amp;Method_2013'!H321</f>
        <v>0</v>
      </c>
      <c r="U19" s="174">
        <f>'PSUT_Data&amp;Method_2013'!H339</f>
        <v>0</v>
      </c>
      <c r="V19" s="174">
        <f>'PSUT_Data&amp;Method_2013'!H357</f>
        <v>0</v>
      </c>
      <c r="W19" s="138">
        <f t="shared" si="0"/>
        <v>12800177.039928293</v>
      </c>
      <c r="X19" s="174">
        <f>'PSUT_Data&amp;Method_2013'!H378</f>
        <v>0</v>
      </c>
      <c r="Y19" s="383">
        <f>'PSUT_Data&amp;Method_2013'!H396</f>
        <v>0</v>
      </c>
      <c r="Z19" s="76"/>
      <c r="AA19" s="143">
        <f t="shared" si="1"/>
        <v>12800177.039928293</v>
      </c>
      <c r="AB19" s="74"/>
      <c r="AC19" s="75"/>
    </row>
    <row r="20" spans="1:29" ht="12" customHeight="1" x14ac:dyDescent="0.2">
      <c r="A20" s="1763"/>
      <c r="B20" s="380" t="s">
        <v>33</v>
      </c>
      <c r="C20" s="167">
        <f>'PSUT_Data&amp;Method_2013'!H16</f>
        <v>807</v>
      </c>
      <c r="D20" s="171">
        <f>'PSUT_Data&amp;Method_2013'!H34</f>
        <v>21359.8</v>
      </c>
      <c r="E20" s="171">
        <f>'PSUT_Data&amp;Method_2013'!H52</f>
        <v>28.2</v>
      </c>
      <c r="F20" s="171">
        <f>'PSUT_Data&amp;Method_2013'!H70</f>
        <v>0</v>
      </c>
      <c r="G20" s="171">
        <f>'PSUT_Data&amp;Method_2013'!H88</f>
        <v>0</v>
      </c>
      <c r="H20" s="171">
        <f>'PSUT_Data&amp;Method_2013'!H106</f>
        <v>0</v>
      </c>
      <c r="I20" s="171">
        <f>'PSUT_Data&amp;Method_2013'!H124</f>
        <v>0</v>
      </c>
      <c r="J20" s="171">
        <f>'PSUT_Data&amp;Method_2013'!H142</f>
        <v>0</v>
      </c>
      <c r="K20" s="171">
        <f>'PSUT_Data&amp;Method_2013'!H160</f>
        <v>0</v>
      </c>
      <c r="L20" s="171">
        <f>'PSUT_Data&amp;Method_2013'!H178</f>
        <v>0</v>
      </c>
      <c r="M20" s="171">
        <f>'PSUT_Data&amp;Method_2013'!H196</f>
        <v>0.06</v>
      </c>
      <c r="N20" s="171">
        <f>'PSUT_Data&amp;Method_2013'!H214</f>
        <v>0</v>
      </c>
      <c r="O20" s="171">
        <f>'PSUT_Data&amp;Method_2013'!H232</f>
        <v>0</v>
      </c>
      <c r="P20" s="171">
        <f>'PSUT_Data&amp;Method_2013'!H250</f>
        <v>0</v>
      </c>
      <c r="Q20" s="171">
        <f>'PSUT_Data&amp;Method_2013'!H268</f>
        <v>0</v>
      </c>
      <c r="R20" s="171">
        <f>'PSUT_Data&amp;Method_2013'!H286</f>
        <v>0</v>
      </c>
      <c r="S20" s="171">
        <f>'PSUT_Data&amp;Method_2013'!H304</f>
        <v>497.98870000000005</v>
      </c>
      <c r="T20" s="171">
        <f>'PSUT_Data&amp;Method_2013'!H322</f>
        <v>0</v>
      </c>
      <c r="U20" s="171">
        <f>'PSUT_Data&amp;Method_2013'!H340</f>
        <v>9.636000000000001</v>
      </c>
      <c r="V20" s="171">
        <f>'PSUT_Data&amp;Method_2013'!H358</f>
        <v>0</v>
      </c>
      <c r="W20" s="155">
        <f t="shared" si="0"/>
        <v>22702.684700000002</v>
      </c>
      <c r="X20" s="171">
        <f>'PSUT_Data&amp;Method_2013'!H379</f>
        <v>550</v>
      </c>
      <c r="Y20" s="171">
        <f>'PSUT_Data&amp;Method_2013'!H397</f>
        <v>0</v>
      </c>
      <c r="Z20" s="76"/>
      <c r="AA20" s="158">
        <f t="shared" si="1"/>
        <v>23252.684700000002</v>
      </c>
      <c r="AB20" s="74"/>
      <c r="AC20" s="75"/>
    </row>
    <row r="21" spans="1:29" ht="22.5" customHeight="1" x14ac:dyDescent="0.2">
      <c r="A21" s="1763"/>
      <c r="B21" s="152" t="s">
        <v>34</v>
      </c>
      <c r="C21" s="167">
        <f>'PSUT_Data&amp;Method_2013'!H17</f>
        <v>807</v>
      </c>
      <c r="D21" s="171">
        <f>'PSUT_Data&amp;Method_2013'!H35</f>
        <v>21359.8</v>
      </c>
      <c r="E21" s="171">
        <f>'PSUT_Data&amp;Method_2013'!H53</f>
        <v>28.2</v>
      </c>
      <c r="F21" s="171">
        <f>'PSUT_Data&amp;Method_2013'!H71</f>
        <v>0</v>
      </c>
      <c r="G21" s="171">
        <f>'PSUT_Data&amp;Method_2013'!H89</f>
        <v>0</v>
      </c>
      <c r="H21" s="171">
        <f>'PSUT_Data&amp;Method_2013'!H107</f>
        <v>0</v>
      </c>
      <c r="I21" s="171">
        <f>'PSUT_Data&amp;Method_2013'!H125</f>
        <v>0</v>
      </c>
      <c r="J21" s="171">
        <f>'PSUT_Data&amp;Method_2013'!H143</f>
        <v>0</v>
      </c>
      <c r="K21" s="171">
        <f>'PSUT_Data&amp;Method_2013'!H161</f>
        <v>0</v>
      </c>
      <c r="L21" s="171">
        <f>'PSUT_Data&amp;Method_2013'!H179</f>
        <v>0</v>
      </c>
      <c r="M21" s="171">
        <f>'PSUT_Data&amp;Method_2013'!H197</f>
        <v>0.06</v>
      </c>
      <c r="N21" s="171">
        <f>'PSUT_Data&amp;Method_2013'!H215</f>
        <v>0</v>
      </c>
      <c r="O21" s="171">
        <f>'PSUT_Data&amp;Method_2013'!H233</f>
        <v>0</v>
      </c>
      <c r="P21" s="171">
        <f>'PSUT_Data&amp;Method_2013'!H251</f>
        <v>0</v>
      </c>
      <c r="Q21" s="171">
        <f>'PSUT_Data&amp;Method_2013'!H269</f>
        <v>0</v>
      </c>
      <c r="R21" s="171">
        <f>'PSUT_Data&amp;Method_2013'!H287</f>
        <v>0</v>
      </c>
      <c r="S21" s="171">
        <f>'PSUT_Data&amp;Method_2013'!H305</f>
        <v>497.98870000000005</v>
      </c>
      <c r="T21" s="171">
        <f>'PSUT_Data&amp;Method_2013'!H323</f>
        <v>0</v>
      </c>
      <c r="U21" s="171">
        <f>'PSUT_Data&amp;Method_2013'!H341</f>
        <v>9.636000000000001</v>
      </c>
      <c r="V21" s="171">
        <f>'PSUT_Data&amp;Method_2013'!H359</f>
        <v>0</v>
      </c>
      <c r="W21" s="142">
        <f t="shared" si="0"/>
        <v>22702.684700000002</v>
      </c>
      <c r="X21" s="171">
        <f>'PSUT_Data&amp;Method_2013'!H380</f>
        <v>550</v>
      </c>
      <c r="Y21" s="171">
        <f>'PSUT_Data&amp;Method_2013'!H398</f>
        <v>0</v>
      </c>
      <c r="Z21" s="76"/>
      <c r="AA21" s="143">
        <f t="shared" si="1"/>
        <v>23252.684700000002</v>
      </c>
      <c r="AB21" s="74"/>
    </row>
    <row r="22" spans="1:29" ht="12" customHeight="1" x14ac:dyDescent="0.2">
      <c r="A22" s="1764"/>
      <c r="B22" s="145" t="s">
        <v>35</v>
      </c>
      <c r="C22" s="168">
        <f>'PSUT_Data&amp;Method_2013'!H18</f>
        <v>0</v>
      </c>
      <c r="D22" s="172">
        <f>'PSUT_Data&amp;Method_2013'!H36</f>
        <v>0</v>
      </c>
      <c r="E22" s="172">
        <f>'PSUT_Data&amp;Method_2013'!H54</f>
        <v>0</v>
      </c>
      <c r="F22" s="172">
        <f>'PSUT_Data&amp;Method_2013'!H72</f>
        <v>0</v>
      </c>
      <c r="G22" s="172">
        <f>'PSUT_Data&amp;Method_2013'!H90</f>
        <v>0</v>
      </c>
      <c r="H22" s="172">
        <f>'PSUT_Data&amp;Method_2013'!H108</f>
        <v>0</v>
      </c>
      <c r="I22" s="172">
        <f>'PSUT_Data&amp;Method_2013'!H126</f>
        <v>0</v>
      </c>
      <c r="J22" s="172">
        <f>'PSUT_Data&amp;Method_2013'!H144</f>
        <v>0</v>
      </c>
      <c r="K22" s="172">
        <f>'PSUT_Data&amp;Method_2013'!H162</f>
        <v>0</v>
      </c>
      <c r="L22" s="172">
        <f>'PSUT_Data&amp;Method_2013'!H180</f>
        <v>0</v>
      </c>
      <c r="M22" s="172">
        <f>'PSUT_Data&amp;Method_2013'!H198</f>
        <v>0</v>
      </c>
      <c r="N22" s="172">
        <f>'PSUT_Data&amp;Method_2013'!H216</f>
        <v>0</v>
      </c>
      <c r="O22" s="172">
        <f>'PSUT_Data&amp;Method_2013'!H234</f>
        <v>0</v>
      </c>
      <c r="P22" s="172">
        <f>'PSUT_Data&amp;Method_2013'!H252</f>
        <v>0</v>
      </c>
      <c r="Q22" s="172">
        <f>'PSUT_Data&amp;Method_2013'!H270</f>
        <v>0</v>
      </c>
      <c r="R22" s="172">
        <f>'PSUT_Data&amp;Method_2013'!H288</f>
        <v>0</v>
      </c>
      <c r="S22" s="172">
        <f>'PSUT_Data&amp;Method_2013'!H306</f>
        <v>0</v>
      </c>
      <c r="T22" s="172">
        <f>'PSUT_Data&amp;Method_2013'!H324</f>
        <v>0</v>
      </c>
      <c r="U22" s="172">
        <f>'PSUT_Data&amp;Method_2013'!H342</f>
        <v>0</v>
      </c>
      <c r="V22" s="172">
        <f>'PSUT_Data&amp;Method_2013'!H360</f>
        <v>0</v>
      </c>
      <c r="W22" s="149">
        <f t="shared" si="0"/>
        <v>0</v>
      </c>
      <c r="X22" s="172">
        <f>'PSUT_Data&amp;Method_2013'!H381</f>
        <v>0</v>
      </c>
      <c r="Y22" s="172">
        <f>'PSUT_Data&amp;Method_2013'!H399</f>
        <v>0</v>
      </c>
      <c r="Z22" s="76"/>
      <c r="AA22" s="143">
        <f t="shared" si="1"/>
        <v>0</v>
      </c>
      <c r="AB22" s="74"/>
    </row>
    <row r="23" spans="1:29" ht="24.75" customHeight="1" x14ac:dyDescent="0.2">
      <c r="A23" s="77" t="s">
        <v>5</v>
      </c>
      <c r="B23" s="78" t="s">
        <v>36</v>
      </c>
      <c r="C23" s="169">
        <f>'PSUT_Data&amp;Method_2013'!H19</f>
        <v>90250</v>
      </c>
      <c r="D23" s="172">
        <f>'PSUT_Data&amp;Method_2013'!H37</f>
        <v>0</v>
      </c>
      <c r="E23" s="172">
        <f>'PSUT_Data&amp;Method_2013'!H55</f>
        <v>642763.78523033194</v>
      </c>
      <c r="F23" s="172">
        <f>'PSUT_Data&amp;Method_2013'!H73</f>
        <v>0</v>
      </c>
      <c r="G23" s="172">
        <f>'PSUT_Data&amp;Method_2013'!H91</f>
        <v>0</v>
      </c>
      <c r="H23" s="172">
        <f>'PSUT_Data&amp;Method_2013'!H109</f>
        <v>0</v>
      </c>
      <c r="I23" s="172">
        <f>'PSUT_Data&amp;Method_2013'!H127</f>
        <v>0</v>
      </c>
      <c r="J23" s="172">
        <f>'PSUT_Data&amp;Method_2013'!H145</f>
        <v>0</v>
      </c>
      <c r="K23" s="172">
        <f>'PSUT_Data&amp;Method_2013'!H163</f>
        <v>16672.61</v>
      </c>
      <c r="L23" s="172">
        <f>'PSUT_Data&amp;Method_2013'!H181</f>
        <v>0</v>
      </c>
      <c r="M23" s="172">
        <f>'PSUT_Data&amp;Method_2013'!H199</f>
        <v>76.030545405347283</v>
      </c>
      <c r="N23" s="172">
        <f>'PSUT_Data&amp;Method_2013'!H217</f>
        <v>0</v>
      </c>
      <c r="O23" s="172">
        <f>'PSUT_Data&amp;Method_2013'!H235</f>
        <v>0</v>
      </c>
      <c r="P23" s="172">
        <f>'PSUT_Data&amp;Method_2013'!H253</f>
        <v>0</v>
      </c>
      <c r="Q23" s="172">
        <f>'PSUT_Data&amp;Method_2013'!H271</f>
        <v>0</v>
      </c>
      <c r="R23" s="172">
        <f>'PSUT_Data&amp;Method_2013'!H289</f>
        <v>224372.33</v>
      </c>
      <c r="S23" s="172">
        <f>'PSUT_Data&amp;Method_2013'!H307</f>
        <v>3720.9427500000002</v>
      </c>
      <c r="T23" s="172">
        <f>'PSUT_Data&amp;Method_2013'!H325</f>
        <v>0</v>
      </c>
      <c r="U23" s="172">
        <f>'PSUT_Data&amp;Method_2013'!H343</f>
        <v>131.69367175295594</v>
      </c>
      <c r="V23" s="172">
        <f>'PSUT_Data&amp;Method_2013'!H361</f>
        <v>0</v>
      </c>
      <c r="W23" s="82">
        <f t="shared" si="0"/>
        <v>977987.3921974902</v>
      </c>
      <c r="X23" s="172">
        <f>'PSUT_Data&amp;Method_2013'!H382</f>
        <v>176061</v>
      </c>
      <c r="Y23" s="172">
        <f>'PSUT_Data&amp;Method_2013'!H400</f>
        <v>6514.5680899999998</v>
      </c>
      <c r="Z23" s="163"/>
      <c r="AA23" s="158">
        <f t="shared" si="1"/>
        <v>1160562.9602874902</v>
      </c>
      <c r="AB23" s="74"/>
    </row>
    <row r="24" spans="1:29" ht="12" customHeight="1" x14ac:dyDescent="0.2">
      <c r="A24" s="1774" t="s">
        <v>142</v>
      </c>
      <c r="B24" s="1775"/>
      <c r="C24" s="137">
        <f>SUM(C6,C23)</f>
        <v>13100268.946100427</v>
      </c>
      <c r="D24" s="137">
        <f t="shared" ref="D24:V24" si="2">SUM(D6,D23)</f>
        <v>22410.000272350058</v>
      </c>
      <c r="E24" s="137">
        <f t="shared" si="2"/>
        <v>666701.76628212526</v>
      </c>
      <c r="F24" s="137">
        <f t="shared" si="2"/>
        <v>345951.26144545968</v>
      </c>
      <c r="G24" s="137">
        <f>SUM(G6,G23)</f>
        <v>53273.830348271033</v>
      </c>
      <c r="H24" s="137">
        <f>SUM(H6,H23)</f>
        <v>0</v>
      </c>
      <c r="I24" s="137">
        <f t="shared" si="2"/>
        <v>0</v>
      </c>
      <c r="J24" s="137">
        <f t="shared" si="2"/>
        <v>0</v>
      </c>
      <c r="K24" s="137">
        <f t="shared" si="2"/>
        <v>16672.61</v>
      </c>
      <c r="L24" s="137">
        <f t="shared" si="2"/>
        <v>0</v>
      </c>
      <c r="M24" s="137">
        <f t="shared" si="2"/>
        <v>76.090545405347285</v>
      </c>
      <c r="N24" s="137">
        <f t="shared" si="2"/>
        <v>0</v>
      </c>
      <c r="O24" s="137">
        <f>SUM(O6,O23)</f>
        <v>0</v>
      </c>
      <c r="P24" s="137">
        <f t="shared" si="2"/>
        <v>0</v>
      </c>
      <c r="Q24" s="137">
        <f t="shared" si="2"/>
        <v>0</v>
      </c>
      <c r="R24" s="137">
        <f t="shared" si="2"/>
        <v>224505.4454</v>
      </c>
      <c r="S24" s="137">
        <f t="shared" si="2"/>
        <v>4309.7222655737705</v>
      </c>
      <c r="T24" s="137">
        <f t="shared" si="2"/>
        <v>0</v>
      </c>
      <c r="U24" s="137">
        <f t="shared" si="2"/>
        <v>143.40327175295593</v>
      </c>
      <c r="V24" s="137">
        <f t="shared" si="2"/>
        <v>0</v>
      </c>
      <c r="W24" s="137">
        <f>SUM(C24:V24)</f>
        <v>14434313.075931363</v>
      </c>
      <c r="X24" s="137">
        <f>SUM(X6,X23)</f>
        <v>216693.69650340232</v>
      </c>
      <c r="Y24" s="137">
        <f>SUM(Y6,Y23)</f>
        <v>6514.5680899999998</v>
      </c>
      <c r="Z24" s="164"/>
      <c r="AA24" s="157">
        <f>W24+X24+Y24</f>
        <v>14657521.340524765</v>
      </c>
      <c r="AB24" s="74"/>
    </row>
    <row r="25" spans="1:29" customFormat="1" ht="5.25" customHeight="1" x14ac:dyDescent="0.25"/>
    <row r="26" spans="1:29" ht="22.5" customHeight="1" x14ac:dyDescent="0.2">
      <c r="A26" s="1776" t="s">
        <v>37</v>
      </c>
      <c r="B26" s="1776"/>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row>
    <row r="27" spans="1:29" ht="22.5" customHeight="1" x14ac:dyDescent="0.2">
      <c r="A27" s="1777" t="s">
        <v>143</v>
      </c>
      <c r="B27" s="1778"/>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row>
    <row r="28" spans="1:29" ht="31.5" customHeight="1" x14ac:dyDescent="0.2">
      <c r="A28" s="1779" t="s">
        <v>144</v>
      </c>
      <c r="B28" s="1779"/>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row>
    <row r="29" spans="1:29" customFormat="1" ht="14.25" customHeight="1" x14ac:dyDescent="0.25">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row>
    <row r="30" spans="1:29" x14ac:dyDescent="0.2">
      <c r="A30" s="1756" t="s">
        <v>38</v>
      </c>
      <c r="B30" s="1756"/>
      <c r="C30" s="1756"/>
      <c r="D30" s="1756"/>
      <c r="E30" s="1756"/>
      <c r="F30" s="1756"/>
      <c r="G30" s="1756"/>
      <c r="H30" s="1756"/>
      <c r="I30" s="1756"/>
      <c r="J30" s="1756"/>
      <c r="K30" s="1756"/>
      <c r="L30" s="1756"/>
      <c r="M30" s="1756"/>
      <c r="N30" s="1756"/>
      <c r="O30" s="1756"/>
      <c r="P30" s="1756"/>
      <c r="Q30" s="1756"/>
      <c r="R30" s="1756"/>
      <c r="S30" s="1756"/>
      <c r="T30" s="1756"/>
      <c r="U30" s="1756"/>
      <c r="V30" s="1756"/>
      <c r="W30" s="1756"/>
      <c r="X30" s="1756"/>
      <c r="Y30" s="1756"/>
      <c r="Z30" s="1756"/>
      <c r="AA30" s="1756"/>
      <c r="AB30" s="1756"/>
    </row>
    <row r="31" spans="1:29" x14ac:dyDescent="0.2">
      <c r="A31" s="1757" t="s">
        <v>577</v>
      </c>
      <c r="B31" s="1757"/>
      <c r="C31" s="1757"/>
      <c r="D31" s="1757"/>
      <c r="E31" s="1757"/>
      <c r="F31" s="1757"/>
      <c r="G31" s="1757"/>
      <c r="H31" s="1757"/>
      <c r="I31" s="1757"/>
      <c r="J31" s="1757"/>
      <c r="K31" s="1757"/>
      <c r="L31" s="1757"/>
      <c r="M31" s="1757"/>
      <c r="N31" s="1757"/>
      <c r="O31" s="1757"/>
      <c r="P31" s="1757"/>
      <c r="Q31" s="1757"/>
      <c r="R31" s="1757"/>
      <c r="S31" s="1757"/>
      <c r="T31" s="1757"/>
      <c r="U31" s="1757"/>
      <c r="V31" s="1757"/>
      <c r="W31" s="1757"/>
      <c r="X31" s="1757"/>
      <c r="Y31" s="1757"/>
      <c r="Z31" s="1757"/>
      <c r="AA31" s="1757"/>
      <c r="AB31" s="70"/>
    </row>
    <row r="32" spans="1:29" x14ac:dyDescent="0.2">
      <c r="A32" s="1752" t="s">
        <v>578</v>
      </c>
      <c r="B32" s="1765"/>
      <c r="C32" s="1769" t="s">
        <v>12</v>
      </c>
      <c r="D32" s="1770"/>
      <c r="E32" s="1770"/>
      <c r="F32" s="1770"/>
      <c r="G32" s="1770"/>
      <c r="H32" s="1770"/>
      <c r="I32" s="1770"/>
      <c r="J32" s="1770"/>
      <c r="K32" s="1770"/>
      <c r="L32" s="1770"/>
      <c r="M32" s="1770"/>
      <c r="N32" s="1770"/>
      <c r="O32" s="1770"/>
      <c r="P32" s="1770"/>
      <c r="Q32" s="1770"/>
      <c r="R32" s="1770"/>
      <c r="S32" s="1770"/>
      <c r="T32" s="1770"/>
      <c r="U32" s="1770"/>
      <c r="V32" s="1770"/>
      <c r="W32" s="1770"/>
      <c r="X32" s="1761" t="s">
        <v>642</v>
      </c>
      <c r="Y32" s="1771" t="s">
        <v>2</v>
      </c>
      <c r="Z32" s="1761" t="s">
        <v>13</v>
      </c>
      <c r="AA32" s="1773" t="s">
        <v>14</v>
      </c>
      <c r="AB32" s="79"/>
    </row>
    <row r="33" spans="1:28" ht="77.25" customHeight="1" x14ac:dyDescent="0.2">
      <c r="A33" s="1766"/>
      <c r="B33" s="1767"/>
      <c r="C33" s="71" t="s">
        <v>6</v>
      </c>
      <c r="D33" s="71" t="s">
        <v>7</v>
      </c>
      <c r="E33" s="71" t="s">
        <v>8</v>
      </c>
      <c r="F33" s="71" t="s">
        <v>9</v>
      </c>
      <c r="G33" s="71" t="s">
        <v>137</v>
      </c>
      <c r="H33" s="373" t="s">
        <v>615</v>
      </c>
      <c r="I33" s="373" t="s">
        <v>616</v>
      </c>
      <c r="J33" s="373" t="s">
        <v>617</v>
      </c>
      <c r="K33" s="71" t="s">
        <v>0</v>
      </c>
      <c r="L33" s="373" t="s">
        <v>618</v>
      </c>
      <c r="M33" s="71" t="s">
        <v>138</v>
      </c>
      <c r="N33" s="373" t="s">
        <v>619</v>
      </c>
      <c r="O33" s="373" t="s">
        <v>620</v>
      </c>
      <c r="P33" s="373" t="s">
        <v>621</v>
      </c>
      <c r="Q33" s="373" t="s">
        <v>622</v>
      </c>
      <c r="R33" s="71" t="s">
        <v>1</v>
      </c>
      <c r="S33" s="71" t="s">
        <v>10</v>
      </c>
      <c r="T33" s="373" t="s">
        <v>623</v>
      </c>
      <c r="U33" s="71" t="s">
        <v>139</v>
      </c>
      <c r="V33" s="374" t="s">
        <v>624</v>
      </c>
      <c r="W33" s="141"/>
      <c r="X33" s="1761"/>
      <c r="Y33" s="1772"/>
      <c r="Z33" s="1761"/>
      <c r="AA33" s="1773"/>
      <c r="AB33" s="74"/>
    </row>
    <row r="34" spans="1:28" x14ac:dyDescent="0.2">
      <c r="A34" s="1768"/>
      <c r="B34" s="1767"/>
      <c r="C34" s="146" t="s">
        <v>15</v>
      </c>
      <c r="D34" s="147" t="s">
        <v>16</v>
      </c>
      <c r="E34" s="147" t="s">
        <v>17</v>
      </c>
      <c r="F34" s="147">
        <v>35</v>
      </c>
      <c r="G34" s="147" t="s">
        <v>18</v>
      </c>
      <c r="H34" s="147"/>
      <c r="I34" s="147"/>
      <c r="J34" s="147"/>
      <c r="K34" s="147" t="s">
        <v>19</v>
      </c>
      <c r="L34" s="147"/>
      <c r="M34" s="147" t="s">
        <v>20</v>
      </c>
      <c r="N34" s="147"/>
      <c r="O34" s="147"/>
      <c r="P34" s="147"/>
      <c r="Q34" s="147"/>
      <c r="R34" s="147">
        <v>85</v>
      </c>
      <c r="S34" s="147" t="s">
        <v>21</v>
      </c>
      <c r="T34" s="147"/>
      <c r="U34" s="147" t="s">
        <v>22</v>
      </c>
      <c r="V34" s="147"/>
      <c r="W34" s="166" t="s">
        <v>3</v>
      </c>
      <c r="X34" s="100">
        <v>98</v>
      </c>
      <c r="Y34" s="148">
        <v>99</v>
      </c>
      <c r="Z34" s="100"/>
      <c r="AA34" s="101"/>
      <c r="AB34" s="74"/>
    </row>
    <row r="35" spans="1:28" ht="21.75" customHeight="1" x14ac:dyDescent="0.2">
      <c r="A35" s="1780" t="s">
        <v>5</v>
      </c>
      <c r="B35" s="377" t="s">
        <v>39</v>
      </c>
      <c r="C35" s="174">
        <f>'PSUT_Data&amp;Method_2013'!H405</f>
        <v>0</v>
      </c>
      <c r="D35" s="174">
        <f>'PSUT_Data&amp;Method_2013'!H414</f>
        <v>21289.500258732554</v>
      </c>
      <c r="E35" s="174">
        <f>'PSUT_Data&amp;Method_2013'!H423</f>
        <v>816.87563283886971</v>
      </c>
      <c r="F35" s="174">
        <f>'PSUT_Data&amp;Method_2013'!H432</f>
        <v>0</v>
      </c>
      <c r="G35" s="174">
        <f>'PSUT_Data&amp;Method_2013'!H441</f>
        <v>0</v>
      </c>
      <c r="H35" s="174">
        <f>'PSUT_Data&amp;Method_2013'!H450</f>
        <v>0</v>
      </c>
      <c r="I35" s="174">
        <f>'PSUT_Data&amp;Method_2013'!H459</f>
        <v>0</v>
      </c>
      <c r="J35" s="174">
        <f>'PSUT_Data&amp;Method_2013'!H468</f>
        <v>0</v>
      </c>
      <c r="K35" s="174">
        <f>'PSUT_Data&amp;Method_2013'!H477</f>
        <v>12671.183667903779</v>
      </c>
      <c r="L35" s="174">
        <f>'PSUT_Data&amp;Method_2013'!H486</f>
        <v>0</v>
      </c>
      <c r="M35" s="174">
        <f>'PSUT_Data&amp;Method_2013'!H495</f>
        <v>5.6106036082474233</v>
      </c>
      <c r="N35" s="174">
        <f>'PSUT_Data&amp;Method_2013'!H504</f>
        <v>0</v>
      </c>
      <c r="O35" s="174">
        <f>'PSUT_Data&amp;Method_2013'!H513</f>
        <v>0</v>
      </c>
      <c r="P35" s="174">
        <f>'PSUT_Data&amp;Method_2013'!H522</f>
        <v>0</v>
      </c>
      <c r="Q35" s="174">
        <f>'PSUT_Data&amp;Method_2013'!H531</f>
        <v>0</v>
      </c>
      <c r="R35" s="174">
        <f>'PSUT_Data&amp;Method_2013'!H540</f>
        <v>0</v>
      </c>
      <c r="S35" s="174">
        <f>'PSUT_Data&amp;Method_2013'!H549</f>
        <v>0</v>
      </c>
      <c r="T35" s="174">
        <f>'PSUT_Data&amp;Method_2013'!H558</f>
        <v>0</v>
      </c>
      <c r="U35" s="174">
        <f>'PSUT_Data&amp;Method_2013'!H567</f>
        <v>0</v>
      </c>
      <c r="V35" s="174">
        <f>'PSUT_Data&amp;Method_2013'!H576</f>
        <v>0</v>
      </c>
      <c r="W35" s="138">
        <f t="shared" ref="W35:W43" si="3">SUM(C35:V35)</f>
        <v>34783.17016308345</v>
      </c>
      <c r="X35" s="174">
        <f>'PSUT_Data&amp;Method_2013'!H588</f>
        <v>0</v>
      </c>
      <c r="Y35" s="174">
        <f>'PSUT_Data&amp;Method_2013'!H597</f>
        <v>0</v>
      </c>
      <c r="Z35" s="162"/>
      <c r="AA35" s="376">
        <f t="shared" ref="AA35:AA41" si="4">W35+X35+Y35</f>
        <v>34783.17016308345</v>
      </c>
      <c r="AB35" s="74"/>
    </row>
    <row r="36" spans="1:28" ht="12" customHeight="1" x14ac:dyDescent="0.2">
      <c r="A36" s="1781"/>
      <c r="B36" s="375" t="s">
        <v>40</v>
      </c>
      <c r="C36" s="173">
        <f>'PSUT_Data&amp;Method_2013'!H406</f>
        <v>0</v>
      </c>
      <c r="D36" s="173">
        <f>'PSUT_Data&amp;Method_2013'!H415</f>
        <v>21289.500258732554</v>
      </c>
      <c r="E36" s="173">
        <f>'PSUT_Data&amp;Method_2013'!H424</f>
        <v>346.29059499999994</v>
      </c>
      <c r="F36" s="173">
        <f>'PSUT_Data&amp;Method_2013'!H433</f>
        <v>0</v>
      </c>
      <c r="G36" s="173">
        <f>'PSUT_Data&amp;Method_2013'!H442</f>
        <v>0</v>
      </c>
      <c r="H36" s="173">
        <f>'PSUT_Data&amp;Method_2013'!H451</f>
        <v>0</v>
      </c>
      <c r="I36" s="173">
        <f>'PSUT_Data&amp;Method_2013'!H460</f>
        <v>0</v>
      </c>
      <c r="J36" s="173">
        <f>'PSUT_Data&amp;Method_2013'!H469</f>
        <v>0</v>
      </c>
      <c r="K36" s="173">
        <f>'PSUT_Data&amp;Method_2013'!H478</f>
        <v>12671.183667903779</v>
      </c>
      <c r="L36" s="173">
        <f>'PSUT_Data&amp;Method_2013'!H487</f>
        <v>0</v>
      </c>
      <c r="M36" s="173">
        <f>'PSUT_Data&amp;Method_2013'!H496</f>
        <v>2.3110416666666667</v>
      </c>
      <c r="N36" s="173">
        <f>'PSUT_Data&amp;Method_2013'!H505</f>
        <v>0</v>
      </c>
      <c r="O36" s="173">
        <f>'PSUT_Data&amp;Method_2013'!H514</f>
        <v>0</v>
      </c>
      <c r="P36" s="173">
        <f>'PSUT_Data&amp;Method_2013'!H523</f>
        <v>0</v>
      </c>
      <c r="Q36" s="173">
        <f>'PSUT_Data&amp;Method_2013'!H532</f>
        <v>0</v>
      </c>
      <c r="R36" s="173">
        <f>'PSUT_Data&amp;Method_2013'!H541</f>
        <v>0</v>
      </c>
      <c r="S36" s="173">
        <f>'PSUT_Data&amp;Method_2013'!H550</f>
        <v>0</v>
      </c>
      <c r="T36" s="173">
        <f>'PSUT_Data&amp;Method_2013'!H559</f>
        <v>0</v>
      </c>
      <c r="U36" s="173">
        <f>'PSUT_Data&amp;Method_2013'!H568</f>
        <v>0</v>
      </c>
      <c r="V36" s="173">
        <f>'PSUT_Data&amp;Method_2013'!H577</f>
        <v>0</v>
      </c>
      <c r="W36" s="140">
        <f t="shared" si="3"/>
        <v>34309.285563302998</v>
      </c>
      <c r="X36" s="173">
        <f>'PSUT_Data&amp;Method_2013'!H589</f>
        <v>0</v>
      </c>
      <c r="Y36" s="173">
        <f>'PSUT_Data&amp;Method_2013'!H598</f>
        <v>0</v>
      </c>
      <c r="Z36" s="163"/>
      <c r="AA36" s="158">
        <f t="shared" si="4"/>
        <v>34309.285563302998</v>
      </c>
      <c r="AB36" s="74"/>
    </row>
    <row r="37" spans="1:28" ht="12" customHeight="1" x14ac:dyDescent="0.2">
      <c r="A37" s="1782"/>
      <c r="B37" s="375" t="s">
        <v>41</v>
      </c>
      <c r="C37" s="173">
        <f>'PSUT_Data&amp;Method_2013'!H407</f>
        <v>0</v>
      </c>
      <c r="D37" s="173">
        <f>'PSUT_Data&amp;Method_2013'!H416</f>
        <v>0</v>
      </c>
      <c r="E37" s="173">
        <f>'PSUT_Data&amp;Method_2013'!H425</f>
        <v>470.58503783886977</v>
      </c>
      <c r="F37" s="173">
        <f>'PSUT_Data&amp;Method_2013'!H434</f>
        <v>0</v>
      </c>
      <c r="G37" s="173">
        <f>'PSUT_Data&amp;Method_2013'!H443</f>
        <v>0</v>
      </c>
      <c r="H37" s="173">
        <f>'PSUT_Data&amp;Method_2013'!H452</f>
        <v>0</v>
      </c>
      <c r="I37" s="173">
        <f>'PSUT_Data&amp;Method_2013'!H461</f>
        <v>0</v>
      </c>
      <c r="J37" s="173">
        <f>'PSUT_Data&amp;Method_2013'!H470</f>
        <v>0</v>
      </c>
      <c r="K37" s="173">
        <f>'PSUT_Data&amp;Method_2013'!H479</f>
        <v>0</v>
      </c>
      <c r="L37" s="173">
        <f>'PSUT_Data&amp;Method_2013'!H488</f>
        <v>0</v>
      </c>
      <c r="M37" s="173">
        <f>'PSUT_Data&amp;Method_2013'!H497</f>
        <v>3.2995619415807562</v>
      </c>
      <c r="N37" s="173">
        <f>'PSUT_Data&amp;Method_2013'!H506</f>
        <v>0</v>
      </c>
      <c r="O37" s="173">
        <f>'PSUT_Data&amp;Method_2013'!H515</f>
        <v>0</v>
      </c>
      <c r="P37" s="173">
        <f>'PSUT_Data&amp;Method_2013'!H524</f>
        <v>0</v>
      </c>
      <c r="Q37" s="173">
        <f>'PSUT_Data&amp;Method_2013'!H533</f>
        <v>0</v>
      </c>
      <c r="R37" s="173">
        <f>'PSUT_Data&amp;Method_2013'!H542</f>
        <v>0</v>
      </c>
      <c r="S37" s="173">
        <f>'PSUT_Data&amp;Method_2013'!H551</f>
        <v>0</v>
      </c>
      <c r="T37" s="173">
        <f>'PSUT_Data&amp;Method_2013'!H560</f>
        <v>0</v>
      </c>
      <c r="U37" s="173">
        <f>'PSUT_Data&amp;Method_2013'!H569</f>
        <v>0</v>
      </c>
      <c r="V37" s="173">
        <f>'PSUT_Data&amp;Method_2013'!H578</f>
        <v>0</v>
      </c>
      <c r="W37" s="140">
        <f t="shared" si="3"/>
        <v>473.88459978045051</v>
      </c>
      <c r="X37" s="173">
        <f>'PSUT_Data&amp;Method_2013'!H590</f>
        <v>0</v>
      </c>
      <c r="Y37" s="173">
        <f>'PSUT_Data&amp;Method_2013'!H599</f>
        <v>0</v>
      </c>
      <c r="Z37" s="163"/>
      <c r="AA37" s="158">
        <f t="shared" si="4"/>
        <v>473.88459978045051</v>
      </c>
      <c r="AB37" s="74"/>
    </row>
    <row r="38" spans="1:28" ht="12" customHeight="1" x14ac:dyDescent="0.2">
      <c r="A38" s="1781" t="s">
        <v>42</v>
      </c>
      <c r="B38" s="377" t="s">
        <v>162</v>
      </c>
      <c r="C38" s="174">
        <f>'PSUT_Data&amp;Method_2013'!H408</f>
        <v>1474325.5673850428</v>
      </c>
      <c r="D38" s="174">
        <f>'PSUT_Data&amp;Method_2013'!H417</f>
        <v>54.219910499999997</v>
      </c>
      <c r="E38" s="174">
        <f>'PSUT_Data&amp;Method_2013'!H426</f>
        <v>514699.26072578493</v>
      </c>
      <c r="F38" s="174">
        <f>'PSUT_Data&amp;Method_2013'!H435</f>
        <v>328653.69837318669</v>
      </c>
      <c r="G38" s="174">
        <f>'PSUT_Data&amp;Method_2013'!H444</f>
        <v>2570.3302400000002</v>
      </c>
      <c r="H38" s="174">
        <f>'PSUT_Data&amp;Method_2013'!H453</f>
        <v>0</v>
      </c>
      <c r="I38" s="174">
        <f>'PSUT_Data&amp;Method_2013'!H462</f>
        <v>0</v>
      </c>
      <c r="J38" s="174">
        <f>'PSUT_Data&amp;Method_2013'!H471</f>
        <v>0</v>
      </c>
      <c r="K38" s="174">
        <f>'PSUT_Data&amp;Method_2013'!H480</f>
        <v>301.01142363711335</v>
      </c>
      <c r="L38" s="174">
        <f>'PSUT_Data&amp;Method_2013'!H489</f>
        <v>0</v>
      </c>
      <c r="M38" s="174">
        <f>'PSUT_Data&amp;Method_2013'!H498</f>
        <v>56.868619657611163</v>
      </c>
      <c r="N38" s="174">
        <f>'PSUT_Data&amp;Method_2013'!H507</f>
        <v>0</v>
      </c>
      <c r="O38" s="174">
        <f>'PSUT_Data&amp;Method_2013'!H516</f>
        <v>0</v>
      </c>
      <c r="P38" s="174">
        <f>'PSUT_Data&amp;Method_2013'!H525</f>
        <v>0</v>
      </c>
      <c r="Q38" s="174">
        <f>'PSUT_Data&amp;Method_2013'!H534</f>
        <v>0</v>
      </c>
      <c r="R38" s="174">
        <f>'PSUT_Data&amp;Method_2013'!H543</f>
        <v>179497.86400000003</v>
      </c>
      <c r="S38" s="174">
        <f>'PSUT_Data&amp;Method_2013'!H552</f>
        <v>3447.7778158871602</v>
      </c>
      <c r="T38" s="174">
        <f>'PSUT_Data&amp;Method_2013'!H561</f>
        <v>0</v>
      </c>
      <c r="U38" s="174">
        <f>'PSUT_Data&amp;Method_2013'!H570</f>
        <v>10.714873014735879</v>
      </c>
      <c r="V38" s="174">
        <f>'PSUT_Data&amp;Method_2013'!H579</f>
        <v>0</v>
      </c>
      <c r="W38" s="138">
        <f t="shared" si="3"/>
        <v>2503617.3133667116</v>
      </c>
      <c r="X38" s="174">
        <f>'PSUT_Data&amp;Method_2013'!H591</f>
        <v>82781</v>
      </c>
      <c r="Y38" s="174">
        <f>'PSUT_Data&amp;Method_2013'!H600</f>
        <v>5211.6544753063881</v>
      </c>
      <c r="Z38" s="76"/>
      <c r="AA38" s="157">
        <f t="shared" si="4"/>
        <v>2591609.9678420178</v>
      </c>
      <c r="AB38" s="74"/>
    </row>
    <row r="39" spans="1:28" ht="12" customHeight="1" x14ac:dyDescent="0.2">
      <c r="A39" s="1781"/>
      <c r="B39" s="381" t="s">
        <v>43</v>
      </c>
      <c r="C39" s="174">
        <f>'PSUT_Data&amp;Method_2013'!H409</f>
        <v>1474325.5673850428</v>
      </c>
      <c r="D39" s="174">
        <f>'PSUT_Data&amp;Method_2013'!H418</f>
        <v>54.219910499999997</v>
      </c>
      <c r="E39" s="174">
        <f>'PSUT_Data&amp;Method_2013'!H427</f>
        <v>514699.26072578493</v>
      </c>
      <c r="F39" s="174">
        <f>'PSUT_Data&amp;Method_2013'!H436</f>
        <v>328653.69837318669</v>
      </c>
      <c r="G39" s="174">
        <f>'PSUT_Data&amp;Method_2013'!H445</f>
        <v>2570.3302400000002</v>
      </c>
      <c r="H39" s="174">
        <f>'PSUT_Data&amp;Method_2013'!H454</f>
        <v>0</v>
      </c>
      <c r="I39" s="174">
        <f>'PSUT_Data&amp;Method_2013'!H463</f>
        <v>0</v>
      </c>
      <c r="J39" s="174">
        <f>'PSUT_Data&amp;Method_2013'!H472</f>
        <v>0</v>
      </c>
      <c r="K39" s="174">
        <f>'PSUT_Data&amp;Method_2013'!H481</f>
        <v>301.01142363711335</v>
      </c>
      <c r="L39" s="174">
        <f>'PSUT_Data&amp;Method_2013'!H490</f>
        <v>0</v>
      </c>
      <c r="M39" s="174">
        <f>'PSUT_Data&amp;Method_2013'!H499</f>
        <v>56.868619657611163</v>
      </c>
      <c r="N39" s="174">
        <f>'PSUT_Data&amp;Method_2013'!H508</f>
        <v>0</v>
      </c>
      <c r="O39" s="174">
        <f>'PSUT_Data&amp;Method_2013'!H517</f>
        <v>0</v>
      </c>
      <c r="P39" s="174">
        <f>'PSUT_Data&amp;Method_2013'!H526</f>
        <v>0</v>
      </c>
      <c r="Q39" s="174">
        <f>'PSUT_Data&amp;Method_2013'!H535</f>
        <v>0</v>
      </c>
      <c r="R39" s="174">
        <f>'PSUT_Data&amp;Method_2013'!H544</f>
        <v>179497.86400000003</v>
      </c>
      <c r="S39" s="174">
        <f>'PSUT_Data&amp;Method_2013'!H553</f>
        <v>3447.7778158871602</v>
      </c>
      <c r="T39" s="174">
        <f>'PSUT_Data&amp;Method_2013'!H562</f>
        <v>0</v>
      </c>
      <c r="U39" s="174">
        <f>'PSUT_Data&amp;Method_2013'!H571</f>
        <v>10.714873014735879</v>
      </c>
      <c r="V39" s="174">
        <f>'PSUT_Data&amp;Method_2013'!H580</f>
        <v>0</v>
      </c>
      <c r="W39" s="138">
        <f t="shared" si="3"/>
        <v>2503617.3133667116</v>
      </c>
      <c r="X39" s="174">
        <f>'PSUT_Data&amp;Method_2013'!H592</f>
        <v>72433</v>
      </c>
      <c r="Y39" s="174">
        <f>'PSUT_Data&amp;Method_2013'!H601</f>
        <v>5211.6544753063881</v>
      </c>
      <c r="Z39" s="76"/>
      <c r="AA39" s="157">
        <f t="shared" si="4"/>
        <v>2581261.9678420178</v>
      </c>
      <c r="AB39" s="74"/>
    </row>
    <row r="40" spans="1:28" ht="12" customHeight="1" x14ac:dyDescent="0.2">
      <c r="A40" s="1781"/>
      <c r="B40" s="144" t="s">
        <v>44</v>
      </c>
      <c r="C40" s="173">
        <f>'PSUT_Data&amp;Method_2013'!H410</f>
        <v>741873.3200800214</v>
      </c>
      <c r="D40" s="173">
        <f>'PSUT_Data&amp;Method_2013'!H419</f>
        <v>1.2757626</v>
      </c>
      <c r="E40" s="173">
        <f>'PSUT_Data&amp;Method_2013'!H428</f>
        <v>514526.07285221177</v>
      </c>
      <c r="F40" s="173">
        <f>'PSUT_Data&amp;Method_2013'!H437</f>
        <v>328653.69837318669</v>
      </c>
      <c r="G40" s="173">
        <f>'PSUT_Data&amp;Method_2013'!H446</f>
        <v>2570.3302400000002</v>
      </c>
      <c r="H40" s="173">
        <f>'PSUT_Data&amp;Method_2013'!H455</f>
        <v>0</v>
      </c>
      <c r="I40" s="173">
        <f>'PSUT_Data&amp;Method_2013'!H464</f>
        <v>0</v>
      </c>
      <c r="J40" s="173">
        <f>'PSUT_Data&amp;Method_2013'!H473</f>
        <v>0</v>
      </c>
      <c r="K40" s="173">
        <f>'PSUT_Data&amp;Method_2013'!H482</f>
        <v>159.09130227903779</v>
      </c>
      <c r="L40" s="173">
        <f>'PSUT_Data&amp;Method_2013'!H491</f>
        <v>0</v>
      </c>
      <c r="M40" s="173">
        <f>'PSUT_Data&amp;Method_2013'!H500</f>
        <v>46.976258591065296</v>
      </c>
      <c r="N40" s="173">
        <f>'PSUT_Data&amp;Method_2013'!H509</f>
        <v>0</v>
      </c>
      <c r="O40" s="173">
        <f>'PSUT_Data&amp;Method_2013'!H518</f>
        <v>0</v>
      </c>
      <c r="P40" s="173">
        <f>'PSUT_Data&amp;Method_2013'!H527</f>
        <v>0</v>
      </c>
      <c r="Q40" s="173">
        <f>'PSUT_Data&amp;Method_2013'!H536</f>
        <v>0</v>
      </c>
      <c r="R40" s="173">
        <f>'PSUT_Data&amp;Method_2013'!H545</f>
        <v>44209.770400000001</v>
      </c>
      <c r="S40" s="173">
        <f>'PSUT_Data&amp;Method_2013'!H554</f>
        <v>0</v>
      </c>
      <c r="T40" s="173">
        <f>'PSUT_Data&amp;Method_2013'!H563</f>
        <v>0</v>
      </c>
      <c r="U40" s="173">
        <f>'PSUT_Data&amp;Method_2013'!H572</f>
        <v>1.1818737127147767</v>
      </c>
      <c r="V40" s="173">
        <f>'PSUT_Data&amp;Method_2013'!H581</f>
        <v>0</v>
      </c>
      <c r="W40" s="140">
        <f t="shared" si="3"/>
        <v>1632041.7171426029</v>
      </c>
      <c r="X40" s="173">
        <f>'PSUT_Data&amp;Method_2013'!H593</f>
        <v>41390</v>
      </c>
      <c r="Y40" s="173">
        <f>'PSUT_Data&amp;Method_2013'!H602</f>
        <v>4688.7652799999996</v>
      </c>
      <c r="Z40" s="76"/>
      <c r="AA40" s="158">
        <f t="shared" si="4"/>
        <v>1678120.4824226028</v>
      </c>
      <c r="AB40" s="74"/>
    </row>
    <row r="41" spans="1:28" ht="12" customHeight="1" x14ac:dyDescent="0.2">
      <c r="A41" s="1781"/>
      <c r="B41" s="144" t="s">
        <v>45</v>
      </c>
      <c r="C41" s="173">
        <f>'PSUT_Data&amp;Method_2013'!H411</f>
        <v>81951.3</v>
      </c>
      <c r="D41" s="173">
        <f>'PSUT_Data&amp;Method_2013'!H420</f>
        <v>1.9136439000000001</v>
      </c>
      <c r="E41" s="173">
        <f>'PSUT_Data&amp;Method_2013'!H429</f>
        <v>166.95464286320009</v>
      </c>
      <c r="F41" s="173">
        <f>'PSUT_Data&amp;Method_2013'!H438</f>
        <v>0</v>
      </c>
      <c r="G41" s="173">
        <f>'PSUT_Data&amp;Method_2013'!H447</f>
        <v>0</v>
      </c>
      <c r="H41" s="173">
        <f>'PSUT_Data&amp;Method_2013'!H456</f>
        <v>0</v>
      </c>
      <c r="I41" s="173">
        <f>'PSUT_Data&amp;Method_2013'!H465</f>
        <v>0</v>
      </c>
      <c r="J41" s="173">
        <f>'PSUT_Data&amp;Method_2013'!H474</f>
        <v>0</v>
      </c>
      <c r="K41" s="173">
        <f>'PSUT_Data&amp;Method_2013'!H483</f>
        <v>0</v>
      </c>
      <c r="L41" s="173">
        <f>'PSUT_Data&amp;Method_2013'!H492</f>
        <v>0</v>
      </c>
      <c r="M41" s="173">
        <f>'PSUT_Data&amp;Method_2013'!H501</f>
        <v>4.7351202749140899</v>
      </c>
      <c r="N41" s="173">
        <f>'PSUT_Data&amp;Method_2013'!H510</f>
        <v>0</v>
      </c>
      <c r="O41" s="173">
        <f>'PSUT_Data&amp;Method_2013'!H519</f>
        <v>0</v>
      </c>
      <c r="P41" s="173">
        <f>'PSUT_Data&amp;Method_2013'!H528</f>
        <v>0</v>
      </c>
      <c r="Q41" s="173">
        <f>'PSUT_Data&amp;Method_2013'!H537</f>
        <v>0</v>
      </c>
      <c r="R41" s="173">
        <f>'PSUT_Data&amp;Method_2013'!H546</f>
        <v>135288.09360000002</v>
      </c>
      <c r="S41" s="173">
        <f>'PSUT_Data&amp;Method_2013'!H555</f>
        <v>3201.047978608482</v>
      </c>
      <c r="T41" s="173">
        <f>'PSUT_Data&amp;Method_2013'!H564</f>
        <v>0</v>
      </c>
      <c r="U41" s="173">
        <f>'PSUT_Data&amp;Method_2013'!H573</f>
        <v>9.3718228896499678</v>
      </c>
      <c r="V41" s="173">
        <f>'PSUT_Data&amp;Method_2013'!H582</f>
        <v>0</v>
      </c>
      <c r="W41" s="140">
        <f t="shared" si="3"/>
        <v>220623.41680853631</v>
      </c>
      <c r="X41" s="173">
        <f>'PSUT_Data&amp;Method_2013'!H594</f>
        <v>20695</v>
      </c>
      <c r="Y41" s="173">
        <f>'PSUT_Data&amp;Method_2013'!H603</f>
        <v>522.8891953063885</v>
      </c>
      <c r="Z41" s="76"/>
      <c r="AA41" s="158">
        <f t="shared" si="4"/>
        <v>241841.30600384271</v>
      </c>
      <c r="AB41" s="74"/>
    </row>
    <row r="42" spans="1:28" ht="12" customHeight="1" x14ac:dyDescent="0.2">
      <c r="A42" s="1781"/>
      <c r="B42" s="144" t="s">
        <v>46</v>
      </c>
      <c r="C42" s="173">
        <f>'PSUT_Data&amp;Method_2013'!H412</f>
        <v>650500.94730502134</v>
      </c>
      <c r="D42" s="173">
        <f>'PSUT_Data&amp;Method_2013'!H421</f>
        <v>51.030504000000001</v>
      </c>
      <c r="E42" s="173">
        <f>'PSUT_Data&amp;Method_2013'!H430</f>
        <v>6.2332307099999991</v>
      </c>
      <c r="F42" s="173">
        <f>'PSUT_Data&amp;Method_2013'!H439</f>
        <v>0</v>
      </c>
      <c r="G42" s="173">
        <f>'PSUT_Data&amp;Method_2013'!H448</f>
        <v>0</v>
      </c>
      <c r="H42" s="173">
        <f>'PSUT_Data&amp;Method_2013'!H457</f>
        <v>0</v>
      </c>
      <c r="I42" s="173">
        <f>'PSUT_Data&amp;Method_2013'!H466</f>
        <v>0</v>
      </c>
      <c r="J42" s="173">
        <f>'PSUT_Data&amp;Method_2013'!H475</f>
        <v>0</v>
      </c>
      <c r="K42" s="173">
        <f>'PSUT_Data&amp;Method_2013'!H484</f>
        <v>141.92012135807559</v>
      </c>
      <c r="L42" s="173">
        <f>'PSUT_Data&amp;Method_2013'!H493</f>
        <v>0</v>
      </c>
      <c r="M42" s="173">
        <f>'PSUT_Data&amp;Method_2013'!H502</f>
        <v>5.1572407916317804</v>
      </c>
      <c r="N42" s="173">
        <f>'PSUT_Data&amp;Method_2013'!H511</f>
        <v>0</v>
      </c>
      <c r="O42" s="173">
        <f>'PSUT_Data&amp;Method_2013'!H520</f>
        <v>0</v>
      </c>
      <c r="P42" s="173">
        <f>'PSUT_Data&amp;Method_2013'!H529</f>
        <v>0</v>
      </c>
      <c r="Q42" s="173">
        <f>'PSUT_Data&amp;Method_2013'!H538</f>
        <v>0</v>
      </c>
      <c r="R42" s="173">
        <f>'PSUT_Data&amp;Method_2013'!H547</f>
        <v>0</v>
      </c>
      <c r="S42" s="173">
        <f>'PSUT_Data&amp;Method_2013'!H556</f>
        <v>246.72983727867833</v>
      </c>
      <c r="T42" s="173">
        <f>'PSUT_Data&amp;Method_2013'!H565</f>
        <v>0</v>
      </c>
      <c r="U42" s="173">
        <f>'PSUT_Data&amp;Method_2013'!H574</f>
        <v>0.16117641237113403</v>
      </c>
      <c r="V42" s="173">
        <f>'PSUT_Data&amp;Method_2013'!H583</f>
        <v>0</v>
      </c>
      <c r="W42" s="140">
        <f t="shared" si="3"/>
        <v>650952.1794155722</v>
      </c>
      <c r="X42" s="173">
        <f>'PSUT_Data&amp;Method_2013'!H595</f>
        <v>10348</v>
      </c>
      <c r="Y42" s="173">
        <f>'PSUT_Data&amp;Method_2013'!H604</f>
        <v>0</v>
      </c>
      <c r="Z42" s="76"/>
      <c r="AA42" s="158">
        <f>W42+X42+Y42</f>
        <v>661300.1794155722</v>
      </c>
      <c r="AB42" s="74"/>
    </row>
    <row r="43" spans="1:28" ht="12" customHeight="1" x14ac:dyDescent="0.2">
      <c r="A43" s="1782"/>
      <c r="B43" s="153" t="s">
        <v>47</v>
      </c>
      <c r="C43" s="174">
        <f>'PSUT_Data&amp;Method_2013'!H413</f>
        <v>0</v>
      </c>
      <c r="D43" s="174">
        <f>'PSUT_Data&amp;Method_2013'!H422</f>
        <v>0</v>
      </c>
      <c r="E43" s="174">
        <f>'PSUT_Data&amp;Method_2013'!H431</f>
        <v>0</v>
      </c>
      <c r="F43" s="174">
        <f>'PSUT_Data&amp;Method_2013'!H440</f>
        <v>0</v>
      </c>
      <c r="G43" s="174">
        <f>'PSUT_Data&amp;Method_2013'!H449</f>
        <v>0</v>
      </c>
      <c r="H43" s="174">
        <f>'PSUT_Data&amp;Method_2013'!H458</f>
        <v>0</v>
      </c>
      <c r="I43" s="174">
        <f>'PSUT_Data&amp;Method_2013'!H467</f>
        <v>0</v>
      </c>
      <c r="J43" s="174">
        <f>'PSUT_Data&amp;Method_2013'!H476</f>
        <v>0</v>
      </c>
      <c r="K43" s="174">
        <f>'PSUT_Data&amp;Method_2013'!H485</f>
        <v>0</v>
      </c>
      <c r="L43" s="174">
        <f>'PSUT_Data&amp;Method_2013'!H494</f>
        <v>0</v>
      </c>
      <c r="M43" s="174">
        <f>'PSUT_Data&amp;Method_2013'!H503</f>
        <v>0</v>
      </c>
      <c r="N43" s="174">
        <f>'PSUT_Data&amp;Method_2013'!H512</f>
        <v>0</v>
      </c>
      <c r="O43" s="174">
        <f>'PSUT_Data&amp;Method_2013'!H521</f>
        <v>0</v>
      </c>
      <c r="P43" s="174">
        <f>'PSUT_Data&amp;Method_2013'!H530</f>
        <v>0</v>
      </c>
      <c r="Q43" s="174">
        <f>'PSUT_Data&amp;Method_2013'!H539</f>
        <v>0</v>
      </c>
      <c r="R43" s="174">
        <f>'PSUT_Data&amp;Method_2013'!H548</f>
        <v>0</v>
      </c>
      <c r="S43" s="174">
        <f>'PSUT_Data&amp;Method_2013'!H557</f>
        <v>0</v>
      </c>
      <c r="T43" s="174">
        <f>'PSUT_Data&amp;Method_2013'!H566</f>
        <v>0</v>
      </c>
      <c r="U43" s="174">
        <f>'PSUT_Data&amp;Method_2013'!H575</f>
        <v>0</v>
      </c>
      <c r="V43" s="174">
        <f>'PSUT_Data&amp;Method_2013'!H584</f>
        <v>0</v>
      </c>
      <c r="W43" s="138">
        <f t="shared" si="3"/>
        <v>0</v>
      </c>
      <c r="X43" s="174">
        <f>'PSUT_Data&amp;Method_2013'!H596</f>
        <v>10348</v>
      </c>
      <c r="Y43" s="174">
        <f>'PSUT_Data&amp;Method_2013'!H605</f>
        <v>0</v>
      </c>
      <c r="Z43" s="76"/>
      <c r="AA43" s="157">
        <f>W43+X43+Y43</f>
        <v>10348</v>
      </c>
      <c r="AB43" s="74"/>
    </row>
    <row r="44" spans="1:28" ht="12" customHeight="1" x14ac:dyDescent="0.2">
      <c r="A44" s="1783" t="s">
        <v>163</v>
      </c>
      <c r="B44" s="1784"/>
      <c r="C44" s="151">
        <f t="shared" ref="C44:V44" si="5">SUM(C35,C38)</f>
        <v>1474325.5673850428</v>
      </c>
      <c r="D44" s="151">
        <f>SUM(D35,D38)</f>
        <v>21343.720169232554</v>
      </c>
      <c r="E44" s="151">
        <f t="shared" si="5"/>
        <v>515516.1363586238</v>
      </c>
      <c r="F44" s="151">
        <f t="shared" si="5"/>
        <v>328653.69837318669</v>
      </c>
      <c r="G44" s="151">
        <f t="shared" si="5"/>
        <v>2570.3302400000002</v>
      </c>
      <c r="H44" s="151">
        <f t="shared" si="5"/>
        <v>0</v>
      </c>
      <c r="I44" s="151">
        <f t="shared" si="5"/>
        <v>0</v>
      </c>
      <c r="J44" s="151">
        <f t="shared" si="5"/>
        <v>0</v>
      </c>
      <c r="K44" s="151">
        <f t="shared" si="5"/>
        <v>12972.195091540892</v>
      </c>
      <c r="L44" s="151">
        <f t="shared" si="5"/>
        <v>0</v>
      </c>
      <c r="M44" s="151">
        <f t="shared" si="5"/>
        <v>62.479223265858586</v>
      </c>
      <c r="N44" s="151">
        <f t="shared" si="5"/>
        <v>0</v>
      </c>
      <c r="O44" s="151">
        <f t="shared" si="5"/>
        <v>0</v>
      </c>
      <c r="P44" s="151">
        <f t="shared" si="5"/>
        <v>0</v>
      </c>
      <c r="Q44" s="151">
        <f t="shared" si="5"/>
        <v>0</v>
      </c>
      <c r="R44" s="151">
        <f t="shared" si="5"/>
        <v>179497.86400000003</v>
      </c>
      <c r="S44" s="151">
        <f t="shared" si="5"/>
        <v>3447.7778158871602</v>
      </c>
      <c r="T44" s="151">
        <f t="shared" si="5"/>
        <v>0</v>
      </c>
      <c r="U44" s="151">
        <f t="shared" si="5"/>
        <v>10.714873014735879</v>
      </c>
      <c r="V44" s="151">
        <f t="shared" si="5"/>
        <v>0</v>
      </c>
      <c r="W44" s="151">
        <f>SUM(C44:V44)</f>
        <v>2538400.483529795</v>
      </c>
      <c r="X44" s="151">
        <f>SUM(X35,X38)</f>
        <v>82781</v>
      </c>
      <c r="Y44" s="151">
        <f>SUM(Y35,Y38)</f>
        <v>5211.6544753063881</v>
      </c>
      <c r="Z44" s="76"/>
      <c r="AA44" s="159">
        <f>W44+X44+Y44</f>
        <v>2626393.1380051011</v>
      </c>
      <c r="AB44" s="74"/>
    </row>
    <row r="45" spans="1:28" ht="12" customHeight="1" x14ac:dyDescent="0.2">
      <c r="A45" s="1785" t="s">
        <v>164</v>
      </c>
      <c r="B45" s="1785"/>
      <c r="C45" s="139">
        <f t="shared" ref="C45:V45" si="6">SUM(C24-C44)</f>
        <v>11625943.378715385</v>
      </c>
      <c r="D45" s="139">
        <f t="shared" si="6"/>
        <v>1066.280103117504</v>
      </c>
      <c r="E45" s="139">
        <f t="shared" si="6"/>
        <v>151185.62992350146</v>
      </c>
      <c r="F45" s="139">
        <f t="shared" si="6"/>
        <v>17297.563072272984</v>
      </c>
      <c r="G45" s="139">
        <f t="shared" si="6"/>
        <v>50703.50010827103</v>
      </c>
      <c r="H45" s="139">
        <f t="shared" si="6"/>
        <v>0</v>
      </c>
      <c r="I45" s="139">
        <f t="shared" si="6"/>
        <v>0</v>
      </c>
      <c r="J45" s="139">
        <f t="shared" si="6"/>
        <v>0</v>
      </c>
      <c r="K45" s="139">
        <f t="shared" si="6"/>
        <v>3700.4149084591081</v>
      </c>
      <c r="L45" s="139">
        <f t="shared" si="6"/>
        <v>0</v>
      </c>
      <c r="M45" s="139">
        <f t="shared" si="6"/>
        <v>13.611322139488699</v>
      </c>
      <c r="N45" s="139">
        <f t="shared" si="6"/>
        <v>0</v>
      </c>
      <c r="O45" s="139">
        <f t="shared" si="6"/>
        <v>0</v>
      </c>
      <c r="P45" s="139">
        <f t="shared" si="6"/>
        <v>0</v>
      </c>
      <c r="Q45" s="139">
        <f t="shared" si="6"/>
        <v>0</v>
      </c>
      <c r="R45" s="139">
        <f t="shared" si="6"/>
        <v>45007.581399999966</v>
      </c>
      <c r="S45" s="139">
        <f t="shared" si="6"/>
        <v>861.94444968661037</v>
      </c>
      <c r="T45" s="139">
        <f t="shared" si="6"/>
        <v>0</v>
      </c>
      <c r="U45" s="139">
        <f t="shared" si="6"/>
        <v>132.68839873822006</v>
      </c>
      <c r="V45" s="139">
        <f t="shared" si="6"/>
        <v>0</v>
      </c>
      <c r="W45" s="151">
        <f>SUM(C45:V45)</f>
        <v>11895912.592401573</v>
      </c>
      <c r="X45" s="139">
        <f>SUM(X24-X44)</f>
        <v>133912.69650340232</v>
      </c>
      <c r="Y45" s="139">
        <f>SUM(Y24-Y44)</f>
        <v>1302.9136146936116</v>
      </c>
      <c r="Z45" s="161"/>
      <c r="AA45" s="157">
        <f>W45+X45+Y45</f>
        <v>12031128.20251967</v>
      </c>
      <c r="AB45" s="74"/>
    </row>
    <row r="46" spans="1:28" customFormat="1" ht="5.25" customHeight="1" x14ac:dyDescent="0.25"/>
    <row r="47" spans="1:28" ht="22.5" customHeight="1" x14ac:dyDescent="0.2">
      <c r="A47" s="1776" t="s">
        <v>37</v>
      </c>
      <c r="B47" s="1776"/>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row>
    <row r="48" spans="1:28" ht="22.5" customHeight="1" x14ac:dyDescent="0.2">
      <c r="A48" s="1777" t="s">
        <v>143</v>
      </c>
      <c r="B48" s="1778"/>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row>
    <row r="49" spans="1:28" ht="32.25" customHeight="1" x14ac:dyDescent="0.2">
      <c r="A49" s="1779" t="s">
        <v>144</v>
      </c>
      <c r="B49" s="1779"/>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row>
    <row r="50" spans="1:28" x14ac:dyDescent="0.2">
      <c r="C50" s="80"/>
      <c r="D50" s="80"/>
      <c r="E50" s="80"/>
      <c r="F50" s="80"/>
      <c r="G50" s="81"/>
      <c r="H50" s="81"/>
      <c r="I50" s="81"/>
      <c r="J50" s="81"/>
      <c r="K50" s="80"/>
      <c r="L50" s="80"/>
      <c r="M50" s="80"/>
      <c r="N50" s="80"/>
      <c r="O50" s="80"/>
      <c r="P50" s="80"/>
      <c r="Q50" s="80"/>
      <c r="R50" s="80"/>
      <c r="S50" s="80"/>
      <c r="T50" s="80"/>
      <c r="U50" s="80"/>
      <c r="V50" s="80"/>
      <c r="W50" s="80"/>
      <c r="X50" s="80"/>
      <c r="Y50" s="80"/>
      <c r="Z50" s="80"/>
      <c r="AA50" s="80"/>
      <c r="AB50" s="80"/>
    </row>
  </sheetData>
  <mergeCells count="28">
    <mergeCell ref="A6:A22"/>
    <mergeCell ref="C3:U3"/>
    <mergeCell ref="W3:W4"/>
    <mergeCell ref="Y3:Y4"/>
    <mergeCell ref="Z3:Z4"/>
    <mergeCell ref="AA3:AA4"/>
    <mergeCell ref="A3:B4"/>
    <mergeCell ref="C1:AA1"/>
    <mergeCell ref="C2:AA2"/>
    <mergeCell ref="X32:X33"/>
    <mergeCell ref="Y32:Y33"/>
    <mergeCell ref="Z32:Z33"/>
    <mergeCell ref="A24:B24"/>
    <mergeCell ref="A26:B26"/>
    <mergeCell ref="A27:B27"/>
    <mergeCell ref="A28:B28"/>
    <mergeCell ref="A31:AA31"/>
    <mergeCell ref="A30:AB30"/>
    <mergeCell ref="AA32:AA33"/>
    <mergeCell ref="A32:B34"/>
    <mergeCell ref="C32:W32"/>
    <mergeCell ref="A49:B49"/>
    <mergeCell ref="A35:A37"/>
    <mergeCell ref="A38:A43"/>
    <mergeCell ref="A44:B44"/>
    <mergeCell ref="A45:B45"/>
    <mergeCell ref="A47:B47"/>
    <mergeCell ref="A48:B48"/>
  </mergeCells>
  <hyperlinks>
    <hyperlink ref="D6" location="'PSUT_Data&amp;Method_2013'!H20" display="'PSUT_Data&amp;Method_2013'!H20"/>
    <hyperlink ref="C7" location="'PSUT_Data&amp;Method_2013'!H3" display="'PSUT_Data&amp;Method_2013'!H3"/>
    <hyperlink ref="C8" location="'PSUT_Data&amp;Method_2013'!H4" display="'PSUT_Data&amp;Method_2013'!H4"/>
    <hyperlink ref="C9" location="'PSUT_Data&amp;Method_2013'!H5" display="'PSUT_Data&amp;Method_2013'!H5"/>
    <hyperlink ref="C10" location="'PSUT_Data&amp;Method_2013'!H6" display="'PSUT_Data&amp;Method_2013'!H6"/>
    <hyperlink ref="C12" location="'PSUT_Data&amp;Method_2013'!H8" display="'PSUT_Data&amp;Method_2013'!H8"/>
    <hyperlink ref="C13" location="'PSUT_Data&amp;Method_2013'!H9" display="'PSUT_Data&amp;Method_2013'!H9"/>
    <hyperlink ref="C14" location="'PSUT_Data&amp;Method_2013'!H10" display="'PSUT_Data&amp;Method_2013'!H10"/>
    <hyperlink ref="C19" location="'PSUT_Data&amp;Method_2013'!H15" display="'PSUT_Data&amp;Method_2013'!H15"/>
    <hyperlink ref="C20" location="'PSUT_Data&amp;Method_2013'!H16" display="'PSUT_Data&amp;Method_2013'!H16"/>
    <hyperlink ref="C21" location="'PSUT_Data&amp;Method_2013'!H17" display="'PSUT_Data&amp;Method_2013'!H17"/>
    <hyperlink ref="C22" location="'PSUT_Data&amp;Method_2013'!H18" display="'PSUT_Data&amp;Method_2013'!H18"/>
    <hyperlink ref="C23" location="'PSUT_Data&amp;Method_2013'!H19" display="'PSUT_Data&amp;Method_2013'!H19"/>
    <hyperlink ref="D7" location="'PSUT_Data&amp;Method_2013'!H21" display="'PSUT_Data&amp;Method_2013'!H21"/>
    <hyperlink ref="D8" location="'PSUT_Data&amp;Method_2013'!H22" display="'PSUT_Data&amp;Method_2013'!H22"/>
    <hyperlink ref="D9" location="'PSUT_Data&amp;Method_2013'!H23" display="'PSUT_Data&amp;Method_2013'!H23"/>
    <hyperlink ref="D10" location="'PSUT_Data&amp;Method_2013'!H24" display="'PSUT_Data&amp;Method_2013'!H24"/>
    <hyperlink ref="D12" location="'PSUT_Data&amp;Method_2013'!H26" display="'PSUT_Data&amp;Method_2013'!H26"/>
    <hyperlink ref="D13" location="'PSUT_Data&amp;Method_2013'!H27" display="'PSUT_Data&amp;Method_2013'!H27"/>
    <hyperlink ref="D14" location="'PSUT_Data&amp;Method_2013'!H28" display="'PSUT_Data&amp;Method_2013'!H28"/>
    <hyperlink ref="D15" location="'PSUT_Data&amp;Method_2013'!H29" display="'PSUT_Data&amp;Method_2013'!H29"/>
    <hyperlink ref="D16" location="'PSUT_Data&amp;Method_2013'!H30" display="'PSUT_Data&amp;Method_2013'!H30"/>
    <hyperlink ref="C35" location="'PSUT_Data&amp;Method_2013'!H405" display="'PSUT_Data&amp;Method_2013'!H405"/>
    <hyperlink ref="C6" location="'PSUT_Data&amp;Method_2013'!H2" display="'PSUT_Data&amp;Method_2013'!H2"/>
    <hyperlink ref="C18" location="'PSUT_Data&amp;Method_2013'!H14" display="'PSUT_Data&amp;Method_2013'!H14"/>
    <hyperlink ref="D17:D23" location="'PSUT_Data&amp;Method_2012'!H30" display="'PSUT_Data&amp;Method_2012'!H30"/>
    <hyperlink ref="D17" location="'PSUT_Data&amp;Method_2013'!H31" display="'PSUT_Data&amp;Method_2013'!H31"/>
    <hyperlink ref="D18" location="'PSUT_Data&amp;Method_2013'!H32" display="'PSUT_Data&amp;Method_2013'!H32"/>
    <hyperlink ref="D19" location="'PSUT_Data&amp;Method_2013'!H33" display="'PSUT_Data&amp;Method_2013'!H33"/>
    <hyperlink ref="D20" location="'PSUT_Data&amp;Method_2013'!H34" display="'PSUT_Data&amp;Method_2013'!H34"/>
    <hyperlink ref="D21" location="'PSUT_Data&amp;Method_2013'!H35" display="'PSUT_Data&amp;Method_2013'!H35"/>
    <hyperlink ref="D22" location="'PSUT_Data&amp;Method_2013'!H36" display="'PSUT_Data&amp;Method_2013'!H36"/>
    <hyperlink ref="D23" location="'PSUT_Data&amp;Method_2013'!H37" display="'PSUT_Data&amp;Method_2013'!H37"/>
    <hyperlink ref="E6" location="'PSUT_Data&amp;Method_2013'!H38" display="'PSUT_Data&amp;Method_2013'!H38"/>
    <hyperlink ref="E7:E23" location="'PSUT_Data&amp;Method_2012'!H38" display="'PSUT_Data&amp;Method_2012'!H38"/>
    <hyperlink ref="E7" location="'PSUT_Data&amp;Method_2013'!H39" display="'PSUT_Data&amp;Method_2013'!H39"/>
    <hyperlink ref="E8" location="'PSUT_Data&amp;Method_2013'!H40" display="'PSUT_Data&amp;Method_2013'!H40"/>
    <hyperlink ref="E9" location="'PSUT_Data&amp;Method_2013'!H41" display="'PSUT_Data&amp;Method_2013'!H41"/>
    <hyperlink ref="E10" location="'PSUT_Data&amp;Method_2013'!H42" display="'PSUT_Data&amp;Method_2013'!H42"/>
    <hyperlink ref="E11" location="'PSUT_Data&amp;Method_2013'!H43" display="'PSUT_Data&amp;Method_2013'!H43"/>
    <hyperlink ref="E12" location="'PSUT_Data&amp;Method_2013'!H44" display="'PSUT_Data&amp;Method_2013'!H44"/>
    <hyperlink ref="E13" location="'PSUT_Data&amp;Method_2013'!H45" display="'PSUT_Data&amp;Method_2013'!H45"/>
    <hyperlink ref="E14" location="'PSUT_Data&amp;Method_2013'!H46" display="'PSUT_Data&amp;Method_2013'!H46"/>
    <hyperlink ref="E15" location="'PSUT_Data&amp;Method_2013'!H47" display="'PSUT_Data&amp;Method_2013'!H47"/>
    <hyperlink ref="E16" location="'PSUT_Data&amp;Method_2013'!H48" display="'PSUT_Data&amp;Method_2013'!H48"/>
    <hyperlink ref="E17" location="'PSUT_Data&amp;Method_2013'!H49" display="'PSUT_Data&amp;Method_2013'!H49"/>
    <hyperlink ref="E18" location="'PSUT_Data&amp;Method_2013'!H50" display="'PSUT_Data&amp;Method_2013'!H50"/>
    <hyperlink ref="E19" location="'PSUT_Data&amp;Method_2013'!H51" display="'PSUT_Data&amp;Method_2013'!H51"/>
    <hyperlink ref="E20" location="'PSUT_Data&amp;Method_2013'!H52" display="'PSUT_Data&amp;Method_2013'!H52"/>
    <hyperlink ref="E21" location="'PSUT_Data&amp;Method_2013'!H53" display="'PSUT_Data&amp;Method_2013'!H53"/>
    <hyperlink ref="E22" location="'PSUT_Data&amp;Method_2013'!H54" display="'PSUT_Data&amp;Method_2013'!H54"/>
    <hyperlink ref="E23" location="'PSUT_Data&amp;Method_2013'!H55" display="'PSUT_Data&amp;Method_2013'!H55"/>
    <hyperlink ref="F6" location="'PSUT_Data&amp;Method_2013'!H56" display="'PSUT_Data&amp;Method_2013'!H56"/>
    <hyperlink ref="F7:F23" location="'PSUT_Data&amp;Method_2012'!H56" display="'PSUT_Data&amp;Method_2012'!H56"/>
    <hyperlink ref="F7" location="'PSUT_Data&amp;Method_2013'!H57" display="'PSUT_Data&amp;Method_2013'!H57"/>
    <hyperlink ref="F8" location="'PSUT_Data&amp;Method_2013'!H58" display="'PSUT_Data&amp;Method_2013'!H58"/>
    <hyperlink ref="F9" location="'PSUT_Data&amp;Method_2013'!H59" display="'PSUT_Data&amp;Method_2013'!H59"/>
    <hyperlink ref="F10" location="'PSUT_Data&amp;Method_2013'!H60" display="'PSUT_Data&amp;Method_2013'!H60"/>
    <hyperlink ref="F11" location="'PSUT_Data&amp;Method_2013'!H61" display="'PSUT_Data&amp;Method_2013'!H61"/>
    <hyperlink ref="F12" location="'PSUT_Data&amp;Method_2013'!H62" display="'PSUT_Data&amp;Method_2013'!H62"/>
    <hyperlink ref="F13" location="'PSUT_Data&amp;Method_2013'!H63" display="'PSUT_Data&amp;Method_2013'!H63"/>
    <hyperlink ref="F14" location="'PSUT_Data&amp;Method_2013'!H64" display="'PSUT_Data&amp;Method_2013'!H64"/>
    <hyperlink ref="F15" location="'PSUT_Data&amp;Method_2013'!H65" display="'PSUT_Data&amp;Method_2013'!H65"/>
    <hyperlink ref="F16" location="'PSUT_Data&amp;Method_2013'!H66" display="'PSUT_Data&amp;Method_2013'!H66"/>
    <hyperlink ref="F17" location="'PSUT_Data&amp;Method_2013'!H67" display="'PSUT_Data&amp;Method_2013'!H67"/>
    <hyperlink ref="F18" location="'PSUT_Data&amp;Method_2013'!H68" display="'PSUT_Data&amp;Method_2013'!H68"/>
    <hyperlink ref="F19" location="'PSUT_Data&amp;Method_2013'!H69" display="'PSUT_Data&amp;Method_2013'!H69"/>
    <hyperlink ref="F20" location="'PSUT_Data&amp;Method_2013'!H70" display="'PSUT_Data&amp;Method_2013'!H70"/>
    <hyperlink ref="F21" location="'PSUT_Data&amp;Method_2013'!H71" display="'PSUT_Data&amp;Method_2013'!H71"/>
    <hyperlink ref="F22" location="'PSUT_Data&amp;Method_2013'!H72" display="'PSUT_Data&amp;Method_2013'!H72"/>
    <hyperlink ref="F23" location="'PSUT_Data&amp;Method_2013'!H73" display="'PSUT_Data&amp;Method_2013'!H73"/>
    <hyperlink ref="G6" location="'PSUT_Data&amp;Method_2013'!H74" display="'PSUT_Data&amp;Method_2013'!H74"/>
    <hyperlink ref="G7:G23" location="'PSUT_Data&amp;Method_2012'!H74" display="'PSUT_Data&amp;Method_2012'!H74"/>
    <hyperlink ref="G7" location="'PSUT_Data&amp;Method_2013'!H75" display="'PSUT_Data&amp;Method_2013'!H75"/>
    <hyperlink ref="G8" location="'PSUT_Data&amp;Method_2013'!H76" display="'PSUT_Data&amp;Method_2013'!H76"/>
    <hyperlink ref="G9" location="'PSUT_Data&amp;Method_2013'!H77" display="'PSUT_Data&amp;Method_2013'!H77"/>
    <hyperlink ref="G10" location="'PSUT_Data&amp;Method_2013'!H78" display="'PSUT_Data&amp;Method_2013'!H78"/>
    <hyperlink ref="G11" location="'PSUT_Data&amp;Method_2013'!H79" display="'PSUT_Data&amp;Method_2013'!H79"/>
    <hyperlink ref="G12" location="'PSUT_Data&amp;Method_2013'!H80" display="'PSUT_Data&amp;Method_2013'!H80"/>
    <hyperlink ref="G13" location="'PSUT_Data&amp;Method_2013'!H81" display="'PSUT_Data&amp;Method_2013'!H81"/>
    <hyperlink ref="G14" location="'PSUT_Data&amp;Method_2013'!H82" display="'PSUT_Data&amp;Method_2013'!H82"/>
    <hyperlink ref="G15" location="'PSUT_Data&amp;Method_2013'!H83" display="'PSUT_Data&amp;Method_2013'!H83"/>
    <hyperlink ref="G16" location="'PSUT_Data&amp;Method_2013'!H84" display="'PSUT_Data&amp;Method_2013'!H84"/>
    <hyperlink ref="G17" location="'PSUT_Data&amp;Method_2013'!H85" display="'PSUT_Data&amp;Method_2013'!H85"/>
    <hyperlink ref="G18" location="'PSUT_Data&amp;Method_2013'!H86" display="'PSUT_Data&amp;Method_2013'!H86"/>
    <hyperlink ref="G19" location="'PSUT_Data&amp;Method_2013'!H87" display="'PSUT_Data&amp;Method_2013'!H87"/>
    <hyperlink ref="G20" location="'PSUT_Data&amp;Method_2013'!H88" display="'PSUT_Data&amp;Method_2013'!H88"/>
    <hyperlink ref="G21" location="'PSUT_Data&amp;Method_2013'!H89" display="'PSUT_Data&amp;Method_2013'!H89"/>
    <hyperlink ref="G22" location="'PSUT_Data&amp;Method_2013'!H90" display="'PSUT_Data&amp;Method_2013'!H90"/>
    <hyperlink ref="G23" location="'PSUT_Data&amp;Method_2013'!H91" display="'PSUT_Data&amp;Method_2013'!H91"/>
    <hyperlink ref="H6" location="'PSUT_Data&amp;Method_2013'!H92" display="'PSUT_Data&amp;Method_2013'!H92"/>
    <hyperlink ref="H7:H23" location="'PSUT_Data&amp;Method_2012'!H92" display="'PSUT_Data&amp;Method_2012'!H92"/>
    <hyperlink ref="H7" location="'PSUT_Data&amp;Method_2013'!H93" display="'PSUT_Data&amp;Method_2013'!H93"/>
    <hyperlink ref="H8" location="'PSUT_Data&amp;Method_2013'!H94" display="'PSUT_Data&amp;Method_2013'!H94"/>
    <hyperlink ref="H9" location="'PSUT_Data&amp;Method_2013'!H95" display="'PSUT_Data&amp;Method_2013'!H95"/>
    <hyperlink ref="H10" location="'PSUT_Data&amp;Method_2013'!H96" display="'PSUT_Data&amp;Method_2013'!H96"/>
    <hyperlink ref="H11" location="'PSUT_Data&amp;Method_2013'!H97" display="'PSUT_Data&amp;Method_2013'!H97"/>
    <hyperlink ref="H12" location="'PSUT_Data&amp;Method_2013'!H98" display="'PSUT_Data&amp;Method_2013'!H98"/>
    <hyperlink ref="H13" location="'PSUT_Data&amp;Method_2013'!H99" display="'PSUT_Data&amp;Method_2013'!H99"/>
    <hyperlink ref="H14" location="'PSUT_Data&amp;Method_2013'!H100" display="'PSUT_Data&amp;Method_2013'!H100"/>
    <hyperlink ref="H15" location="'PSUT_Data&amp;Method_2013'!H101" display="'PSUT_Data&amp;Method_2013'!H101"/>
    <hyperlink ref="H16" location="'PSUT_Data&amp;Method_2013'!H102" display="'PSUT_Data&amp;Method_2013'!H102"/>
    <hyperlink ref="H17" location="'PSUT_Data&amp;Method_2013'!H103" display="'PSUT_Data&amp;Method_2013'!H103"/>
    <hyperlink ref="H18" location="'PSUT_Data&amp;Method_2013'!H104" display="'PSUT_Data&amp;Method_2013'!H104"/>
    <hyperlink ref="H19" location="'PSUT_Data&amp;Method_2013'!H105" display="'PSUT_Data&amp;Method_2013'!H105"/>
    <hyperlink ref="H20" location="'PSUT_Data&amp;Method_2013'!H106" display="'PSUT_Data&amp;Method_2013'!H106"/>
    <hyperlink ref="H21" location="'PSUT_Data&amp;Method_2013'!H107" display="'PSUT_Data&amp;Method_2013'!H107"/>
    <hyperlink ref="H22" location="'PSUT_Data&amp;Method_2013'!H108" display="'PSUT_Data&amp;Method_2013'!H108"/>
    <hyperlink ref="H23" location="'PSUT_Data&amp;Method_2013'!H109" display="'PSUT_Data&amp;Method_2013'!H109"/>
    <hyperlink ref="I6" location="'PSUT_Data&amp;Method_2013'!H110" display="'PSUT_Data&amp;Method_2013'!H110"/>
    <hyperlink ref="I7:I23" location="'PSUT_Data&amp;Method_2012'!H110" display="'PSUT_Data&amp;Method_2012'!H110"/>
    <hyperlink ref="I7" location="'PSUT_Data&amp;Method_2013'!H111" display="'PSUT_Data&amp;Method_2013'!H111"/>
    <hyperlink ref="I8" location="'PSUT_Data&amp;Method_2013'!H112" display="'PSUT_Data&amp;Method_2013'!H112"/>
    <hyperlink ref="I9" location="'PSUT_Data&amp;Method_2013'!H113" display="'PSUT_Data&amp;Method_2013'!H113"/>
    <hyperlink ref="I10" location="'PSUT_Data&amp;Method_2013'!H114" display="'PSUT_Data&amp;Method_2013'!H114"/>
    <hyperlink ref="I11" location="'PSUT_Data&amp;Method_2013'!H115" display="'PSUT_Data&amp;Method_2013'!H115"/>
    <hyperlink ref="I12" location="'PSUT_Data&amp;Method_2013'!H116" display="'PSUT_Data&amp;Method_2013'!H116"/>
    <hyperlink ref="I13" location="'PSUT_Data&amp;Method_2013'!H117" display="'PSUT_Data&amp;Method_2013'!H117"/>
    <hyperlink ref="I14" location="'PSUT_Data&amp;Method_2013'!H118" display="'PSUT_Data&amp;Method_2013'!H118"/>
    <hyperlink ref="I15" location="'PSUT_Data&amp;Method_2013'!H119" display="'PSUT_Data&amp;Method_2013'!H119"/>
    <hyperlink ref="I16" location="'PSUT_Data&amp;Method_2013'!H120" display="'PSUT_Data&amp;Method_2013'!H120"/>
    <hyperlink ref="I17" location="'PSUT_Data&amp;Method_2013'!H121" display="'PSUT_Data&amp;Method_2013'!H121"/>
    <hyperlink ref="I18" location="'PSUT_Data&amp;Method_2013'!H122" display="'PSUT_Data&amp;Method_2013'!H122"/>
    <hyperlink ref="I19" location="'PSUT_Data&amp;Method_2013'!H123" display="'PSUT_Data&amp;Method_2013'!H123"/>
    <hyperlink ref="I20" location="'PSUT_Data&amp;Method_2013'!H124" display="'PSUT_Data&amp;Method_2013'!H124"/>
    <hyperlink ref="I21" location="'PSUT_Data&amp;Method_2013'!H125" display="'PSUT_Data&amp;Method_2013'!H125"/>
    <hyperlink ref="I22" location="'PSUT_Data&amp;Method_2013'!H126" display="'PSUT_Data&amp;Method_2013'!H126"/>
    <hyperlink ref="I23" location="'PSUT_Data&amp;Method_2013'!H127" display="'PSUT_Data&amp;Method_2013'!H127"/>
    <hyperlink ref="J6" location="'PSUT_Data&amp;Method_2013'!H128" display="'PSUT_Data&amp;Method_2013'!H128"/>
    <hyperlink ref="J7:J23" location="'PSUT_Data&amp;Method_2012'!H128" display="'PSUT_Data&amp;Method_2012'!H128"/>
    <hyperlink ref="J7" location="'PSUT_Data&amp;Method_2013'!H129" display="'PSUT_Data&amp;Method_2013'!H129"/>
    <hyperlink ref="J8" location="'PSUT_Data&amp;Method_2013'!H130" display="'PSUT_Data&amp;Method_2013'!H130"/>
    <hyperlink ref="J9" location="'PSUT_Data&amp;Method_2013'!H131" display="'PSUT_Data&amp;Method_2013'!H131"/>
    <hyperlink ref="J10" location="'PSUT_Data&amp;Method_2013'!H132" display="'PSUT_Data&amp;Method_2013'!H132"/>
    <hyperlink ref="J11" location="'PSUT_Data&amp;Method_2013'!H133" display="'PSUT_Data&amp;Method_2013'!H133"/>
    <hyperlink ref="J12" location="'PSUT_Data&amp;Method_2013'!H134" display="'PSUT_Data&amp;Method_2013'!H134"/>
    <hyperlink ref="J13" location="'PSUT_Data&amp;Method_2013'!H135" display="'PSUT_Data&amp;Method_2013'!H135"/>
    <hyperlink ref="J14" location="'PSUT_Data&amp;Method_2013'!H136" display="'PSUT_Data&amp;Method_2013'!H136"/>
    <hyperlink ref="J15" location="'PSUT_Data&amp;Method_2013'!H137" display="'PSUT_Data&amp;Method_2013'!H137"/>
    <hyperlink ref="J16" location="'PSUT_Data&amp;Method_2013'!H138" display="'PSUT_Data&amp;Method_2013'!H138"/>
    <hyperlink ref="J17" location="'PSUT_Data&amp;Method_2013'!H139" display="'PSUT_Data&amp;Method_2013'!H139"/>
    <hyperlink ref="J18" location="'PSUT_Data&amp;Method_2013'!H140" display="'PSUT_Data&amp;Method_2013'!H140"/>
    <hyperlink ref="J19" location="'PSUT_Data&amp;Method_2013'!H141" display="'PSUT_Data&amp;Method_2013'!H141"/>
    <hyperlink ref="J20" location="'PSUT_Data&amp;Method_2013'!H142" display="'PSUT_Data&amp;Method_2013'!H142"/>
    <hyperlink ref="J21" location="'PSUT_Data&amp;Method_2013'!H143" display="'PSUT_Data&amp;Method_2013'!H143"/>
    <hyperlink ref="J22" location="'PSUT_Data&amp;Method_2013'!H144" display="'PSUT_Data&amp;Method_2013'!H144"/>
    <hyperlink ref="J23" location="'PSUT_Data&amp;Method_2013'!H145" display="'PSUT_Data&amp;Method_2013'!H145"/>
    <hyperlink ref="K6" location="'PSUT_Data&amp;Method_2013'!H146" display="'PSUT_Data&amp;Method_2013'!H146"/>
    <hyperlink ref="K7:K23" location="'PSUT_Data&amp;Method_2012'!H146" display="'PSUT_Data&amp;Method_2012'!H146"/>
    <hyperlink ref="K7" location="'PSUT_Data&amp;Method_2013'!H147" display="'PSUT_Data&amp;Method_2013'!H147"/>
    <hyperlink ref="K8" location="'PSUT_Data&amp;Method_2013'!H148" display="'PSUT_Data&amp;Method_2013'!H148"/>
    <hyperlink ref="K9" location="'PSUT_Data&amp;Method_2013'!H149" display="'PSUT_Data&amp;Method_2013'!H149"/>
    <hyperlink ref="K10" location="'PSUT_Data&amp;Method_2013'!H150" display="'PSUT_Data&amp;Method_2013'!H150"/>
    <hyperlink ref="K11" location="'PSUT_Data&amp;Method_2013'!H151" display="'PSUT_Data&amp;Method_2013'!H151"/>
    <hyperlink ref="K12" location="'PSUT_Data&amp;Method_2013'!H152" display="'PSUT_Data&amp;Method_2013'!H152"/>
    <hyperlink ref="K13" location="'PSUT_Data&amp;Method_2013'!H153" display="'PSUT_Data&amp;Method_2013'!H153"/>
    <hyperlink ref="K14" location="'PSUT_Data&amp;Method_2013'!H154" display="'PSUT_Data&amp;Method_2013'!H154"/>
    <hyperlink ref="K15" location="'PSUT_Data&amp;Method_2013'!H155" display="'PSUT_Data&amp;Method_2013'!H155"/>
    <hyperlink ref="K16" location="'PSUT_Data&amp;Method_2013'!H156" display="'PSUT_Data&amp;Method_2013'!H156"/>
    <hyperlink ref="K17" location="'PSUT_Data&amp;Method_2013'!H157" display="'PSUT_Data&amp;Method_2013'!H157"/>
    <hyperlink ref="K18" location="'PSUT_Data&amp;Method_2013'!H158" display="'PSUT_Data&amp;Method_2013'!H158"/>
    <hyperlink ref="K19" location="'PSUT_Data&amp;Method_2013'!H159" display="'PSUT_Data&amp;Method_2013'!H159"/>
    <hyperlink ref="K20" location="'PSUT_Data&amp;Method_2013'!H160" display="'PSUT_Data&amp;Method_2013'!H160"/>
    <hyperlink ref="K21" location="'PSUT_Data&amp;Method_2013'!H161" display="'PSUT_Data&amp;Method_2013'!H161"/>
    <hyperlink ref="K22" location="'PSUT_Data&amp;Method_2013'!H162" display="'PSUT_Data&amp;Method_2013'!H162"/>
    <hyperlink ref="K23" location="'PSUT_Data&amp;Method_2013'!H163" display="'PSUT_Data&amp;Method_2013'!H163"/>
    <hyperlink ref="L6" location="'PSUT_Data&amp;Method_2013'!H164" display="'PSUT_Data&amp;Method_2013'!H164"/>
    <hyperlink ref="L7:L23" location="'PSUT_Data&amp;Method_2012'!H164" display="'PSUT_Data&amp;Method_2012'!H164"/>
    <hyperlink ref="L7" location="'PSUT_Data&amp;Method_2013'!H165" display="'PSUT_Data&amp;Method_2013'!H165"/>
    <hyperlink ref="L8" location="'PSUT_Data&amp;Method_2013'!H166" display="'PSUT_Data&amp;Method_2013'!H166"/>
    <hyperlink ref="L9" location="'PSUT_Data&amp;Method_2013'!H167" display="'PSUT_Data&amp;Method_2013'!H167"/>
    <hyperlink ref="L10" location="'PSUT_Data&amp;Method_2013'!H168" display="'PSUT_Data&amp;Method_2013'!H168"/>
    <hyperlink ref="L11" location="'PSUT_Data&amp;Method_2013'!H169" display="'PSUT_Data&amp;Method_2013'!H169"/>
    <hyperlink ref="L12" location="'PSUT_Data&amp;Method_2013'!H170" display="'PSUT_Data&amp;Method_2013'!H170"/>
    <hyperlink ref="L13" location="'PSUT_Data&amp;Method_2013'!H171" display="'PSUT_Data&amp;Method_2013'!H171"/>
    <hyperlink ref="L14" location="'PSUT_Data&amp;Method_2013'!H172" display="'PSUT_Data&amp;Method_2013'!H172"/>
    <hyperlink ref="L15" location="'PSUT_Data&amp;Method_2013'!H173" display="'PSUT_Data&amp;Method_2013'!H173"/>
    <hyperlink ref="L16" location="'PSUT_Data&amp;Method_2013'!H174" display="'PSUT_Data&amp;Method_2013'!H174"/>
    <hyperlink ref="L17" location="'PSUT_Data&amp;Method_2013'!H175" display="'PSUT_Data&amp;Method_2013'!H175"/>
    <hyperlink ref="L18" location="'PSUT_Data&amp;Method_2013'!H176" display="'PSUT_Data&amp;Method_2013'!H176"/>
    <hyperlink ref="L19" location="'PSUT_Data&amp;Method_2013'!H177" display="'PSUT_Data&amp;Method_2013'!H177"/>
    <hyperlink ref="L20" location="'PSUT_Data&amp;Method_2013'!H178" display="'PSUT_Data&amp;Method_2013'!H178"/>
    <hyperlink ref="L21" location="'PSUT_Data&amp;Method_2013'!H179" display="'PSUT_Data&amp;Method_2013'!H179"/>
    <hyperlink ref="L22" location="'PSUT_Data&amp;Method_2013'!H180" display="'PSUT_Data&amp;Method_2013'!H180"/>
    <hyperlink ref="L23" location="'PSUT_Data&amp;Method_2013'!H181" display="'PSUT_Data&amp;Method_2013'!H181"/>
    <hyperlink ref="M6" location="'PSUT_Data&amp;Method_2013'!H182" display="'PSUT_Data&amp;Method_2013'!H182"/>
    <hyperlink ref="M7:M23" location="'PSUT_Data&amp;Method_2012'!H182" display="'PSUT_Data&amp;Method_2012'!H182"/>
    <hyperlink ref="M7" location="'PSUT_Data&amp;Method_2013'!H183" display="'PSUT_Data&amp;Method_2013'!H183"/>
    <hyperlink ref="M8" location="'PSUT_Data&amp;Method_2013'!H184" display="'PSUT_Data&amp;Method_2013'!H184"/>
    <hyperlink ref="M9" location="'PSUT_Data&amp;Method_2013'!H185" display="'PSUT_Data&amp;Method_2013'!H185"/>
    <hyperlink ref="M10" location="'PSUT_Data&amp;Method_2013'!H186" display="'PSUT_Data&amp;Method_2013'!H186"/>
    <hyperlink ref="M11" location="'PSUT_Data&amp;Method_2013'!H187" display="'PSUT_Data&amp;Method_2013'!H187"/>
    <hyperlink ref="M12" location="'PSUT_Data&amp;Method_2013'!H188" display="'PSUT_Data&amp;Method_2013'!H188"/>
    <hyperlink ref="M13" location="'PSUT_Data&amp;Method_2013'!H189" display="'PSUT_Data&amp;Method_2013'!H189"/>
    <hyperlink ref="M14" location="'PSUT_Data&amp;Method_2013'!H190" display="'PSUT_Data&amp;Method_2013'!H190"/>
    <hyperlink ref="M15" location="'PSUT_Data&amp;Method_2013'!H191" display="'PSUT_Data&amp;Method_2013'!H191"/>
    <hyperlink ref="M16" location="'PSUT_Data&amp;Method_2013'!H192" display="'PSUT_Data&amp;Method_2013'!H192"/>
    <hyperlink ref="M17" location="'PSUT_Data&amp;Method_2013'!H193" display="'PSUT_Data&amp;Method_2013'!H193"/>
    <hyperlink ref="M18" location="'PSUT_Data&amp;Method_2013'!H194" display="'PSUT_Data&amp;Method_2013'!H194"/>
    <hyperlink ref="M19" location="'PSUT_Data&amp;Method_2013'!H195" display="'PSUT_Data&amp;Method_2013'!H195"/>
    <hyperlink ref="M20" location="'PSUT_Data&amp;Method_2013'!H196" display="'PSUT_Data&amp;Method_2013'!H196"/>
    <hyperlink ref="M21" location="'PSUT_Data&amp;Method_2013'!H197" display="'PSUT_Data&amp;Method_2013'!H197"/>
    <hyperlink ref="M22" location="'PSUT_Data&amp;Method_2013'!H198" display="'PSUT_Data&amp;Method_2013'!H198"/>
    <hyperlink ref="M23" location="'PSUT_Data&amp;Method_2013'!H199" display="'PSUT_Data&amp;Method_2013'!H199"/>
    <hyperlink ref="N6" location="'PSUT_Data&amp;Method_2013'!H200" display="'PSUT_Data&amp;Method_2013'!H200"/>
    <hyperlink ref="N7:N23" location="'PSUT_Data&amp;Method_2012'!H200" display="'PSUT_Data&amp;Method_2012'!H200"/>
    <hyperlink ref="N7" location="'PSUT_Data&amp;Method_2013'!H201" display="'PSUT_Data&amp;Method_2013'!H201"/>
    <hyperlink ref="N8" location="'PSUT_Data&amp;Method_2013'!H202" display="'PSUT_Data&amp;Method_2013'!H202"/>
    <hyperlink ref="N9" location="'PSUT_Data&amp;Method_2013'!H203" display="'PSUT_Data&amp;Method_2013'!H203"/>
    <hyperlink ref="N10" location="'PSUT_Data&amp;Method_2013'!H204" display="'PSUT_Data&amp;Method_2013'!H204"/>
    <hyperlink ref="N11" location="'PSUT_Data&amp;Method_2013'!H205" display="'PSUT_Data&amp;Method_2013'!H205"/>
    <hyperlink ref="N12" location="'PSUT_Data&amp;Method_2013'!H206" display="'PSUT_Data&amp;Method_2013'!H206"/>
    <hyperlink ref="N13" location="'PSUT_Data&amp;Method_2013'!H207" display="'PSUT_Data&amp;Method_2013'!H207"/>
    <hyperlink ref="N14" location="'PSUT_Data&amp;Method_2013'!H208" display="'PSUT_Data&amp;Method_2013'!H208"/>
    <hyperlink ref="N15" location="'PSUT_Data&amp;Method_2013'!H209" display="'PSUT_Data&amp;Method_2013'!H209"/>
    <hyperlink ref="N16" location="'PSUT_Data&amp;Method_2013'!H210" display="'PSUT_Data&amp;Method_2013'!H210"/>
    <hyperlink ref="N17" location="'PSUT_Data&amp;Method_2013'!H211" display="'PSUT_Data&amp;Method_2013'!H211"/>
    <hyperlink ref="N18" location="'PSUT_Data&amp;Method_2013'!H212" display="'PSUT_Data&amp;Method_2013'!H212"/>
    <hyperlink ref="N19" location="'PSUT_Data&amp;Method_2013'!H213" display="'PSUT_Data&amp;Method_2013'!H213"/>
    <hyperlink ref="N20" location="'PSUT_Data&amp;Method_2013'!H214" display="'PSUT_Data&amp;Method_2013'!H214"/>
    <hyperlink ref="N21" location="'PSUT_Data&amp;Method_2013'!H215" display="'PSUT_Data&amp;Method_2013'!H215"/>
    <hyperlink ref="N22" location="'PSUT_Data&amp;Method_2013'!H216" display="'PSUT_Data&amp;Method_2013'!H216"/>
    <hyperlink ref="N23" location="'PSUT_Data&amp;Method_2013'!H217" display="'PSUT_Data&amp;Method_2013'!H217"/>
    <hyperlink ref="O6" location="'PSUT_Data&amp;Method_2013'!H218" display="'PSUT_Data&amp;Method_2013'!H218"/>
    <hyperlink ref="O7:O23" location="'PSUT_Data&amp;Method_2012'!H218" display="'PSUT_Data&amp;Method_2012'!H218"/>
    <hyperlink ref="O7" location="'PSUT_Data&amp;Method_2013'!H219" display="'PSUT_Data&amp;Method_2013'!H219"/>
    <hyperlink ref="O8" location="'PSUT_Data&amp;Method_2013'!H220" display="'PSUT_Data&amp;Method_2013'!H220"/>
    <hyperlink ref="O9" location="'PSUT_Data&amp;Method_2013'!H221" display="'PSUT_Data&amp;Method_2013'!H221"/>
    <hyperlink ref="O10" location="'PSUT_Data&amp;Method_2013'!H222" display="'PSUT_Data&amp;Method_2013'!H222"/>
    <hyperlink ref="O11" location="'PSUT_Data&amp;Method_2013'!H223" display="'PSUT_Data&amp;Method_2013'!H223"/>
    <hyperlink ref="O12" location="'PSUT_Data&amp;Method_2013'!H224" display="'PSUT_Data&amp;Method_2013'!H224"/>
    <hyperlink ref="O13" location="'PSUT_Data&amp;Method_2013'!H225" display="'PSUT_Data&amp;Method_2013'!H225"/>
    <hyperlink ref="O14" location="'PSUT_Data&amp;Method_2013'!H226" display="'PSUT_Data&amp;Method_2013'!H226"/>
    <hyperlink ref="O15" location="'PSUT_Data&amp;Method_2013'!H227" display="'PSUT_Data&amp;Method_2013'!H227"/>
    <hyperlink ref="O16" location="'PSUT_Data&amp;Method_2013'!H228" display="'PSUT_Data&amp;Method_2013'!H228"/>
    <hyperlink ref="O17" location="'PSUT_Data&amp;Method_2013'!H229" display="'PSUT_Data&amp;Method_2013'!H229"/>
    <hyperlink ref="O18" location="'PSUT_Data&amp;Method_2013'!H230" display="'PSUT_Data&amp;Method_2013'!H230"/>
    <hyperlink ref="O19" location="'PSUT_Data&amp;Method_2013'!H231" display="'PSUT_Data&amp;Method_2013'!H231"/>
    <hyperlink ref="O20" location="'PSUT_Data&amp;Method_2013'!H232" display="'PSUT_Data&amp;Method_2013'!H232"/>
    <hyperlink ref="O21" location="'PSUT_Data&amp;Method_2013'!H233" display="'PSUT_Data&amp;Method_2013'!H233"/>
    <hyperlink ref="O22" location="'PSUT_Data&amp;Method_2013'!H234" display="'PSUT_Data&amp;Method_2013'!H234"/>
    <hyperlink ref="O23" location="'PSUT_Data&amp;Method_2013'!H235" display="'PSUT_Data&amp;Method_2013'!H235"/>
    <hyperlink ref="P6" location="'PSUT_Data&amp;Method_2013'!H236" display="'PSUT_Data&amp;Method_2013'!H236"/>
    <hyperlink ref="P7:P23" location="'PSUT_Data&amp;Method_2012'!H236" display="'PSUT_Data&amp;Method_2012'!H236"/>
    <hyperlink ref="P7" location="'PSUT_Data&amp;Method_2013'!H237" display="'PSUT_Data&amp;Method_2013'!H237"/>
    <hyperlink ref="P8" location="'PSUT_Data&amp;Method_2013'!H238" display="'PSUT_Data&amp;Method_2013'!H238"/>
    <hyperlink ref="P9" location="'PSUT_Data&amp;Method_2013'!H239" display="'PSUT_Data&amp;Method_2013'!H239"/>
    <hyperlink ref="P10" location="'PSUT_Data&amp;Method_2013'!H240" display="'PSUT_Data&amp;Method_2013'!H240"/>
    <hyperlink ref="P11" location="'PSUT_Data&amp;Method_2013'!H241" display="'PSUT_Data&amp;Method_2013'!H241"/>
    <hyperlink ref="P12" location="'PSUT_Data&amp;Method_2013'!H242" display="'PSUT_Data&amp;Method_2013'!H242"/>
    <hyperlink ref="P13" location="'PSUT_Data&amp;Method_2013'!H243" display="'PSUT_Data&amp;Method_2013'!H243"/>
    <hyperlink ref="P14" location="'PSUT_Data&amp;Method_2013'!H244" display="'PSUT_Data&amp;Method_2013'!H244"/>
    <hyperlink ref="P15" location="'PSUT_Data&amp;Method_2013'!H245" display="'PSUT_Data&amp;Method_2013'!H245"/>
    <hyperlink ref="P16" location="'PSUT_Data&amp;Method_2013'!H246" display="'PSUT_Data&amp;Method_2013'!H246"/>
    <hyperlink ref="P17" location="'PSUT_Data&amp;Method_2013'!H247" display="'PSUT_Data&amp;Method_2013'!H247"/>
    <hyperlink ref="P18" location="'PSUT_Data&amp;Method_2013'!H248" display="'PSUT_Data&amp;Method_2013'!H248"/>
    <hyperlink ref="P19" location="'PSUT_Data&amp;Method_2013'!H249" display="'PSUT_Data&amp;Method_2013'!H249"/>
    <hyperlink ref="P20" location="'PSUT_Data&amp;Method_2013'!H250" display="'PSUT_Data&amp;Method_2013'!H250"/>
    <hyperlink ref="P21" location="'PSUT_Data&amp;Method_2013'!H251" display="'PSUT_Data&amp;Method_2013'!H251"/>
    <hyperlink ref="P22" location="'PSUT_Data&amp;Method_2013'!H252" display="'PSUT_Data&amp;Method_2013'!H252"/>
    <hyperlink ref="P23" location="'PSUT_Data&amp;Method_2013'!H253" display="'PSUT_Data&amp;Method_2013'!H253"/>
    <hyperlink ref="Q6" location="'PSUT_Data&amp;Method_2013'!H254" display="'PSUT_Data&amp;Method_2013'!H254"/>
    <hyperlink ref="Q7:Q23" location="'PSUT_Data&amp;Method_2012'!H254" display="'PSUT_Data&amp;Method_2012'!H254"/>
    <hyperlink ref="Q7" location="'PSUT_Data&amp;Method_2013'!H255" display="'PSUT_Data&amp;Method_2013'!H255"/>
    <hyperlink ref="Q8" location="'PSUT_Data&amp;Method_2013'!H256" display="'PSUT_Data&amp;Method_2013'!H256"/>
    <hyperlink ref="Q9" location="'PSUT_Data&amp;Method_2013'!H257" display="'PSUT_Data&amp;Method_2013'!H257"/>
    <hyperlink ref="Q10" location="'PSUT_Data&amp;Method_2013'!H258" display="'PSUT_Data&amp;Method_2013'!H258"/>
    <hyperlink ref="Q11" location="'PSUT_Data&amp;Method_2013'!H259" display="'PSUT_Data&amp;Method_2013'!H259"/>
    <hyperlink ref="Q12" location="'PSUT_Data&amp;Method_2013'!H260" display="'PSUT_Data&amp;Method_2013'!H260"/>
    <hyperlink ref="Q13" location="'PSUT_Data&amp;Method_2013'!H261" display="'PSUT_Data&amp;Method_2013'!H261"/>
    <hyperlink ref="Q14" location="'PSUT_Data&amp;Method_2013'!H262" display="'PSUT_Data&amp;Method_2013'!H262"/>
    <hyperlink ref="Q15" location="'PSUT_Data&amp;Method_2013'!H263" display="'PSUT_Data&amp;Method_2013'!H263"/>
    <hyperlink ref="Q16" location="'PSUT_Data&amp;Method_2013'!H264" display="'PSUT_Data&amp;Method_2013'!H264"/>
    <hyperlink ref="Q17" location="'PSUT_Data&amp;Method_2013'!H265" display="'PSUT_Data&amp;Method_2013'!H265"/>
    <hyperlink ref="Q18" location="'PSUT_Data&amp;Method_2013'!H266" display="'PSUT_Data&amp;Method_2013'!H266"/>
    <hyperlink ref="Q19" location="'PSUT_Data&amp;Method_2013'!H267" display="'PSUT_Data&amp;Method_2013'!H267"/>
    <hyperlink ref="Q20" location="'PSUT_Data&amp;Method_2013'!H268" display="'PSUT_Data&amp;Method_2013'!H268"/>
    <hyperlink ref="Q21" location="'PSUT_Data&amp;Method_2013'!H269" display="'PSUT_Data&amp;Method_2013'!H269"/>
    <hyperlink ref="Q22" location="'PSUT_Data&amp;Method_2013'!H270" display="'PSUT_Data&amp;Method_2013'!H270"/>
    <hyperlink ref="Q23" location="'PSUT_Data&amp;Method_2013'!H271" display="'PSUT_Data&amp;Method_2013'!H271"/>
    <hyperlink ref="R6" location="'PSUT_Data&amp;Method_2013'!H272" display="'PSUT_Data&amp;Method_2013'!H272"/>
    <hyperlink ref="R7:R23" location="'PSUT_Data&amp;Method_2012'!H272" display="'PSUT_Data&amp;Method_2012'!H272"/>
    <hyperlink ref="R7" location="'PSUT_Data&amp;Method_2013'!H273" display="'PSUT_Data&amp;Method_2013'!H273"/>
    <hyperlink ref="R8" location="'PSUT_Data&amp;Method_2013'!H274" display="'PSUT_Data&amp;Method_2013'!H274"/>
    <hyperlink ref="R9" location="'PSUT_Data&amp;Method_2013'!H275" display="'PSUT_Data&amp;Method_2013'!H275"/>
    <hyperlink ref="R10" location="'PSUT_Data&amp;Method_2013'!H276" display="'PSUT_Data&amp;Method_2013'!H276"/>
    <hyperlink ref="R11" location="'PSUT_Data&amp;Method_2013'!H277" display="'PSUT_Data&amp;Method_2013'!H277"/>
    <hyperlink ref="R12" location="'PSUT_Data&amp;Method_2013'!H278" display="'PSUT_Data&amp;Method_2013'!H278"/>
    <hyperlink ref="R13" location="'PSUT_Data&amp;Method_2013'!H279" display="'PSUT_Data&amp;Method_2013'!H279"/>
    <hyperlink ref="R14" location="'PSUT_Data&amp;Method_2013'!H280" display="'PSUT_Data&amp;Method_2013'!H280"/>
    <hyperlink ref="R15" location="'PSUT_Data&amp;Method_2013'!H281" display="'PSUT_Data&amp;Method_2013'!H281"/>
    <hyperlink ref="R16" location="'PSUT_Data&amp;Method_2013'!H282" display="'PSUT_Data&amp;Method_2013'!H282"/>
    <hyperlink ref="R17" location="'PSUT_Data&amp;Method_2013'!H283" display="'PSUT_Data&amp;Method_2013'!H283"/>
    <hyperlink ref="R18" location="'PSUT_Data&amp;Method_2013'!H284" display="'PSUT_Data&amp;Method_2013'!H284"/>
    <hyperlink ref="R19" location="'PSUT_Data&amp;Method_2013'!H285" display="'PSUT_Data&amp;Method_2013'!H285"/>
    <hyperlink ref="R20" location="'PSUT_Data&amp;Method_2013'!H286" display="'PSUT_Data&amp;Method_2013'!H286"/>
    <hyperlink ref="R21" location="'PSUT_Data&amp;Method_2013'!H287" display="'PSUT_Data&amp;Method_2013'!H287"/>
    <hyperlink ref="R22" location="'PSUT_Data&amp;Method_2013'!H288" display="'PSUT_Data&amp;Method_2013'!H288"/>
    <hyperlink ref="R23" location="'PSUT_Data&amp;Method_2013'!H289" display="'PSUT_Data&amp;Method_2013'!H289"/>
    <hyperlink ref="S6" location="'PSUT_Data&amp;Method_2013'!H290" display="'PSUT_Data&amp;Method_2013'!H290"/>
    <hyperlink ref="S7:S23" location="'PSUT_Data&amp;Method_2012'!H290" display="'PSUT_Data&amp;Method_2012'!H290"/>
    <hyperlink ref="S7" location="'PSUT_Data&amp;Method_2013'!H291" display="'PSUT_Data&amp;Method_2013'!H291"/>
    <hyperlink ref="S8" location="'PSUT_Data&amp;Method_2013'!H292" display="'PSUT_Data&amp;Method_2013'!H292"/>
    <hyperlink ref="S9" location="'PSUT_Data&amp;Method_2013'!H293" display="'PSUT_Data&amp;Method_2013'!H293"/>
    <hyperlink ref="S10" location="'PSUT_Data&amp;Method_2013'!H294" display="'PSUT_Data&amp;Method_2013'!H294"/>
    <hyperlink ref="S11" location="'PSUT_Data&amp;Method_2013'!H295" display="'PSUT_Data&amp;Method_2013'!H295"/>
    <hyperlink ref="S12" location="'PSUT_Data&amp;Method_2013'!H296" display="'PSUT_Data&amp;Method_2013'!H296"/>
    <hyperlink ref="S13" location="'PSUT_Data&amp;Method_2013'!H297" display="'PSUT_Data&amp;Method_2013'!H297"/>
    <hyperlink ref="S14" location="'PSUT_Data&amp;Method_2013'!H298" display="'PSUT_Data&amp;Method_2013'!H298"/>
    <hyperlink ref="S15" location="'PSUT_Data&amp;Method_2013'!H299" display="'PSUT_Data&amp;Method_2013'!H299"/>
    <hyperlink ref="S16" location="'PSUT_Data&amp;Method_2013'!H300" display="'PSUT_Data&amp;Method_2013'!H300"/>
    <hyperlink ref="S17" location="'PSUT_Data&amp;Method_2013'!H301" display="'PSUT_Data&amp;Method_2013'!H301"/>
    <hyperlink ref="S18" location="'PSUT_Data&amp;Method_2013'!H302" display="'PSUT_Data&amp;Method_2013'!H302"/>
    <hyperlink ref="S19" location="'PSUT_Data&amp;Method_2013'!H303" display="'PSUT_Data&amp;Method_2013'!H303"/>
    <hyperlink ref="S20" location="'PSUT_Data&amp;Method_2013'!H304" display="'PSUT_Data&amp;Method_2013'!H304"/>
    <hyperlink ref="S21" location="'PSUT_Data&amp;Method_2013'!H305" display="'PSUT_Data&amp;Method_2013'!H305"/>
    <hyperlink ref="S22" location="'PSUT_Data&amp;Method_2013'!H306" display="'PSUT_Data&amp;Method_2013'!H306"/>
    <hyperlink ref="S23" location="'PSUT_Data&amp;Method_2013'!H307" display="'PSUT_Data&amp;Method_2013'!H307"/>
    <hyperlink ref="T6" location="'PSUT_Data&amp;Method_2013'!H308" display="'PSUT_Data&amp;Method_2013'!H308"/>
    <hyperlink ref="T7:T23" location="'PSUT_Data&amp;Method_2012'!H308" display="'PSUT_Data&amp;Method_2012'!H308"/>
    <hyperlink ref="T7" location="'PSUT_Data&amp;Method_2013'!H309" display="'PSUT_Data&amp;Method_2013'!H309"/>
    <hyperlink ref="T8" location="'PSUT_Data&amp;Method_2013'!H310" display="'PSUT_Data&amp;Method_2013'!H310"/>
    <hyperlink ref="T9" location="'PSUT_Data&amp;Method_2013'!H311" display="'PSUT_Data&amp;Method_2013'!H311"/>
    <hyperlink ref="T10" location="'PSUT_Data&amp;Method_2013'!H312" display="'PSUT_Data&amp;Method_2013'!H312"/>
    <hyperlink ref="T11" location="'PSUT_Data&amp;Method_2013'!H313" display="'PSUT_Data&amp;Method_2013'!H313"/>
    <hyperlink ref="T12" location="'PSUT_Data&amp;Method_2013'!H314" display="'PSUT_Data&amp;Method_2013'!H314"/>
    <hyperlink ref="T13" location="'PSUT_Data&amp;Method_2013'!H315" display="'PSUT_Data&amp;Method_2013'!H315"/>
    <hyperlink ref="T14" location="'PSUT_Data&amp;Method_2013'!H316" display="'PSUT_Data&amp;Method_2013'!H316"/>
    <hyperlink ref="T15" location="'PSUT_Data&amp;Method_2013'!H317" display="'PSUT_Data&amp;Method_2013'!H317"/>
    <hyperlink ref="T16" location="'PSUT_Data&amp;Method_2013'!H318" display="'PSUT_Data&amp;Method_2013'!H318"/>
    <hyperlink ref="T17" location="'PSUT_Data&amp;Method_2013'!H319" display="'PSUT_Data&amp;Method_2013'!H319"/>
    <hyperlink ref="T18" location="'PSUT_Data&amp;Method_2013'!H320" display="'PSUT_Data&amp;Method_2013'!H320"/>
    <hyperlink ref="T19" location="'PSUT_Data&amp;Method_2013'!H321" display="'PSUT_Data&amp;Method_2013'!H321"/>
    <hyperlink ref="T20" location="'PSUT_Data&amp;Method_2013'!H322" display="'PSUT_Data&amp;Method_2013'!H322"/>
    <hyperlink ref="T21" location="'PSUT_Data&amp;Method_2013'!H323" display="'PSUT_Data&amp;Method_2013'!H323"/>
    <hyperlink ref="T22" location="'PSUT_Data&amp;Method_2013'!H324" display="'PSUT_Data&amp;Method_2013'!H324"/>
    <hyperlink ref="T23" location="'PSUT_Data&amp;Method_2013'!H325" display="'PSUT_Data&amp;Method_2013'!H325"/>
    <hyperlink ref="U6" location="'PSUT_Data&amp;Method_2013'!H326" display="'PSUT_Data&amp;Method_2013'!H326"/>
    <hyperlink ref="U7:U23" location="'PSUT_Data&amp;Method_2012'!H326" display="'PSUT_Data&amp;Method_2012'!H326"/>
    <hyperlink ref="U7" location="'PSUT_Data&amp;Method_2013'!H327" display="'PSUT_Data&amp;Method_2013'!H327"/>
    <hyperlink ref="U8" location="'PSUT_Data&amp;Method_2013'!H328" display="'PSUT_Data&amp;Method_2013'!H328"/>
    <hyperlink ref="U9" location="'PSUT_Data&amp;Method_2013'!H329" display="'PSUT_Data&amp;Method_2013'!H329"/>
    <hyperlink ref="U10" location="'PSUT_Data&amp;Method_2013'!H330" display="'PSUT_Data&amp;Method_2013'!H330"/>
    <hyperlink ref="U11" location="'PSUT_Data&amp;Method_2013'!H331" display="'PSUT_Data&amp;Method_2013'!H331"/>
    <hyperlink ref="U12" location="'PSUT_Data&amp;Method_2013'!H332" display="'PSUT_Data&amp;Method_2013'!H332"/>
    <hyperlink ref="U13" location="'PSUT_Data&amp;Method_2013'!H333" display="'PSUT_Data&amp;Method_2013'!H333"/>
    <hyperlink ref="U14" location="'PSUT_Data&amp;Method_2013'!H334" display="'PSUT_Data&amp;Method_2013'!H334"/>
    <hyperlink ref="U15" location="'PSUT_Data&amp;Method_2013'!H335" display="'PSUT_Data&amp;Method_2013'!H335"/>
    <hyperlink ref="U16" location="'PSUT_Data&amp;Method_2013'!H336" display="'PSUT_Data&amp;Method_2013'!H336"/>
    <hyperlink ref="U17" location="'PSUT_Data&amp;Method_2013'!H337" display="'PSUT_Data&amp;Method_2013'!H337"/>
    <hyperlink ref="U18" location="'PSUT_Data&amp;Method_2013'!H338" display="'PSUT_Data&amp;Method_2013'!H338"/>
    <hyperlink ref="U19" location="'PSUT_Data&amp;Method_2013'!H339" display="'PSUT_Data&amp;Method_2013'!H339"/>
    <hyperlink ref="U20" location="'PSUT_Data&amp;Method_2013'!H340" display="'PSUT_Data&amp;Method_2013'!H340"/>
    <hyperlink ref="U21" location="'PSUT_Data&amp;Method_2013'!H341" display="'PSUT_Data&amp;Method_2013'!H341"/>
    <hyperlink ref="U22" location="'PSUT_Data&amp;Method_2013'!H342" display="'PSUT_Data&amp;Method_2013'!H342"/>
    <hyperlink ref="U23" location="'PSUT_Data&amp;Method_2013'!H343" display="'PSUT_Data&amp;Method_2013'!H343"/>
    <hyperlink ref="V6" location="'PSUT_Data&amp;Method_2013'!H344" display="'PSUT_Data&amp;Method_2013'!H344"/>
    <hyperlink ref="V7:V23" location="'PSUT_Data&amp;Method_2012'!H344" display="'PSUT_Data&amp;Method_2012'!H344"/>
    <hyperlink ref="V7" location="'PSUT_Data&amp;Method_2013'!H345" display="'PSUT_Data&amp;Method_2013'!H345"/>
    <hyperlink ref="V8" location="'PSUT_Data&amp;Method_2013'!H346" display="'PSUT_Data&amp;Method_2013'!H346"/>
    <hyperlink ref="V9" location="'PSUT_Data&amp;Method_2013'!H347" display="'PSUT_Data&amp;Method_2013'!H347"/>
    <hyperlink ref="V10" location="'PSUT_Data&amp;Method_2013'!H348" display="'PSUT_Data&amp;Method_2013'!H348"/>
    <hyperlink ref="V11" location="'PSUT_Data&amp;Method_2013'!H349" display="'PSUT_Data&amp;Method_2013'!H349"/>
    <hyperlink ref="V12" location="'PSUT_Data&amp;Method_2013'!H350" display="'PSUT_Data&amp;Method_2013'!H350"/>
    <hyperlink ref="V13" location="'PSUT_Data&amp;Method_2013'!H351" display="'PSUT_Data&amp;Method_2013'!H351"/>
    <hyperlink ref="V14" location="'PSUT_Data&amp;Method_2013'!H352" display="'PSUT_Data&amp;Method_2013'!H352"/>
    <hyperlink ref="V15" location="'PSUT_Data&amp;Method_2013'!H353" display="'PSUT_Data&amp;Method_2013'!H353"/>
    <hyperlink ref="V16" location="'PSUT_Data&amp;Method_2013'!H354" display="'PSUT_Data&amp;Method_2013'!H354"/>
    <hyperlink ref="V17" location="'PSUT_Data&amp;Method_2013'!H355" display="'PSUT_Data&amp;Method_2013'!H355"/>
    <hyperlink ref="V18" location="'PSUT_Data&amp;Method_2013'!H356" display="'PSUT_Data&amp;Method_2013'!H356"/>
    <hyperlink ref="V19" location="'PSUT_Data&amp;Method_2013'!H357" display="'PSUT_Data&amp;Method_2013'!H357"/>
    <hyperlink ref="V20" location="'PSUT_Data&amp;Method_2013'!H358" display="'PSUT_Data&amp;Method_2013'!H358"/>
    <hyperlink ref="V21" location="'PSUT_Data&amp;Method_2013'!H359" display="'PSUT_Data&amp;Method_2013'!H359"/>
    <hyperlink ref="V22" location="'PSUT_Data&amp;Method_2013'!H360" display="'PSUT_Data&amp;Method_2013'!H360"/>
    <hyperlink ref="V23" location="'PSUT_Data&amp;Method_2013'!H361" display="'PSUT_Data&amp;Method_2013'!H361"/>
    <hyperlink ref="X6" location="'PSUT_Data&amp;Method_2013'!H365" display="'PSUT_Data&amp;Method_2013'!H365"/>
    <hyperlink ref="X7:X23" location="'PSUT_Data&amp;Method_2012'!H365" display="'PSUT_Data&amp;Method_2012'!H365"/>
    <hyperlink ref="X7" location="'PSUT_Data&amp;Method_2013'!H366" display="'PSUT_Data&amp;Method_2013'!H366"/>
    <hyperlink ref="X8" location="'PSUT_Data&amp;Method_2013'!H367" display="'PSUT_Data&amp;Method_2013'!H367"/>
    <hyperlink ref="X9" location="'PSUT_Data&amp;Method_2013'!H368" display="'PSUT_Data&amp;Method_2013'!H368"/>
    <hyperlink ref="X10" location="'PSUT_Data&amp;Method_2013'!H369" display="'PSUT_Data&amp;Method_2013'!H369"/>
    <hyperlink ref="X11" location="'PSUT_Data&amp;Method_2013'!H370" display="'PSUT_Data&amp;Method_2013'!H370"/>
    <hyperlink ref="X12" location="'PSUT_Data&amp;Method_2013'!H371" display="'PSUT_Data&amp;Method_2013'!H371"/>
    <hyperlink ref="X13" location="'PSUT_Data&amp;Method_2013'!H372" display="'PSUT_Data&amp;Method_2013'!H372"/>
    <hyperlink ref="X14" location="'PSUT_Data&amp;Method_2013'!H373" display="'PSUT_Data&amp;Method_2013'!H373"/>
    <hyperlink ref="X15" location="'PSUT_Data&amp;Method_2013'!H374" display="'PSUT_Data&amp;Method_2013'!H374"/>
    <hyperlink ref="X16" location="'PSUT_Data&amp;Method_2013'!H375" display="'PSUT_Data&amp;Method_2013'!H375"/>
    <hyperlink ref="X17" location="'PSUT_Data&amp;Method_2013'!H376" display="'PSUT_Data&amp;Method_2013'!H376"/>
    <hyperlink ref="X18" location="'PSUT_Data&amp;Method_2013'!H377" display="'PSUT_Data&amp;Method_2013'!H377"/>
    <hyperlink ref="X19" location="'PSUT_Data&amp;Method_2013'!H378" display="'PSUT_Data&amp;Method_2013'!H378"/>
    <hyperlink ref="X20" location="'PSUT_Data&amp;Method_2013'!H379" display="'PSUT_Data&amp;Method_2013'!H379"/>
    <hyperlink ref="X21" location="'PSUT_Data&amp;Method_2013'!H380" display="'PSUT_Data&amp;Method_2013'!H380"/>
    <hyperlink ref="X22" location="'PSUT_Data&amp;Method_2013'!H381" display="'PSUT_Data&amp;Method_2013'!H381"/>
    <hyperlink ref="X23" location="'PSUT_Data&amp;Method_2013'!H382" display="'PSUT_Data&amp;Method_2013'!H382"/>
    <hyperlink ref="Y6" location="'PSUT_Data&amp;Method_2013'!H383" display="'PSUT_Data&amp;Method_2013'!H383"/>
    <hyperlink ref="Y7:Y23" location="'PSUT_Data&amp;Method_2012'!H383" display="'PSUT_Data&amp;Method_2012'!H383"/>
    <hyperlink ref="Y7" location="'PSUT_Data&amp;Method_2013'!H384" display="'PSUT_Data&amp;Method_2013'!H384"/>
    <hyperlink ref="Y8" location="'PSUT_Data&amp;Method_2013'!H385" display="'PSUT_Data&amp;Method_2013'!H385"/>
    <hyperlink ref="Y9" location="'PSUT_Data&amp;Method_2013'!H386" display="'PSUT_Data&amp;Method_2013'!H386"/>
    <hyperlink ref="Y10" location="'PSUT_Data&amp;Method_2013'!H387" display="'PSUT_Data&amp;Method_2013'!H387"/>
    <hyperlink ref="Y11" location="'PSUT_Data&amp;Method_2013'!H388" display="'PSUT_Data&amp;Method_2013'!H388"/>
    <hyperlink ref="Y12" location="'PSUT_Data&amp;Method_2013'!H389" display="'PSUT_Data&amp;Method_2013'!H389"/>
    <hyperlink ref="Y13" location="'PSUT_Data&amp;Method_2013'!H390" display="'PSUT_Data&amp;Method_2013'!H390"/>
    <hyperlink ref="Y14" location="'PSUT_Data&amp;Method_2013'!H391" display="'PSUT_Data&amp;Method_2013'!H391"/>
    <hyperlink ref="Y15" location="'PSUT_Data&amp;Method_2013'!H392" display="'PSUT_Data&amp;Method_2013'!H392"/>
    <hyperlink ref="Y16" location="'PSUT_Data&amp;Method_2013'!H393" display="'PSUT_Data&amp;Method_2013'!H393"/>
    <hyperlink ref="Y17" location="'PSUT_Data&amp;Method_2013'!H394" display="'PSUT_Data&amp;Method_2013'!H394"/>
    <hyperlink ref="Y18" location="'PSUT_Data&amp;Method_2013'!H395" display="'PSUT_Data&amp;Method_2013'!H395"/>
    <hyperlink ref="Y19" location="'PSUT_Data&amp;Method_2013'!H396" display="'PSUT_Data&amp;Method_2013'!H396"/>
    <hyperlink ref="Y20" location="'PSUT_Data&amp;Method_2013'!H397" display="'PSUT_Data&amp;Method_2013'!H397"/>
    <hyperlink ref="Y21" location="'PSUT_Data&amp;Method_2013'!H398" display="'PSUT_Data&amp;Method_2013'!H398"/>
    <hyperlink ref="Y22" location="'PSUT_Data&amp;Method_2013'!H399" display="'PSUT_Data&amp;Method_2013'!H399"/>
    <hyperlink ref="Y23" location="'PSUT_Data&amp;Method_2013'!H400" display="'PSUT_Data&amp;Method_2013'!H400"/>
    <hyperlink ref="C36:C43" location="'PSUT_Data&amp;Method_2012'!H405" display="'PSUT_Data&amp;Method_2012'!H405"/>
    <hyperlink ref="C36" location="'PSUT_Data&amp;Method_2013'!H406" display="'PSUT_Data&amp;Method_2013'!H406"/>
    <hyperlink ref="C37" location="'PSUT_Data&amp;Method_2013'!H407" display="'PSUT_Data&amp;Method_2013'!H407"/>
    <hyperlink ref="C38" location="'PSUT_Data&amp;Method_2013'!H408" display="'PSUT_Data&amp;Method_2013'!H408"/>
    <hyperlink ref="C39" location="'PSUT_Data&amp;Method_2013'!H409" display="'PSUT_Data&amp;Method_2013'!H409"/>
    <hyperlink ref="C40" location="'PSUT_Data&amp;Method_2013'!H410" display="'PSUT_Data&amp;Method_2013'!H410"/>
    <hyperlink ref="C41" location="'PSUT_Data&amp;Method_2013'!H411" display="'PSUT_Data&amp;Method_2013'!H411"/>
    <hyperlink ref="C42" location="'PSUT_Data&amp;Method_2013'!H412" display="'PSUT_Data&amp;Method_2013'!H412"/>
    <hyperlink ref="C43" location="'PSUT_Data&amp;Method_2013'!H413" display="'PSUT_Data&amp;Method_2013'!H413"/>
    <hyperlink ref="D35" location="'PSUT_Data&amp;Method_2013'!H414" display="'PSUT_Data&amp;Method_2013'!H414"/>
    <hyperlink ref="D36:D43" location="'PSUT_Data&amp;Method_2012'!H414" display="'PSUT_Data&amp;Method_2012'!H414"/>
    <hyperlink ref="D36" location="'PSUT_Data&amp;Method_2013'!H415" display="'PSUT_Data&amp;Method_2013'!H415"/>
    <hyperlink ref="D37" location="'PSUT_Data&amp;Method_2013'!H416" display="'PSUT_Data&amp;Method_2013'!H416"/>
    <hyperlink ref="D38" location="'PSUT_Data&amp;Method_2013'!H417" display="'PSUT_Data&amp;Method_2013'!H417"/>
    <hyperlink ref="D39" location="'PSUT_Data&amp;Method_2013'!H418" display="'PSUT_Data&amp;Method_2013'!H418"/>
    <hyperlink ref="D40" location="'PSUT_Data&amp;Method_2013'!H419" display="'PSUT_Data&amp;Method_2013'!H419"/>
    <hyperlink ref="D41" location="'PSUT_Data&amp;Method_2013'!H420" display="'PSUT_Data&amp;Method_2013'!H420"/>
    <hyperlink ref="D42" location="'PSUT_Data&amp;Method_2013'!H421" display="'PSUT_Data&amp;Method_2013'!H421"/>
    <hyperlink ref="D43" location="'PSUT_Data&amp;Method_2013'!H422" display="'PSUT_Data&amp;Method_2013'!H422"/>
    <hyperlink ref="E35" location="'PSUT_Data&amp;Method_2013'!H423" display="'PSUT_Data&amp;Method_2013'!H423"/>
    <hyperlink ref="E36:E43" location="'PSUT_Data&amp;Method_2012'!H423" display="'PSUT_Data&amp;Method_2012'!H423"/>
    <hyperlink ref="E36" location="'PSUT_Data&amp;Method_2013'!H424" display="'PSUT_Data&amp;Method_2013'!H424"/>
    <hyperlink ref="E37" location="'PSUT_Data&amp;Method_2013'!H425" display="'PSUT_Data&amp;Method_2013'!H425"/>
    <hyperlink ref="E38" location="'PSUT_Data&amp;Method_2013'!H426" display="'PSUT_Data&amp;Method_2013'!H426"/>
    <hyperlink ref="E39" location="'PSUT_Data&amp;Method_2013'!H427" display="'PSUT_Data&amp;Method_2013'!H427"/>
    <hyperlink ref="E40" location="'PSUT_Data&amp;Method_2013'!H428" display="'PSUT_Data&amp;Method_2013'!H428"/>
    <hyperlink ref="E41" location="'PSUT_Data&amp;Method_2013'!H429" display="'PSUT_Data&amp;Method_2013'!H429"/>
    <hyperlink ref="E42" location="'PSUT_Data&amp;Method_2013'!H430" display="'PSUT_Data&amp;Method_2013'!H430"/>
    <hyperlink ref="E43" location="'PSUT_Data&amp;Method_2013'!H431" display="'PSUT_Data&amp;Method_2013'!H431"/>
    <hyperlink ref="F35" location="'PSUT_Data&amp;Method_2013'!H432" display="'PSUT_Data&amp;Method_2013'!H432"/>
    <hyperlink ref="F36:F43" location="'PSUT_Data&amp;Method_2012'!H432" display="'PSUT_Data&amp;Method_2012'!H432"/>
    <hyperlink ref="F36" location="'PSUT_Data&amp;Method_2013'!H433" display="'PSUT_Data&amp;Method_2013'!H433"/>
    <hyperlink ref="F37" location="'PSUT_Data&amp;Method_2013'!H434" display="'PSUT_Data&amp;Method_2013'!H434"/>
    <hyperlink ref="F38" location="'PSUT_Data&amp;Method_2013'!H435" display="'PSUT_Data&amp;Method_2013'!H435"/>
    <hyperlink ref="F39" location="'PSUT_Data&amp;Method_2013'!H436" display="'PSUT_Data&amp;Method_2013'!H436"/>
    <hyperlink ref="F40" location="'PSUT_Data&amp;Method_2013'!H437" display="'PSUT_Data&amp;Method_2013'!H437"/>
    <hyperlink ref="F41" location="'PSUT_Data&amp;Method_2013'!H438" display="'PSUT_Data&amp;Method_2013'!H438"/>
    <hyperlink ref="F42" location="'PSUT_Data&amp;Method_2013'!H439" display="'PSUT_Data&amp;Method_2013'!H439"/>
    <hyperlink ref="F43" location="'PSUT_Data&amp;Method_2013'!H440" display="'PSUT_Data&amp;Method_2013'!H440"/>
    <hyperlink ref="G35" location="'PSUT_Data&amp;Method_2013'!H441" display="'PSUT_Data&amp;Method_2013'!H441"/>
    <hyperlink ref="G36:G43" location="'PSUT_Data&amp;Method_2012'!H441" display="'PSUT_Data&amp;Method_2012'!H441"/>
    <hyperlink ref="G36" location="'PSUT_Data&amp;Method_2013'!H442" display="'PSUT_Data&amp;Method_2013'!H442"/>
    <hyperlink ref="G37" location="'PSUT_Data&amp;Method_2013'!H443" display="'PSUT_Data&amp;Method_2013'!H443"/>
    <hyperlink ref="G38" location="'PSUT_Data&amp;Method_2013'!H444" display="'PSUT_Data&amp;Method_2013'!H444"/>
    <hyperlink ref="G39" location="'PSUT_Data&amp;Method_2013'!H445" display="'PSUT_Data&amp;Method_2013'!H445"/>
    <hyperlink ref="G40" location="'PSUT_Data&amp;Method_2013'!H446" display="'PSUT_Data&amp;Method_2013'!H446"/>
    <hyperlink ref="G41" location="'PSUT_Data&amp;Method_2013'!H447" display="'PSUT_Data&amp;Method_2013'!H447"/>
    <hyperlink ref="G42" location="'PSUT_Data&amp;Method_2013'!H448" display="'PSUT_Data&amp;Method_2013'!H448"/>
    <hyperlink ref="G43" location="'PSUT_Data&amp;Method_2013'!H449" display="'PSUT_Data&amp;Method_2013'!H449"/>
    <hyperlink ref="H35" location="'PSUT_Data&amp;Method_2013'!H450" display="'PSUT_Data&amp;Method_2013'!H450"/>
    <hyperlink ref="H36:H43" location="'PSUT_Data&amp;Method_2012'!H450" display="'PSUT_Data&amp;Method_2012'!H450"/>
    <hyperlink ref="H36" location="'PSUT_Data&amp;Method_2013'!H451" display="'PSUT_Data&amp;Method_2013'!H451"/>
    <hyperlink ref="H37" location="'PSUT_Data&amp;Method_2013'!H452" display="'PSUT_Data&amp;Method_2013'!H452"/>
    <hyperlink ref="H38" location="'PSUT_Data&amp;Method_2013'!H453" display="'PSUT_Data&amp;Method_2013'!H453"/>
    <hyperlink ref="H39" location="'PSUT_Data&amp;Method_2013'!H454" display="'PSUT_Data&amp;Method_2013'!H454"/>
    <hyperlink ref="H40" location="'PSUT_Data&amp;Method_2013'!H455" display="'PSUT_Data&amp;Method_2013'!H455"/>
    <hyperlink ref="H41" location="'PSUT_Data&amp;Method_2013'!H456" display="'PSUT_Data&amp;Method_2013'!H456"/>
    <hyperlink ref="H42" location="'PSUT_Data&amp;Method_2013'!H457" display="'PSUT_Data&amp;Method_2013'!H457"/>
    <hyperlink ref="H43" location="'PSUT_Data&amp;Method_2013'!H458" display="'PSUT_Data&amp;Method_2013'!H458"/>
    <hyperlink ref="I35" location="'PSUT_Data&amp;Method_2013'!H459" display="'PSUT_Data&amp;Method_2013'!H459"/>
    <hyperlink ref="I36:I43" location="'PSUT_Data&amp;Method_2012'!H459" display="'PSUT_Data&amp;Method_2012'!H459"/>
    <hyperlink ref="I36" location="'PSUT_Data&amp;Method_2013'!H460" display="'PSUT_Data&amp;Method_2013'!H460"/>
    <hyperlink ref="I37" location="'PSUT_Data&amp;Method_2013'!H461" display="'PSUT_Data&amp;Method_2013'!H461"/>
    <hyperlink ref="I38" location="'PSUT_Data&amp;Method_2013'!H462" display="'PSUT_Data&amp;Method_2013'!H462"/>
    <hyperlink ref="I39" location="'PSUT_Data&amp;Method_2013'!H463" display="'PSUT_Data&amp;Method_2013'!H463"/>
    <hyperlink ref="I40" location="'PSUT_Data&amp;Method_2013'!H464" display="'PSUT_Data&amp;Method_2013'!H464"/>
    <hyperlink ref="I41" location="'PSUT_Data&amp;Method_2013'!H465" display="'PSUT_Data&amp;Method_2013'!H465"/>
    <hyperlink ref="I42" location="'PSUT_Data&amp;Method_2013'!H466" display="'PSUT_Data&amp;Method_2013'!H466"/>
    <hyperlink ref="I43" location="'PSUT_Data&amp;Method_2013'!H467" display="'PSUT_Data&amp;Method_2013'!H467"/>
    <hyperlink ref="J35" location="'PSUT_Data&amp;Method_2013'!H468" display="'PSUT_Data&amp;Method_2013'!H468"/>
    <hyperlink ref="J36:J43" location="'PSUT_Data&amp;Method_2012'!H468" display="'PSUT_Data&amp;Method_2012'!H468"/>
    <hyperlink ref="J36" location="'PSUT_Data&amp;Method_2013'!H469" display="'PSUT_Data&amp;Method_2013'!H469"/>
    <hyperlink ref="J37" location="'PSUT_Data&amp;Method_2013'!H470" display="'PSUT_Data&amp;Method_2013'!H470"/>
    <hyperlink ref="J38" location="'PSUT_Data&amp;Method_2013'!H471" display="'PSUT_Data&amp;Method_2013'!H471"/>
    <hyperlink ref="J39" location="'PSUT_Data&amp;Method_2013'!H472" display="'PSUT_Data&amp;Method_2013'!H472"/>
    <hyperlink ref="J40" location="'PSUT_Data&amp;Method_2013'!H473" display="'PSUT_Data&amp;Method_2013'!H473"/>
    <hyperlink ref="J41" location="'PSUT_Data&amp;Method_2013'!H474" display="'PSUT_Data&amp;Method_2013'!H474"/>
    <hyperlink ref="J42" location="'PSUT_Data&amp;Method_2013'!H475" display="'PSUT_Data&amp;Method_2013'!H475"/>
    <hyperlink ref="J43" location="'PSUT_Data&amp;Method_2013'!H476" display="'PSUT_Data&amp;Method_2013'!H476"/>
    <hyperlink ref="K35" location="'PSUT_Data&amp;Method_2013'!H477" display="'PSUT_Data&amp;Method_2013'!H477"/>
    <hyperlink ref="K36:K43" location="'PSUT_Data&amp;Method_2012'!H477" display="'PSUT_Data&amp;Method_2012'!H477"/>
    <hyperlink ref="K36" location="'PSUT_Data&amp;Method_2013'!H478" display="'PSUT_Data&amp;Method_2013'!H478"/>
    <hyperlink ref="K37" location="'PSUT_Data&amp;Method_2013'!H479" display="'PSUT_Data&amp;Method_2013'!H479"/>
    <hyperlink ref="K38" location="'PSUT_Data&amp;Method_2013'!H480" display="'PSUT_Data&amp;Method_2013'!H480"/>
    <hyperlink ref="K39" location="'PSUT_Data&amp;Method_2013'!H481" display="'PSUT_Data&amp;Method_2013'!H481"/>
    <hyperlink ref="K40" location="'PSUT_Data&amp;Method_2013'!H482" display="'PSUT_Data&amp;Method_2013'!H482"/>
    <hyperlink ref="K41" location="'PSUT_Data&amp;Method_2013'!H483" display="'PSUT_Data&amp;Method_2013'!H483"/>
    <hyperlink ref="K42" location="'PSUT_Data&amp;Method_2013'!H484" display="'PSUT_Data&amp;Method_2013'!H484"/>
    <hyperlink ref="K43" location="'PSUT_Data&amp;Method_2013'!H485" display="'PSUT_Data&amp;Method_2013'!H485"/>
    <hyperlink ref="L35" location="'PSUT_Data&amp;Method_2013'!H486" display="'PSUT_Data&amp;Method_2013'!H486"/>
    <hyperlink ref="L36:L43" location="'PSUT_Data&amp;Method_2012'!H486" display="'PSUT_Data&amp;Method_2012'!H486"/>
    <hyperlink ref="L36" location="'PSUT_Data&amp;Method_2013'!H487" display="'PSUT_Data&amp;Method_2013'!H487"/>
    <hyperlink ref="L37" location="'PSUT_Data&amp;Method_2013'!H488" display="'PSUT_Data&amp;Method_2013'!H488"/>
    <hyperlink ref="L38" location="'PSUT_Data&amp;Method_2013'!H489" display="'PSUT_Data&amp;Method_2013'!H489"/>
    <hyperlink ref="L39" location="'PSUT_Data&amp;Method_2013'!H490" display="'PSUT_Data&amp;Method_2013'!H490"/>
    <hyperlink ref="L40" location="'PSUT_Data&amp;Method_2013'!H491" display="'PSUT_Data&amp;Method_2013'!H491"/>
    <hyperlink ref="L41" location="'PSUT_Data&amp;Method_2013'!H492" display="'PSUT_Data&amp;Method_2013'!H492"/>
    <hyperlink ref="L42" location="'PSUT_Data&amp;Method_2013'!H493" display="'PSUT_Data&amp;Method_2013'!H493"/>
    <hyperlink ref="L43" location="'PSUT_Data&amp;Method_2013'!H494" display="'PSUT_Data&amp;Method_2013'!H494"/>
    <hyperlink ref="M35" location="'PSUT_Data&amp;Method_2013'!H495" display="'PSUT_Data&amp;Method_2013'!H495"/>
    <hyperlink ref="M36:M43" location="'PSUT_Data&amp;Method_2012'!H495" display="'PSUT_Data&amp;Method_2012'!H495"/>
    <hyperlink ref="M36" location="'PSUT_Data&amp;Method_2013'!H496" display="'PSUT_Data&amp;Method_2013'!H496"/>
    <hyperlink ref="M37" location="'PSUT_Data&amp;Method_2013'!H497" display="'PSUT_Data&amp;Method_2013'!H497"/>
    <hyperlink ref="M38" location="'PSUT_Data&amp;Method_2013'!H498" display="'PSUT_Data&amp;Method_2013'!H498"/>
    <hyperlink ref="M39" location="'PSUT_Data&amp;Method_2013'!H499" display="'PSUT_Data&amp;Method_2013'!H499"/>
    <hyperlink ref="M40" location="'PSUT_Data&amp;Method_2013'!H500" display="'PSUT_Data&amp;Method_2013'!H500"/>
    <hyperlink ref="M41" location="'PSUT_Data&amp;Method_2013'!H501" display="'PSUT_Data&amp;Method_2013'!H501"/>
    <hyperlink ref="M42" location="'PSUT_Data&amp;Method_2013'!H502" display="'PSUT_Data&amp;Method_2013'!H502"/>
    <hyperlink ref="M43" location="'PSUT_Data&amp;Method_2013'!H503" display="'PSUT_Data&amp;Method_2013'!H503"/>
    <hyperlink ref="N35" location="'PSUT_Data&amp;Method_2013'!H504" display="'PSUT_Data&amp;Method_2013'!H504"/>
    <hyperlink ref="N36:N43" location="'PSUT_Data&amp;Method_2012'!H504" display="'PSUT_Data&amp;Method_2012'!H504"/>
    <hyperlink ref="N36" location="'PSUT_Data&amp;Method_2013'!H505" display="'PSUT_Data&amp;Method_2013'!H505"/>
    <hyperlink ref="N37" location="'PSUT_Data&amp;Method_2013'!H506" display="'PSUT_Data&amp;Method_2013'!H506"/>
    <hyperlink ref="N38" location="'PSUT_Data&amp;Method_2013'!H507" display="'PSUT_Data&amp;Method_2013'!H507"/>
    <hyperlink ref="N39" location="'PSUT_Data&amp;Method_2013'!H508" display="'PSUT_Data&amp;Method_2013'!H508"/>
    <hyperlink ref="N40" location="'PSUT_Data&amp;Method_2013'!H509" display="'PSUT_Data&amp;Method_2013'!H509"/>
    <hyperlink ref="N41" location="'PSUT_Data&amp;Method_2013'!H510" display="'PSUT_Data&amp;Method_2013'!H510"/>
    <hyperlink ref="N42" location="'PSUT_Data&amp;Method_2013'!H511" display="'PSUT_Data&amp;Method_2013'!H511"/>
    <hyperlink ref="N43" location="'PSUT_Data&amp;Method_2013'!H512" display="'PSUT_Data&amp;Method_2013'!H512"/>
    <hyperlink ref="O35" location="'PSUT_Data&amp;Method_2013'!H513" display="'PSUT_Data&amp;Method_2013'!H513"/>
    <hyperlink ref="O36:O43" location="'PSUT_Data&amp;Method_2012'!H513" display="'PSUT_Data&amp;Method_2012'!H513"/>
    <hyperlink ref="O36" location="'PSUT_Data&amp;Method_2013'!H514" display="'PSUT_Data&amp;Method_2013'!H514"/>
    <hyperlink ref="O37" location="'PSUT_Data&amp;Method_2013'!H515" display="'PSUT_Data&amp;Method_2013'!H515"/>
    <hyperlink ref="O38" location="'PSUT_Data&amp;Method_2013'!H516" display="'PSUT_Data&amp;Method_2013'!H516"/>
    <hyperlink ref="O39" location="'PSUT_Data&amp;Method_2013'!H517" display="'PSUT_Data&amp;Method_2013'!H517"/>
    <hyperlink ref="O40" location="'PSUT_Data&amp;Method_2013'!H518" display="'PSUT_Data&amp;Method_2013'!H518"/>
    <hyperlink ref="O41" location="'PSUT_Data&amp;Method_2013'!H519" display="'PSUT_Data&amp;Method_2013'!H519"/>
    <hyperlink ref="O42" location="'PSUT_Data&amp;Method_2013'!H520" display="'PSUT_Data&amp;Method_2013'!H520"/>
    <hyperlink ref="O43" location="'PSUT_Data&amp;Method_2013'!H521" display="'PSUT_Data&amp;Method_2013'!H521"/>
    <hyperlink ref="P35" location="'PSUT_Data&amp;Method_2013'!H522" display="'PSUT_Data&amp;Method_2013'!H522"/>
    <hyperlink ref="P36:P43" location="'PSUT_Data&amp;Method_2012'!H522" display="'PSUT_Data&amp;Method_2012'!H522"/>
    <hyperlink ref="P36" location="'PSUT_Data&amp;Method_2013'!H523" display="'PSUT_Data&amp;Method_2013'!H523"/>
    <hyperlink ref="P37" location="'PSUT_Data&amp;Method_2013'!H524" display="'PSUT_Data&amp;Method_2013'!H524"/>
    <hyperlink ref="P38" location="'PSUT_Data&amp;Method_2013'!H525" display="'PSUT_Data&amp;Method_2013'!H525"/>
    <hyperlink ref="P39" location="'PSUT_Data&amp;Method_2013'!H526" display="'PSUT_Data&amp;Method_2013'!H526"/>
    <hyperlink ref="P40" location="'PSUT_Data&amp;Method_2013'!H527" display="'PSUT_Data&amp;Method_2013'!H527"/>
    <hyperlink ref="P41" location="'PSUT_Data&amp;Method_2013'!H528" display="'PSUT_Data&amp;Method_2013'!H528"/>
    <hyperlink ref="P42" location="'PSUT_Data&amp;Method_2013'!H529" display="'PSUT_Data&amp;Method_2013'!H529"/>
    <hyperlink ref="P43" location="'PSUT_Data&amp;Method_2013'!H530" display="'PSUT_Data&amp;Method_2013'!H530"/>
    <hyperlink ref="Q35" location="'PSUT_Data&amp;Method_2013'!H531" display="'PSUT_Data&amp;Method_2013'!H531"/>
    <hyperlink ref="Q36:Q43" location="'PSUT_Data&amp;Method_2012'!H531" display="'PSUT_Data&amp;Method_2012'!H531"/>
    <hyperlink ref="Q36" location="'PSUT_Data&amp;Method_2013'!H532" display="'PSUT_Data&amp;Method_2013'!H532"/>
    <hyperlink ref="Q37" location="'PSUT_Data&amp;Method_2013'!H533" display="'PSUT_Data&amp;Method_2013'!H533"/>
    <hyperlink ref="Q38" location="'PSUT_Data&amp;Method_2013'!H534" display="'PSUT_Data&amp;Method_2013'!H534"/>
    <hyperlink ref="Q39" location="'PSUT_Data&amp;Method_2013'!H535" display="'PSUT_Data&amp;Method_2013'!H535"/>
    <hyperlink ref="Q40" location="'PSUT_Data&amp;Method_2013'!H536" display="'PSUT_Data&amp;Method_2013'!H536"/>
    <hyperlink ref="Q41" location="'PSUT_Data&amp;Method_2013'!H537" display="'PSUT_Data&amp;Method_2013'!H537"/>
    <hyperlink ref="Q42" location="'PSUT_Data&amp;Method_2013'!H538" display="'PSUT_Data&amp;Method_2013'!H538"/>
    <hyperlink ref="Q43" location="'PSUT_Data&amp;Method_2013'!H539" display="'PSUT_Data&amp;Method_2013'!H539"/>
    <hyperlink ref="R35" location="'PSUT_Data&amp;Method_2013'!H540" display="'PSUT_Data&amp;Method_2013'!H540"/>
    <hyperlink ref="R36:R43" location="'PSUT_Data&amp;Method_2012'!H541" display="'PSUT_Data&amp;Method_2012'!H541"/>
    <hyperlink ref="R36" location="'PSUT_Data&amp;Method_2013'!H541" display="'PSUT_Data&amp;Method_2013'!H541"/>
    <hyperlink ref="R37" location="'PSUT_Data&amp;Method_2013'!H542" display="'PSUT_Data&amp;Method_2013'!H542"/>
    <hyperlink ref="R38" location="'PSUT_Data&amp;Method_2013'!H543" display="'PSUT_Data&amp;Method_2013'!H543"/>
    <hyperlink ref="R39" location="'PSUT_Data&amp;Method_2013'!H544" display="'PSUT_Data&amp;Method_2013'!H544"/>
    <hyperlink ref="R40" location="'PSUT_Data&amp;Method_2013'!H545" display="'PSUT_Data&amp;Method_2013'!H545"/>
    <hyperlink ref="R41" location="'PSUT_Data&amp;Method_2013'!H546" display="'PSUT_Data&amp;Method_2013'!H546"/>
    <hyperlink ref="R42" location="'PSUT_Data&amp;Method_2013'!H547" display="'PSUT_Data&amp;Method_2013'!H547"/>
    <hyperlink ref="R43" location="'PSUT_Data&amp;Method_2013'!H548" display="'PSUT_Data&amp;Method_2013'!H548"/>
    <hyperlink ref="S35" location="'PSUT_Data&amp;Method_2013'!H549" display="'PSUT_Data&amp;Method_2013'!H549"/>
    <hyperlink ref="S36:S43" location="'PSUT_Data&amp;Method_2012'!H549" display="'PSUT_Data&amp;Method_2012'!H549"/>
    <hyperlink ref="S36" location="'PSUT_Data&amp;Method_2013'!H550" display="'PSUT_Data&amp;Method_2013'!H550"/>
    <hyperlink ref="S37" location="'PSUT_Data&amp;Method_2013'!H551" display="'PSUT_Data&amp;Method_2013'!H551"/>
    <hyperlink ref="S38" location="'PSUT_Data&amp;Method_2013'!H552" display="'PSUT_Data&amp;Method_2013'!H552"/>
    <hyperlink ref="S39" location="'PSUT_Data&amp;Method_2013'!H553" display="'PSUT_Data&amp;Method_2013'!H553"/>
    <hyperlink ref="S40" location="'PSUT_Data&amp;Method_2013'!H554" display="'PSUT_Data&amp;Method_2013'!H554"/>
    <hyperlink ref="S41" location="'PSUT_Data&amp;Method_2013'!H555" display="'PSUT_Data&amp;Method_2013'!H555"/>
    <hyperlink ref="S42" location="'PSUT_Data&amp;Method_2013'!H556" display="'PSUT_Data&amp;Method_2013'!H556"/>
    <hyperlink ref="S43" location="'PSUT_Data&amp;Method_2013'!H557" display="'PSUT_Data&amp;Method_2013'!H557"/>
    <hyperlink ref="T35" location="'PSUT_Data&amp;Method_2013'!H558" display="'PSUT_Data&amp;Method_2013'!H558"/>
    <hyperlink ref="T36:T43" location="'PSUT_Data&amp;Method_2012'!H558" display="'PSUT_Data&amp;Method_2012'!H558"/>
    <hyperlink ref="T36" location="'PSUT_Data&amp;Method_2013'!H559" display="'PSUT_Data&amp;Method_2013'!H559"/>
    <hyperlink ref="T37" location="'PSUT_Data&amp;Method_2013'!H560" display="'PSUT_Data&amp;Method_2013'!H560"/>
    <hyperlink ref="T38" location="'PSUT_Data&amp;Method_2013'!H561" display="'PSUT_Data&amp;Method_2013'!H561"/>
    <hyperlink ref="T39" location="'PSUT_Data&amp;Method_2013'!H562" display="'PSUT_Data&amp;Method_2013'!H562"/>
    <hyperlink ref="T40" location="'PSUT_Data&amp;Method_2013'!H563" display="'PSUT_Data&amp;Method_2013'!H563"/>
    <hyperlink ref="T41" location="'PSUT_Data&amp;Method_2013'!H564" display="'PSUT_Data&amp;Method_2013'!H564"/>
    <hyperlink ref="T42" location="'PSUT_Data&amp;Method_2013'!H565" display="'PSUT_Data&amp;Method_2013'!H565"/>
    <hyperlink ref="T43" location="'PSUT_Data&amp;Method_2013'!H566" display="'PSUT_Data&amp;Method_2013'!H566"/>
    <hyperlink ref="U35" location="'PSUT_Data&amp;Method_2013'!H567" display="'PSUT_Data&amp;Method_2013'!H567"/>
    <hyperlink ref="U36:U43" location="'PSUT_Data&amp;Method_2012'!H567" display="'PSUT_Data&amp;Method_2012'!H567"/>
    <hyperlink ref="U36" location="'PSUT_Data&amp;Method_2013'!H568" display="'PSUT_Data&amp;Method_2013'!H568"/>
    <hyperlink ref="U37" location="'PSUT_Data&amp;Method_2013'!H569" display="'PSUT_Data&amp;Method_2013'!H569"/>
    <hyperlink ref="U38" location="'PSUT_Data&amp;Method_2013'!H570" display="'PSUT_Data&amp;Method_2013'!H570"/>
    <hyperlink ref="U39" location="'PSUT_Data&amp;Method_2013'!H571" display="'PSUT_Data&amp;Method_2013'!H571"/>
    <hyperlink ref="U40" location="'PSUT_Data&amp;Method_2013'!H572" display="'PSUT_Data&amp;Method_2013'!H572"/>
    <hyperlink ref="U41" location="'PSUT_Data&amp;Method_2013'!H573" display="'PSUT_Data&amp;Method_2013'!H573"/>
    <hyperlink ref="U42" location="'PSUT_Data&amp;Method_2013'!H574" display="'PSUT_Data&amp;Method_2013'!H574"/>
    <hyperlink ref="U43" location="'PSUT_Data&amp;Method_2013'!H575" display="'PSUT_Data&amp;Method_2013'!H575"/>
    <hyperlink ref="V35" location="'PSUT_Data&amp;Method_2013'!H576" display="'PSUT_Data&amp;Method_2013'!H576"/>
    <hyperlink ref="V36:V43" location="'PSUT_Data&amp;Method_2012'!H576" display="'PSUT_Data&amp;Method_2012'!H576"/>
    <hyperlink ref="V36" location="'PSUT_Data&amp;Method_2013'!H577" display="'PSUT_Data&amp;Method_2013'!H577"/>
    <hyperlink ref="V37" location="'PSUT_Data&amp;Method_2013'!H578" display="'PSUT_Data&amp;Method_2013'!H578"/>
    <hyperlink ref="V38" location="'PSUT_Data&amp;Method_2013'!H579" display="'PSUT_Data&amp;Method_2013'!H579"/>
    <hyperlink ref="V39" location="'PSUT_Data&amp;Method_2013'!H580" display="'PSUT_Data&amp;Method_2013'!H580"/>
    <hyperlink ref="V40" location="'PSUT_Data&amp;Method_2013'!H581" display="'PSUT_Data&amp;Method_2013'!H581"/>
    <hyperlink ref="V41" location="'PSUT_Data&amp;Method_2013'!H582" display="'PSUT_Data&amp;Method_2013'!H582"/>
    <hyperlink ref="V42" location="'PSUT_Data&amp;Method_2013'!H583" display="'PSUT_Data&amp;Method_2013'!H583"/>
    <hyperlink ref="V43" location="'PSUT_Data&amp;Method_2013'!H584" display="'PSUT_Data&amp;Method_2013'!H584"/>
    <hyperlink ref="X35" location="'PSUT_Data&amp;Method_2013'!H588" display="'PSUT_Data&amp;Method_2013'!H588"/>
    <hyperlink ref="X36:X43" location="'PSUT_Data&amp;Method_2012'!H588" display="'PSUT_Data&amp;Method_2012'!H588"/>
    <hyperlink ref="X36" location="'PSUT_Data&amp;Method_2013'!H589" display="'PSUT_Data&amp;Method_2013'!H589"/>
    <hyperlink ref="X37" location="'PSUT_Data&amp;Method_2013'!H590" display="'PSUT_Data&amp;Method_2013'!H590"/>
    <hyperlink ref="X38" location="'PSUT_Data&amp;Method_2013'!H591" display="'PSUT_Data&amp;Method_2013'!H591"/>
    <hyperlink ref="X39" location="'PSUT_Data&amp;Method_2013'!H592" display="'PSUT_Data&amp;Method_2013'!H592"/>
    <hyperlink ref="X40" location="'PSUT_Data&amp;Method_2013'!H593" display="'PSUT_Data&amp;Method_2013'!H593"/>
    <hyperlink ref="X41" location="'PSUT_Data&amp;Method_2013'!H594" display="'PSUT_Data&amp;Method_2013'!H594"/>
    <hyperlink ref="X42" location="'PSUT_Data&amp;Method_2013'!H595" display="'PSUT_Data&amp;Method_2013'!H595"/>
    <hyperlink ref="X43" location="'PSUT_Data&amp;Method_2013'!H596" display="'PSUT_Data&amp;Method_2013'!H596"/>
    <hyperlink ref="Y35" location="'PSUT_Data&amp;Method_2013'!H597" display="'PSUT_Data&amp;Method_2013'!H597"/>
    <hyperlink ref="Y36" location="'PSUT_Data&amp;Method_2013'!H598" display="'PSUT_Data&amp;Method_2013'!H598"/>
    <hyperlink ref="Y37" location="'PSUT_Data&amp;Method_2013'!H599" display="'PSUT_Data&amp;Method_2013'!H599"/>
    <hyperlink ref="Y38" location="'PSUT_Data&amp;Method_2013'!H600" display="'PSUT_Data&amp;Method_2013'!H600"/>
    <hyperlink ref="Y39:Y43" location="'PSUT_Data&amp;Method_2012'!H600" display="'PSUT_Data&amp;Method_2012'!H600"/>
    <hyperlink ref="Y39" location="'PSUT_Data&amp;Method_2013'!H601" display="'PSUT_Data&amp;Method_2013'!H601"/>
    <hyperlink ref="Y40" location="'PSUT_Data&amp;Method_2013'!H602" display="'PSUT_Data&amp;Method_2013'!H602"/>
    <hyperlink ref="Y41" location="'PSUT_Data&amp;Method_2013'!H603" display="'PSUT_Data&amp;Method_2013'!H603"/>
    <hyperlink ref="Y42" location="'PSUT_Data&amp;Method_2013'!H604" display="'PSUT_Data&amp;Method_2013'!H604"/>
    <hyperlink ref="Y43" location="'PSUT_Data&amp;Method_2013'!H605" display="'PSUT_Data&amp;Method_2013'!H605"/>
    <hyperlink ref="C16" location="'PSUT_Data&amp;Method_2013'!H12" display="'PSUT_Data&amp;Method_2013'!H12"/>
    <hyperlink ref="C15" location="'PSUT_Data&amp;Method_2013'!H11" display="'PSUT_Data&amp;Method_2013'!H11"/>
    <hyperlink ref="C11" location="'PSUT_Data&amp;Method_2013'!H7" display="'PSUT_Data&amp;Method_2013'!H7"/>
    <hyperlink ref="D11" location="'PSUT_Data&amp;Method_2013'!H25" display="'PSUT_Data&amp;Method_2013'!H25"/>
    <hyperlink ref="C17" location="'PSUT_Data&amp;Method_2013'!H13" display="'PSUT_Data&amp;Method_2013'!H13"/>
  </hyperlinks>
  <pageMargins left="0.51181102362204722" right="0.51181102362204722" top="0.74803149606299213" bottom="0.74803149606299213" header="0.31496062992125984" footer="0.31496062992125984"/>
  <pageSetup paperSize="9" scale="54" orientation="landscape" r:id="rId1"/>
  <headerFooter>
    <oddHeader>&amp;L&amp;F    &amp;&amp;&amp;A&amp;C
&amp;D&amp;RPage &amp;P of &amp;N</oddHead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499984740745262"/>
    <pageSetUpPr fitToPage="1"/>
  </sheetPr>
  <dimension ref="A1:V42"/>
  <sheetViews>
    <sheetView zoomScale="120" zoomScaleNormal="120" workbookViewId="0">
      <pane ySplit="4" topLeftCell="A5" activePane="bottomLeft" state="frozen"/>
      <selection activeCell="F16" sqref="F16"/>
      <selection pane="bottomLeft" activeCell="M9" sqref="M9"/>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5.42578125" customWidth="1"/>
    <col min="13" max="13" width="7.85546875" customWidth="1"/>
    <col min="14" max="14" width="9.85546875" customWidth="1"/>
    <col min="15" max="15" width="12.28515625" customWidth="1"/>
    <col min="16" max="16" width="11.85546875" customWidth="1"/>
    <col min="17" max="17" width="11.140625" customWidth="1"/>
    <col min="18" max="18" width="15.28515625" customWidth="1"/>
    <col min="19" max="21" width="8.85546875" customWidth="1"/>
    <col min="22" max="16384" width="9.140625" style="2"/>
  </cols>
  <sheetData>
    <row r="1" spans="1:22" x14ac:dyDescent="0.25">
      <c r="B1" s="66" t="s">
        <v>1675</v>
      </c>
      <c r="C1" s="3"/>
      <c r="D1" s="3"/>
      <c r="E1" s="3"/>
      <c r="F1" s="3"/>
      <c r="G1" s="3"/>
      <c r="H1"/>
      <c r="J1"/>
      <c r="K1"/>
    </row>
    <row r="2" spans="1:22" customFormat="1" ht="3.75" customHeight="1" thickBot="1" x14ac:dyDescent="0.3"/>
    <row r="3" spans="1:22" s="368" customFormat="1" ht="24.75" x14ac:dyDescent="0.25">
      <c r="A3" s="364"/>
      <c r="B3" s="34" t="s">
        <v>69</v>
      </c>
      <c r="C3" s="1726" t="s">
        <v>49</v>
      </c>
      <c r="D3" s="1727"/>
      <c r="E3" s="1728"/>
      <c r="F3" s="366" t="s">
        <v>50</v>
      </c>
      <c r="G3" s="367" t="s">
        <v>51</v>
      </c>
      <c r="H3" s="363" t="s">
        <v>3</v>
      </c>
      <c r="I3" s="439"/>
      <c r="J3" s="365" t="s">
        <v>70</v>
      </c>
      <c r="K3" s="363" t="s">
        <v>71</v>
      </c>
      <c r="L3" s="440"/>
      <c r="M3" s="364"/>
      <c r="N3" s="364"/>
      <c r="O3" s="364"/>
      <c r="P3" s="364"/>
      <c r="Q3" s="364"/>
      <c r="R3" s="364"/>
      <c r="S3" s="364"/>
      <c r="T3" s="364"/>
      <c r="U3" s="364"/>
      <c r="V3" s="6"/>
    </row>
    <row r="4" spans="1:22" s="368" customFormat="1" ht="18" customHeight="1" thickBot="1" x14ac:dyDescent="0.3">
      <c r="A4" s="364"/>
      <c r="B4" s="369"/>
      <c r="C4" s="370" t="s">
        <v>52</v>
      </c>
      <c r="D4" s="370" t="s">
        <v>68</v>
      </c>
      <c r="E4" s="370" t="s">
        <v>53</v>
      </c>
      <c r="F4" s="371"/>
      <c r="G4" s="370"/>
      <c r="H4" s="372"/>
      <c r="I4" s="439"/>
      <c r="J4" s="369"/>
      <c r="K4" s="372"/>
      <c r="L4" s="440"/>
      <c r="M4" s="364"/>
      <c r="N4" s="364"/>
      <c r="O4" s="364"/>
      <c r="P4" s="364"/>
      <c r="Q4" s="364"/>
      <c r="R4" s="364"/>
      <c r="S4" s="364"/>
      <c r="T4" s="364"/>
      <c r="U4" s="364"/>
      <c r="V4" s="6"/>
    </row>
    <row r="5" spans="1:22" x14ac:dyDescent="0.25">
      <c r="B5" s="43" t="s">
        <v>54</v>
      </c>
      <c r="C5" s="1067">
        <f>Asset_2013_Table!C24</f>
        <v>257248.30771313258</v>
      </c>
      <c r="D5" s="1067">
        <f>Asset_2013_Table!D24</f>
        <v>1264</v>
      </c>
      <c r="E5" s="1067">
        <f>Asset_2013_Table!E24</f>
        <v>68.059208898823542</v>
      </c>
      <c r="F5" s="1067">
        <f>Asset_2013_Table!F24</f>
        <v>3388.8607500000003</v>
      </c>
      <c r="G5" s="1067">
        <f>Asset_2013_Table!G24</f>
        <v>62127</v>
      </c>
      <c r="H5" s="388">
        <f>SUM(C5:G5)</f>
        <v>324096.22767203138</v>
      </c>
      <c r="I5" s="445"/>
      <c r="J5" s="63"/>
      <c r="K5" s="50"/>
      <c r="L5" s="439"/>
      <c r="V5" s="5"/>
    </row>
    <row r="6" spans="1:22" customFormat="1" ht="3" customHeight="1" thickBot="1" x14ac:dyDescent="0.3">
      <c r="B6" s="439"/>
      <c r="C6" s="445"/>
      <c r="D6" s="445"/>
      <c r="E6" s="445"/>
      <c r="F6" s="445"/>
      <c r="G6" s="445"/>
      <c r="H6" s="445"/>
      <c r="I6" s="445"/>
      <c r="J6" s="445"/>
      <c r="K6" s="445"/>
      <c r="L6" s="439"/>
    </row>
    <row r="7" spans="1:22" ht="15.75" thickBot="1" x14ac:dyDescent="0.3">
      <c r="B7" s="52" t="s">
        <v>55</v>
      </c>
      <c r="C7" s="105"/>
      <c r="D7" s="105"/>
      <c r="E7" s="105"/>
      <c r="F7" s="105"/>
      <c r="G7" s="105"/>
      <c r="H7" s="106"/>
      <c r="I7" s="445"/>
      <c r="J7" s="56"/>
      <c r="K7" s="57"/>
      <c r="L7" s="439"/>
      <c r="V7" s="4"/>
    </row>
    <row r="8" spans="1:22" x14ac:dyDescent="0.25">
      <c r="B8" s="51" t="s">
        <v>56</v>
      </c>
      <c r="C8" s="1068">
        <f>'W-Assets_Data&amp;Method_2014'!F8</f>
        <v>0.97362447330595425</v>
      </c>
      <c r="D8" s="1068">
        <f>'W-Assets_Data&amp;Method_2014'!F9</f>
        <v>340.76856565708397</v>
      </c>
      <c r="E8" s="1068">
        <f>'W-Assets_Data&amp;Method_2014'!F10</f>
        <v>0</v>
      </c>
      <c r="F8" s="1068">
        <f>'W-Assets_Data&amp;Method_2014'!F11</f>
        <v>143.85301593095474</v>
      </c>
      <c r="G8" s="1068">
        <f>'W-Assets_Data&amp;Method_2014'!F12</f>
        <v>1.2170305916324426</v>
      </c>
      <c r="H8" s="389">
        <f>SUM(C8:G8)</f>
        <v>486.81223665297716</v>
      </c>
      <c r="I8" s="445"/>
      <c r="J8" s="384"/>
      <c r="K8" s="385"/>
      <c r="L8" s="439"/>
      <c r="V8" s="4"/>
    </row>
    <row r="9" spans="1:22" x14ac:dyDescent="0.25">
      <c r="B9" s="44" t="s">
        <v>48</v>
      </c>
      <c r="C9" s="1068">
        <f>'W-Assets_Data&amp;Method_2014'!F13</f>
        <v>2106.7124950098869</v>
      </c>
      <c r="D9" s="1068">
        <f>'W-Assets_Data&amp;Method_2014'!F14</f>
        <v>2623.0558799641217</v>
      </c>
      <c r="E9" s="1068">
        <f>'W-Assets_Data&amp;Method_2014'!F15</f>
        <v>106.60396897892616</v>
      </c>
      <c r="F9" s="1068">
        <f>'W-Assets_Data&amp;Method_2014'!F16</f>
        <v>27130.058256047065</v>
      </c>
      <c r="G9" s="254"/>
      <c r="H9" s="390">
        <f>SUM(C9:G9)</f>
        <v>31966.4306</v>
      </c>
      <c r="I9" s="445"/>
      <c r="J9" s="1072">
        <f>+(H9)</f>
        <v>31966.4306</v>
      </c>
      <c r="K9" s="1073">
        <f>+(H9)</f>
        <v>31966.4306</v>
      </c>
      <c r="L9" s="439"/>
      <c r="M9" s="400">
        <f>+F9/H9</f>
        <v>0.84870464880889973</v>
      </c>
      <c r="V9" s="4"/>
    </row>
    <row r="10" spans="1:22" x14ac:dyDescent="0.25">
      <c r="B10" s="45" t="s">
        <v>57</v>
      </c>
      <c r="C10" s="1068">
        <f>'W-Assets_Data&amp;Method_2014'!F18</f>
        <v>0</v>
      </c>
      <c r="D10" s="1069">
        <f>'W-Assets_Data&amp;Method_2014'!F19</f>
        <v>850.20267600000011</v>
      </c>
      <c r="E10" s="1068">
        <f>'W-Assets_Data&amp;Method_2014'!F20</f>
        <v>0</v>
      </c>
      <c r="F10" s="254"/>
      <c r="G10" s="1068">
        <f>'W-Assets_Data&amp;Method_2014'!F22</f>
        <v>0</v>
      </c>
      <c r="H10" s="390">
        <f>SUM(C10:G10)</f>
        <v>850.20267600000011</v>
      </c>
      <c r="I10" s="445"/>
      <c r="J10" s="386"/>
      <c r="K10" s="1073">
        <f>+(H10)</f>
        <v>850.20267600000011</v>
      </c>
      <c r="L10" s="556"/>
      <c r="M10" s="400">
        <f>+K10/K9</f>
        <v>2.659673476337393E-2</v>
      </c>
      <c r="N10" s="400">
        <f>+H17/H10</f>
        <v>7.5738261286554609</v>
      </c>
      <c r="V10" s="4"/>
    </row>
    <row r="11" spans="1:22" x14ac:dyDescent="0.25">
      <c r="B11" s="44" t="s">
        <v>58</v>
      </c>
      <c r="C11" s="1068">
        <f>'W-Assets_Data&amp;Method_2014'!F23</f>
        <v>1636</v>
      </c>
      <c r="D11" s="1068">
        <f>'W-Assets_Data&amp;Method_2014'!F24</f>
        <v>4422.5199999999995</v>
      </c>
      <c r="E11" s="1070">
        <f>'W-Assets_Data&amp;Method_2014'!F25</f>
        <v>221.12599999999998</v>
      </c>
      <c r="F11" s="1070">
        <f>'W-Assets_Data&amp;Method_2014'!F26</f>
        <v>911.12000000000012</v>
      </c>
      <c r="G11" s="1070">
        <f>'W-Assets_Data&amp;Method_2014'!F27</f>
        <v>3644.4800000000005</v>
      </c>
      <c r="H11" s="390">
        <f>SUM(C11:G11)</f>
        <v>10835.245999999999</v>
      </c>
      <c r="I11" s="445"/>
      <c r="J11" s="386"/>
      <c r="K11" s="387"/>
      <c r="L11" s="439"/>
      <c r="V11" s="4"/>
    </row>
    <row r="12" spans="1:22" x14ac:dyDescent="0.25">
      <c r="B12" s="46" t="s">
        <v>59</v>
      </c>
      <c r="C12" s="391">
        <f>SUM(C8:C11)</f>
        <v>3743.6861194831927</v>
      </c>
      <c r="D12" s="391">
        <f>SUM(D8:D11)</f>
        <v>8236.5471216212063</v>
      </c>
      <c r="E12" s="391">
        <f>SUM(E8:E11)</f>
        <v>327.72996897892614</v>
      </c>
      <c r="F12" s="391">
        <f>SUM(F8:F11)</f>
        <v>28185.03127197802</v>
      </c>
      <c r="G12" s="391">
        <f>SUM(G8:G11)</f>
        <v>3645.6970305916329</v>
      </c>
      <c r="H12" s="390">
        <f>SUM(C12:G12)</f>
        <v>44138.691512652978</v>
      </c>
      <c r="I12" s="445"/>
      <c r="J12" s="351">
        <f>SUM(J8:J11)</f>
        <v>31966.4306</v>
      </c>
      <c r="K12" s="352">
        <f>SUM(K8:K11)</f>
        <v>32816.633276</v>
      </c>
      <c r="L12" s="439"/>
      <c r="V12" s="4"/>
    </row>
    <row r="13" spans="1:22" customFormat="1" ht="6" customHeight="1" thickBot="1" x14ac:dyDescent="0.3">
      <c r="B13" s="59"/>
      <c r="C13" s="103"/>
      <c r="D13" s="103"/>
      <c r="E13" s="103"/>
      <c r="F13" s="103"/>
      <c r="G13" s="103"/>
      <c r="H13" s="104"/>
      <c r="I13" s="445"/>
      <c r="J13" s="448"/>
      <c r="K13" s="449"/>
      <c r="L13" s="439"/>
    </row>
    <row r="14" spans="1:22" ht="15.75" thickBot="1" x14ac:dyDescent="0.3">
      <c r="B14" s="54" t="s">
        <v>60</v>
      </c>
      <c r="C14" s="114"/>
      <c r="D14" s="114"/>
      <c r="E14" s="114"/>
      <c r="F14" s="114"/>
      <c r="G14" s="114"/>
      <c r="H14" s="115"/>
      <c r="I14" s="445"/>
      <c r="J14" s="450"/>
      <c r="K14" s="115"/>
      <c r="L14" s="439"/>
      <c r="V14" s="4"/>
    </row>
    <row r="15" spans="1:22" x14ac:dyDescent="0.25">
      <c r="B15" s="53" t="s">
        <v>61</v>
      </c>
      <c r="C15" s="1068">
        <f>'W-Assets_Data&amp;Method_2014'!F28</f>
        <v>19.401262723993508</v>
      </c>
      <c r="D15" s="1068">
        <f>'W-Assets_Data&amp;Method_2014'!F29</f>
        <v>330.11401382874317</v>
      </c>
      <c r="E15" s="1068">
        <f>'W-Assets_Data&amp;Method_2014'!F30</f>
        <v>281.62838578727354</v>
      </c>
      <c r="F15" s="1068">
        <f>'W-Assets_Data&amp;Method_2014'!F31</f>
        <v>0</v>
      </c>
      <c r="G15" s="1068">
        <f>'W-Assets_Data&amp;Method_2014'!F32</f>
        <v>64.302390021385676</v>
      </c>
      <c r="H15" s="395">
        <f t="shared" ref="H15:H20" si="0">SUM(C15:G15)</f>
        <v>695.44605236139591</v>
      </c>
      <c r="I15" s="445"/>
      <c r="J15" s="1074"/>
      <c r="K15" s="1075"/>
      <c r="L15" s="439"/>
      <c r="M15" t="s">
        <v>628</v>
      </c>
      <c r="O15" s="401">
        <f>H15</f>
        <v>695.44605236139591</v>
      </c>
      <c r="P15" s="402">
        <f>+(O15*1000000)/J29</f>
        <v>66.342637543477451</v>
      </c>
      <c r="Q15" t="s">
        <v>626</v>
      </c>
      <c r="V15" s="4"/>
    </row>
    <row r="16" spans="1:22" x14ac:dyDescent="0.25">
      <c r="B16" s="48" t="s">
        <v>1718</v>
      </c>
      <c r="C16" s="1068">
        <f>'W-Assets_Data&amp;Method_2014'!F33</f>
        <v>1286.4371904087375</v>
      </c>
      <c r="D16" s="1068">
        <f>'W-Assets_Data&amp;Method_2014'!F34</f>
        <v>51.256583999999997</v>
      </c>
      <c r="E16" s="1068">
        <f>'W-Assets_Data&amp;Method_2014'!F35</f>
        <v>15.441170279665183</v>
      </c>
      <c r="F16" s="1068">
        <f>'W-Assets_Data&amp;Method_2014'!F36</f>
        <v>19538.166655311597</v>
      </c>
      <c r="G16" s="254"/>
      <c r="H16" s="390">
        <f t="shared" si="0"/>
        <v>20891.301599999999</v>
      </c>
      <c r="I16" s="445"/>
      <c r="J16" s="1072">
        <f>+(H16)</f>
        <v>20891.301599999999</v>
      </c>
      <c r="K16" s="1073">
        <f>+(H16)</f>
        <v>20891.301599999999</v>
      </c>
      <c r="L16" s="439"/>
      <c r="M16" t="s">
        <v>627</v>
      </c>
      <c r="O16">
        <v>500</v>
      </c>
      <c r="P16" s="402">
        <f>+(O16*1000000)/J29</f>
        <v>47.697903610359262</v>
      </c>
      <c r="Q16" t="s">
        <v>626</v>
      </c>
      <c r="V16" s="4"/>
    </row>
    <row r="17" spans="2:22" x14ac:dyDescent="0.25">
      <c r="B17" s="48" t="s">
        <v>65</v>
      </c>
      <c r="C17" s="254"/>
      <c r="D17" s="1068">
        <f>'W-Assets_Data&amp;Method_2014'!F39</f>
        <v>6439.2872421415941</v>
      </c>
      <c r="E17" s="1068">
        <f>'W-Assets_Data&amp;Method_2014'!F40</f>
        <v>0</v>
      </c>
      <c r="F17" s="254"/>
      <c r="G17" s="1068">
        <f>'W-Assets_Data&amp;Method_2014'!F42</f>
        <v>0</v>
      </c>
      <c r="H17" s="396">
        <f t="shared" si="0"/>
        <v>6439.2872421415941</v>
      </c>
      <c r="I17" s="445"/>
      <c r="J17" s="451"/>
      <c r="K17" s="452"/>
      <c r="L17" s="439"/>
      <c r="V17" s="4"/>
    </row>
    <row r="18" spans="2:22" x14ac:dyDescent="0.25">
      <c r="B18" s="48" t="s">
        <v>66</v>
      </c>
      <c r="C18" s="254"/>
      <c r="D18" s="1068">
        <f>'W-Assets_Data&amp;Method_2014'!F44</f>
        <v>0</v>
      </c>
      <c r="E18" s="1068">
        <f>'W-Assets_Data&amp;Method_2014'!F45</f>
        <v>0</v>
      </c>
      <c r="F18" s="254"/>
      <c r="G18" s="1068">
        <f>'W-Assets_Data&amp;Method_2014'!F47</f>
        <v>0</v>
      </c>
      <c r="H18" s="396">
        <f t="shared" si="0"/>
        <v>0</v>
      </c>
      <c r="I18" s="445"/>
      <c r="J18" s="451"/>
      <c r="K18" s="452"/>
      <c r="L18" s="439"/>
      <c r="N18" s="425" t="s">
        <v>1363</v>
      </c>
      <c r="O18" s="3"/>
      <c r="P18" s="3"/>
      <c r="Q18" s="2"/>
      <c r="S18" s="4"/>
      <c r="V18" s="4"/>
    </row>
    <row r="19" spans="2:22" x14ac:dyDescent="0.25">
      <c r="B19" s="48" t="s">
        <v>67</v>
      </c>
      <c r="C19" s="1068">
        <f>'W-Assets_Data&amp;Method_2014'!F48</f>
        <v>2879.5406253942056</v>
      </c>
      <c r="D19" s="1068">
        <f>'W-Assets_Data&amp;Method_2014'!F49</f>
        <v>1857.126</v>
      </c>
      <c r="E19" s="1068">
        <f>'W-Assets_Data&amp;Method_2014'!F50</f>
        <v>131.09198759157047</v>
      </c>
      <c r="F19" s="1068">
        <f>'W-Assets_Data&amp;Method_2014'!F51</f>
        <v>8351.545800367734</v>
      </c>
      <c r="G19" s="1068">
        <f>'W-Assets_Data&amp;Method_2014'!F52</f>
        <v>3399.8873800000001</v>
      </c>
      <c r="H19" s="396">
        <f>SUM(C19:G19)</f>
        <v>16619.191793353511</v>
      </c>
      <c r="I19" s="445"/>
      <c r="J19" s="451"/>
      <c r="K19" s="452"/>
      <c r="L19" s="439"/>
      <c r="N19" s="426" t="s">
        <v>1364</v>
      </c>
      <c r="O19" s="426" t="s">
        <v>661</v>
      </c>
      <c r="P19" s="427">
        <f>12742*26338</f>
        <v>335598796</v>
      </c>
      <c r="Q19" s="2" t="s">
        <v>1375</v>
      </c>
      <c r="R19" t="s">
        <v>1366</v>
      </c>
      <c r="S19" s="4"/>
      <c r="V19" s="4"/>
    </row>
    <row r="20" spans="2:22" ht="15.75" thickBot="1" x14ac:dyDescent="0.3">
      <c r="B20" s="47" t="s">
        <v>63</v>
      </c>
      <c r="C20" s="397">
        <f>SUM(C15:C19)</f>
        <v>4185.3790785269366</v>
      </c>
      <c r="D20" s="397">
        <f>SUM(D15:D19)</f>
        <v>8677.7838399703378</v>
      </c>
      <c r="E20" s="397">
        <f>SUM(E15:E19)</f>
        <v>428.16154365850923</v>
      </c>
      <c r="F20" s="397">
        <f>SUM(F15:F19)</f>
        <v>27889.712455679331</v>
      </c>
      <c r="G20" s="397">
        <f>SUM(G15:G19)</f>
        <v>3464.1897700213858</v>
      </c>
      <c r="H20" s="396">
        <f t="shared" si="0"/>
        <v>44645.226687856499</v>
      </c>
      <c r="I20" s="445"/>
      <c r="J20" s="1076">
        <f>SUM(J15:J19)</f>
        <v>20891.301599999999</v>
      </c>
      <c r="K20" s="1077">
        <f>SUM(K15:K19)</f>
        <v>20891.301599999999</v>
      </c>
      <c r="L20" s="439"/>
      <c r="N20" s="3" t="s">
        <v>664</v>
      </c>
      <c r="O20" s="3" t="s">
        <v>665</v>
      </c>
      <c r="P20" s="3"/>
      <c r="Q20" s="2" t="s">
        <v>1374</v>
      </c>
      <c r="S20" s="4"/>
      <c r="V20" s="4"/>
    </row>
    <row r="21" spans="2:22" customFormat="1" ht="3" customHeight="1" x14ac:dyDescent="0.25">
      <c r="B21" s="439"/>
      <c r="C21" s="445"/>
      <c r="D21" s="445"/>
      <c r="E21" s="445"/>
      <c r="F21" s="445"/>
      <c r="G21" s="445"/>
      <c r="H21" s="445"/>
      <c r="I21" s="445"/>
      <c r="J21" s="445"/>
      <c r="K21" s="445"/>
      <c r="L21" s="439"/>
    </row>
    <row r="22" spans="2:22" x14ac:dyDescent="0.25">
      <c r="B22" s="69" t="s">
        <v>72</v>
      </c>
      <c r="C22" s="398">
        <f>-SUM(C5,C12,-C20,-C24)</f>
        <v>0</v>
      </c>
      <c r="D22" s="398">
        <f>-SUM(D5,D12,-D20,-D24)</f>
        <v>441.23671834913148</v>
      </c>
      <c r="E22" s="398">
        <f>-SUM(E5,E12,-E20,-E24)</f>
        <v>109.7696907266419</v>
      </c>
      <c r="F22" s="398">
        <f>-SUM(F5,F12,-F20,-F24)</f>
        <v>-295.31881629868758</v>
      </c>
      <c r="G22" s="398">
        <f>-SUM(G5,G12,-G20,-G24)</f>
        <v>-181.5072605702444</v>
      </c>
      <c r="H22" s="399">
        <f>SUM(C22:G22)</f>
        <v>74.180332206841399</v>
      </c>
      <c r="I22" s="445"/>
      <c r="J22" s="1078"/>
      <c r="K22" s="1078"/>
      <c r="L22" s="439"/>
      <c r="N22" s="3">
        <v>1.2137</v>
      </c>
      <c r="O22" s="331">
        <v>26338000000</v>
      </c>
      <c r="P22" s="331">
        <v>31966430600</v>
      </c>
      <c r="Q22" s="2">
        <v>0.79330000000000001</v>
      </c>
      <c r="R22" s="433">
        <f>Q22*O22</f>
        <v>20893935400</v>
      </c>
      <c r="S22" s="4"/>
      <c r="V22" s="4"/>
    </row>
    <row r="23" spans="2:22" customFormat="1" ht="3" customHeight="1" x14ac:dyDescent="0.25">
      <c r="B23" s="59"/>
      <c r="C23" s="103"/>
      <c r="D23" s="103"/>
      <c r="E23" s="103"/>
      <c r="F23" s="103"/>
      <c r="G23" s="103"/>
      <c r="H23" s="104"/>
      <c r="I23" s="445"/>
      <c r="J23" s="1078"/>
      <c r="K23" s="1078"/>
      <c r="L23" s="439"/>
      <c r="N23" s="3"/>
      <c r="O23" s="3"/>
      <c r="P23" s="3"/>
      <c r="Q23" s="2"/>
      <c r="R23" s="187"/>
      <c r="S23" s="4"/>
    </row>
    <row r="24" spans="2:22" ht="15.75" thickBot="1" x14ac:dyDescent="0.3">
      <c r="B24" s="49" t="s">
        <v>64</v>
      </c>
      <c r="C24" s="650">
        <f>C5+(Lakes!F68/1000000)</f>
        <v>256806.61475408886</v>
      </c>
      <c r="D24" s="405">
        <f>D5+(0)</f>
        <v>1264</v>
      </c>
      <c r="E24" s="1071">
        <f>'W-Assets_Data&amp;Method_2014'!F55</f>
        <v>77.39732494588236</v>
      </c>
      <c r="F24" s="736">
        <f>F5*(100%)</f>
        <v>3388.8607500000003</v>
      </c>
      <c r="G24" s="737">
        <f>G5+(0)</f>
        <v>62127</v>
      </c>
      <c r="H24" s="405">
        <f>SUM(C24:G24)</f>
        <v>323663.87282903475</v>
      </c>
      <c r="I24" s="445"/>
      <c r="J24" s="1078"/>
      <c r="K24" s="1078"/>
      <c r="L24" s="439"/>
      <c r="N24" s="428">
        <f>+P22/1000000</f>
        <v>31966.4306</v>
      </c>
      <c r="O24" s="423" t="s">
        <v>1368</v>
      </c>
      <c r="P24" s="3"/>
      <c r="Q24" s="429">
        <f>R22/1000000</f>
        <v>20893.935399999998</v>
      </c>
      <c r="S24" s="4"/>
      <c r="V24" s="5"/>
    </row>
    <row r="25" spans="2:22" ht="15.75" thickBot="1" x14ac:dyDescent="0.3">
      <c r="B25" s="8"/>
      <c r="C25" s="9"/>
      <c r="D25" s="9"/>
      <c r="E25" s="649"/>
      <c r="F25" s="9"/>
      <c r="G25" s="9"/>
      <c r="H25" s="9"/>
      <c r="I25" s="439"/>
      <c r="J25" s="441"/>
      <c r="K25" s="441"/>
      <c r="L25" s="439"/>
      <c r="N25" s="430">
        <f>N24/1000</f>
        <v>31.966430599999999</v>
      </c>
      <c r="O25" s="430" t="s">
        <v>190</v>
      </c>
      <c r="P25" s="370" t="s">
        <v>52</v>
      </c>
      <c r="Q25" s="2"/>
      <c r="R25" s="187"/>
      <c r="S25" s="4"/>
      <c r="V25" s="5"/>
    </row>
    <row r="26" spans="2:22" ht="15" customHeight="1" thickBot="1" x14ac:dyDescent="0.3">
      <c r="B26" s="557" t="s">
        <v>1315</v>
      </c>
      <c r="C26" s="557">
        <f t="shared" ref="C26:H26" si="1">(C5+C12)-C20</f>
        <v>256806.61475408886</v>
      </c>
      <c r="D26" s="557">
        <f t="shared" si="1"/>
        <v>822.76328165086852</v>
      </c>
      <c r="E26" s="557">
        <f t="shared" si="1"/>
        <v>-32.372365780759537</v>
      </c>
      <c r="F26" s="557">
        <f t="shared" si="1"/>
        <v>3684.1795662986879</v>
      </c>
      <c r="G26" s="557">
        <f t="shared" si="1"/>
        <v>62308.507260570244</v>
      </c>
      <c r="H26" s="557">
        <f t="shared" si="1"/>
        <v>323589.69249682786</v>
      </c>
      <c r="I26" s="439"/>
      <c r="J26" s="326" t="s">
        <v>607</v>
      </c>
      <c r="K26" s="327" t="s">
        <v>608</v>
      </c>
      <c r="L26" s="439"/>
      <c r="M26" s="431" t="s">
        <v>667</v>
      </c>
      <c r="O26" s="3"/>
      <c r="P26" s="370" t="s">
        <v>68</v>
      </c>
      <c r="Q26" s="2"/>
      <c r="S26" s="4"/>
    </row>
    <row r="27" spans="2:22" ht="17.25" thickBot="1" x14ac:dyDescent="0.3">
      <c r="B27" s="441"/>
      <c r="C27" s="441"/>
      <c r="D27" s="441"/>
      <c r="E27" s="441"/>
      <c r="F27" s="441"/>
      <c r="G27" s="441"/>
      <c r="H27" s="441"/>
      <c r="I27" s="439"/>
      <c r="J27" s="403">
        <f>SUM(J12,-J20)</f>
        <v>11075.129000000001</v>
      </c>
      <c r="K27" s="442"/>
      <c r="L27" s="439"/>
      <c r="N27" s="431"/>
      <c r="O27" s="432"/>
      <c r="P27" s="370" t="s">
        <v>53</v>
      </c>
      <c r="Q27" s="2"/>
      <c r="S27" s="4"/>
    </row>
    <row r="28" spans="2:22" ht="15.75" thickBot="1" x14ac:dyDescent="0.3">
      <c r="B28" s="441"/>
      <c r="C28" s="721"/>
      <c r="D28" s="441"/>
      <c r="E28" s="441"/>
      <c r="F28" s="441"/>
      <c r="G28" s="441"/>
      <c r="H28" s="441"/>
      <c r="I28" s="439"/>
      <c r="J28" s="325"/>
      <c r="K28" s="404">
        <f>SUM(K12,-K20)</f>
        <v>11925.331676000002</v>
      </c>
      <c r="L28" s="439"/>
      <c r="N28" s="431"/>
      <c r="O28" s="3"/>
      <c r="P28" s="366" t="s">
        <v>50</v>
      </c>
      <c r="Q28" s="2"/>
      <c r="S28" s="4"/>
    </row>
    <row r="29" spans="2:22" x14ac:dyDescent="0.25">
      <c r="B29" s="441"/>
      <c r="C29" s="441"/>
      <c r="D29" s="441"/>
      <c r="E29" s="441"/>
      <c r="F29" s="441"/>
      <c r="G29" s="441"/>
      <c r="H29" s="441"/>
      <c r="I29" s="439"/>
      <c r="J29" s="329">
        <v>10482641</v>
      </c>
      <c r="K29" s="441" t="s">
        <v>609</v>
      </c>
      <c r="L29" s="439"/>
      <c r="P29" s="367" t="s">
        <v>51</v>
      </c>
    </row>
    <row r="30" spans="2:22" x14ac:dyDescent="0.25">
      <c r="B30" s="441"/>
      <c r="C30" s="441"/>
      <c r="D30" s="441"/>
      <c r="E30" s="441"/>
      <c r="F30" s="441"/>
      <c r="G30" s="441"/>
      <c r="H30" s="441"/>
      <c r="I30" s="439"/>
      <c r="J30" s="330">
        <v>11.002628</v>
      </c>
      <c r="K30" s="441" t="s">
        <v>1357</v>
      </c>
      <c r="L30" s="439"/>
    </row>
    <row r="31" spans="2:22" x14ac:dyDescent="0.25">
      <c r="B31" s="441"/>
      <c r="C31" s="441"/>
      <c r="D31" s="441"/>
      <c r="E31" s="441"/>
      <c r="F31" s="441"/>
      <c r="G31" s="441"/>
      <c r="H31" s="441"/>
      <c r="I31" s="439"/>
      <c r="J31" s="443">
        <f>+(J27/J30)</f>
        <v>1006.5894257262902</v>
      </c>
      <c r="K31" s="444"/>
      <c r="L31" s="445" t="s">
        <v>613</v>
      </c>
      <c r="M31" s="331"/>
    </row>
    <row r="32" spans="2:22" x14ac:dyDescent="0.25">
      <c r="B32" s="441"/>
      <c r="C32" s="441"/>
      <c r="D32" s="441"/>
      <c r="E32" s="441"/>
      <c r="F32" s="441"/>
      <c r="G32" s="441"/>
      <c r="H32" s="441"/>
      <c r="I32" s="439"/>
      <c r="J32" s="444"/>
      <c r="K32" s="443">
        <f>+(K28/J30)</f>
        <v>1083.8621169415164</v>
      </c>
      <c r="L32" s="445" t="s">
        <v>614</v>
      </c>
      <c r="N32" s="316"/>
    </row>
    <row r="33" spans="2:14" x14ac:dyDescent="0.25">
      <c r="B33" s="441"/>
      <c r="C33" s="441"/>
      <c r="D33" s="441"/>
      <c r="E33" s="441"/>
      <c r="F33" s="441"/>
      <c r="G33" s="441"/>
      <c r="H33" s="441"/>
      <c r="I33" s="439"/>
      <c r="J33" s="441"/>
      <c r="K33" s="446">
        <f>H40</f>
        <v>256.23230622501967</v>
      </c>
      <c r="L33" s="445" t="s">
        <v>611</v>
      </c>
      <c r="M33" s="328"/>
      <c r="N33" s="316"/>
    </row>
    <row r="34" spans="2:14" x14ac:dyDescent="0.25">
      <c r="B34" s="441"/>
      <c r="C34" s="441"/>
      <c r="D34" s="441"/>
      <c r="E34" s="441"/>
      <c r="F34" s="441"/>
      <c r="G34" s="441"/>
      <c r="H34" s="441"/>
      <c r="I34" s="439"/>
      <c r="J34" s="441"/>
      <c r="K34" s="447">
        <f>+(K33/K28)</f>
        <v>2.148638823528011E-2</v>
      </c>
      <c r="L34" s="445" t="s">
        <v>612</v>
      </c>
      <c r="M34" s="316"/>
    </row>
    <row r="35" spans="2:14" x14ac:dyDescent="0.25">
      <c r="F35" s="422"/>
    </row>
    <row r="36" spans="2:14" x14ac:dyDescent="0.25">
      <c r="E36" s="179"/>
      <c r="F36" s="564">
        <v>499468512</v>
      </c>
      <c r="G36" t="s">
        <v>659</v>
      </c>
      <c r="I36" s="2"/>
      <c r="J36"/>
      <c r="K36"/>
    </row>
    <row r="37" spans="2:14" x14ac:dyDescent="0.25">
      <c r="E37" s="192"/>
      <c r="G37"/>
      <c r="I37" s="2"/>
      <c r="J37"/>
      <c r="K37"/>
      <c r="L37" t="s">
        <v>658</v>
      </c>
    </row>
    <row r="38" spans="2:14" x14ac:dyDescent="0.25">
      <c r="G38" s="2">
        <v>2012</v>
      </c>
      <c r="H38" s="334">
        <v>151.61674924557377</v>
      </c>
      <c r="K38"/>
      <c r="L38" s="316">
        <f>H38/(F$36/1000000)</f>
        <v>0.30355617141601465</v>
      </c>
    </row>
    <row r="39" spans="2:14" x14ac:dyDescent="0.25">
      <c r="G39" s="2">
        <v>2013</v>
      </c>
      <c r="H39" s="334">
        <v>197.10177401924591</v>
      </c>
      <c r="K39"/>
      <c r="L39" s="316">
        <f>H39/(F$36/1000000)</f>
        <v>0.39462302284081907</v>
      </c>
    </row>
    <row r="40" spans="2:14" x14ac:dyDescent="0.25">
      <c r="G40" s="2">
        <v>2014</v>
      </c>
      <c r="H40" s="334">
        <v>256.23230622501967</v>
      </c>
      <c r="K40"/>
      <c r="L40" s="316">
        <f>H40/(F$36/1000000)</f>
        <v>0.5130099296930648</v>
      </c>
    </row>
    <row r="41" spans="2:14" x14ac:dyDescent="0.25">
      <c r="G41" s="2">
        <v>2015</v>
      </c>
      <c r="H41" s="334">
        <v>333.10199809252555</v>
      </c>
      <c r="K41"/>
      <c r="L41" s="316">
        <f>H41/(F$36/1000000)</f>
        <v>0.66691290860098418</v>
      </c>
    </row>
    <row r="42" spans="2:14" x14ac:dyDescent="0.25">
      <c r="G42" s="2">
        <v>2016</v>
      </c>
      <c r="H42">
        <v>499.46851199999998</v>
      </c>
      <c r="I42" s="2">
        <v>2016</v>
      </c>
      <c r="K42"/>
      <c r="L42" s="1053">
        <f>H42/(F$36/1000000)</f>
        <v>1</v>
      </c>
    </row>
  </sheetData>
  <mergeCells count="1">
    <mergeCell ref="C3:E3"/>
  </mergeCells>
  <hyperlinks>
    <hyperlink ref="C9" location="'W-Assets_Data&amp;Method_2014'!F13" display="'W-Assets_Data&amp;Method_2014'!F13"/>
    <hyperlink ref="D9" location="'W-Assets_Data&amp;Method_2014'!F14" display="'W-Assets_Data&amp;Method_2014'!F14"/>
    <hyperlink ref="E9" location="'W-Assets_Data&amp;Method_2014'!F15" display="'W-Assets_Data&amp;Method_2014'!F15"/>
    <hyperlink ref="F9" location="'W-Assets_Data&amp;Method_2014'!F16" display="'W-Assets_Data&amp;Method_2014'!F16"/>
    <hyperlink ref="C10" location="'W-Assets_Data&amp;Method_2014'!F18" display="'W-Assets_Data&amp;Method_2014'!F18"/>
    <hyperlink ref="D10" location="'W-Assets_Data&amp;Method_2014'!F19" display="'W-Assets_Data&amp;Method_2014'!F19"/>
    <hyperlink ref="E10" location="'W-Assets_Data&amp;Method_2014'!F20" display="'W-Assets_Data&amp;Method_2014'!F20"/>
    <hyperlink ref="G10" location="'W-Assets_Data&amp;Method_2014'!F22" display="'W-Assets_Data&amp;Method_2014'!F22"/>
    <hyperlink ref="C11" location="'W-Assets_Data&amp;Method_2014'!F23" display="'W-Assets_Data&amp;Method_2014'!F23"/>
    <hyperlink ref="D11" location="'W-Assets_Data&amp;Method_2014'!F24" display="'W-Assets_Data&amp;Method_2014'!F24"/>
    <hyperlink ref="E11" location="'W-Assets_Data&amp;Method_2014'!F25" display="'W-Assets_Data&amp;Method_2014'!F25"/>
    <hyperlink ref="F11" location="'W-Assets_Data&amp;Method_2014'!F26" display="'W-Assets_Data&amp;Method_2014'!F26"/>
    <hyperlink ref="G11" location="'W-Assets_Data&amp;Method_2014'!F27" display="'W-Assets_Data&amp;Method_2014'!F27"/>
    <hyperlink ref="D17" location="'W-Assets_Data&amp;Method_2014'!F39" display="'W-Assets_Data&amp;Method_2014'!F39"/>
    <hyperlink ref="E17" location="'W-Assets_Data&amp;Method_2014'!F40" display="'W-Assets_Data&amp;Method_2014'!F40"/>
    <hyperlink ref="G17" location="'W-Assets_Data&amp;Method_2014'!F42" display="'W-Assets_Data&amp;Method_2014'!F42"/>
    <hyperlink ref="D18" location="'W-Assets_Data&amp;Method_2014'!F44" display="'W-Assets_Data&amp;Method_2014'!F44"/>
    <hyperlink ref="E18" location="'W-Assets_Data&amp;Method_2014'!F45" display="'W-Assets_Data&amp;Method_2014'!F45"/>
    <hyperlink ref="G18" location="'W-Assets_Data&amp;Method_2014'!F47" display="'W-Assets_Data&amp;Method_2014'!F47"/>
    <hyperlink ref="C19" location="'W-Assets_Data&amp;Method_2014'!F48" display="'W-Assets_Data&amp;Method_2014'!F48"/>
    <hyperlink ref="D19" location="'W-Assets_Data&amp;Method_2014'!F49" display="'W-Assets_Data&amp;Method_2014'!F49"/>
    <hyperlink ref="E19" location="'W-Assets_Data&amp;Method_2014'!F50" display="'W-Assets_Data&amp;Method_2014'!F50"/>
    <hyperlink ref="F19" location="'W-Assets_Data&amp;Method_2014'!F51" display="'W-Assets_Data&amp;Method_2014'!F51"/>
    <hyperlink ref="G19" location="'W-Assets_Data&amp;Method_2014'!F52" display="'W-Assets_Data&amp;Method_2014'!F52"/>
    <hyperlink ref="C5" location="'W-Assets_Data&amp;Method_2014'!F3" display="'W-Assets_Data&amp;Method_2014'!F3"/>
    <hyperlink ref="D5" location="'W-Assets_Data&amp;Method_2014'!F4" display="'W-Assets_Data&amp;Method_2014'!F4"/>
    <hyperlink ref="E5" location="'W-Assets_Data&amp;Method_2014'!F5" display="'W-Assets_Data&amp;Method_2014'!F5"/>
    <hyperlink ref="F5" location="'W-Assets_Data&amp;Method_2014'!F6" display="'W-Assets_Data&amp;Method_2014'!F6"/>
    <hyperlink ref="G5" location="'W-Assets_Data&amp;Method_2014'!F7" display="'W-Assets_Data&amp;Method_2014'!F7"/>
    <hyperlink ref="C8" location="'W-Assets_Data&amp;Method_2014'!F8" display="'W-Assets_Data&amp;Method_2014'!F8"/>
    <hyperlink ref="D8" location="'W-Assets_Data&amp;Method_2014'!F9" display="'W-Assets_Data&amp;Method_2014'!F9"/>
    <hyperlink ref="E8" location="'W-Assets_Data&amp;Method_2014'!F10" display="'W-Assets_Data&amp;Method_2014'!F10"/>
    <hyperlink ref="F8" location="'W-Assets_Data&amp;Method_2014'!F11" display="'W-Assets_Data&amp;Method_2014'!F11"/>
    <hyperlink ref="G8" location="'W-Assets_Data&amp;Method_2014'!F12" display="'W-Assets_Data&amp;Method_2014'!F12"/>
    <hyperlink ref="C15" location="'W-Assets_Data&amp;Method_2014'!F28" display="'W-Assets_Data&amp;Method_2014'!F28"/>
    <hyperlink ref="F15" location="'W-Assets_Data&amp;Method_2014'!F31" display="'W-Assets_Data&amp;Method_2014'!F31"/>
    <hyperlink ref="E15" location="'W-Assets_Data&amp;Method_2014'!F30" display="'W-Assets_Data&amp;Method_2014'!F30"/>
    <hyperlink ref="D15" location="'W-Assets_Data&amp;Method_2014'!F29" display="'W-Assets_Data&amp;Method_2014'!F29"/>
    <hyperlink ref="G15" location="'W-Assets_Data&amp;Method_2014'!F32" display="'W-Assets_Data&amp;Method_2014'!F32"/>
    <hyperlink ref="C16" location="'W-Assets_Data&amp;Method_2014'!F33" display="'W-Assets_Data&amp;Method_2014'!F33"/>
    <hyperlink ref="D16" location="'W-Assets_Data&amp;Method_2014'!F34" display="'W-Assets_Data&amp;Method_2014'!F34"/>
    <hyperlink ref="E16" location="'W-Assets_Data&amp;Method_2014'!F35" display="'W-Assets_Data&amp;Method_2014'!F35"/>
    <hyperlink ref="F16" location="'W-Assets_Data&amp;Method_2014'!F36" display="'W-Assets_Data&amp;Method_2014'!F36"/>
    <hyperlink ref="J9" location="'W-Assets_Data&amp;Method_2014'!F58" display="'W-Assets_Data&amp;Method_2014'!F58"/>
    <hyperlink ref="J16" location="'W-Assets_Data&amp;Method_2014'!F59" display="'W-Assets_Data&amp;Method_2014'!F59"/>
    <hyperlink ref="K9" location="'W-Assets_Data&amp;Method_2014'!F58" display="'W-Assets_Data&amp;Method_2014'!F58"/>
    <hyperlink ref="K10" location="'W-Assets_Data&amp;Method_2014'!F61" display="'W-Assets_Data&amp;Method_2014'!F61"/>
    <hyperlink ref="K16" location="'W-Assets_Data&amp;Method_2014'!F59" display="'W-Assets_Data&amp;Method_2014'!F59"/>
    <hyperlink ref="J27" location="'W-Assets_Data&amp;Method_2012'!F60" display="'W-Assets_Data&amp;Method_2012'!F60"/>
    <hyperlink ref="K28" location="'W-Assets_Data&amp;Method_2012'!F62" display="'W-Assets_Data&amp;Method_2012'!F62"/>
    <hyperlink ref="E24" location="'W-Assets_Data&amp;Method_2014'!F55" display="'W-Assets_Data&amp;Method_2014'!F55"/>
    <hyperlink ref="C24" location="'W-Assets_Data&amp;Method_2012'!F53" display="'W-Assets_Data&amp;Method_2012'!F53"/>
    <hyperlink ref="F24" location="'W-Assets_Data&amp;Method_2012'!F56" display="'W-Assets_Data&amp;Method_2012'!F56"/>
    <hyperlink ref="G24" location="'W-Assets_Data&amp;Method_2012'!F57" display="'W-Assets_Data&amp;Method_2012'!F57"/>
  </hyperlinks>
  <pageMargins left="0.51181102362204722" right="0.51181102362204722" top="0.74803149606299213" bottom="0.74803149606299213" header="0.31496062992125984" footer="0.31496062992125984"/>
  <pageSetup paperSize="9" scale="69" orientation="landscape" r:id="rId1"/>
  <headerFooter>
    <oddHeader>&amp;L&amp;F    &amp;&amp;&amp;A&amp;C&amp;D&amp;RPage &amp;P of &amp;N</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499984740745262"/>
    <pageSetUpPr fitToPage="1"/>
  </sheetPr>
  <dimension ref="B1:I62"/>
  <sheetViews>
    <sheetView topLeftCell="B1" workbookViewId="0">
      <pane ySplit="2" topLeftCell="A34" activePane="bottomLeft" state="frozen"/>
      <selection activeCell="F16" sqref="F16"/>
      <selection pane="bottomLeft" activeCell="F16" sqref="F16"/>
    </sheetView>
  </sheetViews>
  <sheetFormatPr defaultRowHeight="15" x14ac:dyDescent="0.25"/>
  <cols>
    <col min="1" max="1" width="1.7109375" customWidth="1"/>
    <col min="2" max="2" width="12.140625" customWidth="1"/>
    <col min="3" max="3" width="1.42578125" customWidth="1"/>
    <col min="4" max="4" width="3.5703125" bestFit="1" customWidth="1"/>
    <col min="5" max="5" width="71.7109375" bestFit="1" customWidth="1"/>
    <col min="6" max="6" width="13.5703125" bestFit="1" customWidth="1"/>
    <col min="7" max="7" width="15" customWidth="1"/>
    <col min="8" max="8" width="9.5703125" bestFit="1" customWidth="1"/>
    <col min="9" max="9" width="112.85546875" customWidth="1"/>
    <col min="10" max="10" width="10.140625" customWidth="1"/>
  </cols>
  <sheetData>
    <row r="1" spans="2:9" ht="6.75" customHeight="1" thickBot="1" x14ac:dyDescent="0.3"/>
    <row r="2" spans="2:9" ht="45.75" thickBot="1" x14ac:dyDescent="0.3">
      <c r="B2" s="14" t="s">
        <v>77</v>
      </c>
      <c r="D2" s="28" t="s">
        <v>73</v>
      </c>
      <c r="E2" s="11" t="s">
        <v>133</v>
      </c>
      <c r="F2" s="12" t="s">
        <v>440</v>
      </c>
      <c r="G2" s="12" t="s">
        <v>134</v>
      </c>
      <c r="H2" s="12" t="s">
        <v>135</v>
      </c>
      <c r="I2" s="13" t="s">
        <v>467</v>
      </c>
    </row>
    <row r="3" spans="2:9" ht="409.5" x14ac:dyDescent="0.25">
      <c r="B3" s="1729" t="s">
        <v>74</v>
      </c>
      <c r="D3" s="29">
        <v>1</v>
      </c>
      <c r="E3" s="20" t="s">
        <v>80</v>
      </c>
      <c r="F3" s="462">
        <f>Lakes!N61/1000000</f>
        <v>258131.69363122003</v>
      </c>
      <c r="G3" s="20" t="s">
        <v>168</v>
      </c>
      <c r="H3" s="20">
        <v>2012</v>
      </c>
      <c r="I3" s="21" t="s">
        <v>707</v>
      </c>
    </row>
    <row r="4" spans="2:9" ht="25.5" customHeight="1" x14ac:dyDescent="0.25">
      <c r="B4" s="1730"/>
      <c r="D4" s="30">
        <v>2</v>
      </c>
      <c r="E4" s="18" t="s">
        <v>81</v>
      </c>
      <c r="F4" s="454">
        <f>Rivers!D4</f>
        <v>1264</v>
      </c>
      <c r="G4" s="18" t="s">
        <v>168</v>
      </c>
      <c r="H4" s="18">
        <v>2012</v>
      </c>
      <c r="I4" s="19" t="s">
        <v>738</v>
      </c>
    </row>
    <row r="5" spans="2:9" ht="300" x14ac:dyDescent="0.25">
      <c r="B5" s="1730"/>
      <c r="D5" s="30">
        <v>3</v>
      </c>
      <c r="E5" s="18" t="s">
        <v>82</v>
      </c>
      <c r="F5" s="454">
        <f>Artificial_reserv!S112</f>
        <v>68.059208898823542</v>
      </c>
      <c r="G5" s="18" t="s">
        <v>168</v>
      </c>
      <c r="H5" s="18">
        <v>2016</v>
      </c>
      <c r="I5" s="19" t="s">
        <v>945</v>
      </c>
    </row>
    <row r="6" spans="2:9" ht="195" x14ac:dyDescent="0.25">
      <c r="B6" s="1730"/>
      <c r="D6" s="30">
        <v>4</v>
      </c>
      <c r="E6" s="18" t="s">
        <v>83</v>
      </c>
      <c r="F6" s="454">
        <f>'GW&amp;SOILW_2012'!A58</f>
        <v>3388.8607500000003</v>
      </c>
      <c r="G6" s="175" t="s">
        <v>169</v>
      </c>
      <c r="H6" s="18">
        <v>2012</v>
      </c>
      <c r="I6" s="19" t="s">
        <v>165</v>
      </c>
    </row>
    <row r="7" spans="2:9" ht="225.75" thickBot="1" x14ac:dyDescent="0.3">
      <c r="B7" s="1731"/>
      <c r="D7" s="31">
        <v>5</v>
      </c>
      <c r="E7" s="22" t="s">
        <v>84</v>
      </c>
      <c r="F7" s="455">
        <f>'GW&amp;SOILW_2012'!A75</f>
        <v>62127</v>
      </c>
      <c r="G7" s="22" t="s">
        <v>168</v>
      </c>
      <c r="H7" s="22">
        <v>2012</v>
      </c>
      <c r="I7" s="23" t="s">
        <v>708</v>
      </c>
    </row>
    <row r="8" spans="2:9" ht="45" x14ac:dyDescent="0.25">
      <c r="B8" s="1732" t="s">
        <v>78</v>
      </c>
      <c r="D8" s="32">
        <v>6</v>
      </c>
      <c r="E8" s="560" t="s">
        <v>85</v>
      </c>
      <c r="F8" s="561">
        <f>(SUM(PSUT_2014!AA12:'PSUT_2014'!AA16)/1000)*(70%*0.2%)</f>
        <v>0.97362447330595425</v>
      </c>
      <c r="G8" s="560"/>
      <c r="H8" s="560">
        <v>2012</v>
      </c>
      <c r="I8" s="562" t="s">
        <v>732</v>
      </c>
    </row>
    <row r="9" spans="2:9" ht="63" customHeight="1" x14ac:dyDescent="0.25">
      <c r="B9" s="1733"/>
      <c r="D9" s="30">
        <v>7</v>
      </c>
      <c r="E9" s="10" t="s">
        <v>86</v>
      </c>
      <c r="F9" s="457">
        <f>(SUM(PSUT_2014!AA12:'PSUT_2014'!AA16)/1000)*(70%*70%)</f>
        <v>340.76856565708397</v>
      </c>
      <c r="G9" s="10"/>
      <c r="H9" s="10">
        <v>2012</v>
      </c>
      <c r="I9" s="16" t="s">
        <v>736</v>
      </c>
    </row>
    <row r="10" spans="2:9" ht="30" x14ac:dyDescent="0.25">
      <c r="B10" s="1733"/>
      <c r="D10" s="30">
        <v>8</v>
      </c>
      <c r="E10" s="10" t="s">
        <v>87</v>
      </c>
      <c r="F10" s="457">
        <f>(SUM(PSUT_2014!AA12:'PSUT_2014'!AA16)/1000)*(70%*0%)</f>
        <v>0</v>
      </c>
      <c r="G10" s="10"/>
      <c r="H10" s="10">
        <v>2012</v>
      </c>
      <c r="I10" s="16" t="s">
        <v>733</v>
      </c>
    </row>
    <row r="11" spans="2:9" ht="65.25" customHeight="1" x14ac:dyDescent="0.25">
      <c r="B11" s="1733"/>
      <c r="D11" s="30">
        <v>9</v>
      </c>
      <c r="E11" s="10" t="s">
        <v>88</v>
      </c>
      <c r="F11" s="457">
        <f>(SUM(PSUT_2014!AA12:'PSUT_2014'!AA16)/1000)*(70%*29.55%)</f>
        <v>143.85301593095474</v>
      </c>
      <c r="G11" s="10"/>
      <c r="H11" s="10">
        <v>2012</v>
      </c>
      <c r="I11" s="16" t="s">
        <v>737</v>
      </c>
    </row>
    <row r="12" spans="2:9" ht="30.75" thickBot="1" x14ac:dyDescent="0.3">
      <c r="B12" s="1733"/>
      <c r="D12" s="31">
        <v>10</v>
      </c>
      <c r="E12" s="15" t="s">
        <v>89</v>
      </c>
      <c r="F12" s="458">
        <f>(SUM(PSUT_2014!AA12:'PSUT_2014'!AA16)/1000)*(70%*0.25%)</f>
        <v>1.2170305916324426</v>
      </c>
      <c r="G12" s="15"/>
      <c r="H12" s="15">
        <v>2012</v>
      </c>
      <c r="I12" s="17" t="s">
        <v>734</v>
      </c>
    </row>
    <row r="13" spans="2:9" ht="150" x14ac:dyDescent="0.25">
      <c r="B13" s="1733"/>
      <c r="D13" s="29">
        <v>11</v>
      </c>
      <c r="E13" s="20" t="s">
        <v>90</v>
      </c>
      <c r="F13" s="459">
        <f>+('Prec&amp;ET2012'!E183/1000000)</f>
        <v>2106.7124950098869</v>
      </c>
      <c r="G13" s="20"/>
      <c r="H13" s="20"/>
      <c r="I13" s="21" t="s">
        <v>501</v>
      </c>
    </row>
    <row r="14" spans="2:9" ht="90" x14ac:dyDescent="0.25">
      <c r="B14" s="1733"/>
      <c r="D14" s="30">
        <v>12</v>
      </c>
      <c r="E14" s="18" t="s">
        <v>91</v>
      </c>
      <c r="F14" s="459">
        <f>+('Prec&amp;ET2012'!E184/1000000)</f>
        <v>2623.0558799641217</v>
      </c>
      <c r="G14" s="18"/>
      <c r="H14" s="18"/>
      <c r="I14" s="253" t="s">
        <v>499</v>
      </c>
    </row>
    <row r="15" spans="2:9" ht="115.5" customHeight="1" x14ac:dyDescent="0.25">
      <c r="B15" s="1733"/>
      <c r="D15" s="30">
        <v>13</v>
      </c>
      <c r="E15" s="18" t="s">
        <v>92</v>
      </c>
      <c r="F15" s="459">
        <f>+('Prec&amp;ET2012'!E185/1000000)</f>
        <v>106.60396897892616</v>
      </c>
      <c r="G15" s="18"/>
      <c r="H15" s="18"/>
      <c r="I15" s="19" t="s">
        <v>500</v>
      </c>
    </row>
    <row r="16" spans="2:9" ht="150" x14ac:dyDescent="0.25">
      <c r="B16" s="1733"/>
      <c r="D16" s="30">
        <v>14</v>
      </c>
      <c r="E16" s="18" t="s">
        <v>93</v>
      </c>
      <c r="F16" s="459">
        <f>('Prec&amp;ET2012'!D190/1000000)</f>
        <v>27130.058256047065</v>
      </c>
      <c r="G16" s="18"/>
      <c r="H16" s="18"/>
      <c r="I16" s="19" t="s">
        <v>504</v>
      </c>
    </row>
    <row r="17" spans="2:9" ht="30.75" thickBot="1" x14ac:dyDescent="0.3">
      <c r="B17" s="1733"/>
      <c r="D17" s="31">
        <v>15</v>
      </c>
      <c r="E17" s="22" t="s">
        <v>94</v>
      </c>
      <c r="F17" s="340"/>
      <c r="G17" s="341"/>
      <c r="H17" s="341"/>
      <c r="I17" s="23" t="s">
        <v>381</v>
      </c>
    </row>
    <row r="18" spans="2:9" ht="210" x14ac:dyDescent="0.25">
      <c r="B18" s="1733"/>
      <c r="D18" s="29">
        <v>16</v>
      </c>
      <c r="E18" s="24" t="s">
        <v>95</v>
      </c>
      <c r="F18" s="125"/>
      <c r="G18" s="24"/>
      <c r="H18" s="24"/>
      <c r="I18" s="25" t="s">
        <v>709</v>
      </c>
    </row>
    <row r="19" spans="2:9" ht="135" x14ac:dyDescent="0.25">
      <c r="B19" s="1733"/>
      <c r="D19" s="30">
        <v>17</v>
      </c>
      <c r="E19" s="10" t="s">
        <v>96</v>
      </c>
      <c r="F19" s="460">
        <f>(Inflow!C10)</f>
        <v>850.20267600000011</v>
      </c>
      <c r="G19" s="10"/>
      <c r="H19" s="10">
        <v>2012</v>
      </c>
      <c r="I19" s="16" t="s">
        <v>652</v>
      </c>
    </row>
    <row r="20" spans="2:9" x14ac:dyDescent="0.25">
      <c r="B20" s="1733"/>
      <c r="D20" s="30">
        <v>18</v>
      </c>
      <c r="E20" s="10" t="s">
        <v>97</v>
      </c>
      <c r="F20" s="126"/>
      <c r="G20" s="10"/>
      <c r="H20" s="10"/>
      <c r="I20" s="16"/>
    </row>
    <row r="21" spans="2:9" x14ac:dyDescent="0.25">
      <c r="B21" s="1733"/>
      <c r="D21" s="30">
        <v>19</v>
      </c>
      <c r="E21" s="10" t="s">
        <v>98</v>
      </c>
      <c r="F21" s="339"/>
      <c r="G21" s="342"/>
      <c r="H21" s="342"/>
      <c r="I21" s="16"/>
    </row>
    <row r="22" spans="2:9" ht="15.75" thickBot="1" x14ac:dyDescent="0.3">
      <c r="B22" s="1733"/>
      <c r="D22" s="31">
        <v>20</v>
      </c>
      <c r="E22" s="15" t="s">
        <v>99</v>
      </c>
      <c r="F22" s="127"/>
      <c r="G22" s="15"/>
      <c r="H22" s="15"/>
      <c r="I22" s="17"/>
    </row>
    <row r="23" spans="2:9" ht="270" x14ac:dyDescent="0.25">
      <c r="B23" s="1733"/>
      <c r="D23" s="29">
        <v>21</v>
      </c>
      <c r="E23" s="20" t="s">
        <v>927</v>
      </c>
      <c r="F23" s="559">
        <v>1636</v>
      </c>
      <c r="G23" s="20"/>
      <c r="H23" s="20"/>
      <c r="I23" s="21" t="s">
        <v>1039</v>
      </c>
    </row>
    <row r="24" spans="2:9" ht="90" x14ac:dyDescent="0.25">
      <c r="B24" s="1733"/>
      <c r="D24" s="30">
        <v>22</v>
      </c>
      <c r="E24" s="18" t="s">
        <v>100</v>
      </c>
      <c r="F24" s="454">
        <f>(('2012NWRMP'!J34)*70%)+(F23*70%)+(221*40%)</f>
        <v>4422.5199999999995</v>
      </c>
      <c r="G24" s="18"/>
      <c r="H24" s="18"/>
      <c r="I24" s="19" t="s">
        <v>1069</v>
      </c>
    </row>
    <row r="25" spans="2:9" ht="54.75" customHeight="1" x14ac:dyDescent="0.25">
      <c r="B25" s="1733"/>
      <c r="D25" s="30">
        <v>23</v>
      </c>
      <c r="E25" s="18" t="s">
        <v>101</v>
      </c>
      <c r="F25" s="454">
        <f>F24*5%</f>
        <v>221.12599999999998</v>
      </c>
      <c r="G25" s="18"/>
      <c r="H25" s="18"/>
      <c r="I25" s="19" t="s">
        <v>1045</v>
      </c>
    </row>
    <row r="26" spans="2:9" ht="409.5" x14ac:dyDescent="0.25">
      <c r="B26" s="1733"/>
      <c r="D26" s="30">
        <v>24</v>
      </c>
      <c r="E26" s="18" t="s">
        <v>102</v>
      </c>
      <c r="F26" s="454">
        <f>('2012NWRMP'!J34)*20%</f>
        <v>911.12000000000012</v>
      </c>
      <c r="G26" s="18"/>
      <c r="H26" s="18"/>
      <c r="I26" s="19" t="s">
        <v>741</v>
      </c>
    </row>
    <row r="27" spans="2:9" ht="45.75" thickBot="1" x14ac:dyDescent="0.3">
      <c r="B27" s="1734"/>
      <c r="D27" s="31">
        <v>25</v>
      </c>
      <c r="E27" s="22" t="s">
        <v>103</v>
      </c>
      <c r="F27" s="455">
        <f>('2012NWRMP'!J34)*80%</f>
        <v>3644.4800000000005</v>
      </c>
      <c r="G27" s="22"/>
      <c r="H27" s="22"/>
      <c r="I27" s="23" t="s">
        <v>742</v>
      </c>
    </row>
    <row r="28" spans="2:9" ht="60" x14ac:dyDescent="0.25">
      <c r="B28" s="1729" t="s">
        <v>79</v>
      </c>
      <c r="D28" s="29">
        <v>26</v>
      </c>
      <c r="E28" s="24" t="s">
        <v>104</v>
      </c>
      <c r="F28" s="1051">
        <f>SUM(PSUT_2014!AA12)/1000</f>
        <v>19.401262723993508</v>
      </c>
      <c r="G28" s="24"/>
      <c r="H28" s="24">
        <v>2014</v>
      </c>
      <c r="I28" s="25" t="s">
        <v>575</v>
      </c>
    </row>
    <row r="29" spans="2:9" ht="75" x14ac:dyDescent="0.25">
      <c r="B29" s="1730"/>
      <c r="D29" s="30">
        <v>27</v>
      </c>
      <c r="E29" s="10" t="s">
        <v>105</v>
      </c>
      <c r="F29" s="747">
        <f>SUM(PSUT_2014!AA13)/1000</f>
        <v>330.11401382874317</v>
      </c>
      <c r="G29" s="10"/>
      <c r="H29" s="10">
        <v>2014</v>
      </c>
      <c r="I29" s="16" t="s">
        <v>576</v>
      </c>
    </row>
    <row r="30" spans="2:9" x14ac:dyDescent="0.25">
      <c r="B30" s="1730"/>
      <c r="D30" s="30">
        <v>28</v>
      </c>
      <c r="E30" s="10" t="s">
        <v>106</v>
      </c>
      <c r="F30" s="747">
        <f>SUM(PSUT_2014!AA14,PSUT_2014!AA15)/1000</f>
        <v>281.62838578727354</v>
      </c>
      <c r="G30" s="10"/>
      <c r="H30" s="10">
        <v>2014</v>
      </c>
      <c r="I30" s="16" t="s">
        <v>166</v>
      </c>
    </row>
    <row r="31" spans="2:9" x14ac:dyDescent="0.25">
      <c r="B31" s="1730"/>
      <c r="D31" s="30">
        <v>29</v>
      </c>
      <c r="E31" s="10" t="s">
        <v>107</v>
      </c>
      <c r="F31" s="456"/>
      <c r="G31" s="10"/>
      <c r="H31" s="10">
        <v>2014</v>
      </c>
      <c r="I31" s="16" t="s">
        <v>167</v>
      </c>
    </row>
    <row r="32" spans="2:9" ht="15.75" thickBot="1" x14ac:dyDescent="0.3">
      <c r="B32" s="1730"/>
      <c r="D32" s="31">
        <v>30</v>
      </c>
      <c r="E32" s="15" t="s">
        <v>108</v>
      </c>
      <c r="F32" s="1052">
        <f>SUM(PSUT_2014!AA16)/1000</f>
        <v>64.302390021385676</v>
      </c>
      <c r="G32" s="15"/>
      <c r="H32" s="15">
        <v>2014</v>
      </c>
      <c r="I32" s="17" t="s">
        <v>460</v>
      </c>
    </row>
    <row r="33" spans="2:9" ht="60" x14ac:dyDescent="0.25">
      <c r="B33" s="1730"/>
      <c r="D33" s="29">
        <v>31</v>
      </c>
      <c r="E33" s="20" t="s">
        <v>109</v>
      </c>
      <c r="F33" s="453">
        <f>+('Prec&amp;ET2012'!E207)/1000000</f>
        <v>1286.4371904087375</v>
      </c>
      <c r="G33" s="20"/>
      <c r="H33" s="20">
        <v>2012</v>
      </c>
      <c r="I33" s="21" t="s">
        <v>394</v>
      </c>
    </row>
    <row r="34" spans="2:9" ht="30" x14ac:dyDescent="0.25">
      <c r="B34" s="1730"/>
      <c r="D34" s="30">
        <v>32</v>
      </c>
      <c r="E34" s="18" t="s">
        <v>110</v>
      </c>
      <c r="F34" s="453">
        <f>+('Prec&amp;ET2012'!E208)/1000000</f>
        <v>51.256583999999997</v>
      </c>
      <c r="G34" s="18"/>
      <c r="H34" s="18">
        <v>2012</v>
      </c>
      <c r="I34" s="19" t="s">
        <v>395</v>
      </c>
    </row>
    <row r="35" spans="2:9" ht="33" customHeight="1" x14ac:dyDescent="0.25">
      <c r="B35" s="1730"/>
      <c r="D35" s="30">
        <v>33</v>
      </c>
      <c r="E35" s="18" t="s">
        <v>111</v>
      </c>
      <c r="F35" s="453">
        <f>+('Prec&amp;ET2012'!E209)/1000000</f>
        <v>15.441170279665183</v>
      </c>
      <c r="G35" s="18"/>
      <c r="H35" s="18">
        <v>2012</v>
      </c>
      <c r="I35" s="19" t="s">
        <v>396</v>
      </c>
    </row>
    <row r="36" spans="2:9" ht="180" x14ac:dyDescent="0.25">
      <c r="B36" s="1730"/>
      <c r="D36" s="30">
        <v>34</v>
      </c>
      <c r="E36" s="18" t="s">
        <v>1719</v>
      </c>
      <c r="F36" s="453">
        <f>+('Prec&amp;ET2012'!E211)/1000000</f>
        <v>19538.166655311597</v>
      </c>
      <c r="G36" s="18"/>
      <c r="H36" s="18">
        <v>2012</v>
      </c>
      <c r="I36" s="19" t="s">
        <v>606</v>
      </c>
    </row>
    <row r="37" spans="2:9" ht="15.75" thickBot="1" x14ac:dyDescent="0.3">
      <c r="B37" s="1730"/>
      <c r="D37" s="31">
        <v>35</v>
      </c>
      <c r="E37" s="22" t="s">
        <v>112</v>
      </c>
      <c r="F37" s="340"/>
      <c r="G37" s="341"/>
      <c r="H37" s="341"/>
      <c r="I37" s="17"/>
    </row>
    <row r="38" spans="2:9" ht="150" x14ac:dyDescent="0.25">
      <c r="B38" s="1730"/>
      <c r="D38" s="29">
        <v>36</v>
      </c>
      <c r="E38" s="24" t="s">
        <v>113</v>
      </c>
      <c r="F38" s="345">
        <v>0</v>
      </c>
      <c r="G38" s="346"/>
      <c r="H38" s="346"/>
      <c r="I38" s="25" t="s">
        <v>651</v>
      </c>
    </row>
    <row r="39" spans="2:9" ht="180" x14ac:dyDescent="0.25">
      <c r="B39" s="1730"/>
      <c r="D39" s="30">
        <v>37</v>
      </c>
      <c r="E39" s="10" t="s">
        <v>114</v>
      </c>
      <c r="F39" s="460">
        <f>+(Outflow!H14)</f>
        <v>6439.2872421415941</v>
      </c>
      <c r="G39" s="10"/>
      <c r="H39" s="10">
        <v>2012</v>
      </c>
      <c r="I39" s="16" t="s">
        <v>1065</v>
      </c>
    </row>
    <row r="40" spans="2:9" x14ac:dyDescent="0.25">
      <c r="B40" s="1730"/>
      <c r="D40" s="30">
        <v>38</v>
      </c>
      <c r="E40" s="10" t="s">
        <v>115</v>
      </c>
      <c r="F40" s="126"/>
      <c r="G40" s="10"/>
      <c r="H40" s="10"/>
      <c r="I40" s="16"/>
    </row>
    <row r="41" spans="2:9" x14ac:dyDescent="0.25">
      <c r="B41" s="1730"/>
      <c r="D41" s="30">
        <v>39</v>
      </c>
      <c r="E41" s="10" t="s">
        <v>116</v>
      </c>
      <c r="F41" s="343"/>
      <c r="G41" s="344"/>
      <c r="H41" s="344"/>
      <c r="I41" s="16"/>
    </row>
    <row r="42" spans="2:9" ht="15.75" thickBot="1" x14ac:dyDescent="0.3">
      <c r="B42" s="1730"/>
      <c r="D42" s="31">
        <v>40</v>
      </c>
      <c r="E42" s="15" t="s">
        <v>117</v>
      </c>
      <c r="F42" s="127"/>
      <c r="G42" s="15"/>
      <c r="H42" s="15"/>
      <c r="I42" s="17"/>
    </row>
    <row r="43" spans="2:9" x14ac:dyDescent="0.25">
      <c r="B43" s="1730"/>
      <c r="D43" s="29">
        <v>41</v>
      </c>
      <c r="E43" s="20" t="s">
        <v>118</v>
      </c>
      <c r="F43" s="345"/>
      <c r="G43" s="346"/>
      <c r="H43" s="346"/>
      <c r="I43" s="21"/>
    </row>
    <row r="44" spans="2:9" x14ac:dyDescent="0.25">
      <c r="B44" s="1730"/>
      <c r="D44" s="30">
        <v>42</v>
      </c>
      <c r="E44" s="18" t="s">
        <v>119</v>
      </c>
      <c r="F44" s="128"/>
      <c r="G44" s="18"/>
      <c r="H44" s="18"/>
      <c r="I44" s="19" t="s">
        <v>673</v>
      </c>
    </row>
    <row r="45" spans="2:9" x14ac:dyDescent="0.25">
      <c r="B45" s="1730"/>
      <c r="D45" s="30">
        <v>43</v>
      </c>
      <c r="E45" s="18" t="s">
        <v>120</v>
      </c>
      <c r="F45" s="128"/>
      <c r="G45" s="18"/>
      <c r="H45" s="18"/>
      <c r="I45" s="19" t="s">
        <v>673</v>
      </c>
    </row>
    <row r="46" spans="2:9" x14ac:dyDescent="0.25">
      <c r="B46" s="1730"/>
      <c r="D46" s="30">
        <v>44</v>
      </c>
      <c r="E46" s="18" t="s">
        <v>121</v>
      </c>
      <c r="F46" s="343"/>
      <c r="G46" s="344"/>
      <c r="H46" s="344"/>
      <c r="I46" s="19"/>
    </row>
    <row r="47" spans="2:9" ht="15.75" thickBot="1" x14ac:dyDescent="0.3">
      <c r="B47" s="1730"/>
      <c r="D47" s="31">
        <v>45</v>
      </c>
      <c r="E47" s="22" t="s">
        <v>122</v>
      </c>
      <c r="F47" s="129"/>
      <c r="G47" s="22"/>
      <c r="H47" s="22"/>
      <c r="I47" s="19" t="s">
        <v>673</v>
      </c>
    </row>
    <row r="48" spans="2:9" ht="195" x14ac:dyDescent="0.25">
      <c r="B48" s="1730"/>
      <c r="D48" s="29">
        <v>46</v>
      </c>
      <c r="E48" s="24" t="s">
        <v>123</v>
      </c>
      <c r="F48" s="457">
        <f>SUM(Asset_2014_Table!C5,Asset_2014_Table!C12)-SUM(Asset_2014_Table!C24,Asset_2014_Table!C15,Asset_2014_Table!C16)</f>
        <v>2879.5406253942056</v>
      </c>
      <c r="G48" s="24"/>
      <c r="H48" s="24"/>
      <c r="I48" s="25" t="s">
        <v>1064</v>
      </c>
    </row>
    <row r="49" spans="2:9" ht="45" x14ac:dyDescent="0.25">
      <c r="B49" s="1730"/>
      <c r="D49" s="30">
        <v>47</v>
      </c>
      <c r="E49" s="10" t="s">
        <v>124</v>
      </c>
      <c r="F49" s="563">
        <f>F23+F25</f>
        <v>1857.126</v>
      </c>
      <c r="G49" s="10"/>
      <c r="H49" s="10"/>
      <c r="I49" s="558" t="s">
        <v>740</v>
      </c>
    </row>
    <row r="50" spans="2:9" ht="141" customHeight="1" x14ac:dyDescent="0.25">
      <c r="B50" s="1730"/>
      <c r="D50" s="30">
        <v>48</v>
      </c>
      <c r="E50" s="10" t="s">
        <v>125</v>
      </c>
      <c r="F50" s="457">
        <f>(F25+F15)*40%</f>
        <v>131.09198759157047</v>
      </c>
      <c r="G50" s="10"/>
      <c r="H50" s="10"/>
      <c r="I50" s="16" t="s">
        <v>1046</v>
      </c>
    </row>
    <row r="51" spans="2:9" ht="180" x14ac:dyDescent="0.25">
      <c r="B51" s="1730"/>
      <c r="D51" s="30">
        <v>49</v>
      </c>
      <c r="E51" s="10" t="s">
        <v>126</v>
      </c>
      <c r="F51" s="747">
        <f>('2012NWRMP'!J34)+((Asset_2014_Table!F9-Asset_2014_Table!F16)*50%)</f>
        <v>8351.545800367734</v>
      </c>
      <c r="G51" s="10"/>
      <c r="H51" s="10"/>
      <c r="I51" s="16" t="s">
        <v>1071</v>
      </c>
    </row>
    <row r="52" spans="2:9" ht="63" customHeight="1" thickBot="1" x14ac:dyDescent="0.3">
      <c r="B52" s="1731"/>
      <c r="D52" s="31">
        <v>50</v>
      </c>
      <c r="E52" s="15" t="s">
        <v>127</v>
      </c>
      <c r="F52" s="458">
        <f>(('2012NWRMP'!J34))*70%+'GW&amp;SOILW_2012'!A73*2%</f>
        <v>3399.8873800000001</v>
      </c>
      <c r="G52" s="15"/>
      <c r="H52" s="15"/>
      <c r="I52" s="17" t="s">
        <v>739</v>
      </c>
    </row>
    <row r="53" spans="2:9" ht="30" x14ac:dyDescent="0.25">
      <c r="B53" s="1732" t="s">
        <v>136</v>
      </c>
      <c r="D53" s="29">
        <v>51</v>
      </c>
      <c r="E53" s="20" t="s">
        <v>128</v>
      </c>
      <c r="F53" s="732">
        <f>F3+(Lakes!F68/1000000)</f>
        <v>257690.00067217631</v>
      </c>
      <c r="G53" s="20"/>
      <c r="H53" s="20"/>
      <c r="I53" s="21" t="s">
        <v>946</v>
      </c>
    </row>
    <row r="54" spans="2:9" x14ac:dyDescent="0.25">
      <c r="B54" s="1733"/>
      <c r="D54" s="30">
        <v>52</v>
      </c>
      <c r="E54" s="18" t="s">
        <v>129</v>
      </c>
      <c r="F54" s="733">
        <f>Asset_2014_Table!D24</f>
        <v>1264</v>
      </c>
      <c r="G54" s="18"/>
      <c r="H54" s="18"/>
      <c r="I54" s="19"/>
    </row>
    <row r="55" spans="2:9" ht="300" x14ac:dyDescent="0.25">
      <c r="B55" s="1733"/>
      <c r="D55" s="30">
        <v>53</v>
      </c>
      <c r="E55" s="18" t="s">
        <v>130</v>
      </c>
      <c r="F55" s="454">
        <f>Artificial_reserv!T112</f>
        <v>77.39732494588236</v>
      </c>
      <c r="G55" s="731"/>
      <c r="H55" s="18"/>
      <c r="I55" s="19" t="s">
        <v>944</v>
      </c>
    </row>
    <row r="56" spans="2:9" ht="75" x14ac:dyDescent="0.25">
      <c r="B56" s="1733"/>
      <c r="D56" s="30">
        <v>54</v>
      </c>
      <c r="E56" s="18" t="s">
        <v>131</v>
      </c>
      <c r="F56" s="123">
        <f>Asset_2014_Table!F24</f>
        <v>3388.8607500000003</v>
      </c>
      <c r="G56" s="18"/>
      <c r="H56" s="18"/>
      <c r="I56" s="19" t="s">
        <v>1047</v>
      </c>
    </row>
    <row r="57" spans="2:9" ht="120.75" thickBot="1" x14ac:dyDescent="0.3">
      <c r="B57" s="1734"/>
      <c r="D57" s="31">
        <v>55</v>
      </c>
      <c r="E57" s="22" t="s">
        <v>132</v>
      </c>
      <c r="F57" s="735">
        <f>'GW&amp;SOILW_2012'!A75</f>
        <v>62127</v>
      </c>
      <c r="G57" s="22"/>
      <c r="H57" s="22"/>
      <c r="I57" s="23" t="s">
        <v>1042</v>
      </c>
    </row>
    <row r="58" spans="2:9" x14ac:dyDescent="0.25">
      <c r="B58" s="1735"/>
      <c r="D58" s="30">
        <v>56</v>
      </c>
      <c r="E58" s="18" t="s">
        <v>546</v>
      </c>
      <c r="F58" s="734">
        <f>Asset_2014_Table!J9</f>
        <v>31966.4306</v>
      </c>
      <c r="G58" s="18"/>
      <c r="H58" s="18"/>
      <c r="I58" s="19" t="s">
        <v>1048</v>
      </c>
    </row>
    <row r="59" spans="2:9" x14ac:dyDescent="0.25">
      <c r="B59" s="1736"/>
      <c r="D59" s="30">
        <v>57</v>
      </c>
      <c r="E59" s="308" t="s">
        <v>547</v>
      </c>
      <c r="F59" s="324">
        <f>Asset_2014_Table!J16</f>
        <v>20891.301599999999</v>
      </c>
      <c r="G59" s="18"/>
      <c r="H59" s="18"/>
      <c r="I59" s="19" t="s">
        <v>1048</v>
      </c>
    </row>
    <row r="60" spans="2:9" ht="30" x14ac:dyDescent="0.25">
      <c r="B60" s="1736"/>
      <c r="D60" s="33">
        <v>58</v>
      </c>
      <c r="E60" s="18" t="s">
        <v>548</v>
      </c>
      <c r="F60" s="307">
        <f>Asset_2014_Table!J27</f>
        <v>11075.129000000001</v>
      </c>
      <c r="G60" s="26"/>
      <c r="H60" s="26"/>
      <c r="I60" s="27" t="s">
        <v>1049</v>
      </c>
    </row>
    <row r="61" spans="2:9" x14ac:dyDescent="0.25">
      <c r="B61" s="1736"/>
      <c r="D61" s="33">
        <v>59</v>
      </c>
      <c r="E61" s="18" t="s">
        <v>549</v>
      </c>
      <c r="F61" s="307">
        <f>Asset_2014_Table!K10</f>
        <v>850.20267600000011</v>
      </c>
      <c r="G61" s="26"/>
      <c r="H61" s="26"/>
      <c r="I61" s="27" t="s">
        <v>1048</v>
      </c>
    </row>
    <row r="62" spans="2:9" ht="15.75" thickBot="1" x14ac:dyDescent="0.3">
      <c r="B62" s="1737"/>
      <c r="D62" s="31">
        <v>60</v>
      </c>
      <c r="E62" s="22" t="s">
        <v>550</v>
      </c>
      <c r="F62" s="124">
        <f>Asset_2014_Table!K28</f>
        <v>11925.331676000002</v>
      </c>
      <c r="G62" s="22"/>
      <c r="H62" s="22"/>
      <c r="I62" s="23" t="s">
        <v>1048</v>
      </c>
    </row>
  </sheetData>
  <mergeCells count="5">
    <mergeCell ref="B3:B7"/>
    <mergeCell ref="B8:B27"/>
    <mergeCell ref="B28:B52"/>
    <mergeCell ref="B53:B57"/>
    <mergeCell ref="B58:B62"/>
  </mergeCells>
  <hyperlinks>
    <hyperlink ref="F4" location="Rivers!D4" display="Rivers!D4"/>
    <hyperlink ref="F3" location="Lakes!N61" display="Lakes!N61"/>
    <hyperlink ref="F5" location="Artificial_reserv!S112" display="Artificial_reserv!S112"/>
    <hyperlink ref="F6" location="'GW&amp;SOILW_2012'!A57" display="'GW&amp;SOILW_2012'!A57"/>
    <hyperlink ref="F7" location="'GW&amp;SOILW_2012'!A74" display="'GW&amp;SOILW_2012'!A74"/>
    <hyperlink ref="F8" location="PSUT_2012!AB16" display="PSUT_2012!AB16"/>
    <hyperlink ref="F9" location="PSUT_2012!AA12" display="PSUT_2012!AA12"/>
    <hyperlink ref="F10" location="PSUT_2012!AB16" display="PSUT_2012!AB16"/>
    <hyperlink ref="F11" location="PSUT_2012!AB16" display="PSUT_2012!AB16"/>
    <hyperlink ref="F12" location="PSUT_2012!AB16" display="PSUT_2012!AB16"/>
    <hyperlink ref="F13" location="'Prec&amp;ET2012'!E183" display="'Prec&amp;ET2012'!E183"/>
    <hyperlink ref="F14" location="'Prec&amp;ET2012'!E184" display="'Prec&amp;ET2012'!E184"/>
    <hyperlink ref="F15" location="'Prec&amp;ET2012'!E185" display="'Prec&amp;ET2012'!E185"/>
    <hyperlink ref="F16" location="'Prec&amp;ET2012'!D190" display="'Prec&amp;ET2012'!D190"/>
    <hyperlink ref="F19" location="Inflow!C11" display="Inflow!C11"/>
    <hyperlink ref="F24" location="'2012NWRMP'!J34" display="'2012NWRMP'!J34"/>
    <hyperlink ref="F25" location="'W-Assets_Data&amp;Method_2012'!F24" display="'W-Assets_Data&amp;Method_2012'!F24"/>
    <hyperlink ref="F26" location="'GW&amp;SOILW_2012'!A72" display="'GW&amp;SOILW_2012'!A72"/>
    <hyperlink ref="F27" location="'2012NWRMP'!J34" display="'2012NWRMP'!J34"/>
    <hyperlink ref="F28" location="PSUT_2012!AA12" display="PSUT_2012!AA12"/>
    <hyperlink ref="F29" location="PSUT_2012!AA13" display="PSUT_2012!AA13"/>
    <hyperlink ref="F30" location="PSUT_2012!AA14" display="PSUT_2012!AA14"/>
    <hyperlink ref="F32" location="PSUT_2012!AA16" display="PSUT_2012!AA16"/>
    <hyperlink ref="F33" location="'Prec&amp;ET2012'!E207" display="'Prec&amp;ET2012'!E207"/>
    <hyperlink ref="F34" location="'Prec&amp;ET2012'!E208" display="'Prec&amp;ET2012'!E208"/>
    <hyperlink ref="F35" location="'Prec&amp;ET2012'!E209" display="'Prec&amp;ET2012'!E209"/>
    <hyperlink ref="F36" location="'Prec&amp;ET2012'!E211" display="'Prec&amp;ET2012'!E211"/>
    <hyperlink ref="F39" location="Outflow!H14" display="Outflow!H14"/>
    <hyperlink ref="F50" location="'RBM&amp;E-2017_S'!P15" display="'RBM&amp;E-2017_S'!P15"/>
    <hyperlink ref="F51" location="'2012NWRMP'!J34" display="'2012NWRMP'!J34"/>
    <hyperlink ref="F52" location="'2012NWRMP'!J34" display="'2012NWRMP'!J34"/>
    <hyperlink ref="F55" location="Artificial_reserv!T112" display="Artificial_reserv!T112"/>
    <hyperlink ref="F53" location="Lakes!F68" display="Lakes!F68"/>
    <hyperlink ref="F57" location="'GW&amp;SOILW_2012'!A74" display="'GW&amp;SOILW_2012'!A74"/>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V52"/>
  <sheetViews>
    <sheetView topLeftCell="F1" zoomScale="120" zoomScaleNormal="120" workbookViewId="0">
      <pane ySplit="4" topLeftCell="A17" activePane="bottomLeft" state="frozen"/>
      <selection activeCell="F16" sqref="F16"/>
      <selection pane="bottomLeft" activeCell="K28" sqref="K28"/>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6.28515625" customWidth="1"/>
    <col min="13" max="14" width="9.85546875" customWidth="1"/>
    <col min="15" max="15" width="9" customWidth="1"/>
    <col min="16" max="16" width="11" customWidth="1"/>
    <col min="17" max="17" width="11.140625" customWidth="1"/>
    <col min="18" max="18" width="11.85546875" customWidth="1"/>
    <col min="22" max="16384" width="9.140625" style="2"/>
  </cols>
  <sheetData>
    <row r="1" spans="2:22" x14ac:dyDescent="0.25">
      <c r="B1" s="66" t="s">
        <v>1384</v>
      </c>
      <c r="C1" s="3"/>
      <c r="D1" s="3"/>
      <c r="E1" s="3"/>
      <c r="F1" s="3"/>
      <c r="G1" s="3"/>
      <c r="H1"/>
      <c r="J1"/>
      <c r="K1"/>
    </row>
    <row r="2" spans="2:22" customFormat="1" ht="3.75" customHeight="1" thickBot="1" x14ac:dyDescent="0.3"/>
    <row r="3" spans="2:22" ht="24.75" x14ac:dyDescent="0.25">
      <c r="B3" s="34" t="s">
        <v>69</v>
      </c>
      <c r="C3" s="1726" t="s">
        <v>49</v>
      </c>
      <c r="D3" s="1727"/>
      <c r="E3" s="1728"/>
      <c r="F3" s="366" t="s">
        <v>50</v>
      </c>
      <c r="G3" s="367" t="s">
        <v>51</v>
      </c>
      <c r="H3" s="363" t="s">
        <v>3</v>
      </c>
      <c r="I3" s="58"/>
      <c r="J3" s="365" t="s">
        <v>70</v>
      </c>
      <c r="K3" s="363" t="s">
        <v>71</v>
      </c>
      <c r="V3" s="6"/>
    </row>
    <row r="4" spans="2:22" ht="18" customHeight="1" thickBot="1" x14ac:dyDescent="0.3">
      <c r="B4" s="38"/>
      <c r="C4" s="370" t="s">
        <v>52</v>
      </c>
      <c r="D4" s="370" t="s">
        <v>68</v>
      </c>
      <c r="E4" s="370" t="s">
        <v>53</v>
      </c>
      <c r="F4" s="40"/>
      <c r="G4" s="41"/>
      <c r="H4" s="42"/>
      <c r="I4" s="58"/>
      <c r="J4" s="369"/>
      <c r="K4" s="372"/>
      <c r="V4" s="6"/>
    </row>
    <row r="5" spans="2:22" x14ac:dyDescent="0.25">
      <c r="B5" s="43" t="s">
        <v>54</v>
      </c>
      <c r="C5" s="130">
        <f>SUM(Asset_2014_Table!C5)</f>
        <v>257248.30771313258</v>
      </c>
      <c r="D5" s="130">
        <f>SUM(Asset_2014_Table!D5)</f>
        <v>1264</v>
      </c>
      <c r="E5" s="130">
        <f>SUM(Asset_2014_Table!E5)</f>
        <v>68.059208898823542</v>
      </c>
      <c r="F5" s="130">
        <f>SUM(Asset_2014_Table!F5)</f>
        <v>3388.8607500000003</v>
      </c>
      <c r="G5" s="130">
        <f>SUM(Asset_2014_Table!G5)</f>
        <v>62127</v>
      </c>
      <c r="H5" s="102">
        <f>SUM(C5:G5)</f>
        <v>324096.22767203138</v>
      </c>
      <c r="I5" s="58"/>
      <c r="J5" s="63"/>
      <c r="K5" s="50"/>
      <c r="V5" s="5"/>
    </row>
    <row r="6" spans="2:22" ht="3" customHeight="1" thickBot="1" x14ac:dyDescent="0.3">
      <c r="B6" s="59"/>
      <c r="C6" s="103"/>
      <c r="D6" s="103"/>
      <c r="E6" s="103"/>
      <c r="F6" s="103"/>
      <c r="G6" s="103"/>
      <c r="H6" s="104"/>
      <c r="I6" s="58"/>
      <c r="J6" s="439"/>
      <c r="K6" s="439"/>
      <c r="V6" s="4"/>
    </row>
    <row r="7" spans="2:22" ht="15.75" thickBot="1" x14ac:dyDescent="0.3">
      <c r="B7" s="52" t="s">
        <v>55</v>
      </c>
      <c r="C7" s="105"/>
      <c r="D7" s="105"/>
      <c r="E7" s="105"/>
      <c r="F7" s="105"/>
      <c r="G7" s="105"/>
      <c r="H7" s="106"/>
      <c r="I7" s="58"/>
      <c r="J7" s="56"/>
      <c r="K7" s="57"/>
      <c r="V7" s="4"/>
    </row>
    <row r="8" spans="2:22" x14ac:dyDescent="0.25">
      <c r="B8" s="51" t="s">
        <v>56</v>
      </c>
      <c r="C8" s="107">
        <f>SUM(Asset_2014_Table!C8,+(0))</f>
        <v>0.97362447330595425</v>
      </c>
      <c r="D8" s="107">
        <f>SUM(Asset_2014_Table!D8,+(0))</f>
        <v>340.76856565708397</v>
      </c>
      <c r="E8" s="107">
        <f>SUM(Asset_2014_Table!E8,+(0))</f>
        <v>0</v>
      </c>
      <c r="F8" s="107">
        <f>SUM(Asset_2014_Table!F8,+(0))</f>
        <v>143.85301593095474</v>
      </c>
      <c r="G8" s="107">
        <f>SUM(Asset_2014_Table!G8,+(0))</f>
        <v>1.2170305916324426</v>
      </c>
      <c r="H8" s="108">
        <f>SUM(C8:G8)</f>
        <v>486.81223665297716</v>
      </c>
      <c r="I8" s="58"/>
      <c r="J8" s="384"/>
      <c r="K8" s="385"/>
      <c r="V8" s="4"/>
    </row>
    <row r="9" spans="2:22" x14ac:dyDescent="0.25">
      <c r="B9" s="44" t="s">
        <v>48</v>
      </c>
      <c r="C9" s="109">
        <f>SUM(Asset_2014_Table!C9,+(0))</f>
        <v>2106.7124950098869</v>
      </c>
      <c r="D9" s="109">
        <f>SUM(Asset_2014_Table!D9,+(0))</f>
        <v>2623.0558799641217</v>
      </c>
      <c r="E9" s="109">
        <f>SUM(Asset_2014_Table!E9,+(0))</f>
        <v>106.60396897892616</v>
      </c>
      <c r="F9" s="109">
        <f>SUM(Asset_2014_Table!F9,+(0))</f>
        <v>27130.058256047065</v>
      </c>
      <c r="G9" s="254"/>
      <c r="H9" s="110">
        <f>SUM(C9:G9)</f>
        <v>31966.4306</v>
      </c>
      <c r="I9" s="58"/>
      <c r="J9" s="392">
        <f>+(H9)</f>
        <v>31966.4306</v>
      </c>
      <c r="K9" s="393">
        <f>+(H9)</f>
        <v>31966.4306</v>
      </c>
      <c r="V9" s="4"/>
    </row>
    <row r="10" spans="2:22" x14ac:dyDescent="0.25">
      <c r="B10" s="45" t="s">
        <v>57</v>
      </c>
      <c r="C10" s="109">
        <f>SUM(Asset_2014_Table!C10,+(0))</f>
        <v>0</v>
      </c>
      <c r="D10" s="111">
        <f>SUM(Asset_2014_Table!D10,+(0))</f>
        <v>850.20267600000011</v>
      </c>
      <c r="E10" s="109">
        <f>SUM(Asset_2014_Table!E10,+(0))</f>
        <v>0</v>
      </c>
      <c r="F10" s="254"/>
      <c r="G10" s="109">
        <f>SUM(Asset_2014_Table!G10,+(0))</f>
        <v>0</v>
      </c>
      <c r="H10" s="110">
        <f>SUM(C10:G10)</f>
        <v>850.20267600000011</v>
      </c>
      <c r="I10" s="58"/>
      <c r="J10" s="386"/>
      <c r="K10" s="393">
        <f>+(H10)</f>
        <v>850.20267600000011</v>
      </c>
      <c r="V10" s="4"/>
    </row>
    <row r="11" spans="2:22" x14ac:dyDescent="0.25">
      <c r="B11" s="44" t="s">
        <v>58</v>
      </c>
      <c r="C11" s="109">
        <f>SUM(Asset_2014_Table!C11,+(0))</f>
        <v>1636</v>
      </c>
      <c r="D11" s="109">
        <f>SUM(Asset_2014_Table!D11,+(436))</f>
        <v>4858.5199999999995</v>
      </c>
      <c r="E11" s="112">
        <f>SUM(Asset_2014_Table!E11,+(102))</f>
        <v>323.12599999999998</v>
      </c>
      <c r="F11" s="112">
        <f>SUM(Asset_2014_Table!F11,+(0.3))</f>
        <v>911.42000000000007</v>
      </c>
      <c r="G11" s="112">
        <f>SUM(Asset_2014_Table!G11,+(0.3))</f>
        <v>3644.7800000000007</v>
      </c>
      <c r="H11" s="110">
        <f>SUM(C11:G11)</f>
        <v>11373.846000000001</v>
      </c>
      <c r="I11" s="58"/>
      <c r="J11" s="386"/>
      <c r="K11" s="387"/>
      <c r="V11" s="4"/>
    </row>
    <row r="12" spans="2:22" x14ac:dyDescent="0.25">
      <c r="B12" s="46" t="s">
        <v>59</v>
      </c>
      <c r="C12" s="113">
        <f>SUM(C8:C11)</f>
        <v>3743.6861194831927</v>
      </c>
      <c r="D12" s="113">
        <f>SUM(D8:D11)</f>
        <v>8672.5471216212063</v>
      </c>
      <c r="E12" s="113">
        <f>SUM(E8:E11)</f>
        <v>429.72996897892614</v>
      </c>
      <c r="F12" s="113">
        <f>SUM(F8:F11)</f>
        <v>28185.331271978022</v>
      </c>
      <c r="G12" s="113">
        <f>SUM(G8:G11)</f>
        <v>3645.9970305916331</v>
      </c>
      <c r="H12" s="110">
        <f>SUM(C12:G12)</f>
        <v>44677.291512652984</v>
      </c>
      <c r="I12" s="58"/>
      <c r="J12" s="351">
        <f>SUM(J8:J11)</f>
        <v>31966.4306</v>
      </c>
      <c r="K12" s="352">
        <f>SUM(K8:K11)</f>
        <v>32816.633276</v>
      </c>
      <c r="V12" s="4"/>
    </row>
    <row r="13" spans="2:22" customFormat="1" ht="6" customHeight="1" thickBot="1" x14ac:dyDescent="0.3">
      <c r="B13" s="59"/>
      <c r="C13" s="103"/>
      <c r="D13" s="103"/>
      <c r="E13" s="103"/>
      <c r="F13" s="103"/>
      <c r="G13" s="103"/>
      <c r="H13" s="104"/>
      <c r="I13" s="58"/>
      <c r="J13" s="353"/>
      <c r="K13" s="354"/>
    </row>
    <row r="14" spans="2:22" ht="15.75" thickBot="1" x14ac:dyDescent="0.3">
      <c r="B14" s="54" t="s">
        <v>60</v>
      </c>
      <c r="C14" s="114"/>
      <c r="D14" s="114"/>
      <c r="E14" s="114"/>
      <c r="F14" s="114"/>
      <c r="G14" s="114"/>
      <c r="H14" s="115"/>
      <c r="I14" s="58"/>
      <c r="J14" s="355"/>
      <c r="K14" s="356"/>
      <c r="V14" s="4"/>
    </row>
    <row r="15" spans="2:22" x14ac:dyDescent="0.25">
      <c r="B15" s="53" t="s">
        <v>61</v>
      </c>
      <c r="C15" s="109">
        <f>SUM(Asset_2014_Table!C15,+(0))</f>
        <v>19.401262723993508</v>
      </c>
      <c r="D15" s="107">
        <f>SUM(Asset_2014_Table!D15,+(0))</f>
        <v>330.11401382874317</v>
      </c>
      <c r="E15" s="107">
        <f>SUM(Asset_2014_Table!E15,+(0))</f>
        <v>281.62838578727354</v>
      </c>
      <c r="F15" s="107">
        <f>SUM(Asset_2014_Table!F15,+(0))</f>
        <v>0</v>
      </c>
      <c r="G15" s="107">
        <f>SUM(Asset_2014_Table!G15,+(0))</f>
        <v>64.302390021385676</v>
      </c>
      <c r="H15" s="116">
        <f t="shared" ref="H15:H20" si="0">SUM(C15:G15)</f>
        <v>695.44605236139591</v>
      </c>
      <c r="I15" s="58"/>
      <c r="J15" s="357"/>
      <c r="K15" s="358"/>
      <c r="M15" s="67"/>
      <c r="V15" s="4"/>
    </row>
    <row r="16" spans="2:22" x14ac:dyDescent="0.25">
      <c r="B16" s="48" t="s">
        <v>1718</v>
      </c>
      <c r="C16" s="109">
        <f>SUM(Asset_2014_Table!C16,+(0))</f>
        <v>1286.4371904087375</v>
      </c>
      <c r="D16" s="109">
        <f>SUM(Asset_2014_Table!D16,+(0))</f>
        <v>51.256583999999997</v>
      </c>
      <c r="E16" s="109">
        <f>SUM(Asset_2014_Table!E16,+(0))</f>
        <v>15.441170279665183</v>
      </c>
      <c r="F16" s="109">
        <f>SUM(Asset_2014_Table!F16,+(0))</f>
        <v>19538.166655311597</v>
      </c>
      <c r="G16" s="254"/>
      <c r="H16" s="110">
        <f t="shared" si="0"/>
        <v>20891.301599999999</v>
      </c>
      <c r="I16" s="58"/>
      <c r="J16" s="392">
        <f>+(H16)</f>
        <v>20891.301599999999</v>
      </c>
      <c r="K16" s="394">
        <f>+(H16)</f>
        <v>20891.301599999999</v>
      </c>
      <c r="V16" s="4"/>
    </row>
    <row r="17" spans="2:22" x14ac:dyDescent="0.25">
      <c r="B17" s="48" t="s">
        <v>65</v>
      </c>
      <c r="C17" s="254"/>
      <c r="D17" s="109">
        <f>SUM(Asset_2014_Table!D17,+(0))</f>
        <v>6439.2872421415941</v>
      </c>
      <c r="E17" s="109">
        <f>SUM(Asset_2014_Table!E17,+(0))</f>
        <v>0</v>
      </c>
      <c r="F17" s="254"/>
      <c r="G17" s="109">
        <f>SUM(Asset_2014_Table!G17,+(0))</f>
        <v>0</v>
      </c>
      <c r="H17" s="117">
        <f t="shared" si="0"/>
        <v>6439.2872421415941</v>
      </c>
      <c r="I17" s="58"/>
      <c r="J17" s="359"/>
      <c r="K17" s="360"/>
      <c r="V17" s="4"/>
    </row>
    <row r="18" spans="2:22" x14ac:dyDescent="0.25">
      <c r="B18" s="48" t="s">
        <v>66</v>
      </c>
      <c r="C18" s="254"/>
      <c r="D18" s="109">
        <f>SUM(Asset_2014_Table!D18,+(0))</f>
        <v>0</v>
      </c>
      <c r="E18" s="109">
        <f>SUM(Asset_2014_Table!E18,+(0))</f>
        <v>0</v>
      </c>
      <c r="F18" s="254"/>
      <c r="G18" s="109">
        <f>SUM(Asset_2014_Table!G18,+(0))</f>
        <v>0</v>
      </c>
      <c r="H18" s="117">
        <f t="shared" si="0"/>
        <v>0</v>
      </c>
      <c r="I18" s="58"/>
      <c r="J18" s="359"/>
      <c r="K18" s="360"/>
      <c r="V18" s="4"/>
    </row>
    <row r="19" spans="2:22" x14ac:dyDescent="0.25">
      <c r="B19" s="48" t="s">
        <v>67</v>
      </c>
      <c r="C19" s="109">
        <f>SUM(Asset_2014_Table!C19,+(0))</f>
        <v>2879.5406253942056</v>
      </c>
      <c r="D19" s="109">
        <f>SUM(Asset_2014_Table!D19,+(0))</f>
        <v>1857.126</v>
      </c>
      <c r="E19" s="109">
        <f>SUM(Asset_2014_Table!E19,+(-25))</f>
        <v>106.09198759157047</v>
      </c>
      <c r="F19" s="109">
        <f>SUM(Asset_2014_Table!F19,+(301))</f>
        <v>8652.545800367734</v>
      </c>
      <c r="G19" s="109">
        <f>SUM(Asset_2014_Table!G19,+(182))</f>
        <v>3581.8873800000001</v>
      </c>
      <c r="H19" s="117">
        <f>SUM(C19:G19)</f>
        <v>17077.191793353511</v>
      </c>
      <c r="I19" s="58"/>
      <c r="J19" s="359"/>
      <c r="K19" s="360"/>
      <c r="V19" s="4"/>
    </row>
    <row r="20" spans="2:22" ht="15.75" thickBot="1" x14ac:dyDescent="0.3">
      <c r="B20" s="47" t="s">
        <v>63</v>
      </c>
      <c r="C20" s="118">
        <f>SUM(C15:C19)</f>
        <v>4185.3790785269366</v>
      </c>
      <c r="D20" s="118">
        <f>SUM(D15:D19)</f>
        <v>8677.7838399703378</v>
      </c>
      <c r="E20" s="118">
        <f>SUM(E15:E19)</f>
        <v>403.16154365850923</v>
      </c>
      <c r="F20" s="118">
        <f>SUM(F15:F19)</f>
        <v>28190.712455679331</v>
      </c>
      <c r="G20" s="118">
        <f>SUM(G15:G19)</f>
        <v>3646.1897700213858</v>
      </c>
      <c r="H20" s="117">
        <f t="shared" si="0"/>
        <v>45103.226687856499</v>
      </c>
      <c r="I20" s="58"/>
      <c r="J20" s="361">
        <f>SUM(J15:J19)</f>
        <v>20891.301599999999</v>
      </c>
      <c r="K20" s="362">
        <f>SUM(K15:K19)</f>
        <v>20891.301599999999</v>
      </c>
      <c r="V20" s="4"/>
    </row>
    <row r="21" spans="2:22" customFormat="1" ht="3" customHeight="1" x14ac:dyDescent="0.25">
      <c r="B21" s="59"/>
      <c r="C21" s="103"/>
      <c r="D21" s="103"/>
      <c r="E21" s="103"/>
      <c r="F21" s="103"/>
      <c r="G21" s="103"/>
      <c r="H21" s="104"/>
      <c r="I21" s="58"/>
      <c r="J21" s="439"/>
      <c r="K21" s="439"/>
    </row>
    <row r="22" spans="2:22" x14ac:dyDescent="0.25">
      <c r="B22" s="69" t="s">
        <v>72</v>
      </c>
      <c r="C22" s="119">
        <f>-SUM(C5,C12,-C20,-C24)</f>
        <v>0</v>
      </c>
      <c r="D22" s="119">
        <f>-SUM(D5,D12,-D20,-D24)</f>
        <v>5.236718349131479</v>
      </c>
      <c r="E22" s="119">
        <f>-SUM(E5,E12,-E20,-E24)</f>
        <v>-17.230309273358102</v>
      </c>
      <c r="F22" s="119">
        <f>-SUM(F5,F12,-F20,-F24)</f>
        <v>5.3811837013095101</v>
      </c>
      <c r="G22" s="119">
        <f>-SUM(G5,G12,-G20,-G24)</f>
        <v>0.19273942975269165</v>
      </c>
      <c r="H22" s="120">
        <f>SUM(C22:G22)</f>
        <v>-6.4196677931644217</v>
      </c>
      <c r="I22" s="58"/>
      <c r="J22" s="441"/>
      <c r="K22" s="441"/>
      <c r="V22" s="4"/>
    </row>
    <row r="23" spans="2:22" customFormat="1" ht="3" customHeight="1" x14ac:dyDescent="0.25">
      <c r="B23" s="59"/>
      <c r="C23" s="103"/>
      <c r="D23" s="103"/>
      <c r="E23" s="103"/>
      <c r="F23" s="103"/>
      <c r="G23" s="103"/>
      <c r="H23" s="104"/>
      <c r="I23" s="58"/>
      <c r="J23" s="441"/>
      <c r="K23" s="441"/>
    </row>
    <row r="24" spans="2:22" ht="15.75" thickBot="1" x14ac:dyDescent="0.3">
      <c r="B24" s="49" t="s">
        <v>64</v>
      </c>
      <c r="C24" s="121">
        <f>SUM(Asset_2014_Table!C24)</f>
        <v>256806.61475408886</v>
      </c>
      <c r="D24" s="121">
        <f>SUM(Asset_2014_Table!D24)</f>
        <v>1264</v>
      </c>
      <c r="E24" s="121">
        <f>SUM(Asset_2014_Table!E24)</f>
        <v>77.39732494588236</v>
      </c>
      <c r="F24" s="121">
        <f>SUM(Asset_2014_Table!F24)</f>
        <v>3388.8607500000003</v>
      </c>
      <c r="G24" s="121">
        <f>SUM(Asset_2014_Table!G24)</f>
        <v>62127</v>
      </c>
      <c r="H24" s="122">
        <f>SUM(C24:G24)</f>
        <v>323663.87282903475</v>
      </c>
      <c r="I24" s="58"/>
      <c r="J24" s="441"/>
      <c r="K24" s="441"/>
      <c r="M24" s="4">
        <f>+H24-H5</f>
        <v>-432.35484299663221</v>
      </c>
      <c r="N24" s="1675">
        <f>+M24/H5</f>
        <v>-1.3340323215182651E-3</v>
      </c>
      <c r="V24" s="5"/>
    </row>
    <row r="25" spans="2:22" ht="15.75" thickBot="1" x14ac:dyDescent="0.3">
      <c r="B25" s="8"/>
      <c r="C25" s="9"/>
      <c r="D25" s="9"/>
      <c r="E25" s="9"/>
      <c r="F25" s="9"/>
      <c r="G25" s="9"/>
      <c r="H25" s="9"/>
      <c r="J25" s="441"/>
      <c r="K25" s="441"/>
      <c r="V25" s="5"/>
    </row>
    <row r="26" spans="2:22" ht="15.75" thickBot="1" x14ac:dyDescent="0.3">
      <c r="B26" s="8"/>
      <c r="C26" s="9"/>
      <c r="D26" s="9"/>
      <c r="E26" s="9"/>
      <c r="F26" s="9"/>
      <c r="G26" s="9"/>
      <c r="H26" s="9"/>
      <c r="J26" s="326" t="s">
        <v>607</v>
      </c>
      <c r="K26" s="327" t="s">
        <v>608</v>
      </c>
      <c r="V26" s="5"/>
    </row>
    <row r="27" spans="2:22" ht="15.75" thickBot="1" x14ac:dyDescent="0.3">
      <c r="B27" s="8"/>
      <c r="C27" s="9"/>
      <c r="D27" s="9"/>
      <c r="E27" s="9"/>
      <c r="F27" s="9"/>
      <c r="G27" s="9"/>
      <c r="H27" s="9"/>
      <c r="J27" s="403">
        <f>SUM(J12,-J20)</f>
        <v>11075.129000000001</v>
      </c>
      <c r="K27" s="442"/>
      <c r="V27" s="5"/>
    </row>
    <row r="28" spans="2:22" ht="15.75" thickBot="1" x14ac:dyDescent="0.3">
      <c r="B28" s="8"/>
      <c r="C28" s="9"/>
      <c r="D28" s="9"/>
      <c r="E28" s="9"/>
      <c r="F28" s="9"/>
      <c r="G28" s="9"/>
      <c r="H28" s="9"/>
      <c r="J28" s="325"/>
      <c r="K28" s="404">
        <f>SUM(K12,-K20)</f>
        <v>11925.331676000002</v>
      </c>
      <c r="V28" s="5"/>
    </row>
    <row r="29" spans="2:22" x14ac:dyDescent="0.25">
      <c r="H29" s="68"/>
    </row>
    <row r="30" spans="2:22" ht="15.75" thickBot="1" x14ac:dyDescent="0.3">
      <c r="B30" s="233" t="s">
        <v>947</v>
      </c>
      <c r="C30" s="233"/>
      <c r="D30" s="233"/>
      <c r="E30" s="233"/>
      <c r="F30" s="233"/>
      <c r="G30" s="233"/>
      <c r="H30" s="233"/>
      <c r="I30" s="232"/>
      <c r="J30" s="233"/>
      <c r="K30" s="233"/>
    </row>
    <row r="31" spans="2:22" ht="24.75" x14ac:dyDescent="0.25">
      <c r="B31" s="34" t="s">
        <v>69</v>
      </c>
      <c r="C31" s="1726" t="s">
        <v>49</v>
      </c>
      <c r="D31" s="1727"/>
      <c r="E31" s="1728"/>
      <c r="F31" s="35" t="s">
        <v>50</v>
      </c>
      <c r="G31" s="36" t="s">
        <v>51</v>
      </c>
      <c r="H31" s="37" t="s">
        <v>3</v>
      </c>
      <c r="I31" s="58"/>
      <c r="J31" s="61" t="s">
        <v>70</v>
      </c>
      <c r="K31" s="37" t="s">
        <v>71</v>
      </c>
    </row>
    <row r="32" spans="2:22" ht="17.25" thickBot="1" x14ac:dyDescent="0.3">
      <c r="B32" s="38"/>
      <c r="C32" s="39" t="s">
        <v>52</v>
      </c>
      <c r="D32" s="39" t="s">
        <v>68</v>
      </c>
      <c r="E32" s="39" t="s">
        <v>53</v>
      </c>
      <c r="F32" s="40"/>
      <c r="G32" s="41"/>
      <c r="H32" s="42"/>
      <c r="I32" s="58"/>
      <c r="J32" s="62"/>
      <c r="K32" s="42"/>
    </row>
    <row r="33" spans="2:11" x14ac:dyDescent="0.25">
      <c r="B33" s="43" t="s">
        <v>54</v>
      </c>
      <c r="C33" s="130">
        <f>SUM(C5,-Asset_2014_Table!C5)</f>
        <v>0</v>
      </c>
      <c r="D33" s="130">
        <f>SUM(D5,-Asset_2014_Table!D5)</f>
        <v>0</v>
      </c>
      <c r="E33" s="130">
        <f>SUM(E5,-Asset_2014_Table!E5)</f>
        <v>0</v>
      </c>
      <c r="F33" s="130">
        <f>SUM(F5,-Asset_2014_Table!F5)</f>
        <v>0</v>
      </c>
      <c r="G33" s="130">
        <f>SUM(G5,-Asset_2014_Table!G5)</f>
        <v>0</v>
      </c>
      <c r="H33" s="102">
        <f>SUM(H5,-Asset_2014_Table!H5)</f>
        <v>0</v>
      </c>
      <c r="I33" s="58"/>
      <c r="J33" s="347">
        <f>SUM(J5,-Asset_2014_Table!J5)</f>
        <v>0</v>
      </c>
      <c r="K33" s="348">
        <f>SUM(K5,-Asset_2014_Table!K5)</f>
        <v>0</v>
      </c>
    </row>
    <row r="34" spans="2:11" ht="15.75" thickBot="1" x14ac:dyDescent="0.3">
      <c r="B34" s="59"/>
      <c r="C34" s="103"/>
      <c r="D34" s="103"/>
      <c r="E34" s="103"/>
      <c r="F34" s="103"/>
      <c r="G34" s="103"/>
      <c r="H34" s="104"/>
      <c r="I34" s="58"/>
      <c r="J34" s="64"/>
      <c r="K34" s="60"/>
    </row>
    <row r="35" spans="2:11" ht="15.75" thickBot="1" x14ac:dyDescent="0.3">
      <c r="B35" s="52" t="s">
        <v>55</v>
      </c>
      <c r="C35" s="105"/>
      <c r="D35" s="105"/>
      <c r="E35" s="105"/>
      <c r="F35" s="105"/>
      <c r="G35" s="105"/>
      <c r="H35" s="106"/>
      <c r="I35" s="58"/>
      <c r="J35" s="56"/>
      <c r="K35" s="57"/>
    </row>
    <row r="36" spans="2:11" x14ac:dyDescent="0.25">
      <c r="B36" s="51" t="s">
        <v>56</v>
      </c>
      <c r="C36" s="107">
        <f>SUM(C8,-Asset_2014_Table!C8)</f>
        <v>0</v>
      </c>
      <c r="D36" s="107">
        <f>SUM(D8,-Asset_2014_Table!D8)</f>
        <v>0</v>
      </c>
      <c r="E36" s="107">
        <f>SUM(E8,-Asset_2014_Table!E8)</f>
        <v>0</v>
      </c>
      <c r="F36" s="107">
        <f>SUM(F8,-Asset_2014_Table!F8)</f>
        <v>0</v>
      </c>
      <c r="G36" s="107">
        <f>SUM(G8,-Asset_2014_Table!G8)</f>
        <v>0</v>
      </c>
      <c r="H36" s="108">
        <f>SUM(H8,-Asset_2014_Table!H8)</f>
        <v>0</v>
      </c>
      <c r="I36" s="58"/>
      <c r="J36" s="65"/>
      <c r="K36" s="55"/>
    </row>
    <row r="37" spans="2:11" x14ac:dyDescent="0.25">
      <c r="B37" s="44" t="s">
        <v>48</v>
      </c>
      <c r="C37" s="109">
        <f>SUM(C9,-Asset_2014_Table!C9)</f>
        <v>0</v>
      </c>
      <c r="D37" s="109">
        <f>SUM(D9,-Asset_2014_Table!D9)</f>
        <v>0</v>
      </c>
      <c r="E37" s="109">
        <f>SUM(E9,-Asset_2014_Table!E9)</f>
        <v>0</v>
      </c>
      <c r="F37" s="109">
        <f>SUM(F9,-Asset_2014_Table!F9)</f>
        <v>0</v>
      </c>
      <c r="G37" s="254"/>
      <c r="H37" s="110">
        <f>SUM(H9,-Asset_2014_Table!H9)</f>
        <v>0</v>
      </c>
      <c r="I37" s="58"/>
      <c r="J37" s="349">
        <f>SUM(J9,-Asset_2014_Table!J9)</f>
        <v>0</v>
      </c>
      <c r="K37" s="350">
        <f>SUM(K9,-Asset_2014_Table!K9)</f>
        <v>0</v>
      </c>
    </row>
    <row r="38" spans="2:11" x14ac:dyDescent="0.25">
      <c r="B38" s="45" t="s">
        <v>57</v>
      </c>
      <c r="C38" s="109">
        <f>SUM(C10,-Asset_2014_Table!C10)</f>
        <v>0</v>
      </c>
      <c r="D38" s="111">
        <f>SUM(D10,-Asset_2014_Table!D10)</f>
        <v>0</v>
      </c>
      <c r="E38" s="109">
        <f>SUM(E10,-Asset_2014_Table!E10)</f>
        <v>0</v>
      </c>
      <c r="F38" s="254"/>
      <c r="G38" s="109">
        <f>SUM(G10,-Asset_2014_Table!G10)</f>
        <v>0</v>
      </c>
      <c r="H38" s="110">
        <f>SUM(H10,-Asset_2014_Table!H10)</f>
        <v>0</v>
      </c>
      <c r="I38" s="58"/>
      <c r="J38" s="349"/>
      <c r="K38" s="350">
        <f>SUM(K10,-Asset_2014_Table!K10)</f>
        <v>0</v>
      </c>
    </row>
    <row r="39" spans="2:11" x14ac:dyDescent="0.25">
      <c r="B39" s="44" t="s">
        <v>58</v>
      </c>
      <c r="C39" s="109">
        <f>SUM(C11,-Asset_2014_Table!C11)</f>
        <v>0</v>
      </c>
      <c r="D39" s="109">
        <f>SUM(D11,-Asset_2014_Table!D11)</f>
        <v>436</v>
      </c>
      <c r="E39" s="112">
        <f>SUM(E11,-Asset_2014_Table!E11)</f>
        <v>102</v>
      </c>
      <c r="F39" s="112">
        <f>SUM(F11,-Asset_2014_Table!F11)</f>
        <v>0.29999999999995453</v>
      </c>
      <c r="G39" s="112">
        <f>SUM(G11,-Asset_2014_Table!G11)</f>
        <v>0.3000000000001819</v>
      </c>
      <c r="H39" s="110">
        <f>SUM(H11,-Asset_2014_Table!H11)</f>
        <v>538.60000000000218</v>
      </c>
      <c r="I39" s="58"/>
      <c r="J39" s="349"/>
      <c r="K39" s="350"/>
    </row>
    <row r="40" spans="2:11" x14ac:dyDescent="0.25">
      <c r="B40" s="46" t="s">
        <v>59</v>
      </c>
      <c r="C40" s="113">
        <f>SUM(C12,-Asset_2014_Table!C12)</f>
        <v>0</v>
      </c>
      <c r="D40" s="113">
        <f>SUM(D12,-Asset_2014_Table!D12)</f>
        <v>436</v>
      </c>
      <c r="E40" s="113">
        <f>SUM(E12,-Asset_2014_Table!E12)</f>
        <v>102</v>
      </c>
      <c r="F40" s="113">
        <f>SUM(F12,-Asset_2014_Table!F12)</f>
        <v>0.30000000000291038</v>
      </c>
      <c r="G40" s="113">
        <f>SUM(G12,-Asset_2014_Table!G12)</f>
        <v>0.3000000000001819</v>
      </c>
      <c r="H40" s="110">
        <f>SUM(H12,-Asset_2014_Table!H12)</f>
        <v>538.60000000000582</v>
      </c>
      <c r="I40" s="58"/>
      <c r="J40" s="351">
        <f>SUM(J12,-Asset_2014_Table!J12)</f>
        <v>0</v>
      </c>
      <c r="K40" s="352">
        <f>SUM(K12,-Asset_2014_Table!K12)</f>
        <v>0</v>
      </c>
    </row>
    <row r="41" spans="2:11" ht="15.75" thickBot="1" x14ac:dyDescent="0.3">
      <c r="B41" s="59"/>
      <c r="C41" s="103"/>
      <c r="D41" s="103"/>
      <c r="E41" s="103"/>
      <c r="F41" s="103"/>
      <c r="G41" s="103"/>
      <c r="H41" s="104"/>
      <c r="I41" s="58"/>
      <c r="J41" s="353"/>
      <c r="K41" s="354"/>
    </row>
    <row r="42" spans="2:11" ht="15.75" thickBot="1" x14ac:dyDescent="0.3">
      <c r="B42" s="54" t="s">
        <v>60</v>
      </c>
      <c r="C42" s="114"/>
      <c r="D42" s="114"/>
      <c r="E42" s="114"/>
      <c r="F42" s="114"/>
      <c r="G42" s="114"/>
      <c r="H42" s="115"/>
      <c r="I42" s="58"/>
      <c r="J42" s="355"/>
      <c r="K42" s="356"/>
    </row>
    <row r="43" spans="2:11" x14ac:dyDescent="0.25">
      <c r="B43" s="53" t="s">
        <v>61</v>
      </c>
      <c r="C43" s="109">
        <f>SUM(C15,-Asset_2014_Table!C15)</f>
        <v>0</v>
      </c>
      <c r="D43" s="107">
        <f>SUM(D15,-Asset_2014_Table!D15)</f>
        <v>0</v>
      </c>
      <c r="E43" s="107">
        <f>SUM(E15,-Asset_2014_Table!E15)</f>
        <v>0</v>
      </c>
      <c r="F43" s="107">
        <f>SUM(F15,-Asset_2014_Table!F15)</f>
        <v>0</v>
      </c>
      <c r="G43" s="107">
        <f>SUM(G15,-Asset_2014_Table!G15)</f>
        <v>0</v>
      </c>
      <c r="H43" s="116">
        <f>SUM(H15,-Asset_2014_Table!H15)</f>
        <v>0</v>
      </c>
      <c r="I43" s="58"/>
      <c r="J43" s="357"/>
      <c r="K43" s="358"/>
    </row>
    <row r="44" spans="2:11" x14ac:dyDescent="0.25">
      <c r="B44" s="48" t="s">
        <v>62</v>
      </c>
      <c r="C44" s="109">
        <f>SUM(C16,-Asset_2014_Table!C16)</f>
        <v>0</v>
      </c>
      <c r="D44" s="109">
        <f>SUM(D16,-Asset_2014_Table!D16)</f>
        <v>0</v>
      </c>
      <c r="E44" s="109">
        <f>SUM(E16,-Asset_2014_Table!E16)</f>
        <v>0</v>
      </c>
      <c r="F44" s="109">
        <f>SUM(F16,-Asset_2014_Table!F16)</f>
        <v>0</v>
      </c>
      <c r="G44" s="254"/>
      <c r="H44" s="110">
        <f>SUM(H16,-Asset_2014_Table!H16)</f>
        <v>0</v>
      </c>
      <c r="I44" s="58"/>
      <c r="J44" s="359">
        <f>SUM(J16,-Asset_2014_Table!J16)</f>
        <v>0</v>
      </c>
      <c r="K44" s="360">
        <f>SUM(K16,-Asset_2014_Table!K16)</f>
        <v>0</v>
      </c>
    </row>
    <row r="45" spans="2:11" x14ac:dyDescent="0.25">
      <c r="B45" s="48" t="s">
        <v>65</v>
      </c>
      <c r="C45" s="254"/>
      <c r="D45" s="109">
        <f>SUM(D17,-Asset_2014_Table!D17)</f>
        <v>0</v>
      </c>
      <c r="E45" s="109">
        <f>SUM(E17,-Asset_2014_Table!E17)</f>
        <v>0</v>
      </c>
      <c r="F45" s="254"/>
      <c r="G45" s="109">
        <f>SUM(G17,-Asset_2014_Table!G17)</f>
        <v>0</v>
      </c>
      <c r="H45" s="117">
        <f>SUM(H17,-Asset_2014_Table!H17)</f>
        <v>0</v>
      </c>
      <c r="I45" s="58"/>
      <c r="J45" s="359"/>
      <c r="K45" s="360"/>
    </row>
    <row r="46" spans="2:11" x14ac:dyDescent="0.25">
      <c r="B46" s="48" t="s">
        <v>66</v>
      </c>
      <c r="C46" s="254"/>
      <c r="D46" s="109">
        <f>SUM(D18,-Asset_2014_Table!D18)</f>
        <v>0</v>
      </c>
      <c r="E46" s="109">
        <f>SUM(E18,-Asset_2014_Table!E18)</f>
        <v>0</v>
      </c>
      <c r="F46" s="254"/>
      <c r="G46" s="109">
        <f>SUM(G18,-Asset_2014_Table!G18)</f>
        <v>0</v>
      </c>
      <c r="H46" s="117">
        <f>SUM(H18,-Asset_2014_Table!H18)</f>
        <v>0</v>
      </c>
      <c r="I46" s="58"/>
      <c r="J46" s="359"/>
      <c r="K46" s="360"/>
    </row>
    <row r="47" spans="2:11" x14ac:dyDescent="0.25">
      <c r="B47" s="48" t="s">
        <v>67</v>
      </c>
      <c r="C47" s="109">
        <f>SUM(C19,-Asset_2014_Table!C19)</f>
        <v>0</v>
      </c>
      <c r="D47" s="109">
        <f>SUM(D19,-Asset_2014_Table!D19)</f>
        <v>0</v>
      </c>
      <c r="E47" s="109">
        <f>SUM(E19,-Asset_2014_Table!E19)</f>
        <v>-25</v>
      </c>
      <c r="F47" s="109">
        <f>SUM(F19,-Asset_2014_Table!F19)</f>
        <v>301</v>
      </c>
      <c r="G47" s="109">
        <f>SUM(G19,-Asset_2014_Table!G19)</f>
        <v>182</v>
      </c>
      <c r="H47" s="117">
        <f>SUM(H19,-Asset_2014_Table!H19)</f>
        <v>458</v>
      </c>
      <c r="I47" s="58"/>
      <c r="J47" s="359"/>
      <c r="K47" s="360"/>
    </row>
    <row r="48" spans="2:11" ht="15.75" thickBot="1" x14ac:dyDescent="0.3">
      <c r="B48" s="47" t="s">
        <v>63</v>
      </c>
      <c r="C48" s="118">
        <f>SUM(C20,-Asset_2014_Table!C20)</f>
        <v>0</v>
      </c>
      <c r="D48" s="118">
        <f>SUM(D20,-Asset_2014_Table!D20)</f>
        <v>0</v>
      </c>
      <c r="E48" s="118">
        <f>SUM(E20,-Asset_2014_Table!E20)</f>
        <v>-25</v>
      </c>
      <c r="F48" s="118">
        <f>SUM(F20,-Asset_2014_Table!F20)</f>
        <v>301</v>
      </c>
      <c r="G48" s="118">
        <f>SUM(G20,-Asset_2014_Table!G20)</f>
        <v>182</v>
      </c>
      <c r="H48" s="117">
        <f>SUM(H20,-Asset_2014_Table!H20)</f>
        <v>458</v>
      </c>
      <c r="I48" s="58"/>
      <c r="J48" s="361">
        <f>SUM(J20,-Asset_2014_Table!J20)</f>
        <v>0</v>
      </c>
      <c r="K48" s="362">
        <f>SUM(K20,-Asset_2014_Table!K20)</f>
        <v>0</v>
      </c>
    </row>
    <row r="49" spans="2:9" x14ac:dyDescent="0.25">
      <c r="B49" s="59"/>
      <c r="C49" s="103"/>
      <c r="D49" s="103"/>
      <c r="E49" s="103"/>
      <c r="F49" s="103"/>
      <c r="G49" s="103"/>
      <c r="H49" s="104"/>
      <c r="I49" s="58"/>
    </row>
    <row r="50" spans="2:9" x14ac:dyDescent="0.25">
      <c r="B50" s="69" t="s">
        <v>72</v>
      </c>
      <c r="C50" s="119">
        <f>-SUM(C33,C40,-C48,-C52)</f>
        <v>0</v>
      </c>
      <c r="D50" s="119">
        <f>SUM(D22,-Asset_2014_Table!D22)</f>
        <v>-436</v>
      </c>
      <c r="E50" s="119">
        <f>SUM(E22,-Asset_2014_Table!E22)</f>
        <v>-127</v>
      </c>
      <c r="F50" s="119">
        <f>SUM(F22,-Asset_2014_Table!F22)</f>
        <v>300.69999999999709</v>
      </c>
      <c r="G50" s="119">
        <f>SUM(G22,-Asset_2014_Table!G22)</f>
        <v>181.69999999999709</v>
      </c>
      <c r="H50" s="120">
        <f>SUM(H22,-Asset_2014_Table!H22)</f>
        <v>-80.600000000005821</v>
      </c>
      <c r="I50" s="58"/>
    </row>
    <row r="51" spans="2:9" x14ac:dyDescent="0.25">
      <c r="B51" s="59"/>
      <c r="C51" s="103"/>
      <c r="D51" s="103"/>
      <c r="E51" s="103"/>
      <c r="F51" s="103"/>
      <c r="G51" s="103"/>
      <c r="H51" s="104"/>
      <c r="I51" s="58"/>
    </row>
    <row r="52" spans="2:9" ht="15.75" thickBot="1" x14ac:dyDescent="0.3">
      <c r="B52" s="49" t="s">
        <v>64</v>
      </c>
      <c r="C52" s="121">
        <f>SUM(Asset_2014_Table!C49)</f>
        <v>0</v>
      </c>
      <c r="D52" s="121">
        <f>SUM(Asset_2014_Table!D49)</f>
        <v>0</v>
      </c>
      <c r="E52" s="121">
        <f>SUM(Asset_2014_Table!E49)</f>
        <v>0</v>
      </c>
      <c r="F52" s="121">
        <f>SUM(Asset_2014_Table!F49)</f>
        <v>0</v>
      </c>
      <c r="G52" s="121">
        <f>SUM(Asset_2014_Table!G49)</f>
        <v>0</v>
      </c>
      <c r="H52" s="122">
        <f>SUM(C52:G52)</f>
        <v>0</v>
      </c>
      <c r="I52" s="58"/>
    </row>
  </sheetData>
  <mergeCells count="2">
    <mergeCell ref="C3:E3"/>
    <mergeCell ref="C31:E31"/>
  </mergeCells>
  <hyperlinks>
    <hyperlink ref="J9" location="'W-Assets_Data&amp;Method_2012'!F58" display="'W-Assets_Data&amp;Method_2012'!F58"/>
    <hyperlink ref="J16" location="'W-Assets_Data&amp;Method_2012'!F59" display="'W-Assets_Data&amp;Method_2012'!F59"/>
    <hyperlink ref="K9" location="'W-Assets_Data&amp;Method_2012'!F58" display="'W-Assets_Data&amp;Method_2012'!F58"/>
    <hyperlink ref="K10" location="'W-Assets_Data&amp;Method_2012'!F61" display="'W-Assets_Data&amp;Method_2012'!F61"/>
    <hyperlink ref="K16" location="'W-Assets_Data&amp;Method_2012'!F59" display="'W-Assets_Data&amp;Method_2012'!F59"/>
    <hyperlink ref="J27" location="'W-Assets_Data&amp;Method_2012'!F60" display="'W-Assets_Data&amp;Method_2012'!F60"/>
    <hyperlink ref="K28" location="'W-Assets_Data&amp;Method_2012'!F62" display="'W-Assets_Data&amp;Method_2012'!F62"/>
  </hyperlink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499984740745262"/>
    <pageSetUpPr fitToPage="1"/>
  </sheetPr>
  <dimension ref="A1:K605"/>
  <sheetViews>
    <sheetView workbookViewId="0">
      <pane ySplit="1" topLeftCell="A2" activePane="bottomLeft" state="frozen"/>
      <selection activeCell="K27" sqref="K27"/>
      <selection pane="bottomLeft" activeCell="H420" sqref="H420"/>
    </sheetView>
  </sheetViews>
  <sheetFormatPr defaultRowHeight="15" x14ac:dyDescent="0.25"/>
  <cols>
    <col min="1" max="1" width="1.85546875" customWidth="1"/>
    <col min="2" max="2" width="6.42578125" bestFit="1" customWidth="1"/>
    <col min="3" max="3" width="0.7109375" customWidth="1"/>
    <col min="4" max="4" width="5.5703125" bestFit="1" customWidth="1"/>
    <col min="5" max="5" width="11" customWidth="1"/>
    <col min="6" max="6" width="1" customWidth="1"/>
    <col min="7" max="7" width="71.7109375" bestFit="1" customWidth="1"/>
    <col min="8" max="8" width="11.140625" bestFit="1" customWidth="1"/>
    <col min="9" max="9" width="15" customWidth="1"/>
    <col min="10" max="10" width="9.5703125" bestFit="1" customWidth="1"/>
    <col min="11" max="11" width="105.5703125" customWidth="1"/>
    <col min="12" max="12" width="10.140625" customWidth="1"/>
    <col min="13" max="13" width="8.85546875" customWidth="1"/>
  </cols>
  <sheetData>
    <row r="1" spans="2:11" ht="57" customHeight="1" thickBot="1" x14ac:dyDescent="0.3">
      <c r="B1" s="98"/>
      <c r="D1" s="14" t="s">
        <v>147</v>
      </c>
      <c r="E1" s="84" t="s">
        <v>12</v>
      </c>
      <c r="G1" s="28" t="s">
        <v>133</v>
      </c>
      <c r="H1" s="12" t="s">
        <v>1339</v>
      </c>
      <c r="I1" s="12" t="s">
        <v>134</v>
      </c>
      <c r="J1" s="12" t="s">
        <v>135</v>
      </c>
      <c r="K1" s="13" t="s">
        <v>76</v>
      </c>
    </row>
    <row r="2" spans="2:11" ht="15" customHeight="1" x14ac:dyDescent="0.25">
      <c r="B2" s="1749" t="s">
        <v>11</v>
      </c>
      <c r="D2" s="1745" t="s">
        <v>15</v>
      </c>
      <c r="E2" s="1746" t="s">
        <v>148</v>
      </c>
      <c r="G2" s="86" t="s">
        <v>145</v>
      </c>
      <c r="H2" s="131">
        <f>SUM(H3:H4)</f>
        <v>13506848.022465833</v>
      </c>
      <c r="I2" s="87"/>
      <c r="J2" s="87"/>
      <c r="K2" s="88"/>
    </row>
    <row r="3" spans="2:11" x14ac:dyDescent="0.25">
      <c r="B3" s="1750"/>
      <c r="D3" s="1740"/>
      <c r="E3" s="1747"/>
      <c r="G3" s="30" t="s">
        <v>23</v>
      </c>
      <c r="H3" s="126">
        <f>+(H5)</f>
        <v>13506848.022465833</v>
      </c>
      <c r="I3" s="10"/>
      <c r="J3" s="10"/>
      <c r="K3" s="16" t="s">
        <v>170</v>
      </c>
    </row>
    <row r="4" spans="2:11" x14ac:dyDescent="0.25">
      <c r="B4" s="1750"/>
      <c r="D4" s="1740"/>
      <c r="E4" s="1747"/>
      <c r="G4" s="30" t="s">
        <v>24</v>
      </c>
      <c r="H4" s="126">
        <v>0</v>
      </c>
      <c r="I4" s="10"/>
      <c r="J4" s="10"/>
      <c r="K4" s="16"/>
    </row>
    <row r="5" spans="2:11" x14ac:dyDescent="0.25">
      <c r="B5" s="1750"/>
      <c r="D5" s="1740"/>
      <c r="E5" s="1747"/>
      <c r="G5" s="89" t="s">
        <v>146</v>
      </c>
      <c r="H5" s="132">
        <f>SUM(H6+H16)</f>
        <v>13506848.022465833</v>
      </c>
      <c r="I5" s="90"/>
      <c r="J5" s="90"/>
      <c r="K5" s="91"/>
    </row>
    <row r="6" spans="2:11" x14ac:dyDescent="0.25">
      <c r="B6" s="1750"/>
      <c r="D6" s="1740"/>
      <c r="E6" s="1747"/>
      <c r="G6" s="89" t="s">
        <v>25</v>
      </c>
      <c r="H6" s="132">
        <f>SUM(H7,H12,H15)</f>
        <v>13506041.022465833</v>
      </c>
      <c r="I6" s="90"/>
      <c r="J6" s="90"/>
      <c r="K6" s="91"/>
    </row>
    <row r="7" spans="2:11" x14ac:dyDescent="0.25">
      <c r="B7" s="1750"/>
      <c r="D7" s="1740"/>
      <c r="E7" s="1747"/>
      <c r="G7" s="89" t="s">
        <v>26</v>
      </c>
      <c r="H7" s="132">
        <f>SUM(H8:H11)</f>
        <v>205178.23028145044</v>
      </c>
      <c r="I7" s="90"/>
      <c r="J7" s="90"/>
      <c r="K7" s="91"/>
    </row>
    <row r="8" spans="2:11" ht="30" x14ac:dyDescent="0.25">
      <c r="B8" s="1750"/>
      <c r="D8" s="1740"/>
      <c r="E8" s="1747"/>
      <c r="G8" s="30" t="s">
        <v>27</v>
      </c>
      <c r="H8" s="747">
        <f>+('RBM&amp;E-2017_S'!V$30*7%)</f>
        <v>14361.262723993506</v>
      </c>
      <c r="I8" s="10"/>
      <c r="J8" s="10"/>
      <c r="K8" s="16" t="s">
        <v>1044</v>
      </c>
    </row>
    <row r="9" spans="2:11" ht="30" x14ac:dyDescent="0.25">
      <c r="B9" s="1750"/>
      <c r="D9" s="1740"/>
      <c r="E9" s="1747"/>
      <c r="G9" s="30" t="s">
        <v>28</v>
      </c>
      <c r="H9" s="747">
        <f>+('RBM&amp;E-2017_S'!V$30*58%)</f>
        <v>118993.31971308903</v>
      </c>
      <c r="I9" s="10"/>
      <c r="J9" s="10"/>
      <c r="K9" s="16" t="s">
        <v>1043</v>
      </c>
    </row>
    <row r="10" spans="2:11" ht="150" x14ac:dyDescent="0.25">
      <c r="B10" s="1750"/>
      <c r="D10" s="1740"/>
      <c r="E10" s="1747"/>
      <c r="G10" s="30" t="s">
        <v>29</v>
      </c>
      <c r="H10" s="747">
        <f>+('RBM&amp;E-2017_S'!V$30*25%)+('RBM&amp;E-2017_S'!V$34*60%)</f>
        <v>51307.558238662903</v>
      </c>
      <c r="I10" s="10"/>
      <c r="J10" s="10"/>
      <c r="K10" s="16" t="s">
        <v>1088</v>
      </c>
    </row>
    <row r="11" spans="2:11" ht="45" x14ac:dyDescent="0.25">
      <c r="B11" s="1750"/>
      <c r="D11" s="1740"/>
      <c r="E11" s="1747"/>
      <c r="G11" s="30" t="s">
        <v>30</v>
      </c>
      <c r="H11" s="747">
        <f>+('RBM&amp;E-2017_S'!V$30*10%)</f>
        <v>20516.089605705009</v>
      </c>
      <c r="I11" s="10"/>
      <c r="J11" s="10"/>
      <c r="K11" s="16" t="s">
        <v>1087</v>
      </c>
    </row>
    <row r="12" spans="2:11" x14ac:dyDescent="0.25">
      <c r="B12" s="1750"/>
      <c r="D12" s="1740"/>
      <c r="E12" s="1747"/>
      <c r="G12" s="89" t="s">
        <v>31</v>
      </c>
      <c r="H12" s="132">
        <f>SUM(H13:H14)</f>
        <v>13925.838745152938</v>
      </c>
      <c r="I12" s="90"/>
      <c r="J12" s="90"/>
      <c r="K12" s="91"/>
    </row>
    <row r="13" spans="2:11" ht="195" x14ac:dyDescent="0.25">
      <c r="B13" s="1750"/>
      <c r="D13" s="1740"/>
      <c r="E13" s="1747"/>
      <c r="G13" s="30" t="s">
        <v>640</v>
      </c>
      <c r="H13" s="126">
        <f>(5657.79959)*(75%*100%)</f>
        <v>4243.3496924999999</v>
      </c>
      <c r="I13" s="10"/>
      <c r="J13" s="10"/>
      <c r="K13" s="16" t="s">
        <v>1292</v>
      </c>
    </row>
    <row r="14" spans="2:11" ht="180" x14ac:dyDescent="0.25">
      <c r="B14" s="1750"/>
      <c r="D14" s="1740"/>
      <c r="E14" s="1747"/>
      <c r="G14" s="30" t="s">
        <v>641</v>
      </c>
      <c r="H14" s="747">
        <f>+('RBM&amp;E-2017_S'!V$33*25%)</f>
        <v>9682.489052652938</v>
      </c>
      <c r="I14" s="10"/>
      <c r="J14" s="10"/>
      <c r="K14" s="16" t="s">
        <v>1293</v>
      </c>
    </row>
    <row r="15" spans="2:11" x14ac:dyDescent="0.25">
      <c r="B15" s="1750"/>
      <c r="D15" s="1740"/>
      <c r="E15" s="1747"/>
      <c r="G15" s="1043" t="s">
        <v>32</v>
      </c>
      <c r="H15" s="1566">
        <f>+('GW&amp;SOILW_2012'!V20)</f>
        <v>13286936.953439228</v>
      </c>
      <c r="I15" s="1044"/>
      <c r="J15" s="1044"/>
      <c r="K15" s="1045"/>
    </row>
    <row r="16" spans="2:11" x14ac:dyDescent="0.25">
      <c r="B16" s="1750"/>
      <c r="D16" s="1740"/>
      <c r="E16" s="1747"/>
      <c r="G16" s="89" t="s">
        <v>33</v>
      </c>
      <c r="H16" s="132">
        <f>SUM(H17:H18)</f>
        <v>807</v>
      </c>
      <c r="I16" s="90"/>
      <c r="J16" s="90"/>
      <c r="K16" s="91"/>
    </row>
    <row r="17" spans="2:11" x14ac:dyDescent="0.25">
      <c r="B17" s="1750"/>
      <c r="D17" s="1740"/>
      <c r="E17" s="1747"/>
      <c r="G17" s="30" t="s">
        <v>34</v>
      </c>
      <c r="H17" s="126">
        <v>807</v>
      </c>
      <c r="I17" s="10"/>
      <c r="J17" s="10"/>
      <c r="K17" s="16" t="s">
        <v>1268</v>
      </c>
    </row>
    <row r="18" spans="2:11" x14ac:dyDescent="0.25">
      <c r="B18" s="1750"/>
      <c r="D18" s="1740"/>
      <c r="E18" s="1747"/>
      <c r="G18" s="30" t="s">
        <v>35</v>
      </c>
      <c r="H18" s="126">
        <v>0</v>
      </c>
      <c r="I18" s="10"/>
      <c r="J18" s="10"/>
      <c r="K18" s="16"/>
    </row>
    <row r="19" spans="2:11" ht="15.75" thickBot="1" x14ac:dyDescent="0.3">
      <c r="B19" s="1750"/>
      <c r="D19" s="1741"/>
      <c r="E19" s="1748"/>
      <c r="G19" s="1047" t="s">
        <v>36</v>
      </c>
      <c r="H19" s="1048">
        <v>90250</v>
      </c>
      <c r="I19" s="1049"/>
      <c r="J19" s="1049"/>
      <c r="K19" s="1050" t="s">
        <v>1268</v>
      </c>
    </row>
    <row r="20" spans="2:11" ht="15" customHeight="1" x14ac:dyDescent="0.25">
      <c r="B20" s="1750"/>
      <c r="D20" s="1745" t="s">
        <v>16</v>
      </c>
      <c r="E20" s="1746" t="s">
        <v>149</v>
      </c>
      <c r="G20" s="86" t="s">
        <v>145</v>
      </c>
      <c r="H20" s="131">
        <f>SUM(H21:H22)</f>
        <v>22429.728515197057</v>
      </c>
      <c r="I20" s="87"/>
      <c r="J20" s="87"/>
      <c r="K20" s="88"/>
    </row>
    <row r="21" spans="2:11" x14ac:dyDescent="0.25">
      <c r="B21" s="1750"/>
      <c r="D21" s="1740"/>
      <c r="E21" s="1747"/>
      <c r="G21" s="30" t="s">
        <v>23</v>
      </c>
      <c r="H21" s="126">
        <f>SUM(H23,-H22)</f>
        <v>22429.728515197057</v>
      </c>
      <c r="I21" s="10"/>
      <c r="J21" s="10"/>
      <c r="K21" s="16"/>
    </row>
    <row r="22" spans="2:11" x14ac:dyDescent="0.25">
      <c r="B22" s="1750"/>
      <c r="D22" s="1740"/>
      <c r="E22" s="1747"/>
      <c r="G22" s="30" t="s">
        <v>24</v>
      </c>
      <c r="H22" s="126">
        <v>0</v>
      </c>
      <c r="I22" s="10"/>
      <c r="J22" s="10"/>
      <c r="K22" s="16"/>
    </row>
    <row r="23" spans="2:11" x14ac:dyDescent="0.25">
      <c r="B23" s="1750"/>
      <c r="D23" s="1740"/>
      <c r="E23" s="1747"/>
      <c r="G23" s="89" t="s">
        <v>146</v>
      </c>
      <c r="H23" s="132">
        <f>SUM(H24+H34)</f>
        <v>22429.728515197057</v>
      </c>
      <c r="I23" s="90"/>
      <c r="J23" s="90"/>
      <c r="K23" s="91"/>
    </row>
    <row r="24" spans="2:11" x14ac:dyDescent="0.25">
      <c r="B24" s="1750"/>
      <c r="D24" s="1740"/>
      <c r="E24" s="1747"/>
      <c r="G24" s="89" t="s">
        <v>25</v>
      </c>
      <c r="H24" s="132">
        <f>SUM(H25,H30,H33)</f>
        <v>1069.9285151970589</v>
      </c>
      <c r="I24" s="90"/>
      <c r="J24" s="90"/>
      <c r="K24" s="91"/>
    </row>
    <row r="25" spans="2:11" x14ac:dyDescent="0.25">
      <c r="B25" s="1750"/>
      <c r="D25" s="1740"/>
      <c r="E25" s="1747"/>
      <c r="G25" s="89" t="s">
        <v>26</v>
      </c>
      <c r="H25" s="132">
        <f>SUM(H26:H29)</f>
        <v>1006.140385197059</v>
      </c>
      <c r="I25" s="90"/>
      <c r="J25" s="90"/>
      <c r="K25" s="91"/>
    </row>
    <row r="26" spans="2:11" x14ac:dyDescent="0.25">
      <c r="B26" s="1750"/>
      <c r="D26" s="1740"/>
      <c r="E26" s="1747"/>
      <c r="G26" s="30" t="s">
        <v>27</v>
      </c>
      <c r="H26" s="126">
        <v>0</v>
      </c>
      <c r="I26" s="10"/>
      <c r="J26" s="10"/>
      <c r="K26" s="16"/>
    </row>
    <row r="27" spans="2:11" ht="30" x14ac:dyDescent="0.25">
      <c r="B27" s="1750"/>
      <c r="D27" s="1740"/>
      <c r="E27" s="1747"/>
      <c r="G27" s="30" t="s">
        <v>28</v>
      </c>
      <c r="H27" s="747">
        <f>+('RBM&amp;E-2017_S'!V$32*100%)</f>
        <v>1006.140385197059</v>
      </c>
      <c r="I27" s="10"/>
      <c r="J27" s="10"/>
      <c r="K27" s="16" t="s">
        <v>1295</v>
      </c>
    </row>
    <row r="28" spans="2:11" x14ac:dyDescent="0.25">
      <c r="B28" s="1750"/>
      <c r="D28" s="1740"/>
      <c r="E28" s="1747"/>
      <c r="G28" s="30" t="s">
        <v>29</v>
      </c>
      <c r="H28" s="126">
        <v>0</v>
      </c>
      <c r="I28" s="10"/>
      <c r="J28" s="10"/>
      <c r="K28" s="16"/>
    </row>
    <row r="29" spans="2:11" x14ac:dyDescent="0.25">
      <c r="B29" s="1750"/>
      <c r="D29" s="1740"/>
      <c r="E29" s="1747"/>
      <c r="G29" s="30" t="s">
        <v>30</v>
      </c>
      <c r="H29" s="126">
        <v>0</v>
      </c>
      <c r="I29" s="10"/>
      <c r="J29" s="10"/>
      <c r="K29" s="16"/>
    </row>
    <row r="30" spans="2:11" ht="15" customHeight="1" x14ac:dyDescent="0.25">
      <c r="B30" s="1750"/>
      <c r="D30" s="1740"/>
      <c r="E30" s="1747"/>
      <c r="G30" s="89" t="s">
        <v>31</v>
      </c>
      <c r="H30" s="132">
        <v>63.788130000000002</v>
      </c>
      <c r="I30" s="90"/>
      <c r="J30" s="90"/>
      <c r="K30" s="91" t="s">
        <v>1318</v>
      </c>
    </row>
    <row r="31" spans="2:11" ht="15" customHeight="1" x14ac:dyDescent="0.25">
      <c r="B31" s="1750"/>
      <c r="D31" s="1740"/>
      <c r="E31" s="1747"/>
      <c r="G31" s="30" t="s">
        <v>640</v>
      </c>
      <c r="H31" s="126"/>
      <c r="I31" s="10"/>
      <c r="J31" s="10"/>
      <c r="K31" s="16"/>
    </row>
    <row r="32" spans="2:11" ht="15" customHeight="1" x14ac:dyDescent="0.25">
      <c r="B32" s="1750"/>
      <c r="D32" s="1740"/>
      <c r="E32" s="1747"/>
      <c r="G32" s="30" t="s">
        <v>641</v>
      </c>
      <c r="H32" s="126">
        <f>SUM(H30,-H31)</f>
        <v>63.788130000000002</v>
      </c>
      <c r="I32" s="10"/>
      <c r="J32" s="10"/>
      <c r="K32" s="16"/>
    </row>
    <row r="33" spans="2:11" x14ac:dyDescent="0.25">
      <c r="B33" s="1750"/>
      <c r="D33" s="1740"/>
      <c r="E33" s="1747"/>
      <c r="G33" s="1043" t="s">
        <v>32</v>
      </c>
      <c r="H33" s="1036">
        <v>0</v>
      </c>
      <c r="I33" s="1044"/>
      <c r="J33" s="1044"/>
      <c r="K33" s="1045"/>
    </row>
    <row r="34" spans="2:11" x14ac:dyDescent="0.25">
      <c r="B34" s="1750"/>
      <c r="D34" s="1740"/>
      <c r="E34" s="1747"/>
      <c r="G34" s="89" t="s">
        <v>33</v>
      </c>
      <c r="H34" s="132">
        <f>SUM(H35:H36)</f>
        <v>21359.8</v>
      </c>
      <c r="I34" s="90"/>
      <c r="J34" s="90"/>
      <c r="K34" s="91"/>
    </row>
    <row r="35" spans="2:11" x14ac:dyDescent="0.25">
      <c r="B35" s="1750"/>
      <c r="D35" s="1740"/>
      <c r="E35" s="1747"/>
      <c r="G35" s="30" t="s">
        <v>34</v>
      </c>
      <c r="H35" s="126">
        <v>21359.8</v>
      </c>
      <c r="I35" s="10"/>
      <c r="J35" s="10"/>
      <c r="K35" s="16" t="s">
        <v>1268</v>
      </c>
    </row>
    <row r="36" spans="2:11" x14ac:dyDescent="0.25">
      <c r="B36" s="1750"/>
      <c r="D36" s="1740"/>
      <c r="E36" s="1747"/>
      <c r="G36" s="30" t="s">
        <v>35</v>
      </c>
      <c r="H36" s="126">
        <v>0</v>
      </c>
      <c r="I36" s="10"/>
      <c r="J36" s="10"/>
      <c r="K36" s="16"/>
    </row>
    <row r="37" spans="2:11" ht="15.75" thickBot="1" x14ac:dyDescent="0.3">
      <c r="B37" s="1750"/>
      <c r="D37" s="1741"/>
      <c r="E37" s="1748"/>
      <c r="G37" s="1047" t="s">
        <v>36</v>
      </c>
      <c r="H37" s="1048">
        <v>0</v>
      </c>
      <c r="I37" s="1049"/>
      <c r="J37" s="1049"/>
      <c r="K37" s="1050"/>
    </row>
    <row r="38" spans="2:11" ht="15" customHeight="1" x14ac:dyDescent="0.25">
      <c r="B38" s="1750"/>
      <c r="D38" s="1745" t="s">
        <v>160</v>
      </c>
      <c r="E38" s="1746" t="s">
        <v>150</v>
      </c>
      <c r="G38" s="86" t="s">
        <v>145</v>
      </c>
      <c r="H38" s="131">
        <f>SUM(H39:H40)</f>
        <v>24242.398478108429</v>
      </c>
      <c r="I38" s="87"/>
      <c r="J38" s="87"/>
      <c r="K38" s="88"/>
    </row>
    <row r="39" spans="2:11" x14ac:dyDescent="0.25">
      <c r="B39" s="1750"/>
      <c r="D39" s="1740"/>
      <c r="E39" s="1747"/>
      <c r="G39" s="30" t="s">
        <v>23</v>
      </c>
      <c r="H39" s="126">
        <f>SUM(H41,-H40)</f>
        <v>24156.623478108428</v>
      </c>
      <c r="I39" s="10"/>
      <c r="J39" s="10"/>
      <c r="K39" s="16" t="s">
        <v>1268</v>
      </c>
    </row>
    <row r="40" spans="2:11" x14ac:dyDescent="0.25">
      <c r="B40" s="1750"/>
      <c r="D40" s="1740"/>
      <c r="E40" s="1747"/>
      <c r="G40" s="30" t="s">
        <v>24</v>
      </c>
      <c r="H40" s="126">
        <v>85.774999999999991</v>
      </c>
      <c r="I40" s="10"/>
      <c r="J40" s="10"/>
      <c r="K40" s="16" t="s">
        <v>1268</v>
      </c>
    </row>
    <row r="41" spans="2:11" x14ac:dyDescent="0.25">
      <c r="B41" s="1750"/>
      <c r="D41" s="1740"/>
      <c r="E41" s="1747"/>
      <c r="G41" s="89" t="s">
        <v>146</v>
      </c>
      <c r="H41" s="132">
        <f>SUM(H42+H52)</f>
        <v>24242.398478108429</v>
      </c>
      <c r="I41" s="90"/>
      <c r="J41" s="90"/>
      <c r="K41" s="91"/>
    </row>
    <row r="42" spans="2:11" x14ac:dyDescent="0.25">
      <c r="B42" s="1750"/>
      <c r="D42" s="1740"/>
      <c r="E42" s="1747"/>
      <c r="G42" s="89" t="s">
        <v>25</v>
      </c>
      <c r="H42" s="132">
        <f>SUM(H43,H48,H51)</f>
        <v>24214.198478108428</v>
      </c>
      <c r="I42" s="90"/>
      <c r="J42" s="90"/>
      <c r="K42" s="91"/>
    </row>
    <row r="43" spans="2:11" x14ac:dyDescent="0.25">
      <c r="B43" s="1750"/>
      <c r="D43" s="1740"/>
      <c r="E43" s="1747"/>
      <c r="G43" s="89" t="s">
        <v>26</v>
      </c>
      <c r="H43" s="132">
        <f>SUM(H44:H47)</f>
        <v>15211.48701906186</v>
      </c>
      <c r="I43" s="90"/>
      <c r="J43" s="90"/>
      <c r="K43" s="91"/>
    </row>
    <row r="44" spans="2:11" x14ac:dyDescent="0.25">
      <c r="B44" s="1750"/>
      <c r="D44" s="1740"/>
      <c r="E44" s="1747"/>
      <c r="G44" s="30" t="s">
        <v>27</v>
      </c>
      <c r="H44" s="126">
        <v>0</v>
      </c>
      <c r="I44" s="10"/>
      <c r="J44" s="10"/>
      <c r="K44" s="16"/>
    </row>
    <row r="45" spans="2:11" ht="45" x14ac:dyDescent="0.25">
      <c r="B45" s="1750"/>
      <c r="D45" s="1740"/>
      <c r="E45" s="1747"/>
      <c r="G45" s="30" t="s">
        <v>28</v>
      </c>
      <c r="H45" s="747">
        <f>+('RBM&amp;E-2017_S'!V$28*100%)+(0)</f>
        <v>11713.201282806573</v>
      </c>
      <c r="I45" s="10"/>
      <c r="J45" s="10"/>
      <c r="K45" s="16" t="s">
        <v>1308</v>
      </c>
    </row>
    <row r="46" spans="2:11" x14ac:dyDescent="0.25">
      <c r="B46" s="1750"/>
      <c r="D46" s="1740"/>
      <c r="E46" s="1747"/>
      <c r="G46" s="30" t="s">
        <v>29</v>
      </c>
      <c r="H46" s="126">
        <v>0</v>
      </c>
      <c r="I46" s="10"/>
      <c r="J46" s="10"/>
      <c r="K46" s="16"/>
    </row>
    <row r="47" spans="2:11" x14ac:dyDescent="0.25">
      <c r="B47" s="1750"/>
      <c r="D47" s="1740"/>
      <c r="E47" s="1747"/>
      <c r="G47" s="30" t="s">
        <v>30</v>
      </c>
      <c r="H47" s="747">
        <f>+('RBM&amp;E-2017_S'!V$31*50%)</f>
        <v>3498.2857362552868</v>
      </c>
      <c r="I47" s="10"/>
      <c r="J47" s="10"/>
      <c r="K47" s="16" t="s">
        <v>1310</v>
      </c>
    </row>
    <row r="48" spans="2:11" x14ac:dyDescent="0.25">
      <c r="B48" s="1750"/>
      <c r="D48" s="1740"/>
      <c r="E48" s="1747"/>
      <c r="G48" s="89" t="s">
        <v>31</v>
      </c>
      <c r="H48" s="1036">
        <f>SUM(H49:H50)</f>
        <v>9002.7114590465681</v>
      </c>
      <c r="I48" s="90"/>
      <c r="J48" s="90"/>
      <c r="K48" s="91" t="s">
        <v>1307</v>
      </c>
    </row>
    <row r="49" spans="2:11" ht="195" x14ac:dyDescent="0.25">
      <c r="B49" s="1750"/>
      <c r="D49" s="1740"/>
      <c r="E49" s="1747"/>
      <c r="G49" s="30" t="s">
        <v>640</v>
      </c>
      <c r="H49" s="747">
        <f>+('RBM&amp;E-2017_S'!V$27*30%)+('RBM&amp;E-2017_S'!V$31*25%)</f>
        <v>3380.5729698577479</v>
      </c>
      <c r="I49" s="10"/>
      <c r="J49" s="10"/>
      <c r="K49" s="16" t="s">
        <v>1309</v>
      </c>
    </row>
    <row r="50" spans="2:11" ht="195" x14ac:dyDescent="0.25">
      <c r="B50" s="1750"/>
      <c r="D50" s="1740"/>
      <c r="E50" s="1747"/>
      <c r="G50" s="30" t="s">
        <v>641</v>
      </c>
      <c r="H50" s="747">
        <f>+('RBM&amp;E-2017_S'!V$33*10%)+('RBM&amp;E-2017_S'!V$31*25%)</f>
        <v>5622.1384891888192</v>
      </c>
      <c r="I50" s="10"/>
      <c r="J50" s="10"/>
      <c r="K50" s="16" t="s">
        <v>1294</v>
      </c>
    </row>
    <row r="51" spans="2:11" x14ac:dyDescent="0.25">
      <c r="B51" s="1750"/>
      <c r="D51" s="1740"/>
      <c r="E51" s="1747"/>
      <c r="G51" s="1043" t="s">
        <v>32</v>
      </c>
      <c r="H51" s="1036">
        <v>0</v>
      </c>
      <c r="I51" s="1044"/>
      <c r="J51" s="1044"/>
      <c r="K51" s="1045"/>
    </row>
    <row r="52" spans="2:11" x14ac:dyDescent="0.25">
      <c r="B52" s="1750"/>
      <c r="D52" s="1740"/>
      <c r="E52" s="1747"/>
      <c r="G52" s="89" t="s">
        <v>33</v>
      </c>
      <c r="H52" s="132">
        <f>SUM(H53:H54)</f>
        <v>28.2</v>
      </c>
      <c r="I52" s="90"/>
      <c r="J52" s="90"/>
      <c r="K52" s="91"/>
    </row>
    <row r="53" spans="2:11" x14ac:dyDescent="0.25">
      <c r="B53" s="1750"/>
      <c r="D53" s="1740"/>
      <c r="E53" s="1747"/>
      <c r="G53" s="30" t="s">
        <v>34</v>
      </c>
      <c r="H53" s="126">
        <v>28.2</v>
      </c>
      <c r="I53" s="10"/>
      <c r="J53" s="10"/>
      <c r="K53" s="16" t="s">
        <v>1268</v>
      </c>
    </row>
    <row r="54" spans="2:11" x14ac:dyDescent="0.25">
      <c r="B54" s="1750"/>
      <c r="D54" s="1740"/>
      <c r="E54" s="1747"/>
      <c r="G54" s="30" t="s">
        <v>35</v>
      </c>
      <c r="H54" s="126">
        <v>0</v>
      </c>
      <c r="I54" s="10"/>
      <c r="J54" s="10"/>
      <c r="K54" s="16"/>
    </row>
    <row r="55" spans="2:11" ht="15.75" thickBot="1" x14ac:dyDescent="0.3">
      <c r="B55" s="1750"/>
      <c r="D55" s="1741"/>
      <c r="E55" s="1748"/>
      <c r="G55" s="1047" t="s">
        <v>36</v>
      </c>
      <c r="H55" s="1048">
        <v>642763.78523033194</v>
      </c>
      <c r="I55" s="1049"/>
      <c r="J55" s="1049"/>
      <c r="K55" s="1050" t="s">
        <v>1268</v>
      </c>
    </row>
    <row r="56" spans="2:11" ht="15" customHeight="1" x14ac:dyDescent="0.25">
      <c r="B56" s="1750"/>
      <c r="D56" s="1739">
        <v>35</v>
      </c>
      <c r="E56" s="1746" t="s">
        <v>151</v>
      </c>
      <c r="G56" s="86" t="s">
        <v>145</v>
      </c>
      <c r="H56" s="131">
        <f>SUM(H57:H58)</f>
        <v>357008.97910203272</v>
      </c>
      <c r="I56" s="87"/>
      <c r="J56" s="87"/>
      <c r="K56" s="88"/>
    </row>
    <row r="57" spans="2:11" x14ac:dyDescent="0.25">
      <c r="B57" s="1750"/>
      <c r="D57" s="1740"/>
      <c r="E57" s="1747"/>
      <c r="G57" s="30" t="s">
        <v>23</v>
      </c>
      <c r="H57" s="126">
        <f>SUM(H59,-H58)</f>
        <v>357008.97910203272</v>
      </c>
      <c r="I57" s="10"/>
      <c r="J57" s="10"/>
      <c r="K57" s="16"/>
    </row>
    <row r="58" spans="2:11" x14ac:dyDescent="0.25">
      <c r="B58" s="1750"/>
      <c r="D58" s="1740"/>
      <c r="E58" s="1747"/>
      <c r="G58" s="30" t="s">
        <v>24</v>
      </c>
      <c r="H58" s="126">
        <v>0</v>
      </c>
      <c r="I58" s="10"/>
      <c r="J58" s="10"/>
      <c r="K58" s="16"/>
    </row>
    <row r="59" spans="2:11" x14ac:dyDescent="0.25">
      <c r="B59" s="1750"/>
      <c r="D59" s="1740"/>
      <c r="E59" s="1747"/>
      <c r="G59" s="89" t="s">
        <v>146</v>
      </c>
      <c r="H59" s="132">
        <f>SUM(H60+H70)</f>
        <v>357008.97910203272</v>
      </c>
      <c r="I59" s="90"/>
      <c r="J59" s="90"/>
      <c r="K59" s="91"/>
    </row>
    <row r="60" spans="2:11" x14ac:dyDescent="0.25">
      <c r="B60" s="1750"/>
      <c r="D60" s="1740"/>
      <c r="E60" s="1747"/>
      <c r="G60" s="89" t="s">
        <v>25</v>
      </c>
      <c r="H60" s="132">
        <f>SUM(H61,H66,H69)</f>
        <v>357008.97910203272</v>
      </c>
      <c r="I60" s="90"/>
      <c r="J60" s="90"/>
      <c r="K60" s="91"/>
    </row>
    <row r="61" spans="2:11" x14ac:dyDescent="0.25">
      <c r="B61" s="1750"/>
      <c r="D61" s="1740"/>
      <c r="E61" s="1747"/>
      <c r="G61" s="89" t="s">
        <v>26</v>
      </c>
      <c r="H61" s="132">
        <f>SUM(H62:H65)</f>
        <v>357008.97910203272</v>
      </c>
      <c r="I61" s="90"/>
      <c r="J61" s="90"/>
      <c r="K61" s="91"/>
    </row>
    <row r="62" spans="2:11" x14ac:dyDescent="0.25">
      <c r="B62" s="1750"/>
      <c r="D62" s="1740"/>
      <c r="E62" s="1747"/>
      <c r="G62" s="30" t="s">
        <v>27</v>
      </c>
      <c r="H62" s="126">
        <v>0</v>
      </c>
      <c r="I62" s="10"/>
      <c r="J62" s="10"/>
      <c r="K62" s="16"/>
    </row>
    <row r="63" spans="2:11" ht="90" x14ac:dyDescent="0.25">
      <c r="B63" s="1750"/>
      <c r="D63" s="1740"/>
      <c r="E63" s="1747"/>
      <c r="G63" s="30" t="s">
        <v>28</v>
      </c>
      <c r="H63" s="747">
        <f>+(('RBM&amp;E-2017_S'!V29)*100%)</f>
        <v>151848.08304498266</v>
      </c>
      <c r="I63" s="10"/>
      <c r="J63" s="10"/>
      <c r="K63" s="16" t="s">
        <v>1311</v>
      </c>
    </row>
    <row r="64" spans="2:11" ht="75" x14ac:dyDescent="0.25">
      <c r="B64" s="1750"/>
      <c r="D64" s="1740"/>
      <c r="E64" s="1747"/>
      <c r="G64" s="30" t="s">
        <v>29</v>
      </c>
      <c r="H64" s="747">
        <f>+(('RBM&amp;E-2017_S'!V30)*100%)</f>
        <v>205160.89605705006</v>
      </c>
      <c r="I64" s="10"/>
      <c r="J64" s="10"/>
      <c r="K64" s="16" t="s">
        <v>1312</v>
      </c>
    </row>
    <row r="65" spans="2:11" x14ac:dyDescent="0.25">
      <c r="B65" s="1750"/>
      <c r="D65" s="1740"/>
      <c r="E65" s="1747"/>
      <c r="G65" s="30" t="s">
        <v>30</v>
      </c>
      <c r="H65" s="1034">
        <v>0</v>
      </c>
      <c r="I65" s="10"/>
      <c r="J65" s="10"/>
      <c r="K65" s="16"/>
    </row>
    <row r="66" spans="2:11" x14ac:dyDescent="0.25">
      <c r="B66" s="1750"/>
      <c r="D66" s="1740"/>
      <c r="E66" s="1747"/>
      <c r="G66" s="89" t="s">
        <v>31</v>
      </c>
      <c r="H66" s="1036">
        <f>SUM(H67:H68)</f>
        <v>0</v>
      </c>
      <c r="I66" s="90"/>
      <c r="J66" s="90"/>
      <c r="K66" s="91"/>
    </row>
    <row r="67" spans="2:11" x14ac:dyDescent="0.25">
      <c r="B67" s="1750"/>
      <c r="D67" s="1740"/>
      <c r="E67" s="1747"/>
      <c r="G67" s="30" t="s">
        <v>640</v>
      </c>
      <c r="H67" s="747"/>
      <c r="I67" s="10"/>
      <c r="J67" s="10"/>
      <c r="K67" s="16"/>
    </row>
    <row r="68" spans="2:11" x14ac:dyDescent="0.25">
      <c r="B68" s="1750"/>
      <c r="D68" s="1740"/>
      <c r="E68" s="1747"/>
      <c r="G68" s="30" t="s">
        <v>641</v>
      </c>
      <c r="H68" s="126"/>
      <c r="I68" s="10"/>
      <c r="J68" s="10"/>
      <c r="K68" s="16"/>
    </row>
    <row r="69" spans="2:11" x14ac:dyDescent="0.25">
      <c r="B69" s="1750"/>
      <c r="D69" s="1740"/>
      <c r="E69" s="1747"/>
      <c r="G69" s="1043" t="s">
        <v>32</v>
      </c>
      <c r="H69" s="1036">
        <v>0</v>
      </c>
      <c r="I69" s="1044"/>
      <c r="J69" s="1044"/>
      <c r="K69" s="1045"/>
    </row>
    <row r="70" spans="2:11" x14ac:dyDescent="0.25">
      <c r="B70" s="1750"/>
      <c r="D70" s="1740"/>
      <c r="E70" s="1747"/>
      <c r="G70" s="89" t="s">
        <v>33</v>
      </c>
      <c r="H70" s="132">
        <f>SUM(H71:H72)</f>
        <v>0</v>
      </c>
      <c r="I70" s="90"/>
      <c r="J70" s="90"/>
      <c r="K70" s="91"/>
    </row>
    <row r="71" spans="2:11" x14ac:dyDescent="0.25">
      <c r="B71" s="1750"/>
      <c r="D71" s="1740"/>
      <c r="E71" s="1747"/>
      <c r="G71" s="30" t="s">
        <v>34</v>
      </c>
      <c r="H71" s="126">
        <v>0</v>
      </c>
      <c r="I71" s="10"/>
      <c r="J71" s="10"/>
      <c r="K71" s="16"/>
    </row>
    <row r="72" spans="2:11" x14ac:dyDescent="0.25">
      <c r="B72" s="1750"/>
      <c r="D72" s="1740"/>
      <c r="E72" s="1747"/>
      <c r="G72" s="30" t="s">
        <v>35</v>
      </c>
      <c r="H72" s="126">
        <v>0</v>
      </c>
      <c r="I72" s="10"/>
      <c r="J72" s="10"/>
      <c r="K72" s="16"/>
    </row>
    <row r="73" spans="2:11" ht="15.75" thickBot="1" x14ac:dyDescent="0.3">
      <c r="B73" s="1750"/>
      <c r="D73" s="1741"/>
      <c r="E73" s="1748"/>
      <c r="G73" s="1047" t="s">
        <v>36</v>
      </c>
      <c r="H73" s="1048">
        <v>0</v>
      </c>
      <c r="I73" s="1049"/>
      <c r="J73" s="1049"/>
      <c r="K73" s="1050"/>
    </row>
    <row r="74" spans="2:11" ht="15" customHeight="1" x14ac:dyDescent="0.25">
      <c r="B74" s="1750"/>
      <c r="D74" s="1745" t="s">
        <v>18</v>
      </c>
      <c r="E74" s="1746" t="s">
        <v>152</v>
      </c>
      <c r="G74" s="86" t="s">
        <v>145</v>
      </c>
      <c r="H74" s="131">
        <f>SUM(H75:H76)</f>
        <v>53540.199500012386</v>
      </c>
      <c r="I74" s="87"/>
      <c r="J74" s="87"/>
      <c r="K74" s="88"/>
    </row>
    <row r="75" spans="2:11" x14ac:dyDescent="0.25">
      <c r="B75" s="1750"/>
      <c r="D75" s="1740"/>
      <c r="E75" s="1747"/>
      <c r="G75" s="30" t="s">
        <v>23</v>
      </c>
      <c r="H75" s="126">
        <v>3212.9127999999982</v>
      </c>
      <c r="I75" s="10"/>
      <c r="J75" s="10"/>
      <c r="K75" s="16" t="s">
        <v>1296</v>
      </c>
    </row>
    <row r="76" spans="2:11" ht="195" x14ac:dyDescent="0.25">
      <c r="B76" s="1750"/>
      <c r="D76" s="1740"/>
      <c r="E76" s="1747"/>
      <c r="G76" s="30" t="s">
        <v>24</v>
      </c>
      <c r="H76" s="747">
        <f>+('RBM&amp;E-2017_S'!V$35*100%)-(3212.9128)</f>
        <v>50327.286700012388</v>
      </c>
      <c r="I76" s="10"/>
      <c r="J76" s="10"/>
      <c r="K76" s="16" t="s">
        <v>1297</v>
      </c>
    </row>
    <row r="77" spans="2:11" ht="195" x14ac:dyDescent="0.25">
      <c r="B77" s="1750"/>
      <c r="D77" s="1740"/>
      <c r="E77" s="1747"/>
      <c r="G77" s="89" t="s">
        <v>146</v>
      </c>
      <c r="H77" s="132">
        <f>SUM(H78+H88)</f>
        <v>53540.199500012393</v>
      </c>
      <c r="I77" s="90"/>
      <c r="J77" s="90"/>
      <c r="K77" s="91" t="s">
        <v>1298</v>
      </c>
    </row>
    <row r="78" spans="2:11" x14ac:dyDescent="0.25">
      <c r="B78" s="1750"/>
      <c r="D78" s="1740"/>
      <c r="E78" s="1747"/>
      <c r="G78" s="89" t="s">
        <v>25</v>
      </c>
      <c r="H78" s="132">
        <f>SUM(H79,H84,H87)</f>
        <v>53540.199500012393</v>
      </c>
      <c r="I78" s="90"/>
      <c r="J78" s="90"/>
      <c r="K78" s="91"/>
    </row>
    <row r="79" spans="2:11" x14ac:dyDescent="0.25">
      <c r="B79" s="1750"/>
      <c r="D79" s="1740"/>
      <c r="E79" s="1747"/>
      <c r="G79" s="89" t="s">
        <v>26</v>
      </c>
      <c r="H79" s="132">
        <f>SUM(H80:H83)</f>
        <v>41435.195802667869</v>
      </c>
      <c r="I79" s="90"/>
      <c r="J79" s="90"/>
      <c r="K79" s="91"/>
    </row>
    <row r="80" spans="2:11" ht="30" x14ac:dyDescent="0.25">
      <c r="B80" s="1750"/>
      <c r="D80" s="1740"/>
      <c r="E80" s="1747"/>
      <c r="G80" s="30" t="s">
        <v>27</v>
      </c>
      <c r="H80" s="126">
        <v>0</v>
      </c>
      <c r="I80" s="10"/>
      <c r="J80" s="10"/>
      <c r="K80" s="16" t="s">
        <v>503</v>
      </c>
    </row>
    <row r="81" spans="2:11" ht="75" x14ac:dyDescent="0.25">
      <c r="B81" s="1750"/>
      <c r="D81" s="1740"/>
      <c r="E81" s="1747"/>
      <c r="G81" s="30" t="s">
        <v>28</v>
      </c>
      <c r="H81" s="747">
        <f>+('RBM&amp;E-2017_S'!V$35*(31092229.6/40175607.8))</f>
        <v>41435.195802667869</v>
      </c>
      <c r="I81" s="10"/>
      <c r="J81" s="10"/>
      <c r="K81" s="16" t="s">
        <v>1299</v>
      </c>
    </row>
    <row r="82" spans="2:11" x14ac:dyDescent="0.25">
      <c r="B82" s="1750"/>
      <c r="D82" s="1740"/>
      <c r="E82" s="1747"/>
      <c r="G82" s="30" t="s">
        <v>29</v>
      </c>
      <c r="H82" s="126">
        <v>0</v>
      </c>
      <c r="I82" s="10"/>
      <c r="J82" s="10"/>
      <c r="K82" s="16"/>
    </row>
    <row r="83" spans="2:11" x14ac:dyDescent="0.25">
      <c r="B83" s="1750"/>
      <c r="D83" s="1740"/>
      <c r="E83" s="1747"/>
      <c r="G83" s="30" t="s">
        <v>30</v>
      </c>
      <c r="H83" s="126">
        <v>0</v>
      </c>
      <c r="I83" s="10"/>
      <c r="J83" s="10"/>
      <c r="K83" s="16"/>
    </row>
    <row r="84" spans="2:11" ht="120" x14ac:dyDescent="0.25">
      <c r="B84" s="1750"/>
      <c r="D84" s="1740"/>
      <c r="E84" s="1747"/>
      <c r="G84" s="89" t="s">
        <v>31</v>
      </c>
      <c r="H84" s="747">
        <f>+('RBM&amp;E-2017_S'!V$35*(9083378.2/40175607.8))</f>
        <v>12105.003697344522</v>
      </c>
      <c r="I84" s="90"/>
      <c r="J84" s="90"/>
      <c r="K84" s="91" t="s">
        <v>1319</v>
      </c>
    </row>
    <row r="85" spans="2:11" x14ac:dyDescent="0.25">
      <c r="B85" s="1750"/>
      <c r="D85" s="1740"/>
      <c r="E85" s="1747"/>
      <c r="G85" s="30" t="s">
        <v>640</v>
      </c>
      <c r="H85" s="1034"/>
      <c r="I85" s="10"/>
      <c r="J85" s="10"/>
      <c r="K85" s="16" t="s">
        <v>1316</v>
      </c>
    </row>
    <row r="86" spans="2:11" x14ac:dyDescent="0.25">
      <c r="B86" s="1750"/>
      <c r="D86" s="1740"/>
      <c r="E86" s="1747"/>
      <c r="G86" s="30" t="s">
        <v>641</v>
      </c>
      <c r="H86" s="126">
        <f>SUM(H84,-H85)</f>
        <v>12105.003697344522</v>
      </c>
      <c r="I86" s="10"/>
      <c r="J86" s="10"/>
      <c r="K86" s="16" t="s">
        <v>1316</v>
      </c>
    </row>
    <row r="87" spans="2:11" x14ac:dyDescent="0.25">
      <c r="B87" s="1750"/>
      <c r="D87" s="1740"/>
      <c r="E87" s="1747"/>
      <c r="G87" s="1043" t="s">
        <v>32</v>
      </c>
      <c r="H87" s="1036">
        <v>0</v>
      </c>
      <c r="I87" s="1044"/>
      <c r="J87" s="1044"/>
      <c r="K87" s="1045"/>
    </row>
    <row r="88" spans="2:11" x14ac:dyDescent="0.25">
      <c r="B88" s="1750"/>
      <c r="D88" s="1740"/>
      <c r="E88" s="1747"/>
      <c r="G88" s="89" t="s">
        <v>33</v>
      </c>
      <c r="H88" s="132">
        <f>SUM(H89:H90)</f>
        <v>0</v>
      </c>
      <c r="I88" s="90"/>
      <c r="J88" s="90"/>
      <c r="K88" s="91"/>
    </row>
    <row r="89" spans="2:11" x14ac:dyDescent="0.25">
      <c r="B89" s="1750"/>
      <c r="D89" s="1740"/>
      <c r="E89" s="1747"/>
      <c r="G89" s="30" t="s">
        <v>34</v>
      </c>
      <c r="H89" s="126">
        <v>0</v>
      </c>
      <c r="I89" s="10"/>
      <c r="J89" s="10"/>
      <c r="K89" s="16"/>
    </row>
    <row r="90" spans="2:11" x14ac:dyDescent="0.25">
      <c r="B90" s="1750"/>
      <c r="D90" s="1740"/>
      <c r="E90" s="1747"/>
      <c r="G90" s="30" t="s">
        <v>35</v>
      </c>
      <c r="H90" s="126">
        <v>0</v>
      </c>
      <c r="I90" s="10"/>
      <c r="J90" s="10"/>
      <c r="K90" s="16"/>
    </row>
    <row r="91" spans="2:11" ht="15.75" thickBot="1" x14ac:dyDescent="0.3">
      <c r="B91" s="1750"/>
      <c r="D91" s="1741"/>
      <c r="E91" s="1748"/>
      <c r="G91" s="1047" t="s">
        <v>36</v>
      </c>
      <c r="H91" s="1048">
        <v>0</v>
      </c>
      <c r="I91" s="1049"/>
      <c r="J91" s="1049"/>
      <c r="K91" s="1050"/>
    </row>
    <row r="92" spans="2:11" ht="15" customHeight="1" x14ac:dyDescent="0.25">
      <c r="B92" s="1750"/>
      <c r="D92" s="1745"/>
      <c r="E92" s="1742" t="s">
        <v>615</v>
      </c>
      <c r="G92" s="86" t="s">
        <v>145</v>
      </c>
      <c r="H92" s="131">
        <f>SUM(H93:H94)</f>
        <v>0</v>
      </c>
      <c r="I92" s="87"/>
      <c r="J92" s="87"/>
      <c r="K92" s="88"/>
    </row>
    <row r="93" spans="2:11" x14ac:dyDescent="0.25">
      <c r="B93" s="1750"/>
      <c r="D93" s="1740"/>
      <c r="E93" s="1743"/>
      <c r="G93" s="30" t="s">
        <v>23</v>
      </c>
      <c r="H93" s="126"/>
      <c r="I93" s="10"/>
      <c r="J93" s="10"/>
      <c r="K93" s="16"/>
    </row>
    <row r="94" spans="2:11" x14ac:dyDescent="0.25">
      <c r="B94" s="1750"/>
      <c r="D94" s="1740"/>
      <c r="E94" s="1743"/>
      <c r="G94" s="30" t="s">
        <v>24</v>
      </c>
      <c r="H94" s="126"/>
      <c r="I94" s="10"/>
      <c r="J94" s="10"/>
      <c r="K94" s="16"/>
    </row>
    <row r="95" spans="2:11" x14ac:dyDescent="0.25">
      <c r="B95" s="1750"/>
      <c r="D95" s="1740"/>
      <c r="E95" s="1743"/>
      <c r="G95" s="89" t="s">
        <v>146</v>
      </c>
      <c r="H95" s="132">
        <f>SUM(H96+H106)</f>
        <v>0</v>
      </c>
      <c r="I95" s="90"/>
      <c r="J95" s="90"/>
      <c r="K95" s="91"/>
    </row>
    <row r="96" spans="2:11" x14ac:dyDescent="0.25">
      <c r="B96" s="1750"/>
      <c r="D96" s="1740"/>
      <c r="E96" s="1743"/>
      <c r="G96" s="89" t="s">
        <v>25</v>
      </c>
      <c r="H96" s="132">
        <f>SUM(H97,H102,H105)</f>
        <v>0</v>
      </c>
      <c r="I96" s="90"/>
      <c r="J96" s="90"/>
      <c r="K96" s="91"/>
    </row>
    <row r="97" spans="2:11" x14ac:dyDescent="0.25">
      <c r="B97" s="1750"/>
      <c r="D97" s="1740"/>
      <c r="E97" s="1743"/>
      <c r="G97" s="89" t="s">
        <v>26</v>
      </c>
      <c r="H97" s="132">
        <f>SUM(H98:H101)</f>
        <v>0</v>
      </c>
      <c r="I97" s="90"/>
      <c r="J97" s="90"/>
      <c r="K97" s="91"/>
    </row>
    <row r="98" spans="2:11" x14ac:dyDescent="0.25">
      <c r="B98" s="1750"/>
      <c r="D98" s="1740"/>
      <c r="E98" s="1743"/>
      <c r="G98" s="30" t="s">
        <v>27</v>
      </c>
      <c r="H98" s="126"/>
      <c r="I98" s="10"/>
      <c r="J98" s="10"/>
      <c r="K98" s="16"/>
    </row>
    <row r="99" spans="2:11" x14ac:dyDescent="0.25">
      <c r="B99" s="1750"/>
      <c r="D99" s="1740"/>
      <c r="E99" s="1743"/>
      <c r="G99" s="30" t="s">
        <v>28</v>
      </c>
      <c r="H99" s="126"/>
      <c r="I99" s="10"/>
      <c r="J99" s="10"/>
      <c r="K99" s="16"/>
    </row>
    <row r="100" spans="2:11" x14ac:dyDescent="0.25">
      <c r="B100" s="1750"/>
      <c r="D100" s="1740"/>
      <c r="E100" s="1743"/>
      <c r="G100" s="30" t="s">
        <v>29</v>
      </c>
      <c r="H100" s="126"/>
      <c r="I100" s="10"/>
      <c r="J100" s="10"/>
      <c r="K100" s="16"/>
    </row>
    <row r="101" spans="2:11" x14ac:dyDescent="0.25">
      <c r="B101" s="1750"/>
      <c r="D101" s="1740"/>
      <c r="E101" s="1743"/>
      <c r="G101" s="30" t="s">
        <v>30</v>
      </c>
      <c r="H101" s="126"/>
      <c r="I101" s="10"/>
      <c r="J101" s="10"/>
      <c r="K101" s="16"/>
    </row>
    <row r="102" spans="2:11" x14ac:dyDescent="0.25">
      <c r="B102" s="1750"/>
      <c r="D102" s="1740"/>
      <c r="E102" s="1743"/>
      <c r="G102" s="89" t="s">
        <v>31</v>
      </c>
      <c r="H102" s="1036">
        <f>SUM(H103:H104)</f>
        <v>0</v>
      </c>
      <c r="I102" s="90"/>
      <c r="J102" s="90"/>
      <c r="K102" s="91"/>
    </row>
    <row r="103" spans="2:11" x14ac:dyDescent="0.25">
      <c r="B103" s="1750"/>
      <c r="D103" s="1740"/>
      <c r="E103" s="1743"/>
      <c r="G103" s="30" t="s">
        <v>640</v>
      </c>
      <c r="H103" s="126"/>
      <c r="I103" s="10"/>
      <c r="J103" s="10"/>
      <c r="K103" s="16"/>
    </row>
    <row r="104" spans="2:11" x14ac:dyDescent="0.25">
      <c r="B104" s="1750"/>
      <c r="D104" s="1740"/>
      <c r="E104" s="1743"/>
      <c r="G104" s="30" t="s">
        <v>641</v>
      </c>
      <c r="H104" s="126"/>
      <c r="I104" s="10"/>
      <c r="J104" s="10"/>
      <c r="K104" s="16"/>
    </row>
    <row r="105" spans="2:11" x14ac:dyDescent="0.25">
      <c r="B105" s="1750"/>
      <c r="D105" s="1740"/>
      <c r="E105" s="1743"/>
      <c r="G105" s="1043" t="s">
        <v>32</v>
      </c>
      <c r="H105" s="1036"/>
      <c r="I105" s="1044"/>
      <c r="J105" s="1044"/>
      <c r="K105" s="1045"/>
    </row>
    <row r="106" spans="2:11" x14ac:dyDescent="0.25">
      <c r="B106" s="1750"/>
      <c r="D106" s="1740"/>
      <c r="E106" s="1743"/>
      <c r="G106" s="89" t="s">
        <v>33</v>
      </c>
      <c r="H106" s="132">
        <f>SUM(H107:H108)</f>
        <v>0</v>
      </c>
      <c r="I106" s="90"/>
      <c r="J106" s="90"/>
      <c r="K106" s="91"/>
    </row>
    <row r="107" spans="2:11" x14ac:dyDescent="0.25">
      <c r="B107" s="1750"/>
      <c r="D107" s="1740"/>
      <c r="E107" s="1743"/>
      <c r="G107" s="30" t="s">
        <v>34</v>
      </c>
      <c r="H107" s="126"/>
      <c r="I107" s="10"/>
      <c r="J107" s="10"/>
      <c r="K107" s="16"/>
    </row>
    <row r="108" spans="2:11" x14ac:dyDescent="0.25">
      <c r="B108" s="1750"/>
      <c r="D108" s="1740"/>
      <c r="E108" s="1743"/>
      <c r="G108" s="30" t="s">
        <v>35</v>
      </c>
      <c r="H108" s="126"/>
      <c r="I108" s="10"/>
      <c r="J108" s="10"/>
      <c r="K108" s="16"/>
    </row>
    <row r="109" spans="2:11" ht="15.75" thickBot="1" x14ac:dyDescent="0.3">
      <c r="B109" s="1750"/>
      <c r="D109" s="1741"/>
      <c r="E109" s="1744"/>
      <c r="G109" s="1047" t="s">
        <v>36</v>
      </c>
      <c r="H109" s="1048"/>
      <c r="I109" s="1049"/>
      <c r="J109" s="1049"/>
      <c r="K109" s="1050"/>
    </row>
    <row r="110" spans="2:11" ht="15" customHeight="1" x14ac:dyDescent="0.25">
      <c r="B110" s="1750"/>
      <c r="D110" s="1745"/>
      <c r="E110" s="1742" t="s">
        <v>616</v>
      </c>
      <c r="G110" s="86" t="s">
        <v>145</v>
      </c>
      <c r="H110" s="131">
        <f>SUM(H111:H112)</f>
        <v>0</v>
      </c>
      <c r="I110" s="87"/>
      <c r="J110" s="87"/>
      <c r="K110" s="88"/>
    </row>
    <row r="111" spans="2:11" x14ac:dyDescent="0.25">
      <c r="B111" s="1750"/>
      <c r="D111" s="1740"/>
      <c r="E111" s="1743"/>
      <c r="G111" s="30" t="s">
        <v>23</v>
      </c>
      <c r="H111" s="126"/>
      <c r="I111" s="10"/>
      <c r="J111" s="10"/>
      <c r="K111" s="16"/>
    </row>
    <row r="112" spans="2:11" x14ac:dyDescent="0.25">
      <c r="B112" s="1750"/>
      <c r="D112" s="1740"/>
      <c r="E112" s="1743"/>
      <c r="G112" s="30" t="s">
        <v>24</v>
      </c>
      <c r="H112" s="126"/>
      <c r="I112" s="10"/>
      <c r="J112" s="10"/>
      <c r="K112" s="16"/>
    </row>
    <row r="113" spans="2:11" x14ac:dyDescent="0.25">
      <c r="B113" s="1750"/>
      <c r="D113" s="1740"/>
      <c r="E113" s="1743"/>
      <c r="G113" s="89" t="s">
        <v>146</v>
      </c>
      <c r="H113" s="132">
        <f>SUM(H114+H124)</f>
        <v>0</v>
      </c>
      <c r="I113" s="90"/>
      <c r="J113" s="90"/>
      <c r="K113" s="91"/>
    </row>
    <row r="114" spans="2:11" x14ac:dyDescent="0.25">
      <c r="B114" s="1750"/>
      <c r="D114" s="1740"/>
      <c r="E114" s="1743"/>
      <c r="G114" s="89" t="s">
        <v>25</v>
      </c>
      <c r="H114" s="132">
        <f>SUM(H115,H120,H123)</f>
        <v>0</v>
      </c>
      <c r="I114" s="90"/>
      <c r="J114" s="90"/>
      <c r="K114" s="91"/>
    </row>
    <row r="115" spans="2:11" x14ac:dyDescent="0.25">
      <c r="B115" s="1750"/>
      <c r="D115" s="1740"/>
      <c r="E115" s="1743"/>
      <c r="G115" s="89" t="s">
        <v>26</v>
      </c>
      <c r="H115" s="132">
        <f>SUM(H116:H119)</f>
        <v>0</v>
      </c>
      <c r="I115" s="90"/>
      <c r="J115" s="90"/>
      <c r="K115" s="91"/>
    </row>
    <row r="116" spans="2:11" x14ac:dyDescent="0.25">
      <c r="B116" s="1750"/>
      <c r="D116" s="1740"/>
      <c r="E116" s="1743"/>
      <c r="G116" s="30" t="s">
        <v>27</v>
      </c>
      <c r="H116" s="126"/>
      <c r="I116" s="10"/>
      <c r="J116" s="10"/>
      <c r="K116" s="16"/>
    </row>
    <row r="117" spans="2:11" x14ac:dyDescent="0.25">
      <c r="B117" s="1750"/>
      <c r="D117" s="1740"/>
      <c r="E117" s="1743"/>
      <c r="G117" s="30" t="s">
        <v>28</v>
      </c>
      <c r="H117" s="126"/>
      <c r="I117" s="10"/>
      <c r="J117" s="10"/>
      <c r="K117" s="16"/>
    </row>
    <row r="118" spans="2:11" x14ac:dyDescent="0.25">
      <c r="B118" s="1750"/>
      <c r="D118" s="1740"/>
      <c r="E118" s="1743"/>
      <c r="G118" s="30" t="s">
        <v>29</v>
      </c>
      <c r="H118" s="126"/>
      <c r="I118" s="10"/>
      <c r="J118" s="10"/>
      <c r="K118" s="16"/>
    </row>
    <row r="119" spans="2:11" x14ac:dyDescent="0.25">
      <c r="B119" s="1750"/>
      <c r="D119" s="1740"/>
      <c r="E119" s="1743"/>
      <c r="G119" s="30" t="s">
        <v>30</v>
      </c>
      <c r="H119" s="126"/>
      <c r="I119" s="10"/>
      <c r="J119" s="10"/>
      <c r="K119" s="16"/>
    </row>
    <row r="120" spans="2:11" x14ac:dyDescent="0.25">
      <c r="B120" s="1750"/>
      <c r="D120" s="1740"/>
      <c r="E120" s="1743"/>
      <c r="G120" s="89" t="s">
        <v>31</v>
      </c>
      <c r="H120" s="1036">
        <f>SUM(H121:H122)</f>
        <v>0</v>
      </c>
      <c r="I120" s="90"/>
      <c r="J120" s="90"/>
      <c r="K120" s="91"/>
    </row>
    <row r="121" spans="2:11" x14ac:dyDescent="0.25">
      <c r="B121" s="1750"/>
      <c r="D121" s="1740"/>
      <c r="E121" s="1743"/>
      <c r="G121" s="30" t="s">
        <v>640</v>
      </c>
      <c r="H121" s="126"/>
      <c r="I121" s="10"/>
      <c r="J121" s="10"/>
      <c r="K121" s="16"/>
    </row>
    <row r="122" spans="2:11" x14ac:dyDescent="0.25">
      <c r="B122" s="1750"/>
      <c r="D122" s="1740"/>
      <c r="E122" s="1743"/>
      <c r="G122" s="30" t="s">
        <v>641</v>
      </c>
      <c r="H122" s="126"/>
      <c r="I122" s="10"/>
      <c r="J122" s="10"/>
      <c r="K122" s="16"/>
    </row>
    <row r="123" spans="2:11" x14ac:dyDescent="0.25">
      <c r="B123" s="1750"/>
      <c r="D123" s="1740"/>
      <c r="E123" s="1743"/>
      <c r="G123" s="1043" t="s">
        <v>32</v>
      </c>
      <c r="H123" s="1036"/>
      <c r="I123" s="1044"/>
      <c r="J123" s="1044"/>
      <c r="K123" s="1045"/>
    </row>
    <row r="124" spans="2:11" x14ac:dyDescent="0.25">
      <c r="B124" s="1750"/>
      <c r="D124" s="1740"/>
      <c r="E124" s="1743"/>
      <c r="G124" s="89" t="s">
        <v>33</v>
      </c>
      <c r="H124" s="132">
        <f>SUM(H125:H126)</f>
        <v>0</v>
      </c>
      <c r="I124" s="90"/>
      <c r="J124" s="90"/>
      <c r="K124" s="91"/>
    </row>
    <row r="125" spans="2:11" x14ac:dyDescent="0.25">
      <c r="B125" s="1750"/>
      <c r="D125" s="1740"/>
      <c r="E125" s="1743"/>
      <c r="G125" s="30" t="s">
        <v>34</v>
      </c>
      <c r="H125" s="126"/>
      <c r="I125" s="10"/>
      <c r="J125" s="10"/>
      <c r="K125" s="16"/>
    </row>
    <row r="126" spans="2:11" x14ac:dyDescent="0.25">
      <c r="B126" s="1750"/>
      <c r="D126" s="1740"/>
      <c r="E126" s="1743"/>
      <c r="G126" s="30" t="s">
        <v>35</v>
      </c>
      <c r="H126" s="126"/>
      <c r="I126" s="10"/>
      <c r="J126" s="10"/>
      <c r="K126" s="16"/>
    </row>
    <row r="127" spans="2:11" ht="15.75" thickBot="1" x14ac:dyDescent="0.3">
      <c r="B127" s="1750"/>
      <c r="D127" s="1741"/>
      <c r="E127" s="1744"/>
      <c r="G127" s="1047" t="s">
        <v>36</v>
      </c>
      <c r="H127" s="1048"/>
      <c r="I127" s="1049"/>
      <c r="J127" s="1049"/>
      <c r="K127" s="1050"/>
    </row>
    <row r="128" spans="2:11" ht="15" customHeight="1" x14ac:dyDescent="0.25">
      <c r="B128" s="1750"/>
      <c r="D128" s="1739"/>
      <c r="E128" s="1742" t="s">
        <v>617</v>
      </c>
      <c r="G128" s="86" t="s">
        <v>145</v>
      </c>
      <c r="H128" s="131">
        <f>SUM(H129:H130)</f>
        <v>0</v>
      </c>
      <c r="I128" s="87"/>
      <c r="J128" s="87"/>
      <c r="K128" s="88"/>
    </row>
    <row r="129" spans="2:11" x14ac:dyDescent="0.25">
      <c r="B129" s="1750"/>
      <c r="D129" s="1740"/>
      <c r="E129" s="1743"/>
      <c r="G129" s="30" t="s">
        <v>23</v>
      </c>
      <c r="H129" s="126"/>
      <c r="I129" s="10"/>
      <c r="J129" s="10"/>
      <c r="K129" s="16"/>
    </row>
    <row r="130" spans="2:11" x14ac:dyDescent="0.25">
      <c r="B130" s="1750"/>
      <c r="D130" s="1740"/>
      <c r="E130" s="1743"/>
      <c r="G130" s="30" t="s">
        <v>24</v>
      </c>
      <c r="H130" s="126">
        <v>0</v>
      </c>
      <c r="I130" s="10"/>
      <c r="J130" s="10"/>
      <c r="K130" s="16"/>
    </row>
    <row r="131" spans="2:11" x14ac:dyDescent="0.25">
      <c r="B131" s="1750"/>
      <c r="D131" s="1740"/>
      <c r="E131" s="1743"/>
      <c r="G131" s="89" t="s">
        <v>146</v>
      </c>
      <c r="H131" s="132">
        <f>SUM(H132+H142)</f>
        <v>0</v>
      </c>
      <c r="I131" s="90"/>
      <c r="J131" s="90"/>
      <c r="K131" s="91"/>
    </row>
    <row r="132" spans="2:11" x14ac:dyDescent="0.25">
      <c r="B132" s="1750"/>
      <c r="D132" s="1740"/>
      <c r="E132" s="1743"/>
      <c r="G132" s="89" t="s">
        <v>25</v>
      </c>
      <c r="H132" s="132">
        <f>SUM(H133,H138,H141)</f>
        <v>0</v>
      </c>
      <c r="I132" s="90"/>
      <c r="J132" s="90"/>
      <c r="K132" s="91"/>
    </row>
    <row r="133" spans="2:11" x14ac:dyDescent="0.25">
      <c r="B133" s="1750"/>
      <c r="D133" s="1740"/>
      <c r="E133" s="1743"/>
      <c r="G133" s="89" t="s">
        <v>26</v>
      </c>
      <c r="H133" s="132">
        <f>SUM(H134:H137)</f>
        <v>0</v>
      </c>
      <c r="I133" s="90"/>
      <c r="J133" s="90"/>
      <c r="K133" s="91"/>
    </row>
    <row r="134" spans="2:11" x14ac:dyDescent="0.25">
      <c r="B134" s="1750"/>
      <c r="D134" s="1740"/>
      <c r="E134" s="1743"/>
      <c r="G134" s="30" t="s">
        <v>27</v>
      </c>
      <c r="H134" s="126"/>
      <c r="I134" s="10"/>
      <c r="J134" s="10"/>
      <c r="K134" s="16"/>
    </row>
    <row r="135" spans="2:11" x14ac:dyDescent="0.25">
      <c r="B135" s="1750"/>
      <c r="D135" s="1740"/>
      <c r="E135" s="1743"/>
      <c r="G135" s="30" t="s">
        <v>28</v>
      </c>
      <c r="H135" s="126"/>
      <c r="I135" s="10"/>
      <c r="J135" s="10"/>
      <c r="K135" s="16"/>
    </row>
    <row r="136" spans="2:11" x14ac:dyDescent="0.25">
      <c r="B136" s="1750"/>
      <c r="D136" s="1740"/>
      <c r="E136" s="1743"/>
      <c r="G136" s="30" t="s">
        <v>29</v>
      </c>
      <c r="H136" s="126"/>
      <c r="I136" s="10"/>
      <c r="J136" s="10"/>
      <c r="K136" s="16"/>
    </row>
    <row r="137" spans="2:11" x14ac:dyDescent="0.25">
      <c r="B137" s="1750"/>
      <c r="D137" s="1740"/>
      <c r="E137" s="1743"/>
      <c r="G137" s="30" t="s">
        <v>30</v>
      </c>
      <c r="H137" s="126"/>
      <c r="I137" s="10"/>
      <c r="J137" s="10"/>
      <c r="K137" s="16"/>
    </row>
    <row r="138" spans="2:11" x14ac:dyDescent="0.25">
      <c r="B138" s="1750"/>
      <c r="D138" s="1740"/>
      <c r="E138" s="1743"/>
      <c r="G138" s="89" t="s">
        <v>31</v>
      </c>
      <c r="H138" s="1036">
        <f>SUM(H139:H140)</f>
        <v>0</v>
      </c>
      <c r="I138" s="90"/>
      <c r="J138" s="90"/>
      <c r="K138" s="91"/>
    </row>
    <row r="139" spans="2:11" x14ac:dyDescent="0.25">
      <c r="B139" s="1750"/>
      <c r="D139" s="1740"/>
      <c r="E139" s="1743"/>
      <c r="G139" s="30" t="s">
        <v>640</v>
      </c>
      <c r="H139" s="126"/>
      <c r="I139" s="10"/>
      <c r="J139" s="10"/>
      <c r="K139" s="16"/>
    </row>
    <row r="140" spans="2:11" x14ac:dyDescent="0.25">
      <c r="B140" s="1750"/>
      <c r="D140" s="1740"/>
      <c r="E140" s="1743"/>
      <c r="G140" s="30" t="s">
        <v>641</v>
      </c>
      <c r="H140" s="126"/>
      <c r="I140" s="10"/>
      <c r="J140" s="10"/>
      <c r="K140" s="16"/>
    </row>
    <row r="141" spans="2:11" x14ac:dyDescent="0.25">
      <c r="B141" s="1750"/>
      <c r="D141" s="1740"/>
      <c r="E141" s="1743"/>
      <c r="G141" s="1043" t="s">
        <v>32</v>
      </c>
      <c r="H141" s="1036">
        <v>0</v>
      </c>
      <c r="I141" s="1044"/>
      <c r="J141" s="1044"/>
      <c r="K141" s="1045"/>
    </row>
    <row r="142" spans="2:11" x14ac:dyDescent="0.25">
      <c r="B142" s="1750"/>
      <c r="D142" s="1740"/>
      <c r="E142" s="1743"/>
      <c r="G142" s="89" t="s">
        <v>33</v>
      </c>
      <c r="H142" s="132">
        <f>SUM(H143:H144)</f>
        <v>0</v>
      </c>
      <c r="I142" s="90"/>
      <c r="J142" s="90"/>
      <c r="K142" s="91"/>
    </row>
    <row r="143" spans="2:11" x14ac:dyDescent="0.25">
      <c r="B143" s="1750"/>
      <c r="D143" s="1740"/>
      <c r="E143" s="1743"/>
      <c r="G143" s="30" t="s">
        <v>34</v>
      </c>
      <c r="H143" s="126"/>
      <c r="I143" s="10"/>
      <c r="J143" s="10"/>
      <c r="K143" s="16"/>
    </row>
    <row r="144" spans="2:11" x14ac:dyDescent="0.25">
      <c r="B144" s="1750"/>
      <c r="D144" s="1740"/>
      <c r="E144" s="1743"/>
      <c r="G144" s="30" t="s">
        <v>35</v>
      </c>
      <c r="H144" s="126"/>
      <c r="I144" s="10"/>
      <c r="J144" s="10"/>
      <c r="K144" s="16"/>
    </row>
    <row r="145" spans="2:11" ht="15.75" thickBot="1" x14ac:dyDescent="0.3">
      <c r="B145" s="1750"/>
      <c r="D145" s="1741"/>
      <c r="E145" s="1744"/>
      <c r="G145" s="1047" t="s">
        <v>36</v>
      </c>
      <c r="H145" s="1048"/>
      <c r="I145" s="1049"/>
      <c r="J145" s="1049"/>
      <c r="K145" s="1050"/>
    </row>
    <row r="146" spans="2:11" ht="15" customHeight="1" x14ac:dyDescent="0.25">
      <c r="B146" s="1750"/>
      <c r="D146" s="1745" t="s">
        <v>19</v>
      </c>
      <c r="E146" s="1746" t="s">
        <v>153</v>
      </c>
      <c r="G146" s="86" t="s">
        <v>145</v>
      </c>
      <c r="H146" s="131">
        <f>SUM(H147:H148)</f>
        <v>0</v>
      </c>
      <c r="I146" s="87"/>
      <c r="J146" s="87"/>
      <c r="K146" s="88"/>
    </row>
    <row r="147" spans="2:11" x14ac:dyDescent="0.25">
      <c r="B147" s="1750"/>
      <c r="D147" s="1740"/>
      <c r="E147" s="1747"/>
      <c r="G147" s="30" t="s">
        <v>23</v>
      </c>
      <c r="H147" s="126">
        <v>0</v>
      </c>
      <c r="I147" s="10"/>
      <c r="J147" s="10"/>
      <c r="K147" s="16"/>
    </row>
    <row r="148" spans="2:11" x14ac:dyDescent="0.25">
      <c r="B148" s="1750"/>
      <c r="D148" s="1740"/>
      <c r="E148" s="1747"/>
      <c r="G148" s="30" t="s">
        <v>24</v>
      </c>
      <c r="H148" s="126">
        <v>0</v>
      </c>
      <c r="I148" s="10"/>
      <c r="J148" s="10"/>
      <c r="K148" s="16"/>
    </row>
    <row r="149" spans="2:11" x14ac:dyDescent="0.25">
      <c r="B149" s="1750"/>
      <c r="D149" s="1740"/>
      <c r="E149" s="1747"/>
      <c r="G149" s="89" t="s">
        <v>146</v>
      </c>
      <c r="H149" s="132">
        <f>SUM(H150+H160)</f>
        <v>0</v>
      </c>
      <c r="I149" s="90"/>
      <c r="J149" s="90"/>
      <c r="K149" s="91"/>
    </row>
    <row r="150" spans="2:11" x14ac:dyDescent="0.25">
      <c r="B150" s="1750"/>
      <c r="D150" s="1740"/>
      <c r="E150" s="1747"/>
      <c r="G150" s="89" t="s">
        <v>25</v>
      </c>
      <c r="H150" s="132">
        <f>SUM(H151,H156,H159)</f>
        <v>0</v>
      </c>
      <c r="I150" s="90"/>
      <c r="J150" s="90"/>
      <c r="K150" s="91"/>
    </row>
    <row r="151" spans="2:11" x14ac:dyDescent="0.25">
      <c r="B151" s="1750"/>
      <c r="D151" s="1740"/>
      <c r="E151" s="1747"/>
      <c r="G151" s="89" t="s">
        <v>26</v>
      </c>
      <c r="H151" s="132">
        <f>SUM(H152:H155)</f>
        <v>0</v>
      </c>
      <c r="I151" s="90"/>
      <c r="J151" s="90"/>
      <c r="K151" s="91"/>
    </row>
    <row r="152" spans="2:11" x14ac:dyDescent="0.25">
      <c r="B152" s="1750"/>
      <c r="D152" s="1740"/>
      <c r="E152" s="1747"/>
      <c r="G152" s="30" t="s">
        <v>27</v>
      </c>
      <c r="H152" s="126">
        <v>0</v>
      </c>
      <c r="I152" s="10"/>
      <c r="J152" s="10"/>
      <c r="K152" s="16"/>
    </row>
    <row r="153" spans="2:11" x14ac:dyDescent="0.25">
      <c r="B153" s="1750"/>
      <c r="D153" s="1740"/>
      <c r="E153" s="1747"/>
      <c r="G153" s="30" t="s">
        <v>28</v>
      </c>
      <c r="H153" s="126">
        <v>0</v>
      </c>
      <c r="I153" s="10"/>
      <c r="J153" s="10"/>
      <c r="K153" s="16"/>
    </row>
    <row r="154" spans="2:11" x14ac:dyDescent="0.25">
      <c r="B154" s="1750"/>
      <c r="D154" s="1740"/>
      <c r="E154" s="1747"/>
      <c r="G154" s="30" t="s">
        <v>29</v>
      </c>
      <c r="H154" s="126">
        <v>0</v>
      </c>
      <c r="I154" s="10"/>
      <c r="J154" s="10"/>
      <c r="K154" s="16"/>
    </row>
    <row r="155" spans="2:11" x14ac:dyDescent="0.25">
      <c r="B155" s="1750"/>
      <c r="D155" s="1740"/>
      <c r="E155" s="1747"/>
      <c r="G155" s="30" t="s">
        <v>30</v>
      </c>
      <c r="H155" s="126">
        <v>0</v>
      </c>
      <c r="I155" s="10"/>
      <c r="J155" s="10"/>
      <c r="K155" s="16"/>
    </row>
    <row r="156" spans="2:11" x14ac:dyDescent="0.25">
      <c r="B156" s="1750"/>
      <c r="D156" s="1740"/>
      <c r="E156" s="1747"/>
      <c r="G156" s="89" t="s">
        <v>31</v>
      </c>
      <c r="H156" s="1036">
        <f>SUM(H157:H158)</f>
        <v>0</v>
      </c>
      <c r="I156" s="90"/>
      <c r="J156" s="90"/>
      <c r="K156" s="91"/>
    </row>
    <row r="157" spans="2:11" x14ac:dyDescent="0.25">
      <c r="B157" s="1750"/>
      <c r="D157" s="1740"/>
      <c r="E157" s="1747"/>
      <c r="G157" s="30" t="s">
        <v>640</v>
      </c>
      <c r="H157" s="126"/>
      <c r="I157" s="10"/>
      <c r="J157" s="10"/>
      <c r="K157" s="16"/>
    </row>
    <row r="158" spans="2:11" x14ac:dyDescent="0.25">
      <c r="B158" s="1750"/>
      <c r="D158" s="1740"/>
      <c r="E158" s="1747"/>
      <c r="G158" s="30" t="s">
        <v>641</v>
      </c>
      <c r="H158" s="126"/>
      <c r="I158" s="10"/>
      <c r="J158" s="10"/>
      <c r="K158" s="16"/>
    </row>
    <row r="159" spans="2:11" x14ac:dyDescent="0.25">
      <c r="B159" s="1750"/>
      <c r="D159" s="1740"/>
      <c r="E159" s="1747"/>
      <c r="G159" s="1043" t="s">
        <v>32</v>
      </c>
      <c r="H159" s="1036">
        <v>0</v>
      </c>
      <c r="I159" s="1044"/>
      <c r="J159" s="1044"/>
      <c r="K159" s="1045"/>
    </row>
    <row r="160" spans="2:11" x14ac:dyDescent="0.25">
      <c r="B160" s="1750"/>
      <c r="D160" s="1740"/>
      <c r="E160" s="1747"/>
      <c r="G160" s="89" t="s">
        <v>33</v>
      </c>
      <c r="H160" s="132">
        <f>SUM(H161:H162)</f>
        <v>0</v>
      </c>
      <c r="I160" s="90"/>
      <c r="J160" s="90"/>
      <c r="K160" s="91"/>
    </row>
    <row r="161" spans="2:11" x14ac:dyDescent="0.25">
      <c r="B161" s="1750"/>
      <c r="D161" s="1740"/>
      <c r="E161" s="1747"/>
      <c r="G161" s="30" t="s">
        <v>34</v>
      </c>
      <c r="H161" s="126">
        <v>0</v>
      </c>
      <c r="I161" s="10"/>
      <c r="J161" s="10"/>
      <c r="K161" s="16"/>
    </row>
    <row r="162" spans="2:11" x14ac:dyDescent="0.25">
      <c r="B162" s="1750"/>
      <c r="D162" s="1740"/>
      <c r="E162" s="1747"/>
      <c r="G162" s="30" t="s">
        <v>35</v>
      </c>
      <c r="H162" s="126">
        <v>0</v>
      </c>
      <c r="I162" s="10"/>
      <c r="J162" s="10"/>
      <c r="K162" s="16"/>
    </row>
    <row r="163" spans="2:11" ht="15.75" thickBot="1" x14ac:dyDescent="0.3">
      <c r="B163" s="1750"/>
      <c r="D163" s="1741"/>
      <c r="E163" s="1748"/>
      <c r="G163" s="1047" t="s">
        <v>36</v>
      </c>
      <c r="H163" s="1048">
        <v>16672.61</v>
      </c>
      <c r="I163" s="1049"/>
      <c r="J163" s="1049"/>
      <c r="K163" s="1050" t="s">
        <v>1317</v>
      </c>
    </row>
    <row r="164" spans="2:11" ht="15" customHeight="1" x14ac:dyDescent="0.25">
      <c r="B164" s="1750"/>
      <c r="D164" s="1745"/>
      <c r="E164" s="1742" t="s">
        <v>639</v>
      </c>
      <c r="G164" s="86" t="s">
        <v>145</v>
      </c>
      <c r="H164" s="131">
        <f>SUM(H165:H166)</f>
        <v>0</v>
      </c>
      <c r="I164" s="87"/>
      <c r="J164" s="87"/>
      <c r="K164" s="88"/>
    </row>
    <row r="165" spans="2:11" x14ac:dyDescent="0.25">
      <c r="B165" s="1750"/>
      <c r="D165" s="1740"/>
      <c r="E165" s="1743"/>
      <c r="G165" s="30" t="s">
        <v>23</v>
      </c>
      <c r="H165" s="126"/>
      <c r="I165" s="10"/>
      <c r="J165" s="10"/>
      <c r="K165" s="16"/>
    </row>
    <row r="166" spans="2:11" x14ac:dyDescent="0.25">
      <c r="B166" s="1750"/>
      <c r="D166" s="1740"/>
      <c r="E166" s="1743"/>
      <c r="G166" s="30" t="s">
        <v>24</v>
      </c>
      <c r="H166" s="126"/>
      <c r="I166" s="10"/>
      <c r="J166" s="10"/>
      <c r="K166" s="16"/>
    </row>
    <row r="167" spans="2:11" x14ac:dyDescent="0.25">
      <c r="B167" s="1750"/>
      <c r="D167" s="1740"/>
      <c r="E167" s="1743"/>
      <c r="G167" s="89" t="s">
        <v>146</v>
      </c>
      <c r="H167" s="132">
        <f>SUM(H168+H178)</f>
        <v>0</v>
      </c>
      <c r="I167" s="90"/>
      <c r="J167" s="90"/>
      <c r="K167" s="91"/>
    </row>
    <row r="168" spans="2:11" x14ac:dyDescent="0.25">
      <c r="B168" s="1750"/>
      <c r="D168" s="1740"/>
      <c r="E168" s="1743"/>
      <c r="G168" s="89" t="s">
        <v>25</v>
      </c>
      <c r="H168" s="132">
        <f>SUM(H169,H174,H177)</f>
        <v>0</v>
      </c>
      <c r="I168" s="90"/>
      <c r="J168" s="90"/>
      <c r="K168" s="91"/>
    </row>
    <row r="169" spans="2:11" x14ac:dyDescent="0.25">
      <c r="B169" s="1750"/>
      <c r="D169" s="1740"/>
      <c r="E169" s="1743"/>
      <c r="G169" s="89" t="s">
        <v>26</v>
      </c>
      <c r="H169" s="132">
        <f>SUM(H170:H173)</f>
        <v>0</v>
      </c>
      <c r="I169" s="90"/>
      <c r="J169" s="90"/>
      <c r="K169" s="91"/>
    </row>
    <row r="170" spans="2:11" x14ac:dyDescent="0.25">
      <c r="B170" s="1750"/>
      <c r="D170" s="1740"/>
      <c r="E170" s="1743"/>
      <c r="G170" s="30" t="s">
        <v>27</v>
      </c>
      <c r="H170" s="126"/>
      <c r="I170" s="10"/>
      <c r="J170" s="10"/>
      <c r="K170" s="16"/>
    </row>
    <row r="171" spans="2:11" x14ac:dyDescent="0.25">
      <c r="B171" s="1750"/>
      <c r="D171" s="1740"/>
      <c r="E171" s="1743"/>
      <c r="G171" s="30" t="s">
        <v>28</v>
      </c>
      <c r="H171" s="126"/>
      <c r="I171" s="10"/>
      <c r="J171" s="10"/>
      <c r="K171" s="16"/>
    </row>
    <row r="172" spans="2:11" x14ac:dyDescent="0.25">
      <c r="B172" s="1750"/>
      <c r="D172" s="1740"/>
      <c r="E172" s="1743"/>
      <c r="G172" s="30" t="s">
        <v>29</v>
      </c>
      <c r="H172" s="126"/>
      <c r="I172" s="10"/>
      <c r="J172" s="10"/>
      <c r="K172" s="16"/>
    </row>
    <row r="173" spans="2:11" x14ac:dyDescent="0.25">
      <c r="B173" s="1750"/>
      <c r="D173" s="1740"/>
      <c r="E173" s="1743"/>
      <c r="G173" s="30" t="s">
        <v>30</v>
      </c>
      <c r="H173" s="126"/>
      <c r="I173" s="10"/>
      <c r="J173" s="10"/>
      <c r="K173" s="16"/>
    </row>
    <row r="174" spans="2:11" x14ac:dyDescent="0.25">
      <c r="B174" s="1750"/>
      <c r="D174" s="1740"/>
      <c r="E174" s="1743"/>
      <c r="G174" s="89" t="s">
        <v>31</v>
      </c>
      <c r="H174" s="1036">
        <f>SUM(H175:H176)</f>
        <v>0</v>
      </c>
      <c r="I174" s="90"/>
      <c r="J174" s="90"/>
      <c r="K174" s="91"/>
    </row>
    <row r="175" spans="2:11" x14ac:dyDescent="0.25">
      <c r="B175" s="1750"/>
      <c r="D175" s="1740"/>
      <c r="E175" s="1743"/>
      <c r="G175" s="30" t="s">
        <v>640</v>
      </c>
      <c r="H175" s="126"/>
      <c r="I175" s="10"/>
      <c r="J175" s="10"/>
      <c r="K175" s="16"/>
    </row>
    <row r="176" spans="2:11" x14ac:dyDescent="0.25">
      <c r="B176" s="1750"/>
      <c r="D176" s="1740"/>
      <c r="E176" s="1743"/>
      <c r="G176" s="30" t="s">
        <v>641</v>
      </c>
      <c r="H176" s="126"/>
      <c r="I176" s="10"/>
      <c r="J176" s="10"/>
      <c r="K176" s="16"/>
    </row>
    <row r="177" spans="2:11" x14ac:dyDescent="0.25">
      <c r="B177" s="1750"/>
      <c r="D177" s="1740"/>
      <c r="E177" s="1743"/>
      <c r="G177" s="1043" t="s">
        <v>32</v>
      </c>
      <c r="H177" s="1036"/>
      <c r="I177" s="1044"/>
      <c r="J177" s="1044"/>
      <c r="K177" s="1045"/>
    </row>
    <row r="178" spans="2:11" x14ac:dyDescent="0.25">
      <c r="B178" s="1750"/>
      <c r="D178" s="1740"/>
      <c r="E178" s="1743"/>
      <c r="G178" s="89" t="s">
        <v>33</v>
      </c>
      <c r="H178" s="132">
        <f>SUM(H179:H180)</f>
        <v>0</v>
      </c>
      <c r="I178" s="90"/>
      <c r="J178" s="90"/>
      <c r="K178" s="91"/>
    </row>
    <row r="179" spans="2:11" x14ac:dyDescent="0.25">
      <c r="B179" s="1750"/>
      <c r="D179" s="1740"/>
      <c r="E179" s="1743"/>
      <c r="G179" s="30" t="s">
        <v>34</v>
      </c>
      <c r="H179" s="126"/>
      <c r="I179" s="10"/>
      <c r="J179" s="10"/>
      <c r="K179" s="16"/>
    </row>
    <row r="180" spans="2:11" x14ac:dyDescent="0.25">
      <c r="B180" s="1750"/>
      <c r="D180" s="1740"/>
      <c r="E180" s="1743"/>
      <c r="G180" s="30" t="s">
        <v>35</v>
      </c>
      <c r="H180" s="126"/>
      <c r="I180" s="10"/>
      <c r="J180" s="10"/>
      <c r="K180" s="16"/>
    </row>
    <row r="181" spans="2:11" ht="15.75" thickBot="1" x14ac:dyDescent="0.3">
      <c r="B181" s="1750"/>
      <c r="D181" s="1741"/>
      <c r="E181" s="1744"/>
      <c r="G181" s="1047" t="s">
        <v>36</v>
      </c>
      <c r="H181" s="1048"/>
      <c r="I181" s="1049"/>
      <c r="J181" s="1049"/>
      <c r="K181" s="1050"/>
    </row>
    <row r="182" spans="2:11" ht="15" customHeight="1" x14ac:dyDescent="0.25">
      <c r="B182" s="1750"/>
      <c r="D182" s="1745" t="s">
        <v>20</v>
      </c>
      <c r="E182" s="1746" t="s">
        <v>154</v>
      </c>
      <c r="G182" s="86" t="s">
        <v>145</v>
      </c>
      <c r="H182" s="131">
        <f>SUM(H183:H184)</f>
        <v>0.06</v>
      </c>
      <c r="I182" s="87"/>
      <c r="J182" s="87"/>
      <c r="K182" s="88"/>
    </row>
    <row r="183" spans="2:11" x14ac:dyDescent="0.25">
      <c r="B183" s="1750"/>
      <c r="D183" s="1740"/>
      <c r="E183" s="1747"/>
      <c r="G183" s="30" t="s">
        <v>23</v>
      </c>
      <c r="H183" s="126">
        <v>0.06</v>
      </c>
      <c r="I183" s="10"/>
      <c r="J183" s="10"/>
      <c r="K183" s="16"/>
    </row>
    <row r="184" spans="2:11" x14ac:dyDescent="0.25">
      <c r="B184" s="1750"/>
      <c r="D184" s="1740"/>
      <c r="E184" s="1747"/>
      <c r="G184" s="30" t="s">
        <v>24</v>
      </c>
      <c r="H184" s="126">
        <v>0</v>
      </c>
      <c r="I184" s="10"/>
      <c r="J184" s="10"/>
      <c r="K184" s="16"/>
    </row>
    <row r="185" spans="2:11" x14ac:dyDescent="0.25">
      <c r="B185" s="1750"/>
      <c r="D185" s="1740"/>
      <c r="E185" s="1747"/>
      <c r="G185" s="89" t="s">
        <v>146</v>
      </c>
      <c r="H185" s="132">
        <f>SUM(H186+H196)</f>
        <v>0.06</v>
      </c>
      <c r="I185" s="90"/>
      <c r="J185" s="90"/>
      <c r="K185" s="91"/>
    </row>
    <row r="186" spans="2:11" x14ac:dyDescent="0.25">
      <c r="B186" s="1750"/>
      <c r="D186" s="1740"/>
      <c r="E186" s="1747"/>
      <c r="G186" s="89" t="s">
        <v>25</v>
      </c>
      <c r="H186" s="132">
        <f>SUM(H187,H192,H195)</f>
        <v>0</v>
      </c>
      <c r="I186" s="90"/>
      <c r="J186" s="90"/>
      <c r="K186" s="91"/>
    </row>
    <row r="187" spans="2:11" x14ac:dyDescent="0.25">
      <c r="B187" s="1750"/>
      <c r="D187" s="1740"/>
      <c r="E187" s="1747"/>
      <c r="G187" s="89" t="s">
        <v>26</v>
      </c>
      <c r="H187" s="132">
        <f>SUM(H188:H191)</f>
        <v>0</v>
      </c>
      <c r="I187" s="90"/>
      <c r="J187" s="90"/>
      <c r="K187" s="91"/>
    </row>
    <row r="188" spans="2:11" x14ac:dyDescent="0.25">
      <c r="B188" s="1750"/>
      <c r="D188" s="1740"/>
      <c r="E188" s="1747"/>
      <c r="G188" s="30" t="s">
        <v>27</v>
      </c>
      <c r="H188" s="126">
        <v>0</v>
      </c>
      <c r="I188" s="10"/>
      <c r="J188" s="10"/>
      <c r="K188" s="16"/>
    </row>
    <row r="189" spans="2:11" x14ac:dyDescent="0.25">
      <c r="B189" s="1750"/>
      <c r="D189" s="1740"/>
      <c r="E189" s="1747"/>
      <c r="G189" s="30" t="s">
        <v>28</v>
      </c>
      <c r="H189" s="126">
        <v>0</v>
      </c>
      <c r="I189" s="10"/>
      <c r="J189" s="10"/>
      <c r="K189" s="16"/>
    </row>
    <row r="190" spans="2:11" x14ac:dyDescent="0.25">
      <c r="B190" s="1750"/>
      <c r="D190" s="1740"/>
      <c r="E190" s="1747"/>
      <c r="G190" s="30" t="s">
        <v>29</v>
      </c>
      <c r="H190" s="126">
        <v>0</v>
      </c>
      <c r="I190" s="10"/>
      <c r="J190" s="10"/>
      <c r="K190" s="16"/>
    </row>
    <row r="191" spans="2:11" x14ac:dyDescent="0.25">
      <c r="B191" s="1750"/>
      <c r="D191" s="1740"/>
      <c r="E191" s="1747"/>
      <c r="G191" s="30" t="s">
        <v>30</v>
      </c>
      <c r="H191" s="126">
        <v>0</v>
      </c>
      <c r="I191" s="10"/>
      <c r="J191" s="10"/>
      <c r="K191" s="16"/>
    </row>
    <row r="192" spans="2:11" x14ac:dyDescent="0.25">
      <c r="B192" s="1750"/>
      <c r="D192" s="1740"/>
      <c r="E192" s="1747"/>
      <c r="G192" s="89" t="s">
        <v>31</v>
      </c>
      <c r="H192" s="1036">
        <f>SUM(H193:H194)</f>
        <v>0</v>
      </c>
      <c r="I192" s="90"/>
      <c r="J192" s="90"/>
      <c r="K192" s="91"/>
    </row>
    <row r="193" spans="2:11" x14ac:dyDescent="0.25">
      <c r="B193" s="1750"/>
      <c r="D193" s="1740"/>
      <c r="E193" s="1747"/>
      <c r="G193" s="30" t="s">
        <v>640</v>
      </c>
      <c r="H193" s="126"/>
      <c r="I193" s="10"/>
      <c r="J193" s="10"/>
      <c r="K193" s="16"/>
    </row>
    <row r="194" spans="2:11" x14ac:dyDescent="0.25">
      <c r="B194" s="1750"/>
      <c r="D194" s="1740"/>
      <c r="E194" s="1747"/>
      <c r="G194" s="30" t="s">
        <v>641</v>
      </c>
      <c r="H194" s="126"/>
      <c r="I194" s="10"/>
      <c r="J194" s="10"/>
      <c r="K194" s="16"/>
    </row>
    <row r="195" spans="2:11" x14ac:dyDescent="0.25">
      <c r="B195" s="1750"/>
      <c r="D195" s="1740"/>
      <c r="E195" s="1747"/>
      <c r="G195" s="1043" t="s">
        <v>32</v>
      </c>
      <c r="H195" s="1036">
        <v>0</v>
      </c>
      <c r="I195" s="1044"/>
      <c r="J195" s="1044"/>
      <c r="K195" s="1045"/>
    </row>
    <row r="196" spans="2:11" x14ac:dyDescent="0.25">
      <c r="B196" s="1750"/>
      <c r="D196" s="1740"/>
      <c r="E196" s="1747"/>
      <c r="G196" s="89" t="s">
        <v>33</v>
      </c>
      <c r="H196" s="132">
        <f>SUM(H197:H198)</f>
        <v>0.06</v>
      </c>
      <c r="I196" s="90"/>
      <c r="J196" s="90"/>
      <c r="K196" s="91"/>
    </row>
    <row r="197" spans="2:11" x14ac:dyDescent="0.25">
      <c r="B197" s="1750"/>
      <c r="D197" s="1740"/>
      <c r="E197" s="1747"/>
      <c r="G197" s="30" t="s">
        <v>34</v>
      </c>
      <c r="H197" s="126">
        <v>0.06</v>
      </c>
      <c r="I197" s="10"/>
      <c r="J197" s="10"/>
      <c r="K197" s="16"/>
    </row>
    <row r="198" spans="2:11" x14ac:dyDescent="0.25">
      <c r="B198" s="1750"/>
      <c r="D198" s="1740"/>
      <c r="E198" s="1747"/>
      <c r="G198" s="30" t="s">
        <v>35</v>
      </c>
      <c r="H198" s="126">
        <v>0</v>
      </c>
      <c r="I198" s="10"/>
      <c r="J198" s="10"/>
      <c r="K198" s="16"/>
    </row>
    <row r="199" spans="2:11" ht="15.75" thickBot="1" x14ac:dyDescent="0.3">
      <c r="B199" s="1750"/>
      <c r="D199" s="1741"/>
      <c r="E199" s="1748"/>
      <c r="G199" s="1047" t="s">
        <v>36</v>
      </c>
      <c r="H199" s="1048">
        <v>76.030545405347283</v>
      </c>
      <c r="I199" s="1049"/>
      <c r="J199" s="1049"/>
      <c r="K199" s="1050"/>
    </row>
    <row r="200" spans="2:11" ht="15" customHeight="1" x14ac:dyDescent="0.25">
      <c r="B200" s="1750"/>
      <c r="D200" s="1745"/>
      <c r="E200" s="1742" t="s">
        <v>619</v>
      </c>
      <c r="G200" s="86" t="s">
        <v>145</v>
      </c>
      <c r="H200" s="131">
        <f>SUM(H201:H202)</f>
        <v>0</v>
      </c>
      <c r="I200" s="87"/>
      <c r="J200" s="87"/>
      <c r="K200" s="88"/>
    </row>
    <row r="201" spans="2:11" x14ac:dyDescent="0.25">
      <c r="B201" s="1750"/>
      <c r="D201" s="1740"/>
      <c r="E201" s="1743"/>
      <c r="G201" s="30" t="s">
        <v>23</v>
      </c>
      <c r="H201" s="126"/>
      <c r="I201" s="10"/>
      <c r="J201" s="10"/>
      <c r="K201" s="16"/>
    </row>
    <row r="202" spans="2:11" x14ac:dyDescent="0.25">
      <c r="B202" s="1750"/>
      <c r="D202" s="1740"/>
      <c r="E202" s="1743"/>
      <c r="G202" s="30" t="s">
        <v>24</v>
      </c>
      <c r="H202" s="126"/>
      <c r="I202" s="10"/>
      <c r="J202" s="10"/>
      <c r="K202" s="16"/>
    </row>
    <row r="203" spans="2:11" x14ac:dyDescent="0.25">
      <c r="B203" s="1750"/>
      <c r="D203" s="1740"/>
      <c r="E203" s="1743"/>
      <c r="G203" s="89" t="s">
        <v>146</v>
      </c>
      <c r="H203" s="132">
        <f>SUM(H204+H214)</f>
        <v>0</v>
      </c>
      <c r="I203" s="90"/>
      <c r="J203" s="90"/>
      <c r="K203" s="91"/>
    </row>
    <row r="204" spans="2:11" x14ac:dyDescent="0.25">
      <c r="B204" s="1750"/>
      <c r="D204" s="1740"/>
      <c r="E204" s="1743"/>
      <c r="G204" s="89" t="s">
        <v>25</v>
      </c>
      <c r="H204" s="132">
        <f>SUM(H205,H210,H213)</f>
        <v>0</v>
      </c>
      <c r="I204" s="90"/>
      <c r="J204" s="90"/>
      <c r="K204" s="91"/>
    </row>
    <row r="205" spans="2:11" x14ac:dyDescent="0.25">
      <c r="B205" s="1750"/>
      <c r="D205" s="1740"/>
      <c r="E205" s="1743"/>
      <c r="G205" s="89" t="s">
        <v>26</v>
      </c>
      <c r="H205" s="132">
        <f>SUM(H206:H209)</f>
        <v>0</v>
      </c>
      <c r="I205" s="90"/>
      <c r="J205" s="90"/>
      <c r="K205" s="91"/>
    </row>
    <row r="206" spans="2:11" x14ac:dyDescent="0.25">
      <c r="B206" s="1750"/>
      <c r="D206" s="1740"/>
      <c r="E206" s="1743"/>
      <c r="G206" s="30" t="s">
        <v>27</v>
      </c>
      <c r="H206" s="126"/>
      <c r="I206" s="10"/>
      <c r="J206" s="10"/>
      <c r="K206" s="16"/>
    </row>
    <row r="207" spans="2:11" x14ac:dyDescent="0.25">
      <c r="B207" s="1750"/>
      <c r="D207" s="1740"/>
      <c r="E207" s="1743"/>
      <c r="G207" s="30" t="s">
        <v>28</v>
      </c>
      <c r="H207" s="126"/>
      <c r="I207" s="10"/>
      <c r="J207" s="10"/>
      <c r="K207" s="16"/>
    </row>
    <row r="208" spans="2:11" x14ac:dyDescent="0.25">
      <c r="B208" s="1750"/>
      <c r="D208" s="1740"/>
      <c r="E208" s="1743"/>
      <c r="G208" s="30" t="s">
        <v>29</v>
      </c>
      <c r="H208" s="126"/>
      <c r="I208" s="10"/>
      <c r="J208" s="10"/>
      <c r="K208" s="16"/>
    </row>
    <row r="209" spans="2:11" x14ac:dyDescent="0.25">
      <c r="B209" s="1750"/>
      <c r="D209" s="1740"/>
      <c r="E209" s="1743"/>
      <c r="G209" s="30" t="s">
        <v>30</v>
      </c>
      <c r="H209" s="126"/>
      <c r="I209" s="10"/>
      <c r="J209" s="10"/>
      <c r="K209" s="16"/>
    </row>
    <row r="210" spans="2:11" x14ac:dyDescent="0.25">
      <c r="B210" s="1750"/>
      <c r="D210" s="1740"/>
      <c r="E210" s="1743"/>
      <c r="G210" s="89" t="s">
        <v>31</v>
      </c>
      <c r="H210" s="1036">
        <f>SUM(H211:H212)</f>
        <v>0</v>
      </c>
      <c r="I210" s="90"/>
      <c r="J210" s="90"/>
      <c r="K210" s="91"/>
    </row>
    <row r="211" spans="2:11" x14ac:dyDescent="0.25">
      <c r="B211" s="1750"/>
      <c r="D211" s="1740"/>
      <c r="E211" s="1743"/>
      <c r="G211" s="30" t="s">
        <v>640</v>
      </c>
      <c r="H211" s="126"/>
      <c r="I211" s="10"/>
      <c r="J211" s="10"/>
      <c r="K211" s="16"/>
    </row>
    <row r="212" spans="2:11" x14ac:dyDescent="0.25">
      <c r="B212" s="1750"/>
      <c r="D212" s="1740"/>
      <c r="E212" s="1743"/>
      <c r="G212" s="30" t="s">
        <v>641</v>
      </c>
      <c r="H212" s="126"/>
      <c r="I212" s="10"/>
      <c r="J212" s="10"/>
      <c r="K212" s="16"/>
    </row>
    <row r="213" spans="2:11" x14ac:dyDescent="0.25">
      <c r="B213" s="1750"/>
      <c r="D213" s="1740"/>
      <c r="E213" s="1743"/>
      <c r="G213" s="1043" t="s">
        <v>32</v>
      </c>
      <c r="H213" s="1036"/>
      <c r="I213" s="1044"/>
      <c r="J213" s="1044"/>
      <c r="K213" s="1045"/>
    </row>
    <row r="214" spans="2:11" x14ac:dyDescent="0.25">
      <c r="B214" s="1750"/>
      <c r="D214" s="1740"/>
      <c r="E214" s="1743"/>
      <c r="G214" s="89" t="s">
        <v>33</v>
      </c>
      <c r="H214" s="132">
        <f>SUM(H215:H216)</f>
        <v>0</v>
      </c>
      <c r="I214" s="90"/>
      <c r="J214" s="90"/>
      <c r="K214" s="91"/>
    </row>
    <row r="215" spans="2:11" x14ac:dyDescent="0.25">
      <c r="B215" s="1750"/>
      <c r="D215" s="1740"/>
      <c r="E215" s="1743"/>
      <c r="G215" s="30" t="s">
        <v>34</v>
      </c>
      <c r="H215" s="126"/>
      <c r="I215" s="10"/>
      <c r="J215" s="10"/>
      <c r="K215" s="16"/>
    </row>
    <row r="216" spans="2:11" x14ac:dyDescent="0.25">
      <c r="B216" s="1750"/>
      <c r="D216" s="1740"/>
      <c r="E216" s="1743"/>
      <c r="G216" s="30" t="s">
        <v>35</v>
      </c>
      <c r="H216" s="126"/>
      <c r="I216" s="10"/>
      <c r="J216" s="10"/>
      <c r="K216" s="16"/>
    </row>
    <row r="217" spans="2:11" ht="15.75" thickBot="1" x14ac:dyDescent="0.3">
      <c r="B217" s="1750"/>
      <c r="D217" s="1741"/>
      <c r="E217" s="1744"/>
      <c r="G217" s="1047" t="s">
        <v>36</v>
      </c>
      <c r="H217" s="1048"/>
      <c r="I217" s="1049"/>
      <c r="J217" s="1049"/>
      <c r="K217" s="1050"/>
    </row>
    <row r="218" spans="2:11" ht="15" customHeight="1" x14ac:dyDescent="0.25">
      <c r="B218" s="1750"/>
      <c r="D218" s="1745"/>
      <c r="E218" s="1742" t="s">
        <v>620</v>
      </c>
      <c r="G218" s="86" t="s">
        <v>145</v>
      </c>
      <c r="H218" s="131">
        <f>SUM(H219:H220)</f>
        <v>0</v>
      </c>
      <c r="I218" s="87"/>
      <c r="J218" s="87"/>
      <c r="K218" s="88"/>
    </row>
    <row r="219" spans="2:11" x14ac:dyDescent="0.25">
      <c r="B219" s="1750"/>
      <c r="D219" s="1740"/>
      <c r="E219" s="1743"/>
      <c r="G219" s="30" t="s">
        <v>23</v>
      </c>
      <c r="H219" s="126"/>
      <c r="I219" s="10"/>
      <c r="J219" s="10"/>
      <c r="K219" s="16"/>
    </row>
    <row r="220" spans="2:11" x14ac:dyDescent="0.25">
      <c r="B220" s="1750"/>
      <c r="D220" s="1740"/>
      <c r="E220" s="1743"/>
      <c r="G220" s="30" t="s">
        <v>24</v>
      </c>
      <c r="H220" s="126"/>
      <c r="I220" s="10"/>
      <c r="J220" s="10"/>
      <c r="K220" s="16"/>
    </row>
    <row r="221" spans="2:11" x14ac:dyDescent="0.25">
      <c r="B221" s="1750"/>
      <c r="D221" s="1740"/>
      <c r="E221" s="1743"/>
      <c r="G221" s="89" t="s">
        <v>146</v>
      </c>
      <c r="H221" s="132">
        <f>SUM(H222+H232)</f>
        <v>0</v>
      </c>
      <c r="I221" s="90"/>
      <c r="J221" s="90"/>
      <c r="K221" s="91"/>
    </row>
    <row r="222" spans="2:11" x14ac:dyDescent="0.25">
      <c r="B222" s="1750"/>
      <c r="D222" s="1740"/>
      <c r="E222" s="1743"/>
      <c r="G222" s="89" t="s">
        <v>25</v>
      </c>
      <c r="H222" s="132">
        <f>SUM(H223,H228,H231)</f>
        <v>0</v>
      </c>
      <c r="I222" s="90"/>
      <c r="J222" s="90"/>
      <c r="K222" s="91"/>
    </row>
    <row r="223" spans="2:11" x14ac:dyDescent="0.25">
      <c r="B223" s="1750"/>
      <c r="D223" s="1740"/>
      <c r="E223" s="1743"/>
      <c r="G223" s="89" t="s">
        <v>26</v>
      </c>
      <c r="H223" s="132">
        <f>SUM(H224:H227)</f>
        <v>0</v>
      </c>
      <c r="I223" s="90"/>
      <c r="J223" s="90"/>
      <c r="K223" s="91"/>
    </row>
    <row r="224" spans="2:11" x14ac:dyDescent="0.25">
      <c r="B224" s="1750"/>
      <c r="D224" s="1740"/>
      <c r="E224" s="1743"/>
      <c r="G224" s="30" t="s">
        <v>27</v>
      </c>
      <c r="H224" s="126"/>
      <c r="I224" s="10"/>
      <c r="J224" s="10"/>
      <c r="K224" s="16"/>
    </row>
    <row r="225" spans="2:11" x14ac:dyDescent="0.25">
      <c r="B225" s="1750"/>
      <c r="D225" s="1740"/>
      <c r="E225" s="1743"/>
      <c r="G225" s="30" t="s">
        <v>28</v>
      </c>
      <c r="H225" s="126"/>
      <c r="I225" s="10"/>
      <c r="J225" s="10"/>
      <c r="K225" s="16"/>
    </row>
    <row r="226" spans="2:11" x14ac:dyDescent="0.25">
      <c r="B226" s="1750"/>
      <c r="D226" s="1740"/>
      <c r="E226" s="1743"/>
      <c r="G226" s="30" t="s">
        <v>29</v>
      </c>
      <c r="H226" s="126"/>
      <c r="I226" s="10"/>
      <c r="J226" s="10"/>
      <c r="K226" s="16"/>
    </row>
    <row r="227" spans="2:11" x14ac:dyDescent="0.25">
      <c r="B227" s="1750"/>
      <c r="D227" s="1740"/>
      <c r="E227" s="1743"/>
      <c r="G227" s="30" t="s">
        <v>30</v>
      </c>
      <c r="H227" s="126"/>
      <c r="I227" s="10"/>
      <c r="J227" s="10"/>
      <c r="K227" s="16"/>
    </row>
    <row r="228" spans="2:11" x14ac:dyDescent="0.25">
      <c r="B228" s="1750"/>
      <c r="D228" s="1740"/>
      <c r="E228" s="1743"/>
      <c r="G228" s="89" t="s">
        <v>31</v>
      </c>
      <c r="H228" s="1036">
        <f>SUM(H229:H230)</f>
        <v>0</v>
      </c>
      <c r="I228" s="90"/>
      <c r="J228" s="90"/>
      <c r="K228" s="91"/>
    </row>
    <row r="229" spans="2:11" x14ac:dyDescent="0.25">
      <c r="B229" s="1750"/>
      <c r="D229" s="1740"/>
      <c r="E229" s="1743"/>
      <c r="G229" s="30" t="s">
        <v>640</v>
      </c>
      <c r="H229" s="126"/>
      <c r="I229" s="10"/>
      <c r="J229" s="10"/>
      <c r="K229" s="16"/>
    </row>
    <row r="230" spans="2:11" x14ac:dyDescent="0.25">
      <c r="B230" s="1750"/>
      <c r="D230" s="1740"/>
      <c r="E230" s="1743"/>
      <c r="G230" s="30" t="s">
        <v>641</v>
      </c>
      <c r="H230" s="126"/>
      <c r="I230" s="10"/>
      <c r="J230" s="10"/>
      <c r="K230" s="16"/>
    </row>
    <row r="231" spans="2:11" x14ac:dyDescent="0.25">
      <c r="B231" s="1750"/>
      <c r="D231" s="1740"/>
      <c r="E231" s="1743"/>
      <c r="G231" s="1043" t="s">
        <v>32</v>
      </c>
      <c r="H231" s="1036"/>
      <c r="I231" s="1044"/>
      <c r="J231" s="1044"/>
      <c r="K231" s="1045"/>
    </row>
    <row r="232" spans="2:11" x14ac:dyDescent="0.25">
      <c r="B232" s="1750"/>
      <c r="D232" s="1740"/>
      <c r="E232" s="1743"/>
      <c r="G232" s="89" t="s">
        <v>33</v>
      </c>
      <c r="H232" s="132">
        <f>SUM(H233:H234)</f>
        <v>0</v>
      </c>
      <c r="I232" s="90"/>
      <c r="J232" s="90"/>
      <c r="K232" s="91"/>
    </row>
    <row r="233" spans="2:11" x14ac:dyDescent="0.25">
      <c r="B233" s="1750"/>
      <c r="D233" s="1740"/>
      <c r="E233" s="1743"/>
      <c r="G233" s="30" t="s">
        <v>34</v>
      </c>
      <c r="H233" s="126"/>
      <c r="I233" s="10"/>
      <c r="J233" s="10"/>
      <c r="K233" s="16"/>
    </row>
    <row r="234" spans="2:11" x14ac:dyDescent="0.25">
      <c r="B234" s="1750"/>
      <c r="D234" s="1740"/>
      <c r="E234" s="1743"/>
      <c r="G234" s="30" t="s">
        <v>35</v>
      </c>
      <c r="H234" s="126"/>
      <c r="I234" s="10"/>
      <c r="J234" s="10"/>
      <c r="K234" s="16"/>
    </row>
    <row r="235" spans="2:11" ht="15.75" thickBot="1" x14ac:dyDescent="0.3">
      <c r="B235" s="1750"/>
      <c r="D235" s="1741"/>
      <c r="E235" s="1744"/>
      <c r="G235" s="1047" t="s">
        <v>36</v>
      </c>
      <c r="H235" s="1048"/>
      <c r="I235" s="1049"/>
      <c r="J235" s="1049"/>
      <c r="K235" s="1050"/>
    </row>
    <row r="236" spans="2:11" ht="15" customHeight="1" x14ac:dyDescent="0.25">
      <c r="B236" s="1750"/>
      <c r="D236" s="1739"/>
      <c r="E236" s="1742" t="s">
        <v>621</v>
      </c>
      <c r="G236" s="86" t="s">
        <v>145</v>
      </c>
      <c r="H236" s="131">
        <f>SUM(H237:H238)</f>
        <v>0</v>
      </c>
      <c r="I236" s="87"/>
      <c r="J236" s="87"/>
      <c r="K236" s="88"/>
    </row>
    <row r="237" spans="2:11" x14ac:dyDescent="0.25">
      <c r="B237" s="1750"/>
      <c r="D237" s="1740"/>
      <c r="E237" s="1743"/>
      <c r="G237" s="30" t="s">
        <v>23</v>
      </c>
      <c r="H237" s="126"/>
      <c r="I237" s="10"/>
      <c r="J237" s="10"/>
      <c r="K237" s="16"/>
    </row>
    <row r="238" spans="2:11" x14ac:dyDescent="0.25">
      <c r="B238" s="1750"/>
      <c r="D238" s="1740"/>
      <c r="E238" s="1743"/>
      <c r="G238" s="30" t="s">
        <v>24</v>
      </c>
      <c r="H238" s="126"/>
      <c r="I238" s="10"/>
      <c r="J238" s="10"/>
      <c r="K238" s="16"/>
    </row>
    <row r="239" spans="2:11" x14ac:dyDescent="0.25">
      <c r="B239" s="1750"/>
      <c r="D239" s="1740"/>
      <c r="E239" s="1743"/>
      <c r="G239" s="89" t="s">
        <v>146</v>
      </c>
      <c r="H239" s="132">
        <f>SUM(H240+H250)</f>
        <v>0</v>
      </c>
      <c r="I239" s="90"/>
      <c r="J239" s="90"/>
      <c r="K239" s="91"/>
    </row>
    <row r="240" spans="2:11" x14ac:dyDescent="0.25">
      <c r="B240" s="1750"/>
      <c r="D240" s="1740"/>
      <c r="E240" s="1743"/>
      <c r="G240" s="89" t="s">
        <v>25</v>
      </c>
      <c r="H240" s="132">
        <f>SUM(H241,H246,H249)</f>
        <v>0</v>
      </c>
      <c r="I240" s="90"/>
      <c r="J240" s="90"/>
      <c r="K240" s="91"/>
    </row>
    <row r="241" spans="2:11" x14ac:dyDescent="0.25">
      <c r="B241" s="1750"/>
      <c r="D241" s="1740"/>
      <c r="E241" s="1743"/>
      <c r="G241" s="89" t="s">
        <v>26</v>
      </c>
      <c r="H241" s="132">
        <f>SUM(H242:H245)</f>
        <v>0</v>
      </c>
      <c r="I241" s="90"/>
      <c r="J241" s="90"/>
      <c r="K241" s="91"/>
    </row>
    <row r="242" spans="2:11" x14ac:dyDescent="0.25">
      <c r="B242" s="1750"/>
      <c r="D242" s="1740"/>
      <c r="E242" s="1743"/>
      <c r="G242" s="30" t="s">
        <v>27</v>
      </c>
      <c r="H242" s="126"/>
      <c r="I242" s="10"/>
      <c r="J242" s="10"/>
      <c r="K242" s="16"/>
    </row>
    <row r="243" spans="2:11" x14ac:dyDescent="0.25">
      <c r="B243" s="1750"/>
      <c r="D243" s="1740"/>
      <c r="E243" s="1743"/>
      <c r="G243" s="30" t="s">
        <v>28</v>
      </c>
      <c r="H243" s="126"/>
      <c r="I243" s="10"/>
      <c r="J243" s="10"/>
      <c r="K243" s="16"/>
    </row>
    <row r="244" spans="2:11" x14ac:dyDescent="0.25">
      <c r="B244" s="1750"/>
      <c r="D244" s="1740"/>
      <c r="E244" s="1743"/>
      <c r="G244" s="30" t="s">
        <v>29</v>
      </c>
      <c r="H244" s="126"/>
      <c r="I244" s="10"/>
      <c r="J244" s="10"/>
      <c r="K244" s="16"/>
    </row>
    <row r="245" spans="2:11" x14ac:dyDescent="0.25">
      <c r="B245" s="1750"/>
      <c r="D245" s="1740"/>
      <c r="E245" s="1743"/>
      <c r="G245" s="30" t="s">
        <v>30</v>
      </c>
      <c r="H245" s="126"/>
      <c r="I245" s="10"/>
      <c r="J245" s="10"/>
      <c r="K245" s="16"/>
    </row>
    <row r="246" spans="2:11" x14ac:dyDescent="0.25">
      <c r="B246" s="1750"/>
      <c r="D246" s="1740"/>
      <c r="E246" s="1743"/>
      <c r="G246" s="89" t="s">
        <v>31</v>
      </c>
      <c r="H246" s="1036">
        <f>SUM(H247:H248)</f>
        <v>0</v>
      </c>
      <c r="I246" s="90"/>
      <c r="J246" s="90"/>
      <c r="K246" s="91"/>
    </row>
    <row r="247" spans="2:11" x14ac:dyDescent="0.25">
      <c r="B247" s="1750"/>
      <c r="D247" s="1740"/>
      <c r="E247" s="1743"/>
      <c r="G247" s="30" t="s">
        <v>640</v>
      </c>
      <c r="H247" s="126"/>
      <c r="I247" s="10"/>
      <c r="J247" s="10"/>
      <c r="K247" s="16"/>
    </row>
    <row r="248" spans="2:11" x14ac:dyDescent="0.25">
      <c r="B248" s="1750"/>
      <c r="D248" s="1740"/>
      <c r="E248" s="1743"/>
      <c r="G248" s="30" t="s">
        <v>641</v>
      </c>
      <c r="H248" s="126"/>
      <c r="I248" s="10"/>
      <c r="J248" s="10"/>
      <c r="K248" s="16"/>
    </row>
    <row r="249" spans="2:11" x14ac:dyDescent="0.25">
      <c r="B249" s="1750"/>
      <c r="D249" s="1740"/>
      <c r="E249" s="1743"/>
      <c r="G249" s="1043" t="s">
        <v>32</v>
      </c>
      <c r="H249" s="1036"/>
      <c r="I249" s="1044"/>
      <c r="J249" s="1044"/>
      <c r="K249" s="1045"/>
    </row>
    <row r="250" spans="2:11" x14ac:dyDescent="0.25">
      <c r="B250" s="1750"/>
      <c r="D250" s="1740"/>
      <c r="E250" s="1743"/>
      <c r="G250" s="89" t="s">
        <v>33</v>
      </c>
      <c r="H250" s="132">
        <f>SUM(H251:H252)</f>
        <v>0</v>
      </c>
      <c r="I250" s="90"/>
      <c r="J250" s="90"/>
      <c r="K250" s="91"/>
    </row>
    <row r="251" spans="2:11" x14ac:dyDescent="0.25">
      <c r="B251" s="1750"/>
      <c r="D251" s="1740"/>
      <c r="E251" s="1743"/>
      <c r="G251" s="30" t="s">
        <v>34</v>
      </c>
      <c r="H251" s="126"/>
      <c r="I251" s="10"/>
      <c r="J251" s="10"/>
      <c r="K251" s="16"/>
    </row>
    <row r="252" spans="2:11" x14ac:dyDescent="0.25">
      <c r="B252" s="1750"/>
      <c r="D252" s="1740"/>
      <c r="E252" s="1743"/>
      <c r="G252" s="30" t="s">
        <v>35</v>
      </c>
      <c r="H252" s="126"/>
      <c r="I252" s="10"/>
      <c r="J252" s="10"/>
      <c r="K252" s="16"/>
    </row>
    <row r="253" spans="2:11" ht="15.75" thickBot="1" x14ac:dyDescent="0.3">
      <c r="B253" s="1750"/>
      <c r="D253" s="1741"/>
      <c r="E253" s="1744"/>
      <c r="G253" s="1047" t="s">
        <v>36</v>
      </c>
      <c r="H253" s="1048"/>
      <c r="I253" s="1049"/>
      <c r="J253" s="1049"/>
      <c r="K253" s="1050"/>
    </row>
    <row r="254" spans="2:11" ht="15" customHeight="1" x14ac:dyDescent="0.25">
      <c r="B254" s="1750"/>
      <c r="D254" s="1739"/>
      <c r="E254" s="1742" t="s">
        <v>622</v>
      </c>
      <c r="G254" s="86" t="s">
        <v>145</v>
      </c>
      <c r="H254" s="131">
        <f>SUM(H255:H256)</f>
        <v>0</v>
      </c>
      <c r="I254" s="87"/>
      <c r="J254" s="87"/>
      <c r="K254" s="88"/>
    </row>
    <row r="255" spans="2:11" x14ac:dyDescent="0.25">
      <c r="B255" s="1750"/>
      <c r="D255" s="1740"/>
      <c r="E255" s="1743"/>
      <c r="G255" s="30" t="s">
        <v>23</v>
      </c>
      <c r="H255" s="126"/>
      <c r="I255" s="10"/>
      <c r="J255" s="10"/>
      <c r="K255" s="16"/>
    </row>
    <row r="256" spans="2:11" x14ac:dyDescent="0.25">
      <c r="B256" s="1750"/>
      <c r="D256" s="1740"/>
      <c r="E256" s="1743"/>
      <c r="G256" s="30" t="s">
        <v>24</v>
      </c>
      <c r="H256" s="126"/>
      <c r="I256" s="10"/>
      <c r="J256" s="10"/>
      <c r="K256" s="16"/>
    </row>
    <row r="257" spans="2:11" x14ac:dyDescent="0.25">
      <c r="B257" s="1750"/>
      <c r="D257" s="1740"/>
      <c r="E257" s="1743"/>
      <c r="G257" s="89" t="s">
        <v>146</v>
      </c>
      <c r="H257" s="132">
        <f>SUM(H258+H268)</f>
        <v>0</v>
      </c>
      <c r="I257" s="90"/>
      <c r="J257" s="90"/>
      <c r="K257" s="91"/>
    </row>
    <row r="258" spans="2:11" x14ac:dyDescent="0.25">
      <c r="B258" s="1750"/>
      <c r="D258" s="1740"/>
      <c r="E258" s="1743"/>
      <c r="G258" s="89" t="s">
        <v>25</v>
      </c>
      <c r="H258" s="132">
        <f>SUM(H259,H264,H267)</f>
        <v>0</v>
      </c>
      <c r="I258" s="90"/>
      <c r="J258" s="90"/>
      <c r="K258" s="91"/>
    </row>
    <row r="259" spans="2:11" x14ac:dyDescent="0.25">
      <c r="B259" s="1750"/>
      <c r="D259" s="1740"/>
      <c r="E259" s="1743"/>
      <c r="G259" s="89" t="s">
        <v>26</v>
      </c>
      <c r="H259" s="132">
        <f>SUM(H260:H263)</f>
        <v>0</v>
      </c>
      <c r="I259" s="90"/>
      <c r="J259" s="90"/>
      <c r="K259" s="91"/>
    </row>
    <row r="260" spans="2:11" x14ac:dyDescent="0.25">
      <c r="B260" s="1750"/>
      <c r="D260" s="1740"/>
      <c r="E260" s="1743"/>
      <c r="G260" s="30" t="s">
        <v>27</v>
      </c>
      <c r="H260" s="126"/>
      <c r="I260" s="10"/>
      <c r="J260" s="10"/>
      <c r="K260" s="16"/>
    </row>
    <row r="261" spans="2:11" x14ac:dyDescent="0.25">
      <c r="B261" s="1750"/>
      <c r="D261" s="1740"/>
      <c r="E261" s="1743"/>
      <c r="G261" s="30" t="s">
        <v>28</v>
      </c>
      <c r="H261" s="126"/>
      <c r="I261" s="10"/>
      <c r="J261" s="10"/>
      <c r="K261" s="16"/>
    </row>
    <row r="262" spans="2:11" x14ac:dyDescent="0.25">
      <c r="B262" s="1750"/>
      <c r="D262" s="1740"/>
      <c r="E262" s="1743"/>
      <c r="G262" s="30" t="s">
        <v>29</v>
      </c>
      <c r="H262" s="126"/>
      <c r="I262" s="10"/>
      <c r="J262" s="10"/>
      <c r="K262" s="16"/>
    </row>
    <row r="263" spans="2:11" x14ac:dyDescent="0.25">
      <c r="B263" s="1750"/>
      <c r="D263" s="1740"/>
      <c r="E263" s="1743"/>
      <c r="G263" s="30" t="s">
        <v>30</v>
      </c>
      <c r="H263" s="126"/>
      <c r="I263" s="10"/>
      <c r="J263" s="10"/>
      <c r="K263" s="16"/>
    </row>
    <row r="264" spans="2:11" x14ac:dyDescent="0.25">
      <c r="B264" s="1750"/>
      <c r="D264" s="1740"/>
      <c r="E264" s="1743"/>
      <c r="G264" s="89" t="s">
        <v>31</v>
      </c>
      <c r="H264" s="1036">
        <f>SUM(H265:H266)</f>
        <v>0</v>
      </c>
      <c r="I264" s="90"/>
      <c r="J264" s="90"/>
      <c r="K264" s="91"/>
    </row>
    <row r="265" spans="2:11" x14ac:dyDescent="0.25">
      <c r="B265" s="1750"/>
      <c r="D265" s="1740"/>
      <c r="E265" s="1743"/>
      <c r="G265" s="30" t="s">
        <v>640</v>
      </c>
      <c r="H265" s="126"/>
      <c r="I265" s="10"/>
      <c r="J265" s="10"/>
      <c r="K265" s="16"/>
    </row>
    <row r="266" spans="2:11" x14ac:dyDescent="0.25">
      <c r="B266" s="1750"/>
      <c r="D266" s="1740"/>
      <c r="E266" s="1743"/>
      <c r="G266" s="30" t="s">
        <v>641</v>
      </c>
      <c r="H266" s="126"/>
      <c r="I266" s="10"/>
      <c r="J266" s="10"/>
      <c r="K266" s="16"/>
    </row>
    <row r="267" spans="2:11" x14ac:dyDescent="0.25">
      <c r="B267" s="1750"/>
      <c r="D267" s="1740"/>
      <c r="E267" s="1743"/>
      <c r="G267" s="1043" t="s">
        <v>32</v>
      </c>
      <c r="H267" s="1036"/>
      <c r="I267" s="1044"/>
      <c r="J267" s="1044"/>
      <c r="K267" s="1045"/>
    </row>
    <row r="268" spans="2:11" x14ac:dyDescent="0.25">
      <c r="B268" s="1750"/>
      <c r="D268" s="1740"/>
      <c r="E268" s="1743"/>
      <c r="G268" s="89" t="s">
        <v>33</v>
      </c>
      <c r="H268" s="132">
        <f>SUM(H269:H270)</f>
        <v>0</v>
      </c>
      <c r="I268" s="90"/>
      <c r="J268" s="90"/>
      <c r="K268" s="91"/>
    </row>
    <row r="269" spans="2:11" x14ac:dyDescent="0.25">
      <c r="B269" s="1750"/>
      <c r="D269" s="1740"/>
      <c r="E269" s="1743"/>
      <c r="G269" s="30" t="s">
        <v>34</v>
      </c>
      <c r="H269" s="126"/>
      <c r="I269" s="10"/>
      <c r="J269" s="10"/>
      <c r="K269" s="16"/>
    </row>
    <row r="270" spans="2:11" x14ac:dyDescent="0.25">
      <c r="B270" s="1750"/>
      <c r="D270" s="1740"/>
      <c r="E270" s="1743"/>
      <c r="G270" s="30" t="s">
        <v>35</v>
      </c>
      <c r="H270" s="126"/>
      <c r="I270" s="10"/>
      <c r="J270" s="10"/>
      <c r="K270" s="16"/>
    </row>
    <row r="271" spans="2:11" ht="15.75" thickBot="1" x14ac:dyDescent="0.3">
      <c r="B271" s="1750"/>
      <c r="D271" s="1741"/>
      <c r="E271" s="1744"/>
      <c r="G271" s="1047" t="s">
        <v>36</v>
      </c>
      <c r="H271" s="1048"/>
      <c r="I271" s="1049"/>
      <c r="J271" s="1049"/>
      <c r="K271" s="1050"/>
    </row>
    <row r="272" spans="2:11" ht="15" customHeight="1" x14ac:dyDescent="0.25">
      <c r="B272" s="1750"/>
      <c r="D272" s="1739">
        <v>85</v>
      </c>
      <c r="E272" s="1746" t="s">
        <v>155</v>
      </c>
      <c r="G272" s="86" t="s">
        <v>145</v>
      </c>
      <c r="H272" s="131">
        <f>SUM(H273:H274)</f>
        <v>133.11539999999999</v>
      </c>
      <c r="I272" s="87"/>
      <c r="J272" s="87"/>
      <c r="K272" s="88"/>
    </row>
    <row r="273" spans="2:11" x14ac:dyDescent="0.25">
      <c r="B273" s="1750"/>
      <c r="D273" s="1740"/>
      <c r="E273" s="1747"/>
      <c r="G273" s="30" t="s">
        <v>23</v>
      </c>
      <c r="H273" s="126">
        <v>133.11539999999999</v>
      </c>
      <c r="I273" s="10"/>
      <c r="J273" s="10"/>
      <c r="K273" s="16"/>
    </row>
    <row r="274" spans="2:11" x14ac:dyDescent="0.25">
      <c r="B274" s="1750"/>
      <c r="D274" s="1740"/>
      <c r="E274" s="1747"/>
      <c r="G274" s="30" t="s">
        <v>24</v>
      </c>
      <c r="H274" s="126">
        <v>0</v>
      </c>
      <c r="I274" s="10"/>
      <c r="J274" s="10"/>
      <c r="K274" s="16"/>
    </row>
    <row r="275" spans="2:11" x14ac:dyDescent="0.25">
      <c r="B275" s="1750"/>
      <c r="D275" s="1740"/>
      <c r="E275" s="1747"/>
      <c r="G275" s="89" t="s">
        <v>146</v>
      </c>
      <c r="H275" s="132">
        <f>SUM(H276+H286)</f>
        <v>133.11539999999999</v>
      </c>
      <c r="I275" s="90"/>
      <c r="J275" s="90"/>
      <c r="K275" s="91"/>
    </row>
    <row r="276" spans="2:11" x14ac:dyDescent="0.25">
      <c r="B276" s="1750"/>
      <c r="D276" s="1740"/>
      <c r="E276" s="1747"/>
      <c r="G276" s="89" t="s">
        <v>25</v>
      </c>
      <c r="H276" s="132">
        <f>SUM(H277,H282,H285)</f>
        <v>133.11539999999999</v>
      </c>
      <c r="I276" s="90"/>
      <c r="J276" s="90"/>
      <c r="K276" s="91"/>
    </row>
    <row r="277" spans="2:11" x14ac:dyDescent="0.25">
      <c r="B277" s="1750"/>
      <c r="D277" s="1740"/>
      <c r="E277" s="1747"/>
      <c r="G277" s="89" t="s">
        <v>26</v>
      </c>
      <c r="H277" s="132">
        <f>SUM(H278:H281)</f>
        <v>0</v>
      </c>
      <c r="I277" s="90"/>
      <c r="J277" s="90"/>
      <c r="K277" s="91"/>
    </row>
    <row r="278" spans="2:11" x14ac:dyDescent="0.25">
      <c r="B278" s="1750"/>
      <c r="D278" s="1740"/>
      <c r="E278" s="1747"/>
      <c r="G278" s="30" t="s">
        <v>27</v>
      </c>
      <c r="H278" s="126">
        <v>0</v>
      </c>
      <c r="I278" s="10"/>
      <c r="J278" s="10"/>
      <c r="K278" s="16"/>
    </row>
    <row r="279" spans="2:11" x14ac:dyDescent="0.25">
      <c r="B279" s="1750"/>
      <c r="D279" s="1740"/>
      <c r="E279" s="1747"/>
      <c r="G279" s="30" t="s">
        <v>28</v>
      </c>
      <c r="H279" s="126">
        <v>0</v>
      </c>
      <c r="I279" s="10"/>
      <c r="J279" s="10"/>
      <c r="K279" s="16"/>
    </row>
    <row r="280" spans="2:11" x14ac:dyDescent="0.25">
      <c r="B280" s="1750"/>
      <c r="D280" s="1740"/>
      <c r="E280" s="1747"/>
      <c r="G280" s="30" t="s">
        <v>29</v>
      </c>
      <c r="H280" s="126">
        <v>0</v>
      </c>
      <c r="I280" s="10"/>
      <c r="J280" s="10"/>
      <c r="K280" s="16"/>
    </row>
    <row r="281" spans="2:11" x14ac:dyDescent="0.25">
      <c r="B281" s="1750"/>
      <c r="D281" s="1740"/>
      <c r="E281" s="1747"/>
      <c r="G281" s="30" t="s">
        <v>30</v>
      </c>
      <c r="H281" s="126">
        <v>0</v>
      </c>
      <c r="I281" s="10"/>
      <c r="J281" s="10"/>
      <c r="K281" s="16"/>
    </row>
    <row r="282" spans="2:11" x14ac:dyDescent="0.25">
      <c r="B282" s="1750"/>
      <c r="D282" s="1740"/>
      <c r="E282" s="1747"/>
      <c r="G282" s="89" t="s">
        <v>31</v>
      </c>
      <c r="H282" s="132">
        <v>133.11539999999999</v>
      </c>
      <c r="I282" s="90"/>
      <c r="J282" s="90"/>
      <c r="K282" s="91" t="s">
        <v>1305</v>
      </c>
    </row>
    <row r="283" spans="2:11" x14ac:dyDescent="0.25">
      <c r="B283" s="1750"/>
      <c r="D283" s="1740"/>
      <c r="E283" s="1747"/>
      <c r="G283" s="30" t="s">
        <v>640</v>
      </c>
      <c r="H283" s="126">
        <f>H282*95%</f>
        <v>126.45962999999999</v>
      </c>
      <c r="I283" s="10"/>
      <c r="J283" s="10"/>
      <c r="K283" s="16"/>
    </row>
    <row r="284" spans="2:11" x14ac:dyDescent="0.25">
      <c r="B284" s="1750"/>
      <c r="D284" s="1740"/>
      <c r="E284" s="1747"/>
      <c r="G284" s="30" t="s">
        <v>641</v>
      </c>
      <c r="H284" s="126">
        <f>H282*5%</f>
        <v>6.6557700000000004</v>
      </c>
      <c r="I284" s="10"/>
      <c r="J284" s="10"/>
      <c r="K284" s="16"/>
    </row>
    <row r="285" spans="2:11" x14ac:dyDescent="0.25">
      <c r="B285" s="1750"/>
      <c r="D285" s="1740"/>
      <c r="E285" s="1747"/>
      <c r="G285" s="1043" t="s">
        <v>32</v>
      </c>
      <c r="H285" s="1036">
        <v>0</v>
      </c>
      <c r="I285" s="1044"/>
      <c r="J285" s="1044"/>
      <c r="K285" s="1045"/>
    </row>
    <row r="286" spans="2:11" x14ac:dyDescent="0.25">
      <c r="B286" s="1750"/>
      <c r="D286" s="1740"/>
      <c r="E286" s="1747"/>
      <c r="G286" s="89" t="s">
        <v>33</v>
      </c>
      <c r="H286" s="132">
        <f>SUM(H287:H288)</f>
        <v>0</v>
      </c>
      <c r="I286" s="90"/>
      <c r="J286" s="90"/>
      <c r="K286" s="91"/>
    </row>
    <row r="287" spans="2:11" x14ac:dyDescent="0.25">
      <c r="B287" s="1750"/>
      <c r="D287" s="1740"/>
      <c r="E287" s="1747"/>
      <c r="G287" s="30" t="s">
        <v>34</v>
      </c>
      <c r="H287" s="126">
        <v>0</v>
      </c>
      <c r="I287" s="10"/>
      <c r="J287" s="10"/>
      <c r="K287" s="16"/>
    </row>
    <row r="288" spans="2:11" x14ac:dyDescent="0.25">
      <c r="B288" s="1750"/>
      <c r="D288" s="1740"/>
      <c r="E288" s="1747"/>
      <c r="G288" s="30" t="s">
        <v>35</v>
      </c>
      <c r="H288" s="126">
        <v>0</v>
      </c>
      <c r="I288" s="10"/>
      <c r="J288" s="10"/>
      <c r="K288" s="16"/>
    </row>
    <row r="289" spans="2:11" ht="15.75" thickBot="1" x14ac:dyDescent="0.3">
      <c r="B289" s="1750"/>
      <c r="D289" s="1741"/>
      <c r="E289" s="1748"/>
      <c r="G289" s="1047" t="s">
        <v>36</v>
      </c>
      <c r="H289" s="1048">
        <v>224372.33</v>
      </c>
      <c r="I289" s="1049"/>
      <c r="J289" s="1049"/>
      <c r="K289" s="1050" t="s">
        <v>1268</v>
      </c>
    </row>
    <row r="290" spans="2:11" ht="15" customHeight="1" x14ac:dyDescent="0.25">
      <c r="B290" s="1750"/>
      <c r="D290" s="1745" t="s">
        <v>21</v>
      </c>
      <c r="E290" s="1746" t="s">
        <v>156</v>
      </c>
      <c r="G290" s="86" t="s">
        <v>145</v>
      </c>
      <c r="H290" s="131">
        <f>SUM(H291:H292)</f>
        <v>588.7795155737706</v>
      </c>
      <c r="I290" s="87"/>
      <c r="J290" s="87"/>
      <c r="K290" s="88"/>
    </row>
    <row r="291" spans="2:11" x14ac:dyDescent="0.25">
      <c r="B291" s="1750"/>
      <c r="D291" s="1740"/>
      <c r="E291" s="1747"/>
      <c r="G291" s="30" t="s">
        <v>23</v>
      </c>
      <c r="H291" s="126">
        <v>588.7795155737706</v>
      </c>
      <c r="I291" s="10"/>
      <c r="J291" s="10"/>
      <c r="K291" s="16"/>
    </row>
    <row r="292" spans="2:11" x14ac:dyDescent="0.25">
      <c r="B292" s="1750"/>
      <c r="D292" s="1740"/>
      <c r="E292" s="1747"/>
      <c r="G292" s="30" t="s">
        <v>24</v>
      </c>
      <c r="H292" s="126">
        <v>0</v>
      </c>
      <c r="I292" s="10"/>
      <c r="J292" s="10"/>
      <c r="K292" s="16"/>
    </row>
    <row r="293" spans="2:11" x14ac:dyDescent="0.25">
      <c r="B293" s="1750"/>
      <c r="D293" s="1740"/>
      <c r="E293" s="1747"/>
      <c r="G293" s="89" t="s">
        <v>146</v>
      </c>
      <c r="H293" s="132">
        <f>SUM(H294+H304)</f>
        <v>588.7795155737706</v>
      </c>
      <c r="I293" s="90"/>
      <c r="J293" s="90"/>
      <c r="K293" s="91"/>
    </row>
    <row r="294" spans="2:11" x14ac:dyDescent="0.25">
      <c r="B294" s="1750"/>
      <c r="D294" s="1740"/>
      <c r="E294" s="1747"/>
      <c r="G294" s="89" t="s">
        <v>25</v>
      </c>
      <c r="H294" s="132">
        <f>SUM(H295,H300,H303)</f>
        <v>90.790815573770487</v>
      </c>
      <c r="I294" s="90"/>
      <c r="J294" s="90"/>
      <c r="K294" s="91"/>
    </row>
    <row r="295" spans="2:11" x14ac:dyDescent="0.25">
      <c r="B295" s="1750"/>
      <c r="D295" s="1740"/>
      <c r="E295" s="1747"/>
      <c r="G295" s="89" t="s">
        <v>26</v>
      </c>
      <c r="H295" s="132">
        <f>SUM(H296:H299)</f>
        <v>0</v>
      </c>
      <c r="I295" s="90"/>
      <c r="J295" s="90"/>
      <c r="K295" s="91"/>
    </row>
    <row r="296" spans="2:11" x14ac:dyDescent="0.25">
      <c r="B296" s="1750"/>
      <c r="D296" s="1740"/>
      <c r="E296" s="1747"/>
      <c r="G296" s="30" t="s">
        <v>27</v>
      </c>
      <c r="H296" s="126">
        <v>0</v>
      </c>
      <c r="I296" s="10"/>
      <c r="J296" s="10"/>
      <c r="K296" s="16"/>
    </row>
    <row r="297" spans="2:11" x14ac:dyDescent="0.25">
      <c r="B297" s="1750"/>
      <c r="D297" s="1740"/>
      <c r="E297" s="1747"/>
      <c r="G297" s="30" t="s">
        <v>28</v>
      </c>
      <c r="H297" s="126">
        <v>0</v>
      </c>
      <c r="I297" s="10"/>
      <c r="J297" s="10"/>
      <c r="K297" s="16"/>
    </row>
    <row r="298" spans="2:11" x14ac:dyDescent="0.25">
      <c r="B298" s="1750"/>
      <c r="D298" s="1740"/>
      <c r="E298" s="1747"/>
      <c r="G298" s="30" t="s">
        <v>29</v>
      </c>
      <c r="H298" s="126">
        <v>0</v>
      </c>
      <c r="I298" s="10"/>
      <c r="J298" s="10"/>
      <c r="K298" s="16"/>
    </row>
    <row r="299" spans="2:11" x14ac:dyDescent="0.25">
      <c r="B299" s="1750"/>
      <c r="D299" s="1740"/>
      <c r="E299" s="1747"/>
      <c r="G299" s="30" t="s">
        <v>30</v>
      </c>
      <c r="H299" s="126">
        <v>0</v>
      </c>
      <c r="I299" s="10"/>
      <c r="J299" s="10"/>
      <c r="K299" s="16"/>
    </row>
    <row r="300" spans="2:11" x14ac:dyDescent="0.25">
      <c r="B300" s="1750"/>
      <c r="D300" s="1740"/>
      <c r="E300" s="1747"/>
      <c r="G300" s="89" t="s">
        <v>31</v>
      </c>
      <c r="H300" s="132">
        <v>90.790815573770487</v>
      </c>
      <c r="I300" s="90"/>
      <c r="J300" s="90"/>
      <c r="K300" s="91" t="s">
        <v>1306</v>
      </c>
    </row>
    <row r="301" spans="2:11" x14ac:dyDescent="0.25">
      <c r="B301" s="1750"/>
      <c r="D301" s="1740"/>
      <c r="E301" s="1747"/>
      <c r="G301" s="30" t="s">
        <v>640</v>
      </c>
      <c r="H301" s="126">
        <f>H300*20%</f>
        <v>18.1581631147541</v>
      </c>
      <c r="I301" s="10"/>
      <c r="J301" s="10"/>
      <c r="K301" s="16"/>
    </row>
    <row r="302" spans="2:11" x14ac:dyDescent="0.25">
      <c r="B302" s="1750"/>
      <c r="D302" s="1740"/>
      <c r="E302" s="1747"/>
      <c r="G302" s="30" t="s">
        <v>641</v>
      </c>
      <c r="H302" s="126">
        <f>H300*80%</f>
        <v>72.632652459016398</v>
      </c>
      <c r="I302" s="10"/>
      <c r="J302" s="10"/>
      <c r="K302" s="16"/>
    </row>
    <row r="303" spans="2:11" x14ac:dyDescent="0.25">
      <c r="B303" s="1750"/>
      <c r="D303" s="1740"/>
      <c r="E303" s="1747"/>
      <c r="G303" s="1043" t="s">
        <v>32</v>
      </c>
      <c r="H303" s="1036">
        <v>0</v>
      </c>
      <c r="I303" s="1044"/>
      <c r="J303" s="1044"/>
      <c r="K303" s="1045"/>
    </row>
    <row r="304" spans="2:11" x14ac:dyDescent="0.25">
      <c r="B304" s="1750"/>
      <c r="D304" s="1740"/>
      <c r="E304" s="1747"/>
      <c r="G304" s="89" t="s">
        <v>33</v>
      </c>
      <c r="H304" s="132">
        <f>SUM(H305:H306)</f>
        <v>497.98870000000005</v>
      </c>
      <c r="I304" s="90"/>
      <c r="J304" s="90"/>
      <c r="K304" s="91"/>
    </row>
    <row r="305" spans="2:11" x14ac:dyDescent="0.25">
      <c r="B305" s="1750"/>
      <c r="D305" s="1740"/>
      <c r="E305" s="1747"/>
      <c r="G305" s="30" t="s">
        <v>34</v>
      </c>
      <c r="H305" s="126">
        <v>497.98870000000005</v>
      </c>
      <c r="I305" s="10"/>
      <c r="J305" s="10"/>
      <c r="K305" s="16" t="s">
        <v>1268</v>
      </c>
    </row>
    <row r="306" spans="2:11" x14ac:dyDescent="0.25">
      <c r="B306" s="1750"/>
      <c r="D306" s="1740"/>
      <c r="E306" s="1747"/>
      <c r="G306" s="30" t="s">
        <v>35</v>
      </c>
      <c r="H306" s="126">
        <v>0</v>
      </c>
      <c r="I306" s="10"/>
      <c r="J306" s="10"/>
      <c r="K306" s="16"/>
    </row>
    <row r="307" spans="2:11" ht="15.75" thickBot="1" x14ac:dyDescent="0.3">
      <c r="B307" s="1750"/>
      <c r="D307" s="1741"/>
      <c r="E307" s="1748"/>
      <c r="G307" s="1047" t="s">
        <v>36</v>
      </c>
      <c r="H307" s="1048">
        <v>3720.9427500000002</v>
      </c>
      <c r="I307" s="1049"/>
      <c r="J307" s="1049"/>
      <c r="K307" s="1050" t="s">
        <v>1268</v>
      </c>
    </row>
    <row r="308" spans="2:11" ht="15" customHeight="1" x14ac:dyDescent="0.25">
      <c r="B308" s="1750"/>
      <c r="D308" s="1739"/>
      <c r="E308" s="1742" t="s">
        <v>623</v>
      </c>
      <c r="G308" s="86" t="s">
        <v>145</v>
      </c>
      <c r="H308" s="131">
        <f>SUM(H309:H310)</f>
        <v>0</v>
      </c>
      <c r="I308" s="87"/>
      <c r="J308" s="87"/>
      <c r="K308" s="88"/>
    </row>
    <row r="309" spans="2:11" x14ac:dyDescent="0.25">
      <c r="B309" s="1750"/>
      <c r="D309" s="1740"/>
      <c r="E309" s="1743"/>
      <c r="G309" s="30" t="s">
        <v>23</v>
      </c>
      <c r="H309" s="126"/>
      <c r="I309" s="10"/>
      <c r="J309" s="10"/>
      <c r="K309" s="16"/>
    </row>
    <row r="310" spans="2:11" x14ac:dyDescent="0.25">
      <c r="B310" s="1750"/>
      <c r="D310" s="1740"/>
      <c r="E310" s="1743"/>
      <c r="G310" s="30" t="s">
        <v>24</v>
      </c>
      <c r="H310" s="126"/>
      <c r="I310" s="10"/>
      <c r="J310" s="10"/>
      <c r="K310" s="16"/>
    </row>
    <row r="311" spans="2:11" x14ac:dyDescent="0.25">
      <c r="B311" s="1750"/>
      <c r="D311" s="1740"/>
      <c r="E311" s="1743"/>
      <c r="G311" s="89" t="s">
        <v>146</v>
      </c>
      <c r="H311" s="132">
        <f>SUM(H312+H322)</f>
        <v>0</v>
      </c>
      <c r="I311" s="90"/>
      <c r="J311" s="90"/>
      <c r="K311" s="91"/>
    </row>
    <row r="312" spans="2:11" x14ac:dyDescent="0.25">
      <c r="B312" s="1750"/>
      <c r="D312" s="1740"/>
      <c r="E312" s="1743"/>
      <c r="G312" s="89" t="s">
        <v>25</v>
      </c>
      <c r="H312" s="132">
        <f>SUM(H313,H318,H321)</f>
        <v>0</v>
      </c>
      <c r="I312" s="90"/>
      <c r="J312" s="90"/>
      <c r="K312" s="91"/>
    </row>
    <row r="313" spans="2:11" x14ac:dyDescent="0.25">
      <c r="B313" s="1750"/>
      <c r="D313" s="1740"/>
      <c r="E313" s="1743"/>
      <c r="G313" s="89" t="s">
        <v>26</v>
      </c>
      <c r="H313" s="132">
        <f>SUM(H314:H317)</f>
        <v>0</v>
      </c>
      <c r="I313" s="90"/>
      <c r="J313" s="90"/>
      <c r="K313" s="91"/>
    </row>
    <row r="314" spans="2:11" x14ac:dyDescent="0.25">
      <c r="B314" s="1750"/>
      <c r="D314" s="1740"/>
      <c r="E314" s="1743"/>
      <c r="G314" s="30" t="s">
        <v>27</v>
      </c>
      <c r="H314" s="126"/>
      <c r="I314" s="10"/>
      <c r="J314" s="10"/>
      <c r="K314" s="16"/>
    </row>
    <row r="315" spans="2:11" x14ac:dyDescent="0.25">
      <c r="B315" s="1750"/>
      <c r="D315" s="1740"/>
      <c r="E315" s="1743"/>
      <c r="G315" s="30" t="s">
        <v>28</v>
      </c>
      <c r="H315" s="126"/>
      <c r="I315" s="10"/>
      <c r="J315" s="10"/>
      <c r="K315" s="16"/>
    </row>
    <row r="316" spans="2:11" x14ac:dyDescent="0.25">
      <c r="B316" s="1750"/>
      <c r="D316" s="1740"/>
      <c r="E316" s="1743"/>
      <c r="G316" s="30" t="s">
        <v>29</v>
      </c>
      <c r="H316" s="126"/>
      <c r="I316" s="10"/>
      <c r="J316" s="10"/>
      <c r="K316" s="16"/>
    </row>
    <row r="317" spans="2:11" x14ac:dyDescent="0.25">
      <c r="B317" s="1750"/>
      <c r="D317" s="1740"/>
      <c r="E317" s="1743"/>
      <c r="G317" s="30" t="s">
        <v>30</v>
      </c>
      <c r="H317" s="126"/>
      <c r="I317" s="10"/>
      <c r="J317" s="10"/>
      <c r="K317" s="16"/>
    </row>
    <row r="318" spans="2:11" x14ac:dyDescent="0.25">
      <c r="B318" s="1750"/>
      <c r="D318" s="1740"/>
      <c r="E318" s="1743"/>
      <c r="G318" s="89" t="s">
        <v>31</v>
      </c>
      <c r="H318" s="1036">
        <f>SUM(H319:H320)</f>
        <v>0</v>
      </c>
      <c r="I318" s="90"/>
      <c r="J318" s="90"/>
      <c r="K318" s="91"/>
    </row>
    <row r="319" spans="2:11" x14ac:dyDescent="0.25">
      <c r="B319" s="1750"/>
      <c r="D319" s="1740"/>
      <c r="E319" s="1743"/>
      <c r="G319" s="30" t="s">
        <v>640</v>
      </c>
      <c r="H319" s="126"/>
      <c r="I319" s="10"/>
      <c r="J319" s="10"/>
      <c r="K319" s="16"/>
    </row>
    <row r="320" spans="2:11" x14ac:dyDescent="0.25">
      <c r="B320" s="1750"/>
      <c r="D320" s="1740"/>
      <c r="E320" s="1743"/>
      <c r="G320" s="30" t="s">
        <v>641</v>
      </c>
      <c r="H320" s="126"/>
      <c r="I320" s="10"/>
      <c r="J320" s="10"/>
      <c r="K320" s="16"/>
    </row>
    <row r="321" spans="2:11" x14ac:dyDescent="0.25">
      <c r="B321" s="1750"/>
      <c r="D321" s="1740"/>
      <c r="E321" s="1743"/>
      <c r="G321" s="1043" t="s">
        <v>32</v>
      </c>
      <c r="H321" s="1036"/>
      <c r="I321" s="1044"/>
      <c r="J321" s="1044"/>
      <c r="K321" s="1045"/>
    </row>
    <row r="322" spans="2:11" x14ac:dyDescent="0.25">
      <c r="B322" s="1750"/>
      <c r="D322" s="1740"/>
      <c r="E322" s="1743"/>
      <c r="G322" s="89" t="s">
        <v>33</v>
      </c>
      <c r="H322" s="132">
        <f>SUM(H323:H324)</f>
        <v>0</v>
      </c>
      <c r="I322" s="90"/>
      <c r="J322" s="90"/>
      <c r="K322" s="91"/>
    </row>
    <row r="323" spans="2:11" x14ac:dyDescent="0.25">
      <c r="B323" s="1750"/>
      <c r="D323" s="1740"/>
      <c r="E323" s="1743"/>
      <c r="G323" s="30" t="s">
        <v>34</v>
      </c>
      <c r="H323" s="126"/>
      <c r="I323" s="10"/>
      <c r="J323" s="10"/>
      <c r="K323" s="16"/>
    </row>
    <row r="324" spans="2:11" x14ac:dyDescent="0.25">
      <c r="B324" s="1750"/>
      <c r="D324" s="1740"/>
      <c r="E324" s="1743"/>
      <c r="G324" s="30" t="s">
        <v>35</v>
      </c>
      <c r="H324" s="126"/>
      <c r="I324" s="10"/>
      <c r="J324" s="10"/>
      <c r="K324" s="16"/>
    </row>
    <row r="325" spans="2:11" ht="15.75" thickBot="1" x14ac:dyDescent="0.3">
      <c r="B325" s="1750"/>
      <c r="D325" s="1741"/>
      <c r="E325" s="1744"/>
      <c r="G325" s="1047" t="s">
        <v>36</v>
      </c>
      <c r="H325" s="1048"/>
      <c r="I325" s="1049"/>
      <c r="J325" s="1049"/>
      <c r="K325" s="1050"/>
    </row>
    <row r="326" spans="2:11" ht="15" customHeight="1" x14ac:dyDescent="0.25">
      <c r="B326" s="1750"/>
      <c r="D326" s="1745" t="s">
        <v>22</v>
      </c>
      <c r="E326" s="1746" t="s">
        <v>157</v>
      </c>
      <c r="G326" s="86" t="s">
        <v>145</v>
      </c>
      <c r="H326" s="131">
        <f>SUM(H327:H328)</f>
        <v>11.709600000000002</v>
      </c>
      <c r="I326" s="87"/>
      <c r="J326" s="87"/>
      <c r="K326" s="88"/>
    </row>
    <row r="327" spans="2:11" x14ac:dyDescent="0.25">
      <c r="B327" s="1750"/>
      <c r="D327" s="1740"/>
      <c r="E327" s="1747"/>
      <c r="G327" s="30" t="s">
        <v>23</v>
      </c>
      <c r="H327" s="126">
        <v>11.709600000000002</v>
      </c>
      <c r="I327" s="10"/>
      <c r="J327" s="10"/>
      <c r="K327" s="16"/>
    </row>
    <row r="328" spans="2:11" x14ac:dyDescent="0.25">
      <c r="B328" s="1750"/>
      <c r="D328" s="1740"/>
      <c r="E328" s="1747"/>
      <c r="G328" s="30" t="s">
        <v>24</v>
      </c>
      <c r="H328" s="126">
        <v>0</v>
      </c>
      <c r="I328" s="10"/>
      <c r="J328" s="10"/>
      <c r="K328" s="16"/>
    </row>
    <row r="329" spans="2:11" x14ac:dyDescent="0.25">
      <c r="B329" s="1750"/>
      <c r="D329" s="1740"/>
      <c r="E329" s="1747"/>
      <c r="G329" s="89" t="s">
        <v>146</v>
      </c>
      <c r="H329" s="132">
        <f>SUM(H330+H340)</f>
        <v>11.709600000000002</v>
      </c>
      <c r="I329" s="90"/>
      <c r="J329" s="90"/>
      <c r="K329" s="91"/>
    </row>
    <row r="330" spans="2:11" x14ac:dyDescent="0.25">
      <c r="B330" s="1750"/>
      <c r="D330" s="1740"/>
      <c r="E330" s="1747"/>
      <c r="G330" s="89" t="s">
        <v>25</v>
      </c>
      <c r="H330" s="132">
        <f>SUM(H331,H336,H339)</f>
        <v>2.0736000000000003</v>
      </c>
      <c r="I330" s="90"/>
      <c r="J330" s="90"/>
      <c r="K330" s="91"/>
    </row>
    <row r="331" spans="2:11" x14ac:dyDescent="0.25">
      <c r="B331" s="1750"/>
      <c r="D331" s="1740"/>
      <c r="E331" s="1747"/>
      <c r="G331" s="89" t="s">
        <v>26</v>
      </c>
      <c r="H331" s="132">
        <f>SUM(H332:H335)</f>
        <v>2.0736000000000003</v>
      </c>
      <c r="I331" s="90"/>
      <c r="J331" s="90"/>
      <c r="K331" s="91"/>
    </row>
    <row r="332" spans="2:11" x14ac:dyDescent="0.25">
      <c r="B332" s="1750"/>
      <c r="D332" s="1740"/>
      <c r="E332" s="1747"/>
      <c r="G332" s="30" t="s">
        <v>27</v>
      </c>
      <c r="H332" s="126">
        <v>0</v>
      </c>
      <c r="I332" s="10"/>
      <c r="J332" s="10"/>
      <c r="K332" s="16"/>
    </row>
    <row r="333" spans="2:11" x14ac:dyDescent="0.25">
      <c r="B333" s="1750"/>
      <c r="D333" s="1740"/>
      <c r="E333" s="1747"/>
      <c r="G333" s="30" t="s">
        <v>28</v>
      </c>
      <c r="H333" s="126">
        <v>2.0736000000000003</v>
      </c>
      <c r="I333" s="10"/>
      <c r="J333" s="10"/>
      <c r="K333" s="16"/>
    </row>
    <row r="334" spans="2:11" x14ac:dyDescent="0.25">
      <c r="B334" s="1750"/>
      <c r="D334" s="1740"/>
      <c r="E334" s="1747"/>
      <c r="G334" s="30" t="s">
        <v>29</v>
      </c>
      <c r="H334" s="126">
        <v>0</v>
      </c>
      <c r="I334" s="10"/>
      <c r="J334" s="10"/>
      <c r="K334" s="16"/>
    </row>
    <row r="335" spans="2:11" x14ac:dyDescent="0.25">
      <c r="B335" s="1750"/>
      <c r="D335" s="1740"/>
      <c r="E335" s="1747"/>
      <c r="G335" s="30" t="s">
        <v>30</v>
      </c>
      <c r="H335" s="126">
        <v>0</v>
      </c>
      <c r="I335" s="10"/>
      <c r="J335" s="10"/>
      <c r="K335" s="16"/>
    </row>
    <row r="336" spans="2:11" x14ac:dyDescent="0.25">
      <c r="B336" s="1750"/>
      <c r="D336" s="1740"/>
      <c r="E336" s="1747"/>
      <c r="G336" s="89" t="s">
        <v>31</v>
      </c>
      <c r="H336" s="1036">
        <f>SUM(H337:H338)</f>
        <v>0</v>
      </c>
      <c r="I336" s="90"/>
      <c r="J336" s="90"/>
      <c r="K336" s="91"/>
    </row>
    <row r="337" spans="2:11" x14ac:dyDescent="0.25">
      <c r="B337" s="1750"/>
      <c r="D337" s="1740"/>
      <c r="E337" s="1747"/>
      <c r="G337" s="30" t="s">
        <v>640</v>
      </c>
      <c r="H337" s="126"/>
      <c r="I337" s="10"/>
      <c r="J337" s="10"/>
      <c r="K337" s="16"/>
    </row>
    <row r="338" spans="2:11" x14ac:dyDescent="0.25">
      <c r="B338" s="1750"/>
      <c r="D338" s="1740"/>
      <c r="E338" s="1747"/>
      <c r="G338" s="30" t="s">
        <v>641</v>
      </c>
      <c r="H338" s="126"/>
      <c r="I338" s="10"/>
      <c r="J338" s="10"/>
      <c r="K338" s="16"/>
    </row>
    <row r="339" spans="2:11" x14ac:dyDescent="0.25">
      <c r="B339" s="1750"/>
      <c r="D339" s="1740"/>
      <c r="E339" s="1747"/>
      <c r="G339" s="1043" t="s">
        <v>32</v>
      </c>
      <c r="H339" s="1036">
        <v>0</v>
      </c>
      <c r="I339" s="1044"/>
      <c r="J339" s="1044"/>
      <c r="K339" s="1045"/>
    </row>
    <row r="340" spans="2:11" x14ac:dyDescent="0.25">
      <c r="B340" s="1750"/>
      <c r="D340" s="1740"/>
      <c r="E340" s="1747"/>
      <c r="G340" s="89" t="s">
        <v>33</v>
      </c>
      <c r="H340" s="132">
        <f>SUM(H341:H342)</f>
        <v>9.636000000000001</v>
      </c>
      <c r="I340" s="90"/>
      <c r="J340" s="90"/>
      <c r="K340" s="91"/>
    </row>
    <row r="341" spans="2:11" x14ac:dyDescent="0.25">
      <c r="B341" s="1750"/>
      <c r="D341" s="1740"/>
      <c r="E341" s="1747"/>
      <c r="G341" s="30" t="s">
        <v>34</v>
      </c>
      <c r="H341" s="126">
        <v>9.636000000000001</v>
      </c>
      <c r="I341" s="10"/>
      <c r="J341" s="10"/>
      <c r="K341" s="16"/>
    </row>
    <row r="342" spans="2:11" x14ac:dyDescent="0.25">
      <c r="B342" s="1750"/>
      <c r="D342" s="1740"/>
      <c r="E342" s="1747"/>
      <c r="G342" s="30" t="s">
        <v>35</v>
      </c>
      <c r="H342" s="126">
        <v>0</v>
      </c>
      <c r="I342" s="10"/>
      <c r="J342" s="10"/>
      <c r="K342" s="16"/>
    </row>
    <row r="343" spans="2:11" ht="15.75" thickBot="1" x14ac:dyDescent="0.3">
      <c r="B343" s="1750"/>
      <c r="D343" s="1741"/>
      <c r="E343" s="1748"/>
      <c r="G343" s="1047" t="s">
        <v>36</v>
      </c>
      <c r="H343" s="1048">
        <v>131.69367175295594</v>
      </c>
      <c r="I343" s="1049"/>
      <c r="J343" s="1049"/>
      <c r="K343" s="1050" t="s">
        <v>1268</v>
      </c>
    </row>
    <row r="344" spans="2:11" ht="15" customHeight="1" x14ac:dyDescent="0.25">
      <c r="B344" s="1750"/>
      <c r="D344" s="1739"/>
      <c r="E344" s="1742" t="s">
        <v>624</v>
      </c>
      <c r="G344" s="86" t="s">
        <v>145</v>
      </c>
      <c r="H344" s="131">
        <f>SUM(H345:H346)</f>
        <v>0</v>
      </c>
      <c r="I344" s="87"/>
      <c r="J344" s="87"/>
      <c r="K344" s="88"/>
    </row>
    <row r="345" spans="2:11" x14ac:dyDescent="0.25">
      <c r="B345" s="1750"/>
      <c r="D345" s="1740"/>
      <c r="E345" s="1743"/>
      <c r="G345" s="30" t="s">
        <v>23</v>
      </c>
      <c r="H345" s="126"/>
      <c r="I345" s="10"/>
      <c r="J345" s="10"/>
      <c r="K345" s="16"/>
    </row>
    <row r="346" spans="2:11" x14ac:dyDescent="0.25">
      <c r="B346" s="1750"/>
      <c r="D346" s="1740"/>
      <c r="E346" s="1743"/>
      <c r="G346" s="30" t="s">
        <v>24</v>
      </c>
      <c r="H346" s="126"/>
      <c r="I346" s="10"/>
      <c r="J346" s="10"/>
      <c r="K346" s="16"/>
    </row>
    <row r="347" spans="2:11" x14ac:dyDescent="0.25">
      <c r="B347" s="1750"/>
      <c r="D347" s="1740"/>
      <c r="E347" s="1743"/>
      <c r="G347" s="89" t="s">
        <v>146</v>
      </c>
      <c r="H347" s="132">
        <f>SUM(H348+H358)</f>
        <v>0</v>
      </c>
      <c r="I347" s="90"/>
      <c r="J347" s="90"/>
      <c r="K347" s="91"/>
    </row>
    <row r="348" spans="2:11" x14ac:dyDescent="0.25">
      <c r="B348" s="1750"/>
      <c r="D348" s="1740"/>
      <c r="E348" s="1743"/>
      <c r="G348" s="89" t="s">
        <v>25</v>
      </c>
      <c r="H348" s="132">
        <f>SUM(H349,H354,H357)</f>
        <v>0</v>
      </c>
      <c r="I348" s="90"/>
      <c r="J348" s="90"/>
      <c r="K348" s="91"/>
    </row>
    <row r="349" spans="2:11" x14ac:dyDescent="0.25">
      <c r="B349" s="1750"/>
      <c r="D349" s="1740"/>
      <c r="E349" s="1743"/>
      <c r="G349" s="89" t="s">
        <v>26</v>
      </c>
      <c r="H349" s="132">
        <f>SUM(H350:H353)</f>
        <v>0</v>
      </c>
      <c r="I349" s="90"/>
      <c r="J349" s="90"/>
      <c r="K349" s="91"/>
    </row>
    <row r="350" spans="2:11" x14ac:dyDescent="0.25">
      <c r="B350" s="1750"/>
      <c r="D350" s="1740"/>
      <c r="E350" s="1743"/>
      <c r="G350" s="30" t="s">
        <v>27</v>
      </c>
      <c r="H350" s="126"/>
      <c r="I350" s="10"/>
      <c r="J350" s="10"/>
      <c r="K350" s="16"/>
    </row>
    <row r="351" spans="2:11" x14ac:dyDescent="0.25">
      <c r="B351" s="1750"/>
      <c r="D351" s="1740"/>
      <c r="E351" s="1743"/>
      <c r="G351" s="30" t="s">
        <v>28</v>
      </c>
      <c r="H351" s="126"/>
      <c r="I351" s="10"/>
      <c r="J351" s="10"/>
      <c r="K351" s="16"/>
    </row>
    <row r="352" spans="2:11" x14ac:dyDescent="0.25">
      <c r="B352" s="1750"/>
      <c r="D352" s="1740"/>
      <c r="E352" s="1743"/>
      <c r="G352" s="30" t="s">
        <v>29</v>
      </c>
      <c r="H352" s="126"/>
      <c r="I352" s="10"/>
      <c r="J352" s="10"/>
      <c r="K352" s="16"/>
    </row>
    <row r="353" spans="2:11" x14ac:dyDescent="0.25">
      <c r="B353" s="1750"/>
      <c r="D353" s="1740"/>
      <c r="E353" s="1743"/>
      <c r="G353" s="30" t="s">
        <v>30</v>
      </c>
      <c r="H353" s="126"/>
      <c r="I353" s="10"/>
      <c r="J353" s="10"/>
      <c r="K353" s="16"/>
    </row>
    <row r="354" spans="2:11" x14ac:dyDescent="0.25">
      <c r="B354" s="1750"/>
      <c r="D354" s="1740"/>
      <c r="E354" s="1743"/>
      <c r="G354" s="89" t="s">
        <v>31</v>
      </c>
      <c r="H354" s="1036">
        <f>SUM(H355:H356)</f>
        <v>0</v>
      </c>
      <c r="I354" s="90"/>
      <c r="J354" s="90"/>
      <c r="K354" s="91"/>
    </row>
    <row r="355" spans="2:11" x14ac:dyDescent="0.25">
      <c r="B355" s="1750"/>
      <c r="D355" s="1740"/>
      <c r="E355" s="1743"/>
      <c r="G355" s="30" t="s">
        <v>640</v>
      </c>
      <c r="H355" s="126"/>
      <c r="I355" s="10"/>
      <c r="J355" s="10"/>
      <c r="K355" s="16"/>
    </row>
    <row r="356" spans="2:11" x14ac:dyDescent="0.25">
      <c r="B356" s="1750"/>
      <c r="D356" s="1740"/>
      <c r="E356" s="1743"/>
      <c r="G356" s="30" t="s">
        <v>641</v>
      </c>
      <c r="H356" s="126"/>
      <c r="I356" s="10"/>
      <c r="J356" s="10"/>
      <c r="K356" s="16"/>
    </row>
    <row r="357" spans="2:11" x14ac:dyDescent="0.25">
      <c r="B357" s="1750"/>
      <c r="D357" s="1740"/>
      <c r="E357" s="1743"/>
      <c r="G357" s="1043" t="s">
        <v>32</v>
      </c>
      <c r="H357" s="1036"/>
      <c r="I357" s="1044"/>
      <c r="J357" s="1044"/>
      <c r="K357" s="1045"/>
    </row>
    <row r="358" spans="2:11" x14ac:dyDescent="0.25">
      <c r="B358" s="1750"/>
      <c r="D358" s="1740"/>
      <c r="E358" s="1743"/>
      <c r="G358" s="89" t="s">
        <v>33</v>
      </c>
      <c r="H358" s="132">
        <f>SUM(H359:H360)</f>
        <v>0</v>
      </c>
      <c r="I358" s="90"/>
      <c r="J358" s="90"/>
      <c r="K358" s="91"/>
    </row>
    <row r="359" spans="2:11" x14ac:dyDescent="0.25">
      <c r="B359" s="1750"/>
      <c r="D359" s="1740"/>
      <c r="E359" s="1743"/>
      <c r="G359" s="30" t="s">
        <v>34</v>
      </c>
      <c r="H359" s="126"/>
      <c r="I359" s="10"/>
      <c r="J359" s="10"/>
      <c r="K359" s="16"/>
    </row>
    <row r="360" spans="2:11" x14ac:dyDescent="0.25">
      <c r="B360" s="1750"/>
      <c r="D360" s="1740"/>
      <c r="E360" s="1743"/>
      <c r="G360" s="30" t="s">
        <v>35</v>
      </c>
      <c r="H360" s="126"/>
      <c r="I360" s="10"/>
      <c r="J360" s="10"/>
      <c r="K360" s="16"/>
    </row>
    <row r="361" spans="2:11" ht="15.75" thickBot="1" x14ac:dyDescent="0.3">
      <c r="B361" s="1750"/>
      <c r="D361" s="1741"/>
      <c r="E361" s="1744"/>
      <c r="G361" s="1047" t="s">
        <v>36</v>
      </c>
      <c r="H361" s="1048"/>
      <c r="I361" s="1049"/>
      <c r="J361" s="1049"/>
      <c r="K361" s="1050"/>
    </row>
    <row r="362" spans="2:11" ht="5.25" customHeight="1" x14ac:dyDescent="0.25">
      <c r="B362" s="1750"/>
      <c r="D362" s="95"/>
      <c r="E362" s="93"/>
      <c r="G362" s="94"/>
      <c r="H362" s="133"/>
      <c r="I362" s="94"/>
      <c r="J362" s="94"/>
      <c r="K362" s="85"/>
    </row>
    <row r="363" spans="2:11" x14ac:dyDescent="0.25">
      <c r="B363" s="1750"/>
      <c r="C363" s="92"/>
      <c r="D363" s="96"/>
      <c r="E363" s="92"/>
      <c r="F363" s="92"/>
      <c r="G363" s="92"/>
      <c r="H363" s="134"/>
      <c r="I363" s="92"/>
      <c r="J363" s="92"/>
      <c r="K363" s="92"/>
    </row>
    <row r="364" spans="2:11" ht="5.25" customHeight="1" thickBot="1" x14ac:dyDescent="0.3">
      <c r="B364" s="1750"/>
      <c r="D364" s="97"/>
      <c r="H364" s="4"/>
    </row>
    <row r="365" spans="2:11" ht="15" customHeight="1" x14ac:dyDescent="0.25">
      <c r="B365" s="1750"/>
      <c r="D365" s="1739">
        <v>98</v>
      </c>
      <c r="E365" s="1746" t="s">
        <v>158</v>
      </c>
      <c r="G365" s="86" t="s">
        <v>145</v>
      </c>
      <c r="H365" s="131">
        <f>H368</f>
        <v>40832.697923868138</v>
      </c>
      <c r="I365" s="87"/>
      <c r="J365" s="87"/>
      <c r="K365" s="88"/>
    </row>
    <row r="366" spans="2:11" x14ac:dyDescent="0.25">
      <c r="B366" s="1750"/>
      <c r="D366" s="1740"/>
      <c r="E366" s="1747"/>
      <c r="G366" s="30" t="s">
        <v>23</v>
      </c>
      <c r="H366" s="126">
        <f>SUM(H365,-H367)</f>
        <v>40832.697923868138</v>
      </c>
      <c r="I366" s="10"/>
      <c r="J366" s="10"/>
      <c r="K366" s="16"/>
    </row>
    <row r="367" spans="2:11" x14ac:dyDescent="0.25">
      <c r="B367" s="1750"/>
      <c r="D367" s="1740"/>
      <c r="E367" s="1747"/>
      <c r="G367" s="30" t="s">
        <v>24</v>
      </c>
      <c r="H367" s="126"/>
      <c r="I367" s="10"/>
      <c r="J367" s="10"/>
      <c r="K367" s="16"/>
    </row>
    <row r="368" spans="2:11" x14ac:dyDescent="0.25">
      <c r="B368" s="1750"/>
      <c r="D368" s="1740"/>
      <c r="E368" s="1747"/>
      <c r="G368" s="89" t="s">
        <v>146</v>
      </c>
      <c r="H368" s="132">
        <f>SUM(H369+H379)</f>
        <v>40832.697923868138</v>
      </c>
      <c r="I368" s="90"/>
      <c r="J368" s="90"/>
      <c r="K368" s="91"/>
    </row>
    <row r="369" spans="2:11" x14ac:dyDescent="0.25">
      <c r="B369" s="1750"/>
      <c r="D369" s="1740"/>
      <c r="E369" s="1747"/>
      <c r="G369" s="89" t="s">
        <v>25</v>
      </c>
      <c r="H369" s="132">
        <f>SUM(H370,H375,H378)</f>
        <v>40282.697923868138</v>
      </c>
      <c r="I369" s="90"/>
      <c r="J369" s="90"/>
      <c r="K369" s="91"/>
    </row>
    <row r="370" spans="2:11" x14ac:dyDescent="0.25">
      <c r="B370" s="1750"/>
      <c r="D370" s="1740"/>
      <c r="E370" s="1747"/>
      <c r="G370" s="89" t="s">
        <v>26</v>
      </c>
      <c r="H370" s="132">
        <f>SUM(H371:H374)</f>
        <v>11301.556149600257</v>
      </c>
      <c r="I370" s="90"/>
      <c r="J370" s="90"/>
      <c r="K370" s="91"/>
    </row>
    <row r="371" spans="2:11" x14ac:dyDescent="0.25">
      <c r="B371" s="1750"/>
      <c r="D371" s="1740"/>
      <c r="E371" s="1747"/>
      <c r="G371" s="30" t="s">
        <v>27</v>
      </c>
      <c r="H371" s="126">
        <v>5040</v>
      </c>
      <c r="I371" s="10"/>
      <c r="J371" s="10"/>
      <c r="K371" s="16"/>
    </row>
    <row r="372" spans="2:11" x14ac:dyDescent="0.25">
      <c r="B372" s="1750"/>
      <c r="D372" s="1740"/>
      <c r="E372" s="1747"/>
      <c r="G372" s="30" t="s">
        <v>28</v>
      </c>
      <c r="H372" s="126">
        <v>5116</v>
      </c>
      <c r="I372" s="10"/>
      <c r="J372" s="10"/>
      <c r="K372" s="16"/>
    </row>
    <row r="373" spans="2:11" x14ac:dyDescent="0.25">
      <c r="B373" s="1750"/>
      <c r="D373" s="1740"/>
      <c r="E373" s="1747"/>
      <c r="G373" s="30" t="s">
        <v>29</v>
      </c>
      <c r="H373" s="747">
        <f>+('RBM&amp;E-2017_S'!V$34*40%)</f>
        <v>11.556149600257422</v>
      </c>
      <c r="I373" s="10"/>
      <c r="J373" s="10"/>
      <c r="K373" s="16"/>
    </row>
    <row r="374" spans="2:11" x14ac:dyDescent="0.25">
      <c r="B374" s="1750"/>
      <c r="D374" s="1740"/>
      <c r="E374" s="1747"/>
      <c r="G374" s="30" t="s">
        <v>30</v>
      </c>
      <c r="H374" s="126">
        <v>1134</v>
      </c>
      <c r="I374" s="10"/>
      <c r="J374" s="10"/>
      <c r="K374" s="16"/>
    </row>
    <row r="375" spans="2:11" x14ac:dyDescent="0.25">
      <c r="B375" s="1750"/>
      <c r="D375" s="1740"/>
      <c r="E375" s="1747"/>
      <c r="G375" s="89" t="s">
        <v>31</v>
      </c>
      <c r="H375" s="132">
        <f>SUM(H376:H377)</f>
        <v>28981.141774267882</v>
      </c>
      <c r="I375" s="90"/>
      <c r="J375" s="90"/>
      <c r="K375" s="91" t="s">
        <v>1304</v>
      </c>
    </row>
    <row r="376" spans="2:11" ht="120" x14ac:dyDescent="0.25">
      <c r="B376" s="1750"/>
      <c r="D376" s="1740"/>
      <c r="E376" s="1747"/>
      <c r="G376" s="30" t="s">
        <v>640</v>
      </c>
      <c r="H376" s="747">
        <f>+('RBM&amp;E-2017_S'!V$27*70%)</f>
        <v>3806.6702373702446</v>
      </c>
      <c r="I376" s="10"/>
      <c r="J376" s="10"/>
      <c r="K376" s="16" t="s">
        <v>1089</v>
      </c>
    </row>
    <row r="377" spans="2:11" ht="120" x14ac:dyDescent="0.25">
      <c r="B377" s="1750"/>
      <c r="D377" s="1740"/>
      <c r="E377" s="1747"/>
      <c r="G377" s="30" t="s">
        <v>641</v>
      </c>
      <c r="H377" s="747">
        <f>+('RBM&amp;E-2017_S'!V$33*65%)</f>
        <v>25174.471536897639</v>
      </c>
      <c r="I377" s="10"/>
      <c r="J377" s="10"/>
      <c r="K377" s="16" t="s">
        <v>1089</v>
      </c>
    </row>
    <row r="378" spans="2:11" ht="30" x14ac:dyDescent="0.25">
      <c r="B378" s="1750"/>
      <c r="D378" s="1740"/>
      <c r="E378" s="1747"/>
      <c r="G378" s="1043" t="s">
        <v>32</v>
      </c>
      <c r="H378" s="1034"/>
      <c r="I378" s="1044"/>
      <c r="J378" s="1044"/>
      <c r="K378" s="1045" t="s">
        <v>1314</v>
      </c>
    </row>
    <row r="379" spans="2:11" x14ac:dyDescent="0.25">
      <c r="B379" s="1750"/>
      <c r="D379" s="1740"/>
      <c r="E379" s="1747"/>
      <c r="G379" s="89" t="s">
        <v>33</v>
      </c>
      <c r="H379" s="132">
        <f>SUM(H380:H381)</f>
        <v>550</v>
      </c>
      <c r="I379" s="90"/>
      <c r="J379" s="90"/>
      <c r="K379" s="91"/>
    </row>
    <row r="380" spans="2:11" x14ac:dyDescent="0.25">
      <c r="B380" s="1750"/>
      <c r="D380" s="1740"/>
      <c r="E380" s="1747"/>
      <c r="G380" s="30" t="s">
        <v>34</v>
      </c>
      <c r="H380" s="126">
        <v>550</v>
      </c>
      <c r="I380" s="10"/>
      <c r="J380" s="10"/>
      <c r="K380" s="16" t="s">
        <v>1268</v>
      </c>
    </row>
    <row r="381" spans="2:11" x14ac:dyDescent="0.25">
      <c r="B381" s="1750"/>
      <c r="D381" s="1740"/>
      <c r="E381" s="1747"/>
      <c r="G381" s="30" t="s">
        <v>35</v>
      </c>
      <c r="H381" s="126"/>
      <c r="I381" s="10"/>
      <c r="J381" s="10"/>
      <c r="K381" s="16"/>
    </row>
    <row r="382" spans="2:11" ht="15.75" thickBot="1" x14ac:dyDescent="0.3">
      <c r="B382" s="1750"/>
      <c r="D382" s="1741"/>
      <c r="E382" s="1748"/>
      <c r="G382" s="1047" t="s">
        <v>36</v>
      </c>
      <c r="H382" s="1048">
        <v>176061</v>
      </c>
      <c r="I382" s="1049"/>
      <c r="J382" s="1049"/>
      <c r="K382" s="1050" t="s">
        <v>1268</v>
      </c>
    </row>
    <row r="383" spans="2:11" ht="15" customHeight="1" x14ac:dyDescent="0.25">
      <c r="B383" s="1750"/>
      <c r="D383" s="1739">
        <v>99</v>
      </c>
      <c r="E383" s="1746" t="s">
        <v>159</v>
      </c>
      <c r="G383" s="86" t="s">
        <v>145</v>
      </c>
      <c r="H383" s="131">
        <f>SUM(H384:H385)</f>
        <v>0</v>
      </c>
      <c r="I383" s="87"/>
      <c r="J383" s="87"/>
      <c r="K383" s="88"/>
    </row>
    <row r="384" spans="2:11" x14ac:dyDescent="0.25">
      <c r="B384" s="1750"/>
      <c r="D384" s="1740"/>
      <c r="E384" s="1747"/>
      <c r="G384" s="30" t="s">
        <v>23</v>
      </c>
      <c r="H384" s="126"/>
      <c r="I384" s="10"/>
      <c r="J384" s="10"/>
      <c r="K384" s="16"/>
    </row>
    <row r="385" spans="2:11" x14ac:dyDescent="0.25">
      <c r="B385" s="1750"/>
      <c r="D385" s="1740"/>
      <c r="E385" s="1747"/>
      <c r="G385" s="30" t="s">
        <v>24</v>
      </c>
      <c r="H385" s="126"/>
      <c r="I385" s="10"/>
      <c r="J385" s="10"/>
      <c r="K385" s="16"/>
    </row>
    <row r="386" spans="2:11" x14ac:dyDescent="0.25">
      <c r="B386" s="1750"/>
      <c r="D386" s="1740"/>
      <c r="E386" s="1747"/>
      <c r="G386" s="89" t="s">
        <v>146</v>
      </c>
      <c r="H386" s="132">
        <f>SUM(H387+H397)</f>
        <v>0</v>
      </c>
      <c r="I386" s="90"/>
      <c r="J386" s="90"/>
      <c r="K386" s="91"/>
    </row>
    <row r="387" spans="2:11" x14ac:dyDescent="0.25">
      <c r="B387" s="1750"/>
      <c r="D387" s="1740"/>
      <c r="E387" s="1747"/>
      <c r="G387" s="89" t="s">
        <v>25</v>
      </c>
      <c r="H387" s="132">
        <f>SUM(H388,H393,H396)</f>
        <v>0</v>
      </c>
      <c r="I387" s="90"/>
      <c r="J387" s="90"/>
      <c r="K387" s="91"/>
    </row>
    <row r="388" spans="2:11" x14ac:dyDescent="0.25">
      <c r="B388" s="1750"/>
      <c r="D388" s="1740"/>
      <c r="E388" s="1747"/>
      <c r="G388" s="89" t="s">
        <v>26</v>
      </c>
      <c r="H388" s="132">
        <f>SUM(H389:H392)</f>
        <v>0</v>
      </c>
      <c r="I388" s="90"/>
      <c r="J388" s="90"/>
      <c r="K388" s="91"/>
    </row>
    <row r="389" spans="2:11" x14ac:dyDescent="0.25">
      <c r="B389" s="1750"/>
      <c r="D389" s="1740"/>
      <c r="E389" s="1747"/>
      <c r="G389" s="30" t="s">
        <v>27</v>
      </c>
      <c r="H389" s="126"/>
      <c r="I389" s="10"/>
      <c r="J389" s="10"/>
      <c r="K389" s="16"/>
    </row>
    <row r="390" spans="2:11" x14ac:dyDescent="0.25">
      <c r="B390" s="1750"/>
      <c r="D390" s="1740"/>
      <c r="E390" s="1747"/>
      <c r="G390" s="30" t="s">
        <v>28</v>
      </c>
      <c r="H390" s="126"/>
      <c r="I390" s="10"/>
      <c r="J390" s="10"/>
      <c r="K390" s="16"/>
    </row>
    <row r="391" spans="2:11" x14ac:dyDescent="0.25">
      <c r="B391" s="1750"/>
      <c r="D391" s="1740"/>
      <c r="E391" s="1747"/>
      <c r="G391" s="30" t="s">
        <v>29</v>
      </c>
      <c r="H391" s="126"/>
      <c r="I391" s="10"/>
      <c r="J391" s="10"/>
      <c r="K391" s="16"/>
    </row>
    <row r="392" spans="2:11" x14ac:dyDescent="0.25">
      <c r="B392" s="1750"/>
      <c r="D392" s="1740"/>
      <c r="E392" s="1747"/>
      <c r="G392" s="30" t="s">
        <v>30</v>
      </c>
      <c r="H392" s="126"/>
      <c r="I392" s="10"/>
      <c r="J392" s="10"/>
      <c r="K392" s="16"/>
    </row>
    <row r="393" spans="2:11" x14ac:dyDescent="0.25">
      <c r="B393" s="1750"/>
      <c r="D393" s="1740"/>
      <c r="E393" s="1747"/>
      <c r="G393" s="89" t="s">
        <v>31</v>
      </c>
      <c r="H393" s="132"/>
      <c r="I393" s="90"/>
      <c r="J393" s="90"/>
      <c r="K393" s="91"/>
    </row>
    <row r="394" spans="2:11" x14ac:dyDescent="0.25">
      <c r="B394" s="1750"/>
      <c r="D394" s="1740"/>
      <c r="E394" s="1747"/>
      <c r="G394" s="30" t="s">
        <v>640</v>
      </c>
      <c r="H394" s="126"/>
      <c r="I394" s="10"/>
      <c r="J394" s="10"/>
      <c r="K394" s="16"/>
    </row>
    <row r="395" spans="2:11" x14ac:dyDescent="0.25">
      <c r="B395" s="1750"/>
      <c r="D395" s="1740"/>
      <c r="E395" s="1747"/>
      <c r="G395" s="30" t="s">
        <v>641</v>
      </c>
      <c r="H395" s="126"/>
      <c r="I395" s="10"/>
      <c r="J395" s="10"/>
      <c r="K395" s="16"/>
    </row>
    <row r="396" spans="2:11" x14ac:dyDescent="0.25">
      <c r="B396" s="1750"/>
      <c r="D396" s="1740"/>
      <c r="E396" s="1747"/>
      <c r="G396" s="1043" t="s">
        <v>32</v>
      </c>
      <c r="H396" s="1036"/>
      <c r="I396" s="1044"/>
      <c r="J396" s="1044"/>
      <c r="K396" s="1045"/>
    </row>
    <row r="397" spans="2:11" x14ac:dyDescent="0.25">
      <c r="B397" s="1750"/>
      <c r="D397" s="1740"/>
      <c r="E397" s="1747"/>
      <c r="G397" s="89" t="s">
        <v>33</v>
      </c>
      <c r="H397" s="132">
        <f>SUM(H398:H399)</f>
        <v>0</v>
      </c>
      <c r="I397" s="90"/>
      <c r="J397" s="90"/>
      <c r="K397" s="91"/>
    </row>
    <row r="398" spans="2:11" x14ac:dyDescent="0.25">
      <c r="B398" s="1750"/>
      <c r="D398" s="1740"/>
      <c r="E398" s="1747"/>
      <c r="G398" s="30" t="s">
        <v>34</v>
      </c>
      <c r="H398" s="126"/>
      <c r="I398" s="10"/>
      <c r="J398" s="10"/>
      <c r="K398" s="16"/>
    </row>
    <row r="399" spans="2:11" x14ac:dyDescent="0.25">
      <c r="B399" s="1750"/>
      <c r="D399" s="1740"/>
      <c r="E399" s="1747"/>
      <c r="G399" s="30" t="s">
        <v>35</v>
      </c>
      <c r="H399" s="126"/>
      <c r="I399" s="10"/>
      <c r="J399" s="10"/>
      <c r="K399" s="16"/>
    </row>
    <row r="400" spans="2:11" ht="15.75" thickBot="1" x14ac:dyDescent="0.3">
      <c r="B400" s="1751"/>
      <c r="D400" s="1741"/>
      <c r="E400" s="1748"/>
      <c r="G400" s="1047" t="s">
        <v>36</v>
      </c>
      <c r="H400" s="1048">
        <v>6514.5680899999998</v>
      </c>
      <c r="I400" s="1049"/>
      <c r="J400" s="1049"/>
      <c r="K400" s="1050" t="s">
        <v>1268</v>
      </c>
    </row>
    <row r="401" spans="1:11" x14ac:dyDescent="0.25">
      <c r="H401" s="4"/>
    </row>
    <row r="402" spans="1:11" ht="38.25" customHeight="1" x14ac:dyDescent="0.25">
      <c r="A402" s="83"/>
      <c r="B402" s="83"/>
      <c r="C402" s="83"/>
      <c r="D402" s="83"/>
      <c r="E402" s="83"/>
      <c r="F402" s="83"/>
      <c r="G402" s="83"/>
      <c r="H402" s="135"/>
      <c r="I402" s="83"/>
      <c r="J402" s="83"/>
      <c r="K402" s="83"/>
    </row>
    <row r="403" spans="1:11" ht="15.75" thickBot="1" x14ac:dyDescent="0.3">
      <c r="H403" s="4"/>
    </row>
    <row r="404" spans="1:11" ht="45.75" thickBot="1" x14ac:dyDescent="0.3">
      <c r="B404" s="98"/>
      <c r="D404" s="14" t="s">
        <v>147</v>
      </c>
      <c r="E404" s="84" t="s">
        <v>12</v>
      </c>
      <c r="G404" s="28" t="s">
        <v>133</v>
      </c>
      <c r="H404" s="136" t="s">
        <v>75</v>
      </c>
      <c r="I404" s="12" t="s">
        <v>134</v>
      </c>
      <c r="J404" s="12" t="s">
        <v>135</v>
      </c>
      <c r="K404" s="13" t="s">
        <v>76</v>
      </c>
    </row>
    <row r="405" spans="1:11" ht="15" customHeight="1" x14ac:dyDescent="0.25">
      <c r="B405" s="1749" t="s">
        <v>38</v>
      </c>
      <c r="D405" s="1745" t="s">
        <v>15</v>
      </c>
      <c r="E405" s="1746" t="s">
        <v>148</v>
      </c>
      <c r="G405" s="86" t="s">
        <v>39</v>
      </c>
      <c r="H405" s="131">
        <f>SUM(H406:H407)</f>
        <v>0</v>
      </c>
      <c r="I405" s="87"/>
      <c r="J405" s="87"/>
      <c r="K405" s="88"/>
    </row>
    <row r="406" spans="1:11" x14ac:dyDescent="0.25">
      <c r="B406" s="1750"/>
      <c r="D406" s="1740"/>
      <c r="E406" s="1747"/>
      <c r="G406" s="30" t="s">
        <v>40</v>
      </c>
      <c r="H406" s="126"/>
      <c r="I406" s="10"/>
      <c r="J406" s="10"/>
      <c r="K406" s="16"/>
    </row>
    <row r="407" spans="1:11" x14ac:dyDescent="0.25">
      <c r="B407" s="1750"/>
      <c r="D407" s="1740"/>
      <c r="E407" s="1747"/>
      <c r="G407" s="30" t="s">
        <v>41</v>
      </c>
      <c r="H407" s="126"/>
      <c r="I407" s="10"/>
      <c r="J407" s="10"/>
      <c r="K407" s="16"/>
    </row>
    <row r="408" spans="1:11" x14ac:dyDescent="0.25">
      <c r="B408" s="1750"/>
      <c r="D408" s="1740"/>
      <c r="E408" s="1747"/>
      <c r="G408" s="89" t="s">
        <v>161</v>
      </c>
      <c r="H408" s="132">
        <f>SUM(H409,H413)</f>
        <v>1524008.4750215835</v>
      </c>
      <c r="I408" s="90"/>
      <c r="J408" s="90"/>
      <c r="K408" s="91"/>
    </row>
    <row r="409" spans="1:11" x14ac:dyDescent="0.25">
      <c r="B409" s="1750"/>
      <c r="D409" s="1740"/>
      <c r="E409" s="1747"/>
      <c r="G409" s="89" t="s">
        <v>43</v>
      </c>
      <c r="H409" s="132">
        <f>SUM(H410:H412)</f>
        <v>1524008.4750215835</v>
      </c>
      <c r="I409" s="90"/>
      <c r="J409" s="90"/>
      <c r="K409" s="91"/>
    </row>
    <row r="410" spans="1:11" x14ac:dyDescent="0.25">
      <c r="B410" s="1750"/>
      <c r="D410" s="1740"/>
      <c r="E410" s="1747"/>
      <c r="G410" s="30" t="s">
        <v>44</v>
      </c>
      <c r="H410" s="437">
        <f>91372.372775+(H3*0.05)</f>
        <v>766714.77389829163</v>
      </c>
      <c r="I410" s="10"/>
      <c r="J410" s="10"/>
      <c r="K410" s="16"/>
    </row>
    <row r="411" spans="1:11" x14ac:dyDescent="0.25">
      <c r="B411" s="1750"/>
      <c r="D411" s="1740"/>
      <c r="E411" s="1747"/>
      <c r="G411" s="30" t="s">
        <v>45</v>
      </c>
      <c r="H411" s="126">
        <v>81951.3</v>
      </c>
      <c r="I411" s="10"/>
      <c r="J411" s="10"/>
      <c r="K411" s="16"/>
    </row>
    <row r="412" spans="1:11" x14ac:dyDescent="0.25">
      <c r="B412" s="1750"/>
      <c r="D412" s="1740"/>
      <c r="E412" s="1747"/>
      <c r="G412" s="30" t="s">
        <v>46</v>
      </c>
      <c r="H412" s="438">
        <f>H3*0.05</f>
        <v>675342.4011232917</v>
      </c>
      <c r="I412" s="10"/>
      <c r="J412" s="10"/>
      <c r="K412" s="16"/>
    </row>
    <row r="413" spans="1:11" ht="15.75" thickBot="1" x14ac:dyDescent="0.3">
      <c r="B413" s="1750"/>
      <c r="D413" s="1741"/>
      <c r="E413" s="1748"/>
      <c r="G413" s="31" t="s">
        <v>47</v>
      </c>
      <c r="H413" s="127"/>
      <c r="I413" s="15"/>
      <c r="J413" s="15"/>
      <c r="K413" s="17"/>
    </row>
    <row r="414" spans="1:11" ht="15" customHeight="1" x14ac:dyDescent="0.25">
      <c r="B414" s="1750"/>
      <c r="D414" s="1745" t="s">
        <v>16</v>
      </c>
      <c r="E414" s="1746" t="s">
        <v>149</v>
      </c>
      <c r="G414" s="86" t="s">
        <v>39</v>
      </c>
      <c r="H414" s="131">
        <f>SUM(H415:H416)</f>
        <v>21308.242089437204</v>
      </c>
      <c r="I414" s="87"/>
      <c r="J414" s="87"/>
      <c r="K414" s="88"/>
    </row>
    <row r="415" spans="1:11" x14ac:dyDescent="0.25">
      <c r="B415" s="1750"/>
      <c r="D415" s="1740"/>
      <c r="E415" s="1747"/>
      <c r="G415" s="30" t="s">
        <v>40</v>
      </c>
      <c r="H415" s="126">
        <f>H20*95%</f>
        <v>21308.242089437204</v>
      </c>
      <c r="I415" s="10"/>
      <c r="J415" s="10"/>
      <c r="K415" s="16"/>
    </row>
    <row r="416" spans="1:11" x14ac:dyDescent="0.25">
      <c r="B416" s="1750"/>
      <c r="D416" s="1740"/>
      <c r="E416" s="1747"/>
      <c r="G416" s="30" t="s">
        <v>41</v>
      </c>
      <c r="H416" s="126"/>
      <c r="I416" s="10"/>
      <c r="J416" s="10"/>
      <c r="K416" s="16"/>
    </row>
    <row r="417" spans="2:11" x14ac:dyDescent="0.25">
      <c r="B417" s="1750"/>
      <c r="D417" s="1740"/>
      <c r="E417" s="1747"/>
      <c r="G417" s="89" t="s">
        <v>161</v>
      </c>
      <c r="H417" s="132">
        <f>SUM(H418,H422)</f>
        <v>54.219910499999997</v>
      </c>
      <c r="I417" s="90"/>
      <c r="J417" s="90"/>
      <c r="K417" s="91"/>
    </row>
    <row r="418" spans="2:11" x14ac:dyDescent="0.25">
      <c r="B418" s="1750"/>
      <c r="D418" s="1740"/>
      <c r="E418" s="1747"/>
      <c r="G418" s="89" t="s">
        <v>43</v>
      </c>
      <c r="H418" s="132">
        <f>SUM(H419:H421)</f>
        <v>54.219910499999997</v>
      </c>
      <c r="I418" s="90"/>
      <c r="J418" s="90"/>
      <c r="K418" s="91"/>
    </row>
    <row r="419" spans="2:11" x14ac:dyDescent="0.25">
      <c r="B419" s="1750"/>
      <c r="D419" s="1740"/>
      <c r="E419" s="1747"/>
      <c r="G419" s="30" t="s">
        <v>44</v>
      </c>
      <c r="H419" s="126">
        <f>H30*2%</f>
        <v>1.2757626</v>
      </c>
      <c r="I419" s="10"/>
      <c r="J419" s="10"/>
      <c r="K419" s="16"/>
    </row>
    <row r="420" spans="2:11" x14ac:dyDescent="0.25">
      <c r="B420" s="1750"/>
      <c r="D420" s="1740"/>
      <c r="E420" s="1747"/>
      <c r="G420" s="30" t="s">
        <v>45</v>
      </c>
      <c r="H420" s="126">
        <f>H30*3%</f>
        <v>1.9136439000000001</v>
      </c>
      <c r="I420" s="10"/>
      <c r="J420" s="10"/>
      <c r="K420" s="16"/>
    </row>
    <row r="421" spans="2:11" x14ac:dyDescent="0.25">
      <c r="B421" s="1750"/>
      <c r="D421" s="1740"/>
      <c r="E421" s="1747"/>
      <c r="G421" s="30" t="s">
        <v>46</v>
      </c>
      <c r="H421" s="126">
        <v>51.030504000000001</v>
      </c>
      <c r="I421" s="10"/>
      <c r="J421" s="10"/>
      <c r="K421" s="16"/>
    </row>
    <row r="422" spans="2:11" ht="15.75" thickBot="1" x14ac:dyDescent="0.3">
      <c r="B422" s="1750"/>
      <c r="D422" s="1741"/>
      <c r="E422" s="1748"/>
      <c r="G422" s="31" t="s">
        <v>47</v>
      </c>
      <c r="H422" s="127"/>
      <c r="I422" s="15"/>
      <c r="J422" s="15"/>
      <c r="K422" s="17"/>
    </row>
    <row r="423" spans="2:11" ht="15" customHeight="1" x14ac:dyDescent="0.25">
      <c r="B423" s="1750"/>
      <c r="D423" s="1745" t="s">
        <v>160</v>
      </c>
      <c r="E423" s="1746" t="s">
        <v>150</v>
      </c>
      <c r="G423" s="86" t="s">
        <v>39</v>
      </c>
      <c r="H423" s="131">
        <f>SUM(H424:H425)</f>
        <v>816.87563283886971</v>
      </c>
      <c r="I423" s="87"/>
      <c r="J423" s="87"/>
      <c r="K423" s="88"/>
    </row>
    <row r="424" spans="2:11" x14ac:dyDescent="0.25">
      <c r="B424" s="1750"/>
      <c r="D424" s="1740"/>
      <c r="E424" s="1747"/>
      <c r="G424" s="30" t="s">
        <v>40</v>
      </c>
      <c r="H424" s="126">
        <v>346.29059499999994</v>
      </c>
      <c r="I424" s="10"/>
      <c r="J424" s="10"/>
      <c r="K424" s="16"/>
    </row>
    <row r="425" spans="2:11" x14ac:dyDescent="0.25">
      <c r="B425" s="1750"/>
      <c r="D425" s="1740"/>
      <c r="E425" s="1747"/>
      <c r="G425" s="30" t="s">
        <v>41</v>
      </c>
      <c r="H425" s="126">
        <v>470.58503783886977</v>
      </c>
      <c r="I425" s="10"/>
      <c r="J425" s="10"/>
      <c r="K425" s="16"/>
    </row>
    <row r="426" spans="2:11" x14ac:dyDescent="0.25">
      <c r="B426" s="1750"/>
      <c r="D426" s="1740"/>
      <c r="E426" s="1747"/>
      <c r="G426" s="89" t="s">
        <v>161</v>
      </c>
      <c r="H426" s="132">
        <f>SUM(H427,H431)</f>
        <v>514699.26072578493</v>
      </c>
      <c r="I426" s="90"/>
      <c r="J426" s="90"/>
      <c r="K426" s="91"/>
    </row>
    <row r="427" spans="2:11" x14ac:dyDescent="0.25">
      <c r="B427" s="1750"/>
      <c r="D427" s="1740"/>
      <c r="E427" s="1747"/>
      <c r="G427" s="89" t="s">
        <v>43</v>
      </c>
      <c r="H427" s="132">
        <f>SUM(H428:H430)</f>
        <v>514699.26072578493</v>
      </c>
      <c r="I427" s="90"/>
      <c r="J427" s="90"/>
      <c r="K427" s="91"/>
    </row>
    <row r="428" spans="2:11" x14ac:dyDescent="0.25">
      <c r="B428" s="1750"/>
      <c r="D428" s="1740"/>
      <c r="E428" s="1747"/>
      <c r="G428" s="30" t="s">
        <v>44</v>
      </c>
      <c r="H428" s="126">
        <v>514526.07285221177</v>
      </c>
      <c r="I428" s="10"/>
      <c r="J428" s="10"/>
      <c r="K428" s="16"/>
    </row>
    <row r="429" spans="2:11" x14ac:dyDescent="0.25">
      <c r="B429" s="1750"/>
      <c r="D429" s="1740"/>
      <c r="E429" s="1747"/>
      <c r="G429" s="30" t="s">
        <v>45</v>
      </c>
      <c r="H429" s="126">
        <v>166.95464286320009</v>
      </c>
      <c r="I429" s="10"/>
      <c r="J429" s="10"/>
      <c r="K429" s="16"/>
    </row>
    <row r="430" spans="2:11" x14ac:dyDescent="0.25">
      <c r="B430" s="1750"/>
      <c r="D430" s="1740"/>
      <c r="E430" s="1747"/>
      <c r="G430" s="30" t="s">
        <v>46</v>
      </c>
      <c r="H430" s="126">
        <v>6.2332307099999991</v>
      </c>
      <c r="I430" s="10"/>
      <c r="J430" s="10"/>
      <c r="K430" s="16"/>
    </row>
    <row r="431" spans="2:11" ht="15.75" thickBot="1" x14ac:dyDescent="0.3">
      <c r="B431" s="1750"/>
      <c r="D431" s="1741"/>
      <c r="E431" s="1748"/>
      <c r="G431" s="31" t="s">
        <v>47</v>
      </c>
      <c r="H431" s="127"/>
      <c r="I431" s="15"/>
      <c r="J431" s="15"/>
      <c r="K431" s="17"/>
    </row>
    <row r="432" spans="2:11" ht="15" customHeight="1" x14ac:dyDescent="0.25">
      <c r="B432" s="1750"/>
      <c r="D432" s="1739">
        <v>35</v>
      </c>
      <c r="E432" s="1746" t="s">
        <v>151</v>
      </c>
      <c r="G432" s="86" t="s">
        <v>39</v>
      </c>
      <c r="H432" s="131">
        <f>SUM(H433:H434)</f>
        <v>0</v>
      </c>
      <c r="I432" s="87"/>
      <c r="J432" s="87"/>
      <c r="K432" s="88"/>
    </row>
    <row r="433" spans="2:11" x14ac:dyDescent="0.25">
      <c r="B433" s="1750"/>
      <c r="D433" s="1740"/>
      <c r="E433" s="1747"/>
      <c r="G433" s="30" t="s">
        <v>40</v>
      </c>
      <c r="H433" s="126"/>
      <c r="I433" s="10"/>
      <c r="J433" s="10"/>
      <c r="K433" s="16"/>
    </row>
    <row r="434" spans="2:11" x14ac:dyDescent="0.25">
      <c r="B434" s="1750"/>
      <c r="D434" s="1740"/>
      <c r="E434" s="1747"/>
      <c r="G434" s="30" t="s">
        <v>41</v>
      </c>
      <c r="H434" s="126"/>
      <c r="I434" s="10"/>
      <c r="J434" s="10"/>
      <c r="K434" s="16"/>
    </row>
    <row r="435" spans="2:11" x14ac:dyDescent="0.25">
      <c r="B435" s="1750"/>
      <c r="D435" s="1740"/>
      <c r="E435" s="1747"/>
      <c r="G435" s="89" t="s">
        <v>161</v>
      </c>
      <c r="H435" s="132">
        <f>SUM(H436,H440)</f>
        <v>339158.53014693107</v>
      </c>
      <c r="I435" s="90"/>
      <c r="J435" s="90"/>
      <c r="K435" s="91"/>
    </row>
    <row r="436" spans="2:11" x14ac:dyDescent="0.25">
      <c r="B436" s="1750"/>
      <c r="D436" s="1740"/>
      <c r="E436" s="1747"/>
      <c r="G436" s="89" t="s">
        <v>43</v>
      </c>
      <c r="H436" s="132">
        <f>SUM(H437:H439)</f>
        <v>339158.53014693107</v>
      </c>
      <c r="I436" s="90"/>
      <c r="J436" s="90"/>
      <c r="K436" s="91"/>
    </row>
    <row r="437" spans="2:11" x14ac:dyDescent="0.25">
      <c r="B437" s="1750"/>
      <c r="D437" s="1740"/>
      <c r="E437" s="1747"/>
      <c r="G437" s="30" t="s">
        <v>44</v>
      </c>
      <c r="H437" s="1034">
        <f>SUM(H61)*95%</f>
        <v>339158.53014693107</v>
      </c>
      <c r="I437" s="10"/>
      <c r="J437" s="10"/>
      <c r="K437" s="16" t="s">
        <v>1523</v>
      </c>
    </row>
    <row r="438" spans="2:11" x14ac:dyDescent="0.25">
      <c r="B438" s="1750"/>
      <c r="D438" s="1740"/>
      <c r="E438" s="1747"/>
      <c r="G438" s="30" t="s">
        <v>45</v>
      </c>
      <c r="H438" s="126"/>
      <c r="I438" s="10"/>
      <c r="J438" s="10"/>
      <c r="K438" s="16"/>
    </row>
    <row r="439" spans="2:11" x14ac:dyDescent="0.25">
      <c r="B439" s="1750"/>
      <c r="D439" s="1740"/>
      <c r="E439" s="1747"/>
      <c r="G439" s="30" t="s">
        <v>46</v>
      </c>
      <c r="H439" s="126"/>
      <c r="I439" s="10"/>
      <c r="J439" s="10"/>
      <c r="K439" s="16"/>
    </row>
    <row r="440" spans="2:11" ht="15.75" thickBot="1" x14ac:dyDescent="0.3">
      <c r="B440" s="1750"/>
      <c r="D440" s="1741"/>
      <c r="E440" s="1748"/>
      <c r="G440" s="31" t="s">
        <v>47</v>
      </c>
      <c r="H440" s="127"/>
      <c r="I440" s="15"/>
      <c r="J440" s="15"/>
      <c r="K440" s="17"/>
    </row>
    <row r="441" spans="2:11" ht="15" customHeight="1" x14ac:dyDescent="0.25">
      <c r="B441" s="1750"/>
      <c r="D441" s="1745" t="s">
        <v>18</v>
      </c>
      <c r="E441" s="1746" t="s">
        <v>152</v>
      </c>
      <c r="G441" s="86" t="s">
        <v>39</v>
      </c>
      <c r="H441" s="131">
        <f>SUM(H442:H443)</f>
        <v>0</v>
      </c>
      <c r="I441" s="87"/>
      <c r="J441" s="87"/>
      <c r="K441" s="88"/>
    </row>
    <row r="442" spans="2:11" x14ac:dyDescent="0.25">
      <c r="B442" s="1750"/>
      <c r="D442" s="1740"/>
      <c r="E442" s="1747"/>
      <c r="G442" s="30" t="s">
        <v>40</v>
      </c>
      <c r="H442" s="126"/>
      <c r="I442" s="10"/>
      <c r="J442" s="10"/>
      <c r="K442" s="16"/>
    </row>
    <row r="443" spans="2:11" x14ac:dyDescent="0.25">
      <c r="B443" s="1750"/>
      <c r="D443" s="1740"/>
      <c r="E443" s="1747"/>
      <c r="G443" s="30" t="s">
        <v>41</v>
      </c>
      <c r="H443" s="126"/>
      <c r="I443" s="10"/>
      <c r="J443" s="10"/>
      <c r="K443" s="16"/>
    </row>
    <row r="444" spans="2:11" x14ac:dyDescent="0.25">
      <c r="B444" s="1750"/>
      <c r="D444" s="1740"/>
      <c r="E444" s="1747"/>
      <c r="G444" s="89" t="s">
        <v>161</v>
      </c>
      <c r="H444" s="132">
        <f>SUM(H445,H449)</f>
        <v>2570.3302400000002</v>
      </c>
      <c r="I444" s="90"/>
      <c r="J444" s="90"/>
      <c r="K444" s="91"/>
    </row>
    <row r="445" spans="2:11" x14ac:dyDescent="0.25">
      <c r="B445" s="1750"/>
      <c r="D445" s="1740"/>
      <c r="E445" s="1747"/>
      <c r="G445" s="89" t="s">
        <v>43</v>
      </c>
      <c r="H445" s="132">
        <f>SUM(H446:H448)</f>
        <v>2570.3302400000002</v>
      </c>
      <c r="I445" s="90"/>
      <c r="J445" s="90"/>
      <c r="K445" s="91"/>
    </row>
    <row r="446" spans="2:11" x14ac:dyDescent="0.25">
      <c r="B446" s="1750"/>
      <c r="D446" s="1740"/>
      <c r="E446" s="1747"/>
      <c r="G446" s="30" t="s">
        <v>44</v>
      </c>
      <c r="H446" s="126">
        <v>2570.3302400000002</v>
      </c>
      <c r="I446" s="10"/>
      <c r="J446" s="10"/>
      <c r="K446" s="16"/>
    </row>
    <row r="447" spans="2:11" x14ac:dyDescent="0.25">
      <c r="B447" s="1750"/>
      <c r="D447" s="1740"/>
      <c r="E447" s="1747"/>
      <c r="G447" s="30" t="s">
        <v>45</v>
      </c>
      <c r="H447" s="126"/>
      <c r="I447" s="10"/>
      <c r="J447" s="10"/>
      <c r="K447" s="16"/>
    </row>
    <row r="448" spans="2:11" x14ac:dyDescent="0.25">
      <c r="B448" s="1750"/>
      <c r="D448" s="1740"/>
      <c r="E448" s="1747"/>
      <c r="G448" s="30" t="s">
        <v>46</v>
      </c>
      <c r="H448" s="126"/>
      <c r="I448" s="10"/>
      <c r="J448" s="10"/>
      <c r="K448" s="16"/>
    </row>
    <row r="449" spans="2:11" ht="15.75" thickBot="1" x14ac:dyDescent="0.3">
      <c r="B449" s="1750"/>
      <c r="D449" s="1741"/>
      <c r="E449" s="1748"/>
      <c r="G449" s="31" t="s">
        <v>47</v>
      </c>
      <c r="H449" s="127"/>
      <c r="I449" s="15"/>
      <c r="J449" s="15"/>
      <c r="K449" s="17"/>
    </row>
    <row r="450" spans="2:11" ht="15" customHeight="1" x14ac:dyDescent="0.25">
      <c r="B450" s="1750"/>
      <c r="D450" s="1745"/>
      <c r="E450" s="1742" t="s">
        <v>643</v>
      </c>
      <c r="G450" s="86" t="s">
        <v>39</v>
      </c>
      <c r="H450" s="131">
        <f>SUM(H451:H452)</f>
        <v>0</v>
      </c>
      <c r="I450" s="87"/>
      <c r="J450" s="87"/>
      <c r="K450" s="88"/>
    </row>
    <row r="451" spans="2:11" x14ac:dyDescent="0.25">
      <c r="B451" s="1750"/>
      <c r="D451" s="1740"/>
      <c r="E451" s="1743"/>
      <c r="G451" s="30" t="s">
        <v>40</v>
      </c>
      <c r="H451" s="126"/>
      <c r="I451" s="10"/>
      <c r="J451" s="10"/>
      <c r="K451" s="16"/>
    </row>
    <row r="452" spans="2:11" x14ac:dyDescent="0.25">
      <c r="B452" s="1750"/>
      <c r="D452" s="1740"/>
      <c r="E452" s="1743"/>
      <c r="G452" s="30" t="s">
        <v>41</v>
      </c>
      <c r="H452" s="126"/>
      <c r="I452" s="10"/>
      <c r="J452" s="10"/>
      <c r="K452" s="16"/>
    </row>
    <row r="453" spans="2:11" x14ac:dyDescent="0.25">
      <c r="B453" s="1750"/>
      <c r="D453" s="1740"/>
      <c r="E453" s="1743"/>
      <c r="G453" s="89" t="s">
        <v>161</v>
      </c>
      <c r="H453" s="132">
        <f>SUM(H454,H458)</f>
        <v>0</v>
      </c>
      <c r="I453" s="90"/>
      <c r="J453" s="90"/>
      <c r="K453" s="91"/>
    </row>
    <row r="454" spans="2:11" x14ac:dyDescent="0.25">
      <c r="B454" s="1750"/>
      <c r="D454" s="1740"/>
      <c r="E454" s="1743"/>
      <c r="G454" s="89" t="s">
        <v>43</v>
      </c>
      <c r="H454" s="132">
        <f>SUM(H455:H457)</f>
        <v>0</v>
      </c>
      <c r="I454" s="90"/>
      <c r="J454" s="90"/>
      <c r="K454" s="91"/>
    </row>
    <row r="455" spans="2:11" x14ac:dyDescent="0.25">
      <c r="B455" s="1750"/>
      <c r="D455" s="1740"/>
      <c r="E455" s="1743"/>
      <c r="G455" s="30" t="s">
        <v>44</v>
      </c>
      <c r="H455" s="126"/>
      <c r="I455" s="10"/>
      <c r="J455" s="10"/>
      <c r="K455" s="16"/>
    </row>
    <row r="456" spans="2:11" x14ac:dyDescent="0.25">
      <c r="B456" s="1750"/>
      <c r="D456" s="1740"/>
      <c r="E456" s="1743"/>
      <c r="G456" s="30" t="s">
        <v>45</v>
      </c>
      <c r="H456" s="126"/>
      <c r="I456" s="10"/>
      <c r="J456" s="10"/>
      <c r="K456" s="16"/>
    </row>
    <row r="457" spans="2:11" x14ac:dyDescent="0.25">
      <c r="B457" s="1750"/>
      <c r="D457" s="1740"/>
      <c r="E457" s="1743"/>
      <c r="G457" s="30" t="s">
        <v>46</v>
      </c>
      <c r="H457" s="126"/>
      <c r="I457" s="10"/>
      <c r="J457" s="10"/>
      <c r="K457" s="16"/>
    </row>
    <row r="458" spans="2:11" ht="15.75" thickBot="1" x14ac:dyDescent="0.3">
      <c r="B458" s="1750"/>
      <c r="D458" s="1741"/>
      <c r="E458" s="1744"/>
      <c r="G458" s="31" t="s">
        <v>47</v>
      </c>
      <c r="H458" s="127"/>
      <c r="I458" s="15"/>
      <c r="J458" s="15"/>
      <c r="K458" s="17"/>
    </row>
    <row r="459" spans="2:11" ht="15" customHeight="1" x14ac:dyDescent="0.25">
      <c r="B459" s="1750"/>
      <c r="D459" s="1745"/>
      <c r="E459" s="1742" t="s">
        <v>644</v>
      </c>
      <c r="G459" s="86" t="s">
        <v>39</v>
      </c>
      <c r="H459" s="131">
        <f>SUM(H460:H461)</f>
        <v>0</v>
      </c>
      <c r="I459" s="87"/>
      <c r="J459" s="87"/>
      <c r="K459" s="88"/>
    </row>
    <row r="460" spans="2:11" x14ac:dyDescent="0.25">
      <c r="B460" s="1750"/>
      <c r="D460" s="1740"/>
      <c r="E460" s="1743"/>
      <c r="G460" s="30" t="s">
        <v>40</v>
      </c>
      <c r="H460" s="126"/>
      <c r="I460" s="10"/>
      <c r="J460" s="10"/>
      <c r="K460" s="16"/>
    </row>
    <row r="461" spans="2:11" x14ac:dyDescent="0.25">
      <c r="B461" s="1750"/>
      <c r="D461" s="1740"/>
      <c r="E461" s="1743"/>
      <c r="G461" s="30" t="s">
        <v>41</v>
      </c>
      <c r="H461" s="126"/>
      <c r="I461" s="10"/>
      <c r="J461" s="10"/>
      <c r="K461" s="16"/>
    </row>
    <row r="462" spans="2:11" x14ac:dyDescent="0.25">
      <c r="B462" s="1750"/>
      <c r="D462" s="1740"/>
      <c r="E462" s="1743"/>
      <c r="G462" s="89" t="s">
        <v>161</v>
      </c>
      <c r="H462" s="132">
        <f>SUM(H463,H467)</f>
        <v>0</v>
      </c>
      <c r="I462" s="90"/>
      <c r="J462" s="90"/>
      <c r="K462" s="91"/>
    </row>
    <row r="463" spans="2:11" x14ac:dyDescent="0.25">
      <c r="B463" s="1750"/>
      <c r="D463" s="1740"/>
      <c r="E463" s="1743"/>
      <c r="G463" s="89" t="s">
        <v>43</v>
      </c>
      <c r="H463" s="132">
        <f>SUM(H464:H466)</f>
        <v>0</v>
      </c>
      <c r="I463" s="90"/>
      <c r="J463" s="90"/>
      <c r="K463" s="91"/>
    </row>
    <row r="464" spans="2:11" x14ac:dyDescent="0.25">
      <c r="B464" s="1750"/>
      <c r="D464" s="1740"/>
      <c r="E464" s="1743"/>
      <c r="G464" s="30" t="s">
        <v>44</v>
      </c>
      <c r="H464" s="126"/>
      <c r="I464" s="10"/>
      <c r="J464" s="10"/>
      <c r="K464" s="16"/>
    </row>
    <row r="465" spans="2:11" x14ac:dyDescent="0.25">
      <c r="B465" s="1750"/>
      <c r="D465" s="1740"/>
      <c r="E465" s="1743"/>
      <c r="G465" s="30" t="s">
        <v>45</v>
      </c>
      <c r="H465" s="126"/>
      <c r="I465" s="10"/>
      <c r="J465" s="10"/>
      <c r="K465" s="16"/>
    </row>
    <row r="466" spans="2:11" x14ac:dyDescent="0.25">
      <c r="B466" s="1750"/>
      <c r="D466" s="1740"/>
      <c r="E466" s="1743"/>
      <c r="G466" s="30" t="s">
        <v>46</v>
      </c>
      <c r="H466" s="126"/>
      <c r="I466" s="10"/>
      <c r="J466" s="10"/>
      <c r="K466" s="16"/>
    </row>
    <row r="467" spans="2:11" ht="15.75" thickBot="1" x14ac:dyDescent="0.3">
      <c r="B467" s="1750"/>
      <c r="D467" s="1741"/>
      <c r="E467" s="1744"/>
      <c r="G467" s="31" t="s">
        <v>47</v>
      </c>
      <c r="H467" s="127"/>
      <c r="I467" s="15"/>
      <c r="J467" s="15"/>
      <c r="K467" s="17"/>
    </row>
    <row r="468" spans="2:11" ht="15" customHeight="1" x14ac:dyDescent="0.25">
      <c r="B468" s="1750"/>
      <c r="D468" s="1745"/>
      <c r="E468" s="1742" t="s">
        <v>645</v>
      </c>
      <c r="G468" s="86" t="s">
        <v>39</v>
      </c>
      <c r="H468" s="131">
        <f>SUM(H469:H470)</f>
        <v>0</v>
      </c>
      <c r="I468" s="87"/>
      <c r="J468" s="87"/>
      <c r="K468" s="88"/>
    </row>
    <row r="469" spans="2:11" x14ac:dyDescent="0.25">
      <c r="B469" s="1750"/>
      <c r="D469" s="1740"/>
      <c r="E469" s="1743"/>
      <c r="G469" s="30" t="s">
        <v>40</v>
      </c>
      <c r="H469" s="126"/>
      <c r="I469" s="10"/>
      <c r="J469" s="10"/>
      <c r="K469" s="16"/>
    </row>
    <row r="470" spans="2:11" x14ac:dyDescent="0.25">
      <c r="B470" s="1750"/>
      <c r="D470" s="1740"/>
      <c r="E470" s="1743"/>
      <c r="G470" s="30" t="s">
        <v>41</v>
      </c>
      <c r="H470" s="126"/>
      <c r="I470" s="10"/>
      <c r="J470" s="10"/>
      <c r="K470" s="16"/>
    </row>
    <row r="471" spans="2:11" x14ac:dyDescent="0.25">
      <c r="B471" s="1750"/>
      <c r="D471" s="1740"/>
      <c r="E471" s="1743"/>
      <c r="G471" s="89" t="s">
        <v>161</v>
      </c>
      <c r="H471" s="132">
        <f>SUM(H472,H476)</f>
        <v>0</v>
      </c>
      <c r="I471" s="90"/>
      <c r="J471" s="90"/>
      <c r="K471" s="91"/>
    </row>
    <row r="472" spans="2:11" x14ac:dyDescent="0.25">
      <c r="B472" s="1750"/>
      <c r="D472" s="1740"/>
      <c r="E472" s="1743"/>
      <c r="G472" s="89" t="s">
        <v>43</v>
      </c>
      <c r="H472" s="132">
        <f>SUM(H473:H475)</f>
        <v>0</v>
      </c>
      <c r="I472" s="90"/>
      <c r="J472" s="90"/>
      <c r="K472" s="91"/>
    </row>
    <row r="473" spans="2:11" x14ac:dyDescent="0.25">
      <c r="B473" s="1750"/>
      <c r="D473" s="1740"/>
      <c r="E473" s="1743"/>
      <c r="G473" s="30" t="s">
        <v>44</v>
      </c>
      <c r="H473" s="126"/>
      <c r="I473" s="10"/>
      <c r="J473" s="10"/>
      <c r="K473" s="16"/>
    </row>
    <row r="474" spans="2:11" x14ac:dyDescent="0.25">
      <c r="B474" s="1750"/>
      <c r="D474" s="1740"/>
      <c r="E474" s="1743"/>
      <c r="G474" s="30" t="s">
        <v>45</v>
      </c>
      <c r="H474" s="126"/>
      <c r="I474" s="10"/>
      <c r="J474" s="10"/>
      <c r="K474" s="16"/>
    </row>
    <row r="475" spans="2:11" x14ac:dyDescent="0.25">
      <c r="B475" s="1750"/>
      <c r="D475" s="1740"/>
      <c r="E475" s="1743"/>
      <c r="G475" s="30" t="s">
        <v>46</v>
      </c>
      <c r="H475" s="126"/>
      <c r="I475" s="10"/>
      <c r="J475" s="10"/>
      <c r="K475" s="16"/>
    </row>
    <row r="476" spans="2:11" ht="15.75" thickBot="1" x14ac:dyDescent="0.3">
      <c r="B476" s="1750"/>
      <c r="D476" s="1741"/>
      <c r="E476" s="1744"/>
      <c r="G476" s="31" t="s">
        <v>47</v>
      </c>
      <c r="H476" s="127"/>
      <c r="I476" s="15"/>
      <c r="J476" s="15"/>
      <c r="K476" s="17"/>
    </row>
    <row r="477" spans="2:11" ht="15" customHeight="1" x14ac:dyDescent="0.25">
      <c r="B477" s="1750"/>
      <c r="D477" s="1745" t="s">
        <v>19</v>
      </c>
      <c r="E477" s="1746" t="s">
        <v>153</v>
      </c>
      <c r="G477" s="86" t="s">
        <v>39</v>
      </c>
      <c r="H477" s="131">
        <f>SUM(H478:H479)</f>
        <v>12671.183667903779</v>
      </c>
      <c r="I477" s="87"/>
      <c r="J477" s="87"/>
      <c r="K477" s="88"/>
    </row>
    <row r="478" spans="2:11" x14ac:dyDescent="0.25">
      <c r="B478" s="1750"/>
      <c r="D478" s="1740"/>
      <c r="E478" s="1747"/>
      <c r="G478" s="30" t="s">
        <v>40</v>
      </c>
      <c r="H478" s="126">
        <v>12671.183667903779</v>
      </c>
      <c r="I478" s="10"/>
      <c r="J478" s="10"/>
      <c r="K478" s="16"/>
    </row>
    <row r="479" spans="2:11" x14ac:dyDescent="0.25">
      <c r="B479" s="1750"/>
      <c r="D479" s="1740"/>
      <c r="E479" s="1747"/>
      <c r="G479" s="30" t="s">
        <v>41</v>
      </c>
      <c r="H479" s="126"/>
      <c r="I479" s="10"/>
      <c r="J479" s="10"/>
      <c r="K479" s="16"/>
    </row>
    <row r="480" spans="2:11" x14ac:dyDescent="0.25">
      <c r="B480" s="1750"/>
      <c r="D480" s="1740"/>
      <c r="E480" s="1747"/>
      <c r="G480" s="89" t="s">
        <v>161</v>
      </c>
      <c r="H480" s="132">
        <f>SUM(H481,H485)</f>
        <v>301.01142363711335</v>
      </c>
      <c r="I480" s="90"/>
      <c r="J480" s="90"/>
      <c r="K480" s="91"/>
    </row>
    <row r="481" spans="2:11" x14ac:dyDescent="0.25">
      <c r="B481" s="1750"/>
      <c r="D481" s="1740"/>
      <c r="E481" s="1747"/>
      <c r="G481" s="89" t="s">
        <v>43</v>
      </c>
      <c r="H481" s="132">
        <f>SUM(H482:H484)</f>
        <v>301.01142363711335</v>
      </c>
      <c r="I481" s="90"/>
      <c r="J481" s="90"/>
      <c r="K481" s="91"/>
    </row>
    <row r="482" spans="2:11" x14ac:dyDescent="0.25">
      <c r="B482" s="1750"/>
      <c r="D482" s="1740"/>
      <c r="E482" s="1747"/>
      <c r="G482" s="30" t="s">
        <v>44</v>
      </c>
      <c r="H482" s="126">
        <v>159.09130227903779</v>
      </c>
      <c r="I482" s="10"/>
      <c r="J482" s="10"/>
      <c r="K482" s="16"/>
    </row>
    <row r="483" spans="2:11" x14ac:dyDescent="0.25">
      <c r="B483" s="1750"/>
      <c r="D483" s="1740"/>
      <c r="E483" s="1747"/>
      <c r="G483" s="30" t="s">
        <v>45</v>
      </c>
      <c r="H483" s="126"/>
      <c r="I483" s="10"/>
      <c r="J483" s="10"/>
      <c r="K483" s="16"/>
    </row>
    <row r="484" spans="2:11" x14ac:dyDescent="0.25">
      <c r="B484" s="1750"/>
      <c r="D484" s="1740"/>
      <c r="E484" s="1747"/>
      <c r="G484" s="30" t="s">
        <v>46</v>
      </c>
      <c r="H484" s="126">
        <v>141.92012135807559</v>
      </c>
      <c r="I484" s="10"/>
      <c r="J484" s="10"/>
      <c r="K484" s="16"/>
    </row>
    <row r="485" spans="2:11" ht="15.75" thickBot="1" x14ac:dyDescent="0.3">
      <c r="B485" s="1750"/>
      <c r="D485" s="1741"/>
      <c r="E485" s="1748"/>
      <c r="G485" s="31" t="s">
        <v>47</v>
      </c>
      <c r="H485" s="127"/>
      <c r="I485" s="15"/>
      <c r="J485" s="15"/>
      <c r="K485" s="17"/>
    </row>
    <row r="486" spans="2:11" ht="15" customHeight="1" x14ac:dyDescent="0.25">
      <c r="B486" s="1750"/>
      <c r="D486" s="1745"/>
      <c r="E486" s="1742" t="s">
        <v>646</v>
      </c>
      <c r="G486" s="86" t="s">
        <v>39</v>
      </c>
      <c r="H486" s="131">
        <f>SUM(H487:H488)</f>
        <v>0</v>
      </c>
      <c r="I486" s="87"/>
      <c r="J486" s="87"/>
      <c r="K486" s="88"/>
    </row>
    <row r="487" spans="2:11" x14ac:dyDescent="0.25">
      <c r="B487" s="1750"/>
      <c r="D487" s="1740"/>
      <c r="E487" s="1743"/>
      <c r="G487" s="30" t="s">
        <v>40</v>
      </c>
      <c r="H487" s="126"/>
      <c r="I487" s="10"/>
      <c r="J487" s="10"/>
      <c r="K487" s="16"/>
    </row>
    <row r="488" spans="2:11" x14ac:dyDescent="0.25">
      <c r="B488" s="1750"/>
      <c r="D488" s="1740"/>
      <c r="E488" s="1743"/>
      <c r="G488" s="30" t="s">
        <v>41</v>
      </c>
      <c r="H488" s="126"/>
      <c r="I488" s="10"/>
      <c r="J488" s="10"/>
      <c r="K488" s="16"/>
    </row>
    <row r="489" spans="2:11" x14ac:dyDescent="0.25">
      <c r="B489" s="1750"/>
      <c r="D489" s="1740"/>
      <c r="E489" s="1743"/>
      <c r="G489" s="89" t="s">
        <v>161</v>
      </c>
      <c r="H489" s="132">
        <f>SUM(H490,H494)</f>
        <v>0</v>
      </c>
      <c r="I489" s="90"/>
      <c r="J489" s="90"/>
      <c r="K489" s="91"/>
    </row>
    <row r="490" spans="2:11" x14ac:dyDescent="0.25">
      <c r="B490" s="1750"/>
      <c r="D490" s="1740"/>
      <c r="E490" s="1743"/>
      <c r="G490" s="89" t="s">
        <v>43</v>
      </c>
      <c r="H490" s="132">
        <f>SUM(H491:H493)</f>
        <v>0</v>
      </c>
      <c r="I490" s="90"/>
      <c r="J490" s="90"/>
      <c r="K490" s="91"/>
    </row>
    <row r="491" spans="2:11" x14ac:dyDescent="0.25">
      <c r="B491" s="1750"/>
      <c r="D491" s="1740"/>
      <c r="E491" s="1743"/>
      <c r="G491" s="30" t="s">
        <v>44</v>
      </c>
      <c r="H491" s="126"/>
      <c r="I491" s="10"/>
      <c r="J491" s="10"/>
      <c r="K491" s="16"/>
    </row>
    <row r="492" spans="2:11" x14ac:dyDescent="0.25">
      <c r="B492" s="1750"/>
      <c r="D492" s="1740"/>
      <c r="E492" s="1743"/>
      <c r="G492" s="30" t="s">
        <v>45</v>
      </c>
      <c r="H492" s="126"/>
      <c r="I492" s="10"/>
      <c r="J492" s="10"/>
      <c r="K492" s="16"/>
    </row>
    <row r="493" spans="2:11" x14ac:dyDescent="0.25">
      <c r="B493" s="1750"/>
      <c r="D493" s="1740"/>
      <c r="E493" s="1743"/>
      <c r="G493" s="30" t="s">
        <v>46</v>
      </c>
      <c r="H493" s="126"/>
      <c r="I493" s="10"/>
      <c r="J493" s="10"/>
      <c r="K493" s="16"/>
    </row>
    <row r="494" spans="2:11" ht="15.75" thickBot="1" x14ac:dyDescent="0.3">
      <c r="B494" s="1750"/>
      <c r="D494" s="1741"/>
      <c r="E494" s="1744"/>
      <c r="G494" s="31" t="s">
        <v>47</v>
      </c>
      <c r="H494" s="127"/>
      <c r="I494" s="15"/>
      <c r="J494" s="15"/>
      <c r="K494" s="17"/>
    </row>
    <row r="495" spans="2:11" ht="15" customHeight="1" x14ac:dyDescent="0.25">
      <c r="B495" s="1750"/>
      <c r="D495" s="1745" t="s">
        <v>20</v>
      </c>
      <c r="E495" s="1746" t="s">
        <v>154</v>
      </c>
      <c r="G495" s="86" t="s">
        <v>39</v>
      </c>
      <c r="H495" s="131">
        <f>SUM(H496:H497)</f>
        <v>5.6106036082474233</v>
      </c>
      <c r="I495" s="87"/>
      <c r="J495" s="87"/>
      <c r="K495" s="88"/>
    </row>
    <row r="496" spans="2:11" x14ac:dyDescent="0.25">
      <c r="B496" s="1750"/>
      <c r="D496" s="1740"/>
      <c r="E496" s="1747"/>
      <c r="G496" s="30" t="s">
        <v>40</v>
      </c>
      <c r="H496" s="126">
        <v>2.3110416666666667</v>
      </c>
      <c r="I496" s="10"/>
      <c r="J496" s="10"/>
      <c r="K496" s="16"/>
    </row>
    <row r="497" spans="2:11" x14ac:dyDescent="0.25">
      <c r="B497" s="1750"/>
      <c r="D497" s="1740"/>
      <c r="E497" s="1747"/>
      <c r="G497" s="30" t="s">
        <v>41</v>
      </c>
      <c r="H497" s="126">
        <v>3.2995619415807562</v>
      </c>
      <c r="I497" s="10"/>
      <c r="J497" s="10"/>
      <c r="K497" s="16"/>
    </row>
    <row r="498" spans="2:11" x14ac:dyDescent="0.25">
      <c r="B498" s="1750"/>
      <c r="D498" s="1740"/>
      <c r="E498" s="1747"/>
      <c r="G498" s="89" t="s">
        <v>161</v>
      </c>
      <c r="H498" s="132">
        <f>SUM(H499,H503)</f>
        <v>56.868619657611163</v>
      </c>
      <c r="I498" s="90"/>
      <c r="J498" s="90"/>
      <c r="K498" s="91"/>
    </row>
    <row r="499" spans="2:11" x14ac:dyDescent="0.25">
      <c r="B499" s="1750"/>
      <c r="D499" s="1740"/>
      <c r="E499" s="1747"/>
      <c r="G499" s="89" t="s">
        <v>43</v>
      </c>
      <c r="H499" s="132">
        <f>SUM(H500:H502)</f>
        <v>56.868619657611163</v>
      </c>
      <c r="I499" s="90"/>
      <c r="J499" s="90"/>
      <c r="K499" s="91"/>
    </row>
    <row r="500" spans="2:11" x14ac:dyDescent="0.25">
      <c r="B500" s="1750"/>
      <c r="D500" s="1740"/>
      <c r="E500" s="1747"/>
      <c r="G500" s="30" t="s">
        <v>44</v>
      </c>
      <c r="H500" s="126">
        <v>46.976258591065296</v>
      </c>
      <c r="I500" s="10"/>
      <c r="J500" s="10"/>
      <c r="K500" s="16"/>
    </row>
    <row r="501" spans="2:11" x14ac:dyDescent="0.25">
      <c r="B501" s="1750"/>
      <c r="D501" s="1740"/>
      <c r="E501" s="1747"/>
      <c r="G501" s="30" t="s">
        <v>45</v>
      </c>
      <c r="H501" s="126">
        <v>4.7351202749140899</v>
      </c>
      <c r="I501" s="10"/>
      <c r="J501" s="10"/>
      <c r="K501" s="16"/>
    </row>
    <row r="502" spans="2:11" x14ac:dyDescent="0.25">
      <c r="B502" s="1750"/>
      <c r="D502" s="1740"/>
      <c r="E502" s="1747"/>
      <c r="G502" s="30" t="s">
        <v>46</v>
      </c>
      <c r="H502" s="126">
        <v>5.1572407916317804</v>
      </c>
      <c r="I502" s="10"/>
      <c r="J502" s="10"/>
      <c r="K502" s="16"/>
    </row>
    <row r="503" spans="2:11" ht="15.75" thickBot="1" x14ac:dyDescent="0.3">
      <c r="B503" s="1750"/>
      <c r="D503" s="1741"/>
      <c r="E503" s="1748"/>
      <c r="G503" s="31" t="s">
        <v>47</v>
      </c>
      <c r="H503" s="127"/>
      <c r="I503" s="15"/>
      <c r="J503" s="15"/>
      <c r="K503" s="17"/>
    </row>
    <row r="504" spans="2:11" ht="15" customHeight="1" x14ac:dyDescent="0.25">
      <c r="B504" s="1750"/>
      <c r="D504" s="1745"/>
      <c r="E504" s="1742" t="s">
        <v>647</v>
      </c>
      <c r="G504" s="86" t="s">
        <v>39</v>
      </c>
      <c r="H504" s="131">
        <f>SUM(H505:H506)</f>
        <v>0</v>
      </c>
      <c r="I504" s="87"/>
      <c r="J504" s="87"/>
      <c r="K504" s="88"/>
    </row>
    <row r="505" spans="2:11" x14ac:dyDescent="0.25">
      <c r="B505" s="1750"/>
      <c r="D505" s="1740"/>
      <c r="E505" s="1743"/>
      <c r="G505" s="30" t="s">
        <v>40</v>
      </c>
      <c r="H505" s="126"/>
      <c r="I505" s="10"/>
      <c r="J505" s="10"/>
      <c r="K505" s="16"/>
    </row>
    <row r="506" spans="2:11" x14ac:dyDescent="0.25">
      <c r="B506" s="1750"/>
      <c r="D506" s="1740"/>
      <c r="E506" s="1743"/>
      <c r="G506" s="30" t="s">
        <v>41</v>
      </c>
      <c r="H506" s="126"/>
      <c r="I506" s="10"/>
      <c r="J506" s="10"/>
      <c r="K506" s="16"/>
    </row>
    <row r="507" spans="2:11" x14ac:dyDescent="0.25">
      <c r="B507" s="1750"/>
      <c r="D507" s="1740"/>
      <c r="E507" s="1743"/>
      <c r="G507" s="89" t="s">
        <v>161</v>
      </c>
      <c r="H507" s="132">
        <f>SUM(H508,H512)</f>
        <v>0</v>
      </c>
      <c r="I507" s="90"/>
      <c r="J507" s="90"/>
      <c r="K507" s="91"/>
    </row>
    <row r="508" spans="2:11" x14ac:dyDescent="0.25">
      <c r="B508" s="1750"/>
      <c r="D508" s="1740"/>
      <c r="E508" s="1743"/>
      <c r="G508" s="89" t="s">
        <v>43</v>
      </c>
      <c r="H508" s="132">
        <f>SUM(H509:H511)</f>
        <v>0</v>
      </c>
      <c r="I508" s="90"/>
      <c r="J508" s="90"/>
      <c r="K508" s="91"/>
    </row>
    <row r="509" spans="2:11" x14ac:dyDescent="0.25">
      <c r="B509" s="1750"/>
      <c r="D509" s="1740"/>
      <c r="E509" s="1743"/>
      <c r="G509" s="30" t="s">
        <v>44</v>
      </c>
      <c r="H509" s="126"/>
      <c r="I509" s="10"/>
      <c r="J509" s="10"/>
      <c r="K509" s="16"/>
    </row>
    <row r="510" spans="2:11" x14ac:dyDescent="0.25">
      <c r="B510" s="1750"/>
      <c r="D510" s="1740"/>
      <c r="E510" s="1743"/>
      <c r="G510" s="30" t="s">
        <v>45</v>
      </c>
      <c r="H510" s="126"/>
      <c r="I510" s="10"/>
      <c r="J510" s="10"/>
      <c r="K510" s="16"/>
    </row>
    <row r="511" spans="2:11" x14ac:dyDescent="0.25">
      <c r="B511" s="1750"/>
      <c r="D511" s="1740"/>
      <c r="E511" s="1743"/>
      <c r="G511" s="30" t="s">
        <v>46</v>
      </c>
      <c r="H511" s="126"/>
      <c r="I511" s="10"/>
      <c r="J511" s="10"/>
      <c r="K511" s="16"/>
    </row>
    <row r="512" spans="2:11" ht="15.75" thickBot="1" x14ac:dyDescent="0.3">
      <c r="B512" s="1750"/>
      <c r="D512" s="1741"/>
      <c r="E512" s="1744"/>
      <c r="G512" s="31" t="s">
        <v>47</v>
      </c>
      <c r="H512" s="127"/>
      <c r="I512" s="15"/>
      <c r="J512" s="15"/>
      <c r="K512" s="17"/>
    </row>
    <row r="513" spans="2:11" ht="15" customHeight="1" x14ac:dyDescent="0.25">
      <c r="B513" s="1750"/>
      <c r="D513" s="1745"/>
      <c r="E513" s="1742" t="s">
        <v>648</v>
      </c>
      <c r="G513" s="86" t="s">
        <v>39</v>
      </c>
      <c r="H513" s="131">
        <f>SUM(H514:H515)</f>
        <v>0</v>
      </c>
      <c r="I513" s="87"/>
      <c r="J513" s="87"/>
      <c r="K513" s="88"/>
    </row>
    <row r="514" spans="2:11" x14ac:dyDescent="0.25">
      <c r="B514" s="1750"/>
      <c r="D514" s="1740"/>
      <c r="E514" s="1743"/>
      <c r="G514" s="30" t="s">
        <v>40</v>
      </c>
      <c r="H514" s="126"/>
      <c r="I514" s="10"/>
      <c r="J514" s="10"/>
      <c r="K514" s="16"/>
    </row>
    <row r="515" spans="2:11" x14ac:dyDescent="0.25">
      <c r="B515" s="1750"/>
      <c r="D515" s="1740"/>
      <c r="E515" s="1743"/>
      <c r="G515" s="30" t="s">
        <v>41</v>
      </c>
      <c r="H515" s="126"/>
      <c r="I515" s="10"/>
      <c r="J515" s="10"/>
      <c r="K515" s="16"/>
    </row>
    <row r="516" spans="2:11" x14ac:dyDescent="0.25">
      <c r="B516" s="1750"/>
      <c r="D516" s="1740"/>
      <c r="E516" s="1743"/>
      <c r="G516" s="89" t="s">
        <v>161</v>
      </c>
      <c r="H516" s="132">
        <f>SUM(H517,H521)</f>
        <v>0</v>
      </c>
      <c r="I516" s="90"/>
      <c r="J516" s="90"/>
      <c r="K516" s="91"/>
    </row>
    <row r="517" spans="2:11" x14ac:dyDescent="0.25">
      <c r="B517" s="1750"/>
      <c r="D517" s="1740"/>
      <c r="E517" s="1743"/>
      <c r="G517" s="89" t="s">
        <v>43</v>
      </c>
      <c r="H517" s="132">
        <f>SUM(H518:H520)</f>
        <v>0</v>
      </c>
      <c r="I517" s="90"/>
      <c r="J517" s="90"/>
      <c r="K517" s="91"/>
    </row>
    <row r="518" spans="2:11" x14ac:dyDescent="0.25">
      <c r="B518" s="1750"/>
      <c r="D518" s="1740"/>
      <c r="E518" s="1743"/>
      <c r="G518" s="30" t="s">
        <v>44</v>
      </c>
      <c r="H518" s="126"/>
      <c r="I518" s="10"/>
      <c r="J518" s="10"/>
      <c r="K518" s="16"/>
    </row>
    <row r="519" spans="2:11" x14ac:dyDescent="0.25">
      <c r="B519" s="1750"/>
      <c r="D519" s="1740"/>
      <c r="E519" s="1743"/>
      <c r="G519" s="30" t="s">
        <v>45</v>
      </c>
      <c r="H519" s="126"/>
      <c r="I519" s="10"/>
      <c r="J519" s="10"/>
      <c r="K519" s="16"/>
    </row>
    <row r="520" spans="2:11" x14ac:dyDescent="0.25">
      <c r="B520" s="1750"/>
      <c r="D520" s="1740"/>
      <c r="E520" s="1743"/>
      <c r="G520" s="30" t="s">
        <v>46</v>
      </c>
      <c r="H520" s="126"/>
      <c r="I520" s="10"/>
      <c r="J520" s="10"/>
      <c r="K520" s="16"/>
    </row>
    <row r="521" spans="2:11" ht="15.75" thickBot="1" x14ac:dyDescent="0.3">
      <c r="B521" s="1750"/>
      <c r="D521" s="1741"/>
      <c r="E521" s="1744"/>
      <c r="G521" s="31" t="s">
        <v>47</v>
      </c>
      <c r="H521" s="127"/>
      <c r="I521" s="15"/>
      <c r="J521" s="15"/>
      <c r="K521" s="17"/>
    </row>
    <row r="522" spans="2:11" ht="15" customHeight="1" x14ac:dyDescent="0.25">
      <c r="B522" s="1750"/>
      <c r="D522" s="1745"/>
      <c r="E522" s="1742" t="s">
        <v>621</v>
      </c>
      <c r="G522" s="86" t="s">
        <v>39</v>
      </c>
      <c r="H522" s="131">
        <f>SUM(H523:H524)</f>
        <v>0</v>
      </c>
      <c r="I522" s="87"/>
      <c r="J522" s="87"/>
      <c r="K522" s="88"/>
    </row>
    <row r="523" spans="2:11" x14ac:dyDescent="0.25">
      <c r="B523" s="1750"/>
      <c r="D523" s="1740"/>
      <c r="E523" s="1743"/>
      <c r="G523" s="30" t="s">
        <v>40</v>
      </c>
      <c r="H523" s="126"/>
      <c r="I523" s="10"/>
      <c r="J523" s="10"/>
      <c r="K523" s="16"/>
    </row>
    <row r="524" spans="2:11" x14ac:dyDescent="0.25">
      <c r="B524" s="1750"/>
      <c r="D524" s="1740"/>
      <c r="E524" s="1743"/>
      <c r="G524" s="30" t="s">
        <v>41</v>
      </c>
      <c r="H524" s="126"/>
      <c r="I524" s="10"/>
      <c r="J524" s="10"/>
      <c r="K524" s="16"/>
    </row>
    <row r="525" spans="2:11" x14ac:dyDescent="0.25">
      <c r="B525" s="1750"/>
      <c r="D525" s="1740"/>
      <c r="E525" s="1743"/>
      <c r="G525" s="89" t="s">
        <v>161</v>
      </c>
      <c r="H525" s="132">
        <f>SUM(H526,H530)</f>
        <v>0</v>
      </c>
      <c r="I525" s="90"/>
      <c r="J525" s="90"/>
      <c r="K525" s="91"/>
    </row>
    <row r="526" spans="2:11" x14ac:dyDescent="0.25">
      <c r="B526" s="1750"/>
      <c r="D526" s="1740"/>
      <c r="E526" s="1743"/>
      <c r="G526" s="89" t="s">
        <v>43</v>
      </c>
      <c r="H526" s="132">
        <f>SUM(H527:H529)</f>
        <v>0</v>
      </c>
      <c r="I526" s="90"/>
      <c r="J526" s="90"/>
      <c r="K526" s="91"/>
    </row>
    <row r="527" spans="2:11" x14ac:dyDescent="0.25">
      <c r="B527" s="1750"/>
      <c r="D527" s="1740"/>
      <c r="E527" s="1743"/>
      <c r="G527" s="30" t="s">
        <v>44</v>
      </c>
      <c r="H527" s="126"/>
      <c r="I527" s="10"/>
      <c r="J527" s="10"/>
      <c r="K527" s="16"/>
    </row>
    <row r="528" spans="2:11" x14ac:dyDescent="0.25">
      <c r="B528" s="1750"/>
      <c r="D528" s="1740"/>
      <c r="E528" s="1743"/>
      <c r="G528" s="30" t="s">
        <v>45</v>
      </c>
      <c r="H528" s="126"/>
      <c r="I528" s="10"/>
      <c r="J528" s="10"/>
      <c r="K528" s="16"/>
    </row>
    <row r="529" spans="2:11" x14ac:dyDescent="0.25">
      <c r="B529" s="1750"/>
      <c r="D529" s="1740"/>
      <c r="E529" s="1743"/>
      <c r="G529" s="30" t="s">
        <v>46</v>
      </c>
      <c r="H529" s="126"/>
      <c r="I529" s="10"/>
      <c r="J529" s="10"/>
      <c r="K529" s="16"/>
    </row>
    <row r="530" spans="2:11" ht="15.75" thickBot="1" x14ac:dyDescent="0.3">
      <c r="B530" s="1750"/>
      <c r="D530" s="1741"/>
      <c r="E530" s="1744"/>
      <c r="G530" s="31" t="s">
        <v>47</v>
      </c>
      <c r="H530" s="127"/>
      <c r="I530" s="15"/>
      <c r="J530" s="15"/>
      <c r="K530" s="17"/>
    </row>
    <row r="531" spans="2:11" ht="15" customHeight="1" x14ac:dyDescent="0.25">
      <c r="B531" s="1750"/>
      <c r="D531" s="1745"/>
      <c r="E531" s="1742" t="s">
        <v>649</v>
      </c>
      <c r="G531" s="86" t="s">
        <v>39</v>
      </c>
      <c r="H531" s="131">
        <f>SUM(H532:H533)</f>
        <v>0</v>
      </c>
      <c r="I531" s="87"/>
      <c r="J531" s="87"/>
      <c r="K531" s="88"/>
    </row>
    <row r="532" spans="2:11" x14ac:dyDescent="0.25">
      <c r="B532" s="1750"/>
      <c r="D532" s="1740"/>
      <c r="E532" s="1743"/>
      <c r="G532" s="30" t="s">
        <v>40</v>
      </c>
      <c r="H532" s="126"/>
      <c r="I532" s="10"/>
      <c r="J532" s="10"/>
      <c r="K532" s="16"/>
    </row>
    <row r="533" spans="2:11" x14ac:dyDescent="0.25">
      <c r="B533" s="1750"/>
      <c r="D533" s="1740"/>
      <c r="E533" s="1743"/>
      <c r="G533" s="30" t="s">
        <v>41</v>
      </c>
      <c r="H533" s="126"/>
      <c r="I533" s="10"/>
      <c r="J533" s="10"/>
      <c r="K533" s="16"/>
    </row>
    <row r="534" spans="2:11" x14ac:dyDescent="0.25">
      <c r="B534" s="1750"/>
      <c r="D534" s="1740"/>
      <c r="E534" s="1743"/>
      <c r="G534" s="89" t="s">
        <v>161</v>
      </c>
      <c r="H534" s="132">
        <f>SUM(H535,H539)</f>
        <v>0</v>
      </c>
      <c r="I534" s="90"/>
      <c r="J534" s="90"/>
      <c r="K534" s="91"/>
    </row>
    <row r="535" spans="2:11" x14ac:dyDescent="0.25">
      <c r="B535" s="1750"/>
      <c r="D535" s="1740"/>
      <c r="E535" s="1743"/>
      <c r="G535" s="89" t="s">
        <v>43</v>
      </c>
      <c r="H535" s="132">
        <f>SUM(H536:H538)</f>
        <v>0</v>
      </c>
      <c r="I535" s="90"/>
      <c r="J535" s="90"/>
      <c r="K535" s="91"/>
    </row>
    <row r="536" spans="2:11" x14ac:dyDescent="0.25">
      <c r="B536" s="1750"/>
      <c r="D536" s="1740"/>
      <c r="E536" s="1743"/>
      <c r="G536" s="30" t="s">
        <v>44</v>
      </c>
      <c r="H536" s="126"/>
      <c r="I536" s="10"/>
      <c r="J536" s="10"/>
      <c r="K536" s="16"/>
    </row>
    <row r="537" spans="2:11" x14ac:dyDescent="0.25">
      <c r="B537" s="1750"/>
      <c r="D537" s="1740"/>
      <c r="E537" s="1743"/>
      <c r="G537" s="30" t="s">
        <v>45</v>
      </c>
      <c r="H537" s="126"/>
      <c r="I537" s="10"/>
      <c r="J537" s="10"/>
      <c r="K537" s="16"/>
    </row>
    <row r="538" spans="2:11" x14ac:dyDescent="0.25">
      <c r="B538" s="1750"/>
      <c r="D538" s="1740"/>
      <c r="E538" s="1743"/>
      <c r="G538" s="30" t="s">
        <v>46</v>
      </c>
      <c r="H538" s="126"/>
      <c r="I538" s="10"/>
      <c r="J538" s="10"/>
      <c r="K538" s="16"/>
    </row>
    <row r="539" spans="2:11" ht="15.75" thickBot="1" x14ac:dyDescent="0.3">
      <c r="B539" s="1750"/>
      <c r="D539" s="1741"/>
      <c r="E539" s="1744"/>
      <c r="G539" s="31" t="s">
        <v>47</v>
      </c>
      <c r="H539" s="127"/>
      <c r="I539" s="15"/>
      <c r="J539" s="15"/>
      <c r="K539" s="17"/>
    </row>
    <row r="540" spans="2:11" ht="15" customHeight="1" x14ac:dyDescent="0.25">
      <c r="B540" s="1750"/>
      <c r="D540" s="1739">
        <v>85</v>
      </c>
      <c r="E540" s="1746" t="s">
        <v>155</v>
      </c>
      <c r="G540" s="86" t="s">
        <v>39</v>
      </c>
      <c r="H540" s="131">
        <f>SUM(H541:H542)</f>
        <v>0</v>
      </c>
      <c r="I540" s="87"/>
      <c r="J540" s="87"/>
      <c r="K540" s="88"/>
    </row>
    <row r="541" spans="2:11" x14ac:dyDescent="0.25">
      <c r="B541" s="1750"/>
      <c r="D541" s="1740"/>
      <c r="E541" s="1747"/>
      <c r="G541" s="30" t="s">
        <v>40</v>
      </c>
      <c r="H541" s="126"/>
      <c r="I541" s="10"/>
      <c r="J541" s="10"/>
      <c r="K541" s="16"/>
    </row>
    <row r="542" spans="2:11" x14ac:dyDescent="0.25">
      <c r="B542" s="1750"/>
      <c r="D542" s="1740"/>
      <c r="E542" s="1747"/>
      <c r="G542" s="30" t="s">
        <v>41</v>
      </c>
      <c r="H542" s="126"/>
      <c r="I542" s="10"/>
      <c r="J542" s="10"/>
      <c r="K542" s="16"/>
    </row>
    <row r="543" spans="2:11" x14ac:dyDescent="0.25">
      <c r="B543" s="1750"/>
      <c r="D543" s="1740"/>
      <c r="E543" s="1747"/>
      <c r="G543" s="89" t="s">
        <v>161</v>
      </c>
      <c r="H543" s="132">
        <f>SUM(H544,H548)</f>
        <v>179497.86400000003</v>
      </c>
      <c r="I543" s="90"/>
      <c r="J543" s="90"/>
      <c r="K543" s="91"/>
    </row>
    <row r="544" spans="2:11" x14ac:dyDescent="0.25">
      <c r="B544" s="1750"/>
      <c r="D544" s="1740"/>
      <c r="E544" s="1747"/>
      <c r="G544" s="89" t="s">
        <v>43</v>
      </c>
      <c r="H544" s="132">
        <f>SUM(H545:H547)</f>
        <v>179497.86400000003</v>
      </c>
      <c r="I544" s="90"/>
      <c r="J544" s="90"/>
      <c r="K544" s="91"/>
    </row>
    <row r="545" spans="2:11" x14ac:dyDescent="0.25">
      <c r="B545" s="1750"/>
      <c r="D545" s="1740"/>
      <c r="E545" s="1747"/>
      <c r="G545" s="30" t="s">
        <v>44</v>
      </c>
      <c r="H545" s="126">
        <v>44209.770400000001</v>
      </c>
      <c r="I545" s="10"/>
      <c r="J545" s="10"/>
      <c r="K545" s="16"/>
    </row>
    <row r="546" spans="2:11" x14ac:dyDescent="0.25">
      <c r="B546" s="1750"/>
      <c r="D546" s="1740"/>
      <c r="E546" s="1747"/>
      <c r="G546" s="30" t="s">
        <v>45</v>
      </c>
      <c r="H546" s="126">
        <v>135288.09360000002</v>
      </c>
      <c r="I546" s="10"/>
      <c r="J546" s="10"/>
      <c r="K546" s="16"/>
    </row>
    <row r="547" spans="2:11" x14ac:dyDescent="0.25">
      <c r="B547" s="1750"/>
      <c r="D547" s="1740"/>
      <c r="E547" s="1747"/>
      <c r="G547" s="30" t="s">
        <v>46</v>
      </c>
      <c r="H547" s="126"/>
      <c r="I547" s="10"/>
      <c r="J547" s="10"/>
      <c r="K547" s="16"/>
    </row>
    <row r="548" spans="2:11" ht="15.75" thickBot="1" x14ac:dyDescent="0.3">
      <c r="B548" s="1750"/>
      <c r="D548" s="1741"/>
      <c r="E548" s="1748"/>
      <c r="G548" s="31" t="s">
        <v>47</v>
      </c>
      <c r="H548" s="127"/>
      <c r="I548" s="15"/>
      <c r="J548" s="15"/>
      <c r="K548" s="17"/>
    </row>
    <row r="549" spans="2:11" ht="15" customHeight="1" x14ac:dyDescent="0.25">
      <c r="B549" s="1750"/>
      <c r="D549" s="1745" t="s">
        <v>21</v>
      </c>
      <c r="E549" s="1746" t="s">
        <v>156</v>
      </c>
      <c r="G549" s="86" t="s">
        <v>39</v>
      </c>
      <c r="H549" s="131">
        <f>SUM(H550:H551)</f>
        <v>0</v>
      </c>
      <c r="I549" s="87"/>
      <c r="J549" s="87"/>
      <c r="K549" s="88"/>
    </row>
    <row r="550" spans="2:11" x14ac:dyDescent="0.25">
      <c r="B550" s="1750"/>
      <c r="D550" s="1740"/>
      <c r="E550" s="1747"/>
      <c r="G550" s="30" t="s">
        <v>40</v>
      </c>
      <c r="H550" s="126"/>
      <c r="I550" s="10"/>
      <c r="J550" s="10"/>
      <c r="K550" s="16"/>
    </row>
    <row r="551" spans="2:11" x14ac:dyDescent="0.25">
      <c r="B551" s="1750"/>
      <c r="D551" s="1740"/>
      <c r="E551" s="1747"/>
      <c r="G551" s="30" t="s">
        <v>41</v>
      </c>
      <c r="H551" s="126"/>
      <c r="I551" s="10"/>
      <c r="J551" s="10"/>
      <c r="K551" s="16"/>
    </row>
    <row r="552" spans="2:11" x14ac:dyDescent="0.25">
      <c r="B552" s="1750"/>
      <c r="D552" s="1740"/>
      <c r="E552" s="1747"/>
      <c r="G552" s="89" t="s">
        <v>161</v>
      </c>
      <c r="H552" s="132">
        <f>SUM(H553,H557)</f>
        <v>3447.7778158871602</v>
      </c>
      <c r="I552" s="90"/>
      <c r="J552" s="90"/>
      <c r="K552" s="91"/>
    </row>
    <row r="553" spans="2:11" x14ac:dyDescent="0.25">
      <c r="B553" s="1750"/>
      <c r="D553" s="1740"/>
      <c r="E553" s="1747"/>
      <c r="G553" s="89" t="s">
        <v>43</v>
      </c>
      <c r="H553" s="132">
        <f>SUM(H554:H556)</f>
        <v>3447.7778158871602</v>
      </c>
      <c r="I553" s="90"/>
      <c r="J553" s="90"/>
      <c r="K553" s="91"/>
    </row>
    <row r="554" spans="2:11" x14ac:dyDescent="0.25">
      <c r="B554" s="1750"/>
      <c r="D554" s="1740"/>
      <c r="E554" s="1747"/>
      <c r="G554" s="30" t="s">
        <v>44</v>
      </c>
      <c r="H554" s="126"/>
      <c r="I554" s="10"/>
      <c r="J554" s="10"/>
      <c r="K554" s="16"/>
    </row>
    <row r="555" spans="2:11" x14ac:dyDescent="0.25">
      <c r="B555" s="1750"/>
      <c r="D555" s="1740"/>
      <c r="E555" s="1747"/>
      <c r="G555" s="30" t="s">
        <v>45</v>
      </c>
      <c r="H555" s="126">
        <v>3201.047978608482</v>
      </c>
      <c r="I555" s="10"/>
      <c r="J555" s="10"/>
      <c r="K555" s="16"/>
    </row>
    <row r="556" spans="2:11" x14ac:dyDescent="0.25">
      <c r="B556" s="1750"/>
      <c r="D556" s="1740"/>
      <c r="E556" s="1747"/>
      <c r="G556" s="30" t="s">
        <v>46</v>
      </c>
      <c r="H556" s="126">
        <v>246.72983727867833</v>
      </c>
      <c r="I556" s="10"/>
      <c r="J556" s="10"/>
      <c r="K556" s="16"/>
    </row>
    <row r="557" spans="2:11" ht="15.75" thickBot="1" x14ac:dyDescent="0.3">
      <c r="B557" s="1750"/>
      <c r="D557" s="1741"/>
      <c r="E557" s="1748"/>
      <c r="G557" s="31" t="s">
        <v>47</v>
      </c>
      <c r="H557" s="127"/>
      <c r="I557" s="15"/>
      <c r="J557" s="15"/>
      <c r="K557" s="17"/>
    </row>
    <row r="558" spans="2:11" ht="15" customHeight="1" x14ac:dyDescent="0.25">
      <c r="B558" s="1750"/>
      <c r="D558" s="1745"/>
      <c r="E558" s="1742" t="s">
        <v>623</v>
      </c>
      <c r="G558" s="86" t="s">
        <v>39</v>
      </c>
      <c r="H558" s="131">
        <f>SUM(H559:H560)</f>
        <v>0</v>
      </c>
      <c r="I558" s="87"/>
      <c r="J558" s="87"/>
      <c r="K558" s="88"/>
    </row>
    <row r="559" spans="2:11" x14ac:dyDescent="0.25">
      <c r="B559" s="1750"/>
      <c r="D559" s="1740"/>
      <c r="E559" s="1743"/>
      <c r="G559" s="30" t="s">
        <v>40</v>
      </c>
      <c r="H559" s="126"/>
      <c r="I559" s="10"/>
      <c r="J559" s="10"/>
      <c r="K559" s="16"/>
    </row>
    <row r="560" spans="2:11" x14ac:dyDescent="0.25">
      <c r="B560" s="1750"/>
      <c r="D560" s="1740"/>
      <c r="E560" s="1743"/>
      <c r="G560" s="30" t="s">
        <v>41</v>
      </c>
      <c r="H560" s="126"/>
      <c r="I560" s="10"/>
      <c r="J560" s="10"/>
      <c r="K560" s="16"/>
    </row>
    <row r="561" spans="2:11" x14ac:dyDescent="0.25">
      <c r="B561" s="1750"/>
      <c r="D561" s="1740"/>
      <c r="E561" s="1743"/>
      <c r="G561" s="89" t="s">
        <v>161</v>
      </c>
      <c r="H561" s="132">
        <f>SUM(H562,H566)</f>
        <v>0</v>
      </c>
      <c r="I561" s="90"/>
      <c r="J561" s="90"/>
      <c r="K561" s="91"/>
    </row>
    <row r="562" spans="2:11" x14ac:dyDescent="0.25">
      <c r="B562" s="1750"/>
      <c r="D562" s="1740"/>
      <c r="E562" s="1743"/>
      <c r="G562" s="89" t="s">
        <v>43</v>
      </c>
      <c r="H562" s="132">
        <f>SUM(H563:H565)</f>
        <v>0</v>
      </c>
      <c r="I562" s="90"/>
      <c r="J562" s="90"/>
      <c r="K562" s="91"/>
    </row>
    <row r="563" spans="2:11" x14ac:dyDescent="0.25">
      <c r="B563" s="1750"/>
      <c r="D563" s="1740"/>
      <c r="E563" s="1743"/>
      <c r="G563" s="30" t="s">
        <v>44</v>
      </c>
      <c r="H563" s="126"/>
      <c r="I563" s="10"/>
      <c r="J563" s="10"/>
      <c r="K563" s="16"/>
    </row>
    <row r="564" spans="2:11" x14ac:dyDescent="0.25">
      <c r="B564" s="1750"/>
      <c r="D564" s="1740"/>
      <c r="E564" s="1743"/>
      <c r="G564" s="30" t="s">
        <v>45</v>
      </c>
      <c r="H564" s="126"/>
      <c r="I564" s="10"/>
      <c r="J564" s="10"/>
      <c r="K564" s="16"/>
    </row>
    <row r="565" spans="2:11" x14ac:dyDescent="0.25">
      <c r="B565" s="1750"/>
      <c r="D565" s="1740"/>
      <c r="E565" s="1743"/>
      <c r="G565" s="30" t="s">
        <v>46</v>
      </c>
      <c r="H565" s="126"/>
      <c r="I565" s="10"/>
      <c r="J565" s="10"/>
      <c r="K565" s="16"/>
    </row>
    <row r="566" spans="2:11" ht="15.75" thickBot="1" x14ac:dyDescent="0.3">
      <c r="B566" s="1750"/>
      <c r="D566" s="1741"/>
      <c r="E566" s="1744"/>
      <c r="G566" s="31" t="s">
        <v>47</v>
      </c>
      <c r="H566" s="127"/>
      <c r="I566" s="15"/>
      <c r="J566" s="15"/>
      <c r="K566" s="17"/>
    </row>
    <row r="567" spans="2:11" ht="15" customHeight="1" x14ac:dyDescent="0.25">
      <c r="B567" s="1750"/>
      <c r="D567" s="1745" t="s">
        <v>22</v>
      </c>
      <c r="E567" s="1746" t="s">
        <v>157</v>
      </c>
      <c r="G567" s="86" t="s">
        <v>39</v>
      </c>
      <c r="H567" s="131">
        <f>SUM(H568:H569)</f>
        <v>0</v>
      </c>
      <c r="I567" s="87"/>
      <c r="J567" s="87"/>
      <c r="K567" s="88"/>
    </row>
    <row r="568" spans="2:11" x14ac:dyDescent="0.25">
      <c r="B568" s="1750"/>
      <c r="D568" s="1740"/>
      <c r="E568" s="1747"/>
      <c r="G568" s="30" t="s">
        <v>40</v>
      </c>
      <c r="H568" s="126"/>
      <c r="I568" s="10"/>
      <c r="J568" s="10"/>
      <c r="K568" s="16"/>
    </row>
    <row r="569" spans="2:11" x14ac:dyDescent="0.25">
      <c r="B569" s="1750"/>
      <c r="D569" s="1740"/>
      <c r="E569" s="1747"/>
      <c r="G569" s="30" t="s">
        <v>41</v>
      </c>
      <c r="H569" s="126"/>
      <c r="I569" s="10"/>
      <c r="J569" s="10"/>
      <c r="K569" s="16"/>
    </row>
    <row r="570" spans="2:11" x14ac:dyDescent="0.25">
      <c r="B570" s="1750"/>
      <c r="D570" s="1740"/>
      <c r="E570" s="1747"/>
      <c r="G570" s="89" t="s">
        <v>161</v>
      </c>
      <c r="H570" s="132">
        <f>SUM(H571,H575)</f>
        <v>10.714873014735879</v>
      </c>
      <c r="I570" s="90"/>
      <c r="J570" s="90"/>
      <c r="K570" s="91"/>
    </row>
    <row r="571" spans="2:11" x14ac:dyDescent="0.25">
      <c r="B571" s="1750"/>
      <c r="D571" s="1740"/>
      <c r="E571" s="1747"/>
      <c r="G571" s="89" t="s">
        <v>43</v>
      </c>
      <c r="H571" s="132">
        <f>SUM(H572:H574)</f>
        <v>10.714873014735879</v>
      </c>
      <c r="I571" s="90"/>
      <c r="J571" s="90"/>
      <c r="K571" s="91"/>
    </row>
    <row r="572" spans="2:11" x14ac:dyDescent="0.25">
      <c r="B572" s="1750"/>
      <c r="D572" s="1740"/>
      <c r="E572" s="1747"/>
      <c r="G572" s="30" t="s">
        <v>44</v>
      </c>
      <c r="H572" s="126">
        <v>1.1818737127147767</v>
      </c>
      <c r="I572" s="10"/>
      <c r="J572" s="10"/>
      <c r="K572" s="16"/>
    </row>
    <row r="573" spans="2:11" x14ac:dyDescent="0.25">
      <c r="B573" s="1750"/>
      <c r="D573" s="1740"/>
      <c r="E573" s="1747"/>
      <c r="G573" s="30" t="s">
        <v>45</v>
      </c>
      <c r="H573" s="126">
        <v>9.3718228896499678</v>
      </c>
      <c r="I573" s="10"/>
      <c r="J573" s="10"/>
      <c r="K573" s="16"/>
    </row>
    <row r="574" spans="2:11" x14ac:dyDescent="0.25">
      <c r="B574" s="1750"/>
      <c r="D574" s="1740"/>
      <c r="E574" s="1747"/>
      <c r="G574" s="30" t="s">
        <v>46</v>
      </c>
      <c r="H574" s="126">
        <v>0.16117641237113403</v>
      </c>
      <c r="I574" s="10"/>
      <c r="J574" s="10"/>
      <c r="K574" s="16"/>
    </row>
    <row r="575" spans="2:11" ht="15.75" thickBot="1" x14ac:dyDescent="0.3">
      <c r="B575" s="1750"/>
      <c r="D575" s="1741"/>
      <c r="E575" s="1748"/>
      <c r="G575" s="31" t="s">
        <v>47</v>
      </c>
      <c r="H575" s="127"/>
      <c r="I575" s="15"/>
      <c r="J575" s="15"/>
      <c r="K575" s="17"/>
    </row>
    <row r="576" spans="2:11" ht="15" customHeight="1" x14ac:dyDescent="0.25">
      <c r="B576" s="1750"/>
      <c r="D576" s="1745"/>
      <c r="E576" s="1742" t="s">
        <v>650</v>
      </c>
      <c r="G576" s="86" t="s">
        <v>39</v>
      </c>
      <c r="H576" s="131">
        <f>SUM(H577:H578)</f>
        <v>0</v>
      </c>
      <c r="I576" s="87"/>
      <c r="J576" s="87"/>
      <c r="K576" s="88"/>
    </row>
    <row r="577" spans="2:11" x14ac:dyDescent="0.25">
      <c r="B577" s="1750"/>
      <c r="D577" s="1740"/>
      <c r="E577" s="1743"/>
      <c r="G577" s="30" t="s">
        <v>40</v>
      </c>
      <c r="H577" s="126"/>
      <c r="I577" s="10"/>
      <c r="J577" s="10"/>
      <c r="K577" s="16"/>
    </row>
    <row r="578" spans="2:11" x14ac:dyDescent="0.25">
      <c r="B578" s="1750"/>
      <c r="D578" s="1740"/>
      <c r="E578" s="1743"/>
      <c r="G578" s="30" t="s">
        <v>41</v>
      </c>
      <c r="H578" s="126"/>
      <c r="I578" s="10"/>
      <c r="J578" s="10"/>
      <c r="K578" s="16"/>
    </row>
    <row r="579" spans="2:11" x14ac:dyDescent="0.25">
      <c r="B579" s="1750"/>
      <c r="D579" s="1740"/>
      <c r="E579" s="1743"/>
      <c r="G579" s="89" t="s">
        <v>161</v>
      </c>
      <c r="H579" s="132">
        <f>SUM(H580,H584)</f>
        <v>0</v>
      </c>
      <c r="I579" s="90"/>
      <c r="J579" s="90"/>
      <c r="K579" s="91"/>
    </row>
    <row r="580" spans="2:11" x14ac:dyDescent="0.25">
      <c r="B580" s="1750"/>
      <c r="D580" s="1740"/>
      <c r="E580" s="1743"/>
      <c r="G580" s="89" t="s">
        <v>43</v>
      </c>
      <c r="H580" s="132">
        <f>SUM(H581:H583)</f>
        <v>0</v>
      </c>
      <c r="I580" s="90"/>
      <c r="J580" s="90"/>
      <c r="K580" s="91"/>
    </row>
    <row r="581" spans="2:11" x14ac:dyDescent="0.25">
      <c r="B581" s="1750"/>
      <c r="D581" s="1740"/>
      <c r="E581" s="1743"/>
      <c r="G581" s="30" t="s">
        <v>44</v>
      </c>
      <c r="H581" s="126"/>
      <c r="I581" s="10"/>
      <c r="J581" s="10"/>
      <c r="K581" s="16"/>
    </row>
    <row r="582" spans="2:11" x14ac:dyDescent="0.25">
      <c r="B582" s="1750"/>
      <c r="D582" s="1740"/>
      <c r="E582" s="1743"/>
      <c r="G582" s="30" t="s">
        <v>45</v>
      </c>
      <c r="H582" s="126"/>
      <c r="I582" s="10"/>
      <c r="J582" s="10"/>
      <c r="K582" s="16"/>
    </row>
    <row r="583" spans="2:11" x14ac:dyDescent="0.25">
      <c r="B583" s="1750"/>
      <c r="D583" s="1740"/>
      <c r="E583" s="1743"/>
      <c r="G583" s="30" t="s">
        <v>46</v>
      </c>
      <c r="H583" s="126"/>
      <c r="I583" s="10"/>
      <c r="J583" s="10"/>
      <c r="K583" s="16"/>
    </row>
    <row r="584" spans="2:11" ht="15.75" thickBot="1" x14ac:dyDescent="0.3">
      <c r="B584" s="1750"/>
      <c r="D584" s="1741"/>
      <c r="E584" s="1744"/>
      <c r="G584" s="31" t="s">
        <v>47</v>
      </c>
      <c r="H584" s="127"/>
      <c r="I584" s="15"/>
      <c r="J584" s="15"/>
      <c r="K584" s="17"/>
    </row>
    <row r="585" spans="2:11" x14ac:dyDescent="0.25">
      <c r="B585" s="1750"/>
      <c r="D585" s="95"/>
      <c r="E585" s="93"/>
      <c r="G585" s="94"/>
      <c r="H585" s="133"/>
      <c r="I585" s="94"/>
      <c r="J585" s="94"/>
      <c r="K585" s="85"/>
    </row>
    <row r="586" spans="2:11" x14ac:dyDescent="0.25">
      <c r="B586" s="1750"/>
      <c r="C586" s="92"/>
      <c r="D586" s="96"/>
      <c r="E586" s="92"/>
      <c r="F586" s="92"/>
      <c r="G586" s="92"/>
      <c r="H586" s="134"/>
      <c r="I586" s="92"/>
      <c r="J586" s="92"/>
      <c r="K586" s="92"/>
    </row>
    <row r="587" spans="2:11" ht="15.75" thickBot="1" x14ac:dyDescent="0.3">
      <c r="B587" s="1750"/>
      <c r="D587" s="97"/>
      <c r="H587" s="4"/>
    </row>
    <row r="588" spans="2:11" ht="15" customHeight="1" x14ac:dyDescent="0.25">
      <c r="B588" s="1750"/>
      <c r="D588" s="1739">
        <v>98</v>
      </c>
      <c r="E588" s="1746" t="s">
        <v>158</v>
      </c>
      <c r="G588" s="86" t="s">
        <v>39</v>
      </c>
      <c r="H588" s="131">
        <f>SUM(H589:H590)</f>
        <v>0</v>
      </c>
      <c r="I588" s="87"/>
      <c r="J588" s="87"/>
      <c r="K588" s="88"/>
    </row>
    <row r="589" spans="2:11" x14ac:dyDescent="0.25">
      <c r="B589" s="1750"/>
      <c r="D589" s="1740"/>
      <c r="E589" s="1747"/>
      <c r="G589" s="30" t="s">
        <v>40</v>
      </c>
      <c r="H589" s="126"/>
      <c r="I589" s="10"/>
      <c r="J589" s="10"/>
      <c r="K589" s="16"/>
    </row>
    <row r="590" spans="2:11" x14ac:dyDescent="0.25">
      <c r="B590" s="1750"/>
      <c r="D590" s="1740"/>
      <c r="E590" s="1747"/>
      <c r="G590" s="30" t="s">
        <v>41</v>
      </c>
      <c r="H590" s="126"/>
      <c r="I590" s="10"/>
      <c r="J590" s="10"/>
      <c r="K590" s="16"/>
    </row>
    <row r="591" spans="2:11" x14ac:dyDescent="0.25">
      <c r="B591" s="1750"/>
      <c r="D591" s="1740"/>
      <c r="E591" s="1747"/>
      <c r="G591" s="89" t="s">
        <v>161</v>
      </c>
      <c r="H591" s="132">
        <f>SUM(H592,H596)</f>
        <v>82781</v>
      </c>
      <c r="I591" s="90"/>
      <c r="J591" s="90"/>
      <c r="K591" s="91"/>
    </row>
    <row r="592" spans="2:11" x14ac:dyDescent="0.25">
      <c r="B592" s="1750"/>
      <c r="D592" s="1740"/>
      <c r="E592" s="1747"/>
      <c r="G592" s="89" t="s">
        <v>43</v>
      </c>
      <c r="H592" s="132">
        <f>SUM(H593:H595)</f>
        <v>72433</v>
      </c>
      <c r="I592" s="90"/>
      <c r="J592" s="90"/>
      <c r="K592" s="91"/>
    </row>
    <row r="593" spans="2:11" x14ac:dyDescent="0.25">
      <c r="B593" s="1750"/>
      <c r="D593" s="1740"/>
      <c r="E593" s="1747"/>
      <c r="G593" s="30" t="s">
        <v>44</v>
      </c>
      <c r="H593" s="126">
        <v>41390</v>
      </c>
      <c r="I593" s="10"/>
      <c r="J593" s="10"/>
      <c r="K593" s="16"/>
    </row>
    <row r="594" spans="2:11" x14ac:dyDescent="0.25">
      <c r="B594" s="1750"/>
      <c r="D594" s="1740"/>
      <c r="E594" s="1747"/>
      <c r="G594" s="30" t="s">
        <v>45</v>
      </c>
      <c r="H594" s="126">
        <v>20695</v>
      </c>
      <c r="I594" s="10"/>
      <c r="J594" s="10"/>
      <c r="K594" s="16"/>
    </row>
    <row r="595" spans="2:11" x14ac:dyDescent="0.25">
      <c r="B595" s="1750"/>
      <c r="D595" s="1740"/>
      <c r="E595" s="1747"/>
      <c r="G595" s="30" t="s">
        <v>46</v>
      </c>
      <c r="H595" s="126">
        <v>10348</v>
      </c>
      <c r="I595" s="10"/>
      <c r="J595" s="10"/>
      <c r="K595" s="16"/>
    </row>
    <row r="596" spans="2:11" ht="15.75" thickBot="1" x14ac:dyDescent="0.3">
      <c r="B596" s="1750"/>
      <c r="D596" s="1741"/>
      <c r="E596" s="1748"/>
      <c r="G596" s="31" t="s">
        <v>47</v>
      </c>
      <c r="H596" s="127">
        <v>10348</v>
      </c>
      <c r="I596" s="15"/>
      <c r="J596" s="15"/>
      <c r="K596" s="17"/>
    </row>
    <row r="597" spans="2:11" ht="15" customHeight="1" x14ac:dyDescent="0.25">
      <c r="B597" s="1750"/>
      <c r="D597" s="1739">
        <v>99</v>
      </c>
      <c r="E597" s="1746" t="s">
        <v>159</v>
      </c>
      <c r="G597" s="86" t="s">
        <v>39</v>
      </c>
      <c r="H597" s="131">
        <f>SUM(H598:H599)</f>
        <v>0</v>
      </c>
      <c r="I597" s="87"/>
      <c r="J597" s="87"/>
      <c r="K597" s="88"/>
    </row>
    <row r="598" spans="2:11" x14ac:dyDescent="0.25">
      <c r="B598" s="1750"/>
      <c r="D598" s="1740"/>
      <c r="E598" s="1747"/>
      <c r="G598" s="30" t="s">
        <v>40</v>
      </c>
      <c r="H598" s="126"/>
      <c r="I598" s="10"/>
      <c r="J598" s="10"/>
      <c r="K598" s="16"/>
    </row>
    <row r="599" spans="2:11" x14ac:dyDescent="0.25">
      <c r="B599" s="1750"/>
      <c r="D599" s="1740"/>
      <c r="E599" s="1747"/>
      <c r="G599" s="30" t="s">
        <v>41</v>
      </c>
      <c r="H599" s="126"/>
      <c r="I599" s="10"/>
      <c r="J599" s="10"/>
      <c r="K599" s="16"/>
    </row>
    <row r="600" spans="2:11" x14ac:dyDescent="0.25">
      <c r="B600" s="1750"/>
      <c r="D600" s="1740"/>
      <c r="E600" s="1747"/>
      <c r="G600" s="89" t="s">
        <v>161</v>
      </c>
      <c r="H600" s="132">
        <f>SUM(H601,H605)</f>
        <v>5211.6544753063881</v>
      </c>
      <c r="I600" s="90"/>
      <c r="J600" s="90"/>
      <c r="K600" s="91"/>
    </row>
    <row r="601" spans="2:11" x14ac:dyDescent="0.25">
      <c r="B601" s="1750"/>
      <c r="D601" s="1740"/>
      <c r="E601" s="1747"/>
      <c r="G601" s="89" t="s">
        <v>43</v>
      </c>
      <c r="H601" s="132">
        <f>SUM(H602:H604)</f>
        <v>5211.6544753063881</v>
      </c>
      <c r="I601" s="90"/>
      <c r="J601" s="90"/>
      <c r="K601" s="91"/>
    </row>
    <row r="602" spans="2:11" x14ac:dyDescent="0.25">
      <c r="B602" s="1750"/>
      <c r="D602" s="1740"/>
      <c r="E602" s="1747"/>
      <c r="G602" s="30" t="s">
        <v>44</v>
      </c>
      <c r="H602" s="126">
        <v>4688.7652799999996</v>
      </c>
      <c r="I602" s="10"/>
      <c r="J602" s="10"/>
      <c r="K602" s="16"/>
    </row>
    <row r="603" spans="2:11" x14ac:dyDescent="0.25">
      <c r="B603" s="1750"/>
      <c r="D603" s="1740"/>
      <c r="E603" s="1747"/>
      <c r="G603" s="30" t="s">
        <v>45</v>
      </c>
      <c r="H603" s="126">
        <v>522.8891953063885</v>
      </c>
      <c r="I603" s="10"/>
      <c r="J603" s="10"/>
      <c r="K603" s="16"/>
    </row>
    <row r="604" spans="2:11" x14ac:dyDescent="0.25">
      <c r="B604" s="1750"/>
      <c r="D604" s="1740"/>
      <c r="E604" s="1747"/>
      <c r="G604" s="30" t="s">
        <v>46</v>
      </c>
      <c r="H604" s="126"/>
      <c r="I604" s="10"/>
      <c r="J604" s="10"/>
      <c r="K604" s="16"/>
    </row>
    <row r="605" spans="2:11" ht="15.75" thickBot="1" x14ac:dyDescent="0.3">
      <c r="B605" s="1751"/>
      <c r="D605" s="1741"/>
      <c r="E605" s="1748"/>
      <c r="G605" s="31" t="s">
        <v>47</v>
      </c>
      <c r="H605" s="127"/>
      <c r="I605" s="15"/>
      <c r="J605" s="15"/>
      <c r="K605" s="17"/>
    </row>
  </sheetData>
  <mergeCells count="90">
    <mergeCell ref="E597:E605"/>
    <mergeCell ref="D540:D548"/>
    <mergeCell ref="E540:E548"/>
    <mergeCell ref="D549:D557"/>
    <mergeCell ref="E549:E557"/>
    <mergeCell ref="D567:D575"/>
    <mergeCell ref="D597:D605"/>
    <mergeCell ref="D576:D584"/>
    <mergeCell ref="B405:B605"/>
    <mergeCell ref="D405:D413"/>
    <mergeCell ref="E405:E413"/>
    <mergeCell ref="D414:D422"/>
    <mergeCell ref="E414:E422"/>
    <mergeCell ref="D423:D431"/>
    <mergeCell ref="E423:E431"/>
    <mergeCell ref="D432:D440"/>
    <mergeCell ref="E432:E440"/>
    <mergeCell ref="D441:D449"/>
    <mergeCell ref="E495:E503"/>
    <mergeCell ref="D531:D539"/>
    <mergeCell ref="E531:E539"/>
    <mergeCell ref="E567:E575"/>
    <mergeCell ref="D558:D566"/>
    <mergeCell ref="E558:E566"/>
    <mergeCell ref="E504:E512"/>
    <mergeCell ref="E513:E521"/>
    <mergeCell ref="D522:D530"/>
    <mergeCell ref="E522:E530"/>
    <mergeCell ref="D495:D503"/>
    <mergeCell ref="E441:E449"/>
    <mergeCell ref="D477:D485"/>
    <mergeCell ref="E477:E485"/>
    <mergeCell ref="D588:D596"/>
    <mergeCell ref="E588:E596"/>
    <mergeCell ref="E468:E476"/>
    <mergeCell ref="D486:D494"/>
    <mergeCell ref="E486:E494"/>
    <mergeCell ref="D450:D458"/>
    <mergeCell ref="E450:E458"/>
    <mergeCell ref="D513:D521"/>
    <mergeCell ref="D459:D467"/>
    <mergeCell ref="E459:E467"/>
    <mergeCell ref="D468:D476"/>
    <mergeCell ref="E576:E584"/>
    <mergeCell ref="D504:D512"/>
    <mergeCell ref="E56:E73"/>
    <mergeCell ref="D74:D91"/>
    <mergeCell ref="D272:D289"/>
    <mergeCell ref="E272:E289"/>
    <mergeCell ref="D365:D382"/>
    <mergeCell ref="E365:E382"/>
    <mergeCell ref="D344:D361"/>
    <mergeCell ref="E344:E361"/>
    <mergeCell ref="E128:E145"/>
    <mergeCell ref="E164:E181"/>
    <mergeCell ref="E110:E127"/>
    <mergeCell ref="D128:D145"/>
    <mergeCell ref="D164:D181"/>
    <mergeCell ref="E290:E307"/>
    <mergeCell ref="D326:D343"/>
    <mergeCell ref="E326:E343"/>
    <mergeCell ref="B2:B400"/>
    <mergeCell ref="D2:D19"/>
    <mergeCell ref="E2:E19"/>
    <mergeCell ref="D20:D37"/>
    <mergeCell ref="E20:E37"/>
    <mergeCell ref="D38:D55"/>
    <mergeCell ref="E38:E55"/>
    <mergeCell ref="E74:E91"/>
    <mergeCell ref="D56:D73"/>
    <mergeCell ref="D146:D163"/>
    <mergeCell ref="E146:E163"/>
    <mergeCell ref="D182:D199"/>
    <mergeCell ref="E182:E199"/>
    <mergeCell ref="D92:D109"/>
    <mergeCell ref="E92:E109"/>
    <mergeCell ref="D110:D127"/>
    <mergeCell ref="D290:D307"/>
    <mergeCell ref="D308:D325"/>
    <mergeCell ref="E308:E325"/>
    <mergeCell ref="D383:D400"/>
    <mergeCell ref="D200:D217"/>
    <mergeCell ref="E200:E217"/>
    <mergeCell ref="D218:D235"/>
    <mergeCell ref="E218:E235"/>
    <mergeCell ref="D236:D253"/>
    <mergeCell ref="E236:E253"/>
    <mergeCell ref="E383:E400"/>
    <mergeCell ref="D254:D271"/>
    <mergeCell ref="E254:E271"/>
  </mergeCells>
  <hyperlinks>
    <hyperlink ref="H9" location="'RBM&amp;E-2017_S'!V30" display="'RBM&amp;E-2017_S'!V30"/>
    <hyperlink ref="H10" location="'RBM&amp;E-2017_S'!V30" display="'RBM&amp;E-2017_S'!V30"/>
    <hyperlink ref="H8" location="'RBM&amp;E-2017_S'!V30" display="'RBM&amp;E-2017_S'!V30"/>
    <hyperlink ref="H11" location="'RBM&amp;E-2017_S'!V30" display="'RBM&amp;E-2017_S'!V30"/>
    <hyperlink ref="H377" location="'RBM&amp;E-2017_S'!V33" display="'RBM&amp;E-2017_S'!V33"/>
    <hyperlink ref="H14" location="'RBM&amp;E-2017_S'!V33" display="'RBM&amp;E-2017_S'!V33"/>
    <hyperlink ref="H63" location="'RBM&amp;E-2017_S'!V29" display="'RBM&amp;E-2017_S'!V29"/>
    <hyperlink ref="H45" location="'RBM&amp;E-2017_S'!V28" display="'RBM&amp;E-2017_S'!V28"/>
    <hyperlink ref="H376" location="'RBM&amp;E-2017_S'!V27" display="'RBM&amp;E-2017_S'!V27"/>
    <hyperlink ref="H49" location="'RBM&amp;E-2017_S'!V28" display="'RBM&amp;E-2017_S'!V28"/>
    <hyperlink ref="H50" location="'RBM&amp;E-2017_S'!V33" display="'RBM&amp;E-2017_S'!V33"/>
    <hyperlink ref="H373" location="'RBM&amp;E-2017_S'!V34" display="'RBM&amp;E-2017_S'!V34"/>
    <hyperlink ref="H27" location="'RBM&amp;E-2017_S'!V32" display="'RBM&amp;E-2017_S'!V32"/>
    <hyperlink ref="H64" location="'RBM&amp;E-2017_S'!V30" display="'RBM&amp;E-2017_S'!V30"/>
    <hyperlink ref="H47" location="'RBM&amp;E-2017_S'!V31" display="'RBM&amp;E-2017_S'!V31"/>
    <hyperlink ref="H76" location="'RBM&amp;E-2017_S'!V35" display="'RBM&amp;E-2017_S'!V35"/>
    <hyperlink ref="H81" location="'RBM&amp;E-2017_S'!V35" display="'RBM&amp;E-2017_S'!V35"/>
    <hyperlink ref="H84" location="'RBM&amp;E-2017_S'!V35" display="'RBM&amp;E-2017_S'!V35"/>
    <hyperlink ref="H15" location="'GW&amp;SOILW_2012'!V20" display="'GW&amp;SOILW_2012'!V20"/>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AC50"/>
  <sheetViews>
    <sheetView zoomScale="110" zoomScaleNormal="110" workbookViewId="0">
      <pane xSplit="2" ySplit="5" topLeftCell="C6" activePane="bottomRight" state="frozen"/>
      <selection activeCell="K27" sqref="K27"/>
      <selection pane="topRight" activeCell="K27" sqref="K27"/>
      <selection pane="bottomLeft" activeCell="K27" sqref="K27"/>
      <selection pane="bottomRight" activeCell="AD33" sqref="AD33"/>
    </sheetView>
  </sheetViews>
  <sheetFormatPr defaultRowHeight="12.75" x14ac:dyDescent="0.2"/>
  <cols>
    <col min="1" max="1" width="7.140625" style="1" customWidth="1"/>
    <col min="2" max="2" width="24.5703125" style="1" customWidth="1"/>
    <col min="3" max="3" width="10.28515625" style="1" bestFit="1" customWidth="1"/>
    <col min="4" max="4" width="9.28515625" style="1" bestFit="1" customWidth="1"/>
    <col min="5" max="5" width="9.85546875" style="1" bestFit="1" customWidth="1"/>
    <col min="6" max="6" width="11.140625" style="1" bestFit="1" customWidth="1"/>
    <col min="7" max="7" width="7.7109375" style="1" bestFit="1" customWidth="1"/>
    <col min="8" max="8" width="7.7109375" style="1" hidden="1" customWidth="1"/>
    <col min="9" max="9" width="8.140625" style="1" hidden="1" customWidth="1"/>
    <col min="10" max="10" width="7.42578125" style="1" hidden="1" customWidth="1"/>
    <col min="11" max="11" width="6.85546875" style="1" customWidth="1"/>
    <col min="12" max="12" width="6.85546875" style="1" hidden="1" customWidth="1"/>
    <col min="13" max="13" width="9.28515625" style="1" bestFit="1" customWidth="1"/>
    <col min="14" max="15" width="8.42578125" style="1" hidden="1" customWidth="1"/>
    <col min="16" max="16" width="8.7109375" style="1" hidden="1" customWidth="1"/>
    <col min="17" max="17" width="8.5703125" style="1" hidden="1" customWidth="1"/>
    <col min="18" max="18" width="7.42578125" style="1" bestFit="1" customWidth="1"/>
    <col min="19" max="19" width="6.5703125" style="1" bestFit="1" customWidth="1"/>
    <col min="20" max="20" width="6.85546875" style="1" hidden="1" customWidth="1"/>
    <col min="21" max="21" width="9.28515625" style="1" customWidth="1"/>
    <col min="22" max="22" width="15.140625" style="1" hidden="1" customWidth="1"/>
    <col min="23" max="23" width="8.5703125" style="1" bestFit="1" customWidth="1"/>
    <col min="24" max="24" width="8.7109375" style="1" bestFit="1" customWidth="1"/>
    <col min="25" max="25" width="11" style="1" customWidth="1"/>
    <col min="26" max="26" width="5.85546875" style="1" customWidth="1"/>
    <col min="27" max="27" width="8.5703125" style="1" customWidth="1"/>
    <col min="28" max="28" width="4.7109375" style="1" customWidth="1"/>
    <col min="29" max="16384" width="9.140625" style="1"/>
  </cols>
  <sheetData>
    <row r="1" spans="1:29" ht="12.75" customHeight="1" x14ac:dyDescent="0.2">
      <c r="B1" s="1497" t="s">
        <v>1678</v>
      </c>
      <c r="C1" s="1756" t="s">
        <v>1679</v>
      </c>
      <c r="D1" s="1756"/>
      <c r="E1" s="1756"/>
      <c r="F1" s="1756"/>
      <c r="G1" s="1756"/>
      <c r="H1" s="1756"/>
      <c r="I1" s="1756"/>
      <c r="J1" s="1756"/>
      <c r="K1" s="1756"/>
      <c r="L1" s="1756"/>
      <c r="M1" s="1756"/>
      <c r="N1" s="1756"/>
      <c r="O1" s="1756"/>
      <c r="P1" s="1756"/>
      <c r="Q1" s="1756"/>
      <c r="R1" s="1756"/>
      <c r="S1" s="1756"/>
      <c r="T1" s="1756"/>
      <c r="U1" s="1756"/>
      <c r="V1" s="1756"/>
      <c r="W1" s="1756"/>
      <c r="X1" s="1756"/>
      <c r="Y1" s="1756"/>
      <c r="Z1" s="1756"/>
      <c r="AA1" s="1756"/>
      <c r="AB1" s="1497"/>
    </row>
    <row r="2" spans="1:29" ht="12.75" customHeight="1" x14ac:dyDescent="0.2">
      <c r="A2" s="1498"/>
      <c r="B2" s="1499">
        <v>2014</v>
      </c>
      <c r="C2" s="1757" t="s">
        <v>577</v>
      </c>
      <c r="D2" s="1757"/>
      <c r="E2" s="1757"/>
      <c r="F2" s="1757"/>
      <c r="G2" s="1757"/>
      <c r="H2" s="1757"/>
      <c r="I2" s="1757"/>
      <c r="J2" s="1757"/>
      <c r="K2" s="1757"/>
      <c r="L2" s="1757"/>
      <c r="M2" s="1757"/>
      <c r="N2" s="1757"/>
      <c r="O2" s="1757"/>
      <c r="P2" s="1757"/>
      <c r="Q2" s="1757"/>
      <c r="R2" s="1757"/>
      <c r="S2" s="1757"/>
      <c r="T2" s="1757"/>
      <c r="U2" s="1757"/>
      <c r="V2" s="1757"/>
      <c r="W2" s="1757"/>
      <c r="X2" s="1757"/>
      <c r="Y2" s="1757"/>
      <c r="Z2" s="1757"/>
      <c r="AA2" s="1757"/>
      <c r="AB2" s="70"/>
    </row>
    <row r="3" spans="1:29" ht="12.75" customHeight="1" x14ac:dyDescent="0.2">
      <c r="A3" s="1752" t="s">
        <v>578</v>
      </c>
      <c r="B3" s="1753"/>
      <c r="C3" s="1758" t="s">
        <v>12</v>
      </c>
      <c r="D3" s="1759"/>
      <c r="E3" s="1759"/>
      <c r="F3" s="1759"/>
      <c r="G3" s="1759"/>
      <c r="H3" s="1759"/>
      <c r="I3" s="1759"/>
      <c r="J3" s="1759"/>
      <c r="K3" s="1759"/>
      <c r="L3" s="1759"/>
      <c r="M3" s="1759"/>
      <c r="N3" s="1759"/>
      <c r="O3" s="1759"/>
      <c r="P3" s="1759"/>
      <c r="Q3" s="1759"/>
      <c r="R3" s="1759"/>
      <c r="S3" s="1759"/>
      <c r="T3" s="1759"/>
      <c r="U3" s="1759"/>
      <c r="V3" s="306"/>
      <c r="W3" s="1760" t="s">
        <v>1276</v>
      </c>
      <c r="X3" s="99"/>
      <c r="Y3" s="1761" t="s">
        <v>2</v>
      </c>
      <c r="Z3" s="1761" t="s">
        <v>13</v>
      </c>
      <c r="AA3" s="1761" t="s">
        <v>14</v>
      </c>
      <c r="AB3" s="70"/>
    </row>
    <row r="4" spans="1:29" ht="50.25" x14ac:dyDescent="0.2">
      <c r="A4" s="1754"/>
      <c r="B4" s="1755"/>
      <c r="C4" s="71" t="s">
        <v>6</v>
      </c>
      <c r="D4" s="71" t="s">
        <v>7</v>
      </c>
      <c r="E4" s="71" t="s">
        <v>8</v>
      </c>
      <c r="F4" s="71" t="s">
        <v>9</v>
      </c>
      <c r="G4" s="71" t="s">
        <v>137</v>
      </c>
      <c r="H4" s="373" t="s">
        <v>615</v>
      </c>
      <c r="I4" s="373" t="s">
        <v>616</v>
      </c>
      <c r="J4" s="373" t="s">
        <v>617</v>
      </c>
      <c r="K4" s="71" t="s">
        <v>0</v>
      </c>
      <c r="L4" s="373" t="s">
        <v>618</v>
      </c>
      <c r="M4" s="71" t="s">
        <v>138</v>
      </c>
      <c r="N4" s="373" t="s">
        <v>619</v>
      </c>
      <c r="O4" s="373" t="s">
        <v>620</v>
      </c>
      <c r="P4" s="373" t="s">
        <v>621</v>
      </c>
      <c r="Q4" s="373" t="s">
        <v>622</v>
      </c>
      <c r="R4" s="71" t="s">
        <v>1</v>
      </c>
      <c r="S4" s="71" t="s">
        <v>10</v>
      </c>
      <c r="T4" s="374" t="s">
        <v>623</v>
      </c>
      <c r="U4" s="72" t="s">
        <v>139</v>
      </c>
      <c r="V4" s="374" t="s">
        <v>624</v>
      </c>
      <c r="W4" s="1760"/>
      <c r="X4" s="73" t="s">
        <v>642</v>
      </c>
      <c r="Y4" s="1761"/>
      <c r="Z4" s="1761"/>
      <c r="AA4" s="1761"/>
      <c r="AB4" s="74"/>
    </row>
    <row r="5" spans="1:29" ht="12.75" customHeight="1" x14ac:dyDescent="0.2">
      <c r="A5" s="750"/>
      <c r="B5" s="749" t="s">
        <v>1081</v>
      </c>
      <c r="C5" s="146" t="s">
        <v>15</v>
      </c>
      <c r="D5" s="146" t="s">
        <v>16</v>
      </c>
      <c r="E5" s="146" t="s">
        <v>17</v>
      </c>
      <c r="F5" s="147">
        <v>35</v>
      </c>
      <c r="G5" s="146" t="s">
        <v>18</v>
      </c>
      <c r="H5" s="146"/>
      <c r="I5" s="146"/>
      <c r="J5" s="146"/>
      <c r="K5" s="146" t="s">
        <v>19</v>
      </c>
      <c r="L5" s="146"/>
      <c r="M5" s="146" t="s">
        <v>20</v>
      </c>
      <c r="N5" s="146"/>
      <c r="O5" s="146"/>
      <c r="P5" s="146"/>
      <c r="Q5" s="146"/>
      <c r="R5" s="147">
        <v>85</v>
      </c>
      <c r="S5" s="146" t="s">
        <v>21</v>
      </c>
      <c r="T5" s="146"/>
      <c r="U5" s="146" t="s">
        <v>22</v>
      </c>
      <c r="V5" s="146"/>
      <c r="W5" s="165" t="s">
        <v>3</v>
      </c>
      <c r="X5" s="100">
        <v>98</v>
      </c>
      <c r="Y5" s="148">
        <v>99</v>
      </c>
      <c r="Z5" s="100"/>
      <c r="AA5" s="73"/>
      <c r="AB5" s="74"/>
    </row>
    <row r="6" spans="1:29" x14ac:dyDescent="0.2">
      <c r="A6" s="1762" t="s">
        <v>4</v>
      </c>
      <c r="B6" s="377" t="s">
        <v>140</v>
      </c>
      <c r="C6" s="170">
        <f>'PSUT_Data&amp;Method_2014'!H2</f>
        <v>13506848.022465833</v>
      </c>
      <c r="D6" s="174">
        <f>'PSUT_Data&amp;Method_2014'!H20</f>
        <v>22429.728515197057</v>
      </c>
      <c r="E6" s="174">
        <f>'PSUT_Data&amp;Method_2014'!H38</f>
        <v>24242.398478108429</v>
      </c>
      <c r="F6" s="174">
        <f>'PSUT_Data&amp;Method_2014'!H56</f>
        <v>357008.97910203272</v>
      </c>
      <c r="G6" s="174">
        <f>'PSUT_Data&amp;Method_2014'!H74</f>
        <v>53540.199500012386</v>
      </c>
      <c r="H6" s="174">
        <f>'PSUT_Data&amp;Method_2014'!H92</f>
        <v>0</v>
      </c>
      <c r="I6" s="174">
        <f>'PSUT_Data&amp;Method_2014'!H110</f>
        <v>0</v>
      </c>
      <c r="J6" s="174">
        <f>'PSUT_Data&amp;Method_2014'!H128</f>
        <v>0</v>
      </c>
      <c r="K6" s="174">
        <f>'PSUT_Data&amp;Method_2014'!H146</f>
        <v>0</v>
      </c>
      <c r="L6" s="174">
        <f>'PSUT_Data&amp;Method_2014'!H164</f>
        <v>0</v>
      </c>
      <c r="M6" s="174">
        <f>'PSUT_Data&amp;Method_2014'!H182</f>
        <v>0.06</v>
      </c>
      <c r="N6" s="174">
        <f>'PSUT_Data&amp;Method_2014'!H200</f>
        <v>0</v>
      </c>
      <c r="O6" s="174">
        <f>'PSUT_Data&amp;Method_2014'!H218</f>
        <v>0</v>
      </c>
      <c r="P6" s="174">
        <f>'PSUT_Data&amp;Method_2014'!H236</f>
        <v>0</v>
      </c>
      <c r="Q6" s="174">
        <f>'PSUT_Data&amp;Method_2014'!H254</f>
        <v>0</v>
      </c>
      <c r="R6" s="174">
        <f>'PSUT_Data&amp;Method_2014'!H272</f>
        <v>133.11539999999999</v>
      </c>
      <c r="S6" s="174">
        <f>'PSUT_Data&amp;Method_2014'!H290</f>
        <v>588.7795155737706</v>
      </c>
      <c r="T6" s="174">
        <f>'PSUT_Data&amp;Method_2014'!H308</f>
        <v>0</v>
      </c>
      <c r="U6" s="174">
        <f>'PSUT_Data&amp;Method_2014'!H326</f>
        <v>11.709600000000002</v>
      </c>
      <c r="V6" s="174">
        <f>'PSUT_Data&amp;Method_2014'!H344</f>
        <v>0</v>
      </c>
      <c r="W6" s="155">
        <f>SUM(C6:V6)</f>
        <v>13964802.992576756</v>
      </c>
      <c r="X6" s="174">
        <f>'PSUT_Data&amp;Method_2014'!H365</f>
        <v>40832.697923868138</v>
      </c>
      <c r="Y6" s="174">
        <f>'PSUT_Data&amp;Method_2014'!H383</f>
        <v>0</v>
      </c>
      <c r="Z6" s="160"/>
      <c r="AA6" s="158">
        <f>W6+X6+Y6</f>
        <v>14005635.690500624</v>
      </c>
      <c r="AB6" s="74"/>
    </row>
    <row r="7" spans="1:29" ht="12" customHeight="1" x14ac:dyDescent="0.2">
      <c r="A7" s="1763"/>
      <c r="B7" s="154" t="s">
        <v>23</v>
      </c>
      <c r="C7" s="167">
        <f>'PSUT_Data&amp;Method_2014'!H3</f>
        <v>13506848.022465833</v>
      </c>
      <c r="D7" s="171">
        <f>'PSUT_Data&amp;Method_2014'!H21</f>
        <v>22429.728515197057</v>
      </c>
      <c r="E7" s="171">
        <f>'PSUT_Data&amp;Method_2014'!H39</f>
        <v>24156.623478108428</v>
      </c>
      <c r="F7" s="171">
        <f>'PSUT_Data&amp;Method_2014'!H57</f>
        <v>357008.97910203272</v>
      </c>
      <c r="G7" s="171">
        <f>'PSUT_Data&amp;Method_2014'!H75</f>
        <v>3212.9127999999982</v>
      </c>
      <c r="H7" s="171">
        <f>'PSUT_Data&amp;Method_2014'!H93</f>
        <v>0</v>
      </c>
      <c r="I7" s="171">
        <f>'PSUT_Data&amp;Method_2014'!H111</f>
        <v>0</v>
      </c>
      <c r="J7" s="171">
        <f>'PSUT_Data&amp;Method_2014'!H129</f>
        <v>0</v>
      </c>
      <c r="K7" s="171">
        <f>'PSUT_Data&amp;Method_2014'!H147</f>
        <v>0</v>
      </c>
      <c r="L7" s="171">
        <f>'PSUT_Data&amp;Method_2014'!H165</f>
        <v>0</v>
      </c>
      <c r="M7" s="171">
        <f>'PSUT_Data&amp;Method_2014'!H183</f>
        <v>0.06</v>
      </c>
      <c r="N7" s="171">
        <f>'PSUT_Data&amp;Method_2014'!H201</f>
        <v>0</v>
      </c>
      <c r="O7" s="171">
        <f>'PSUT_Data&amp;Method_2014'!H219</f>
        <v>0</v>
      </c>
      <c r="P7" s="171">
        <f>'PSUT_Data&amp;Method_2014'!H237</f>
        <v>0</v>
      </c>
      <c r="Q7" s="171">
        <f>'PSUT_Data&amp;Method_2014'!H255</f>
        <v>0</v>
      </c>
      <c r="R7" s="171">
        <f>'PSUT_Data&amp;Method_2014'!H273</f>
        <v>133.11539999999999</v>
      </c>
      <c r="S7" s="171">
        <f>'PSUT_Data&amp;Method_2014'!H291</f>
        <v>588.7795155737706</v>
      </c>
      <c r="T7" s="171">
        <f>'PSUT_Data&amp;Method_2014'!H309</f>
        <v>0</v>
      </c>
      <c r="U7" s="171">
        <f>'PSUT_Data&amp;Method_2014'!H327</f>
        <v>11.709600000000002</v>
      </c>
      <c r="V7" s="171">
        <f>'PSUT_Data&amp;Method_2014'!H345</f>
        <v>0</v>
      </c>
      <c r="W7" s="142">
        <f t="shared" ref="W7:W23" si="0">SUM(C7:V7)</f>
        <v>13914389.930876743</v>
      </c>
      <c r="X7" s="171">
        <f>'PSUT_Data&amp;Method_2014'!H366</f>
        <v>40832.697923868138</v>
      </c>
      <c r="Y7" s="171">
        <f>'PSUT_Data&amp;Method_2014'!H384</f>
        <v>0</v>
      </c>
      <c r="Z7" s="76"/>
      <c r="AA7" s="143">
        <f t="shared" ref="AA7:AA23" si="1">W7+X7+Y7</f>
        <v>13955222.628800612</v>
      </c>
      <c r="AB7" s="74"/>
      <c r="AC7" s="75"/>
    </row>
    <row r="8" spans="1:29" ht="12" customHeight="1" x14ac:dyDescent="0.2">
      <c r="A8" s="1763"/>
      <c r="B8" s="150" t="s">
        <v>24</v>
      </c>
      <c r="C8" s="168">
        <f>'PSUT_Data&amp;Method_2014'!H4</f>
        <v>0</v>
      </c>
      <c r="D8" s="172">
        <f>'PSUT_Data&amp;Method_2014'!H22</f>
        <v>0</v>
      </c>
      <c r="E8" s="172">
        <f>'PSUT_Data&amp;Method_2014'!H40</f>
        <v>85.774999999999991</v>
      </c>
      <c r="F8" s="172">
        <f>'PSUT_Data&amp;Method_2014'!H58</f>
        <v>0</v>
      </c>
      <c r="G8" s="172">
        <f>'PSUT_Data&amp;Method_2014'!H76</f>
        <v>50327.286700012388</v>
      </c>
      <c r="H8" s="172">
        <f>'PSUT_Data&amp;Method_2014'!H94</f>
        <v>0</v>
      </c>
      <c r="I8" s="172">
        <f>'PSUT_Data&amp;Method_2014'!H112</f>
        <v>0</v>
      </c>
      <c r="J8" s="172">
        <f>'PSUT_Data&amp;Method_2014'!H130</f>
        <v>0</v>
      </c>
      <c r="K8" s="172">
        <f>'PSUT_Data&amp;Method_2014'!H148</f>
        <v>0</v>
      </c>
      <c r="L8" s="172">
        <f>'PSUT_Data&amp;Method_2014'!H166</f>
        <v>0</v>
      </c>
      <c r="M8" s="172">
        <f>'PSUT_Data&amp;Method_2014'!H184</f>
        <v>0</v>
      </c>
      <c r="N8" s="172">
        <f>'PSUT_Data&amp;Method_2014'!H202</f>
        <v>0</v>
      </c>
      <c r="O8" s="172">
        <f>'PSUT_Data&amp;Method_2014'!H220</f>
        <v>0</v>
      </c>
      <c r="P8" s="172">
        <f>'PSUT_Data&amp;Method_2014'!H238</f>
        <v>0</v>
      </c>
      <c r="Q8" s="172">
        <f>'PSUT_Data&amp;Method_2014'!H256</f>
        <v>0</v>
      </c>
      <c r="R8" s="172">
        <f>'PSUT_Data&amp;Method_2014'!H274</f>
        <v>0</v>
      </c>
      <c r="S8" s="172">
        <f>'PSUT_Data&amp;Method_2014'!H292</f>
        <v>0</v>
      </c>
      <c r="T8" s="172">
        <f>'PSUT_Data&amp;Method_2014'!H310</f>
        <v>0</v>
      </c>
      <c r="U8" s="172">
        <f>'PSUT_Data&amp;Method_2014'!H328</f>
        <v>0</v>
      </c>
      <c r="V8" s="172">
        <f>'PSUT_Data&amp;Method_2014'!H346</f>
        <v>0</v>
      </c>
      <c r="W8" s="149">
        <f t="shared" si="0"/>
        <v>50413.061700012389</v>
      </c>
      <c r="X8" s="172">
        <f>'PSUT_Data&amp;Method_2014'!H367</f>
        <v>0</v>
      </c>
      <c r="Y8" s="172">
        <f>'PSUT_Data&amp;Method_2014'!H385</f>
        <v>0</v>
      </c>
      <c r="Z8" s="76"/>
      <c r="AA8" s="143">
        <f t="shared" si="1"/>
        <v>50413.061700012389</v>
      </c>
      <c r="AB8" s="74"/>
      <c r="AC8" s="75"/>
    </row>
    <row r="9" spans="1:29" ht="12" customHeight="1" x14ac:dyDescent="0.2">
      <c r="A9" s="1763"/>
      <c r="B9" s="377" t="s">
        <v>141</v>
      </c>
      <c r="C9" s="170">
        <f>'PSUT_Data&amp;Method_2014'!H5</f>
        <v>13506848.022465833</v>
      </c>
      <c r="D9" s="174">
        <f>'PSUT_Data&amp;Method_2014'!H23</f>
        <v>22429.728515197057</v>
      </c>
      <c r="E9" s="174">
        <f>'PSUT_Data&amp;Method_2014'!H41</f>
        <v>24242.398478108429</v>
      </c>
      <c r="F9" s="174">
        <f>'PSUT_Data&amp;Method_2014'!H59</f>
        <v>357008.97910203272</v>
      </c>
      <c r="G9" s="174">
        <f>'PSUT_Data&amp;Method_2014'!H77</f>
        <v>53540.199500012393</v>
      </c>
      <c r="H9" s="174">
        <f>'PSUT_Data&amp;Method_2014'!H95</f>
        <v>0</v>
      </c>
      <c r="I9" s="174">
        <f>'PSUT_Data&amp;Method_2014'!H113</f>
        <v>0</v>
      </c>
      <c r="J9" s="174">
        <f>'PSUT_Data&amp;Method_2014'!H131</f>
        <v>0</v>
      </c>
      <c r="K9" s="174">
        <f>'PSUT_Data&amp;Method_2014'!H149</f>
        <v>0</v>
      </c>
      <c r="L9" s="174">
        <f>'PSUT_Data&amp;Method_2014'!H167</f>
        <v>0</v>
      </c>
      <c r="M9" s="174">
        <f>'PSUT_Data&amp;Method_2014'!H185</f>
        <v>0.06</v>
      </c>
      <c r="N9" s="174">
        <f>'PSUT_Data&amp;Method_2014'!H203</f>
        <v>0</v>
      </c>
      <c r="O9" s="174">
        <f>'PSUT_Data&amp;Method_2014'!H221</f>
        <v>0</v>
      </c>
      <c r="P9" s="174">
        <f>'PSUT_Data&amp;Method_2014'!H239</f>
        <v>0</v>
      </c>
      <c r="Q9" s="174">
        <f>'PSUT_Data&amp;Method_2014'!H257</f>
        <v>0</v>
      </c>
      <c r="R9" s="174">
        <f>'PSUT_Data&amp;Method_2014'!H275</f>
        <v>133.11539999999999</v>
      </c>
      <c r="S9" s="174">
        <f>'PSUT_Data&amp;Method_2014'!H293</f>
        <v>588.7795155737706</v>
      </c>
      <c r="T9" s="174">
        <f>'PSUT_Data&amp;Method_2014'!H311</f>
        <v>0</v>
      </c>
      <c r="U9" s="174">
        <f>'PSUT_Data&amp;Method_2014'!H329</f>
        <v>11.709600000000002</v>
      </c>
      <c r="V9" s="174">
        <f>'PSUT_Data&amp;Method_2014'!H347</f>
        <v>0</v>
      </c>
      <c r="W9" s="155">
        <f t="shared" si="0"/>
        <v>13964802.992576756</v>
      </c>
      <c r="X9" s="174">
        <f>'PSUT_Data&amp;Method_2014'!H368</f>
        <v>40832.697923868138</v>
      </c>
      <c r="Y9" s="174">
        <f>'PSUT_Data&amp;Method_2014'!H386</f>
        <v>0</v>
      </c>
      <c r="Z9" s="76"/>
      <c r="AA9" s="158">
        <f t="shared" si="1"/>
        <v>14005635.690500624</v>
      </c>
      <c r="AB9" s="74"/>
      <c r="AC9" s="75"/>
    </row>
    <row r="10" spans="1:29" ht="12" customHeight="1" x14ac:dyDescent="0.2">
      <c r="A10" s="1763"/>
      <c r="B10" s="378" t="s">
        <v>25</v>
      </c>
      <c r="C10" s="169">
        <f>'PSUT_Data&amp;Method_2014'!H6</f>
        <v>13506041.022465833</v>
      </c>
      <c r="D10" s="173">
        <f>'PSUT_Data&amp;Method_2014'!H24</f>
        <v>1069.9285151970589</v>
      </c>
      <c r="E10" s="173">
        <f>'PSUT_Data&amp;Method_2014'!H42</f>
        <v>24214.198478108428</v>
      </c>
      <c r="F10" s="173">
        <f>'PSUT_Data&amp;Method_2014'!H60</f>
        <v>357008.97910203272</v>
      </c>
      <c r="G10" s="173">
        <f>'PSUT_Data&amp;Method_2014'!H78</f>
        <v>53540.199500012393</v>
      </c>
      <c r="H10" s="173">
        <f>'PSUT_Data&amp;Method_2014'!H96</f>
        <v>0</v>
      </c>
      <c r="I10" s="173">
        <f>'PSUT_Data&amp;Method_2014'!H114</f>
        <v>0</v>
      </c>
      <c r="J10" s="173">
        <f>'PSUT_Data&amp;Method_2014'!H132</f>
        <v>0</v>
      </c>
      <c r="K10" s="173">
        <f>'PSUT_Data&amp;Method_2014'!H150</f>
        <v>0</v>
      </c>
      <c r="L10" s="173">
        <f>'PSUT_Data&amp;Method_2014'!H168</f>
        <v>0</v>
      </c>
      <c r="M10" s="173">
        <f>'PSUT_Data&amp;Method_2014'!H186</f>
        <v>0</v>
      </c>
      <c r="N10" s="173">
        <f>'PSUT_Data&amp;Method_2014'!H204</f>
        <v>0</v>
      </c>
      <c r="O10" s="173">
        <f>'PSUT_Data&amp;Method_2014'!H222</f>
        <v>0</v>
      </c>
      <c r="P10" s="173">
        <f>'PSUT_Data&amp;Method_2014'!H240</f>
        <v>0</v>
      </c>
      <c r="Q10" s="173">
        <f>'PSUT_Data&amp;Method_2014'!H258</f>
        <v>0</v>
      </c>
      <c r="R10" s="173">
        <f>'PSUT_Data&amp;Method_2014'!H276</f>
        <v>133.11539999999999</v>
      </c>
      <c r="S10" s="173">
        <f>'PSUT_Data&amp;Method_2014'!H294</f>
        <v>90.790815573770487</v>
      </c>
      <c r="T10" s="173">
        <f>'PSUT_Data&amp;Method_2014'!H312</f>
        <v>0</v>
      </c>
      <c r="U10" s="173">
        <f>'PSUT_Data&amp;Method_2014'!H330</f>
        <v>2.0736000000000003</v>
      </c>
      <c r="V10" s="173">
        <f>'PSUT_Data&amp;Method_2014'!H348</f>
        <v>0</v>
      </c>
      <c r="W10" s="82">
        <f t="shared" si="0"/>
        <v>13942100.307876756</v>
      </c>
      <c r="X10" s="173">
        <f>'PSUT_Data&amp;Method_2014'!H369</f>
        <v>40282.697923868138</v>
      </c>
      <c r="Y10" s="173">
        <f>'PSUT_Data&amp;Method_2014'!H387</f>
        <v>0</v>
      </c>
      <c r="Z10" s="76"/>
      <c r="AA10" s="158">
        <f t="shared" si="1"/>
        <v>13982383.005800625</v>
      </c>
      <c r="AB10" s="74"/>
      <c r="AC10" s="75"/>
    </row>
    <row r="11" spans="1:29" ht="12" customHeight="1" x14ac:dyDescent="0.2">
      <c r="A11" s="1763"/>
      <c r="B11" s="379" t="s">
        <v>26</v>
      </c>
      <c r="C11" s="170">
        <f>'PSUT_Data&amp;Method_2014'!H7</f>
        <v>205178.23028145044</v>
      </c>
      <c r="D11" s="174">
        <f>'PSUT_Data&amp;Method_2014'!H25</f>
        <v>1006.140385197059</v>
      </c>
      <c r="E11" s="174">
        <f>'PSUT_Data&amp;Method_2014'!H43</f>
        <v>15211.48701906186</v>
      </c>
      <c r="F11" s="174">
        <f>'PSUT_Data&amp;Method_2014'!H61</f>
        <v>357008.97910203272</v>
      </c>
      <c r="G11" s="174">
        <f>'PSUT_Data&amp;Method_2014'!H79</f>
        <v>41435.195802667869</v>
      </c>
      <c r="H11" s="174">
        <f>'PSUT_Data&amp;Method_2014'!H97</f>
        <v>0</v>
      </c>
      <c r="I11" s="174">
        <f>'PSUT_Data&amp;Method_2014'!H115</f>
        <v>0</v>
      </c>
      <c r="J11" s="174">
        <f>'PSUT_Data&amp;Method_2014'!H133</f>
        <v>0</v>
      </c>
      <c r="K11" s="174">
        <f>'PSUT_Data&amp;Method_2014'!H151</f>
        <v>0</v>
      </c>
      <c r="L11" s="174">
        <f>'PSUT_Data&amp;Method_2014'!H169</f>
        <v>0</v>
      </c>
      <c r="M11" s="174">
        <f>'PSUT_Data&amp;Method_2014'!H187</f>
        <v>0</v>
      </c>
      <c r="N11" s="174">
        <f>'PSUT_Data&amp;Method_2014'!H205</f>
        <v>0</v>
      </c>
      <c r="O11" s="174">
        <f>'PSUT_Data&amp;Method_2014'!H223</f>
        <v>0</v>
      </c>
      <c r="P11" s="174">
        <f>'PSUT_Data&amp;Method_2014'!H241</f>
        <v>0</v>
      </c>
      <c r="Q11" s="174">
        <f>'PSUT_Data&amp;Method_2014'!H259</f>
        <v>0</v>
      </c>
      <c r="R11" s="174">
        <f>'PSUT_Data&amp;Method_2014'!H277</f>
        <v>0</v>
      </c>
      <c r="S11" s="174">
        <f>'PSUT_Data&amp;Method_2014'!H295</f>
        <v>0</v>
      </c>
      <c r="T11" s="174">
        <f>'PSUT_Data&amp;Method_2014'!H313</f>
        <v>0</v>
      </c>
      <c r="U11" s="174">
        <f>'PSUT_Data&amp;Method_2014'!H331</f>
        <v>2.0736000000000003</v>
      </c>
      <c r="V11" s="174">
        <f>'PSUT_Data&amp;Method_2014'!H349</f>
        <v>0</v>
      </c>
      <c r="W11" s="138">
        <f t="shared" si="0"/>
        <v>619842.10619040998</v>
      </c>
      <c r="X11" s="174">
        <f>'PSUT_Data&amp;Method_2014'!H370</f>
        <v>11301.556149600257</v>
      </c>
      <c r="Y11" s="174">
        <f>'PSUT_Data&amp;Method_2014'!H388</f>
        <v>0</v>
      </c>
      <c r="Z11" s="76"/>
      <c r="AA11" s="143">
        <f t="shared" si="1"/>
        <v>631143.66234001028</v>
      </c>
      <c r="AB11" s="74"/>
      <c r="AC11" s="75"/>
    </row>
    <row r="12" spans="1:29" ht="12" customHeight="1" x14ac:dyDescent="0.2">
      <c r="A12" s="1763"/>
      <c r="B12" s="152" t="s">
        <v>27</v>
      </c>
      <c r="C12" s="167">
        <f>'PSUT_Data&amp;Method_2014'!H8</f>
        <v>14361.262723993506</v>
      </c>
      <c r="D12" s="171">
        <f>'PSUT_Data&amp;Method_2014'!H26</f>
        <v>0</v>
      </c>
      <c r="E12" s="171">
        <f>'PSUT_Data&amp;Method_2014'!H44</f>
        <v>0</v>
      </c>
      <c r="F12" s="171">
        <f>'PSUT_Data&amp;Method_2014'!H62</f>
        <v>0</v>
      </c>
      <c r="G12" s="171">
        <f>'PSUT_Data&amp;Method_2014'!H80</f>
        <v>0</v>
      </c>
      <c r="H12" s="171">
        <f>'PSUT_Data&amp;Method_2014'!H98</f>
        <v>0</v>
      </c>
      <c r="I12" s="171">
        <f>'PSUT_Data&amp;Method_2014'!H116</f>
        <v>0</v>
      </c>
      <c r="J12" s="171">
        <f>'PSUT_Data&amp;Method_2014'!H134</f>
        <v>0</v>
      </c>
      <c r="K12" s="171">
        <f>'PSUT_Data&amp;Method_2014'!H152</f>
        <v>0</v>
      </c>
      <c r="L12" s="171">
        <f>'PSUT_Data&amp;Method_2014'!H170</f>
        <v>0</v>
      </c>
      <c r="M12" s="171">
        <f>'PSUT_Data&amp;Method_2014'!H188</f>
        <v>0</v>
      </c>
      <c r="N12" s="171">
        <f>'PSUT_Data&amp;Method_2014'!H206</f>
        <v>0</v>
      </c>
      <c r="O12" s="171">
        <f>'PSUT_Data&amp;Method_2014'!H224</f>
        <v>0</v>
      </c>
      <c r="P12" s="171">
        <f>'PSUT_Data&amp;Method_2014'!H242</f>
        <v>0</v>
      </c>
      <c r="Q12" s="171">
        <f>'PSUT_Data&amp;Method_2014'!H260</f>
        <v>0</v>
      </c>
      <c r="R12" s="171">
        <f>'PSUT_Data&amp;Method_2014'!H278</f>
        <v>0</v>
      </c>
      <c r="S12" s="171">
        <f>'PSUT_Data&amp;Method_2014'!H296</f>
        <v>0</v>
      </c>
      <c r="T12" s="171">
        <f>'PSUT_Data&amp;Method_2014'!H314</f>
        <v>0</v>
      </c>
      <c r="U12" s="171">
        <f>'PSUT_Data&amp;Method_2014'!H332</f>
        <v>0</v>
      </c>
      <c r="V12" s="171">
        <f>'PSUT_Data&amp;Method_2014'!H350</f>
        <v>0</v>
      </c>
      <c r="W12" s="142">
        <f t="shared" si="0"/>
        <v>14361.262723993506</v>
      </c>
      <c r="X12" s="171">
        <f>'PSUT_Data&amp;Method_2014'!H371</f>
        <v>5040</v>
      </c>
      <c r="Y12" s="171">
        <f>'PSUT_Data&amp;Method_2014'!H389</f>
        <v>0</v>
      </c>
      <c r="Z12" s="76"/>
      <c r="AA12" s="143">
        <f t="shared" si="1"/>
        <v>19401.262723993506</v>
      </c>
      <c r="AB12" s="74"/>
      <c r="AC12" s="75"/>
    </row>
    <row r="13" spans="1:29" ht="12" customHeight="1" x14ac:dyDescent="0.2">
      <c r="A13" s="1763"/>
      <c r="B13" s="144" t="s">
        <v>28</v>
      </c>
      <c r="C13" s="169">
        <f>'PSUT_Data&amp;Method_2014'!H9</f>
        <v>118993.31971308903</v>
      </c>
      <c r="D13" s="173">
        <f>'PSUT_Data&amp;Method_2014'!H27</f>
        <v>1006.140385197059</v>
      </c>
      <c r="E13" s="173">
        <f>'PSUT_Data&amp;Method_2014'!H45</f>
        <v>11713.201282806573</v>
      </c>
      <c r="F13" s="173">
        <f>'PSUT_Data&amp;Method_2014'!H63</f>
        <v>151848.08304498266</v>
      </c>
      <c r="G13" s="173">
        <f>'PSUT_Data&amp;Method_2014'!H81</f>
        <v>41435.195802667869</v>
      </c>
      <c r="H13" s="173">
        <f>'PSUT_Data&amp;Method_2014'!H99</f>
        <v>0</v>
      </c>
      <c r="I13" s="173">
        <f>'PSUT_Data&amp;Method_2014'!H117</f>
        <v>0</v>
      </c>
      <c r="J13" s="173">
        <f>'PSUT_Data&amp;Method_2014'!H135</f>
        <v>0</v>
      </c>
      <c r="K13" s="173">
        <f>'PSUT_Data&amp;Method_2014'!H153</f>
        <v>0</v>
      </c>
      <c r="L13" s="173">
        <f>'PSUT_Data&amp;Method_2014'!H171</f>
        <v>0</v>
      </c>
      <c r="M13" s="173">
        <f>'PSUT_Data&amp;Method_2014'!H189</f>
        <v>0</v>
      </c>
      <c r="N13" s="173">
        <f>'PSUT_Data&amp;Method_2014'!H207</f>
        <v>0</v>
      </c>
      <c r="O13" s="173">
        <f>'PSUT_Data&amp;Method_2014'!H225</f>
        <v>0</v>
      </c>
      <c r="P13" s="173">
        <f>'PSUT_Data&amp;Method_2014'!H243</f>
        <v>0</v>
      </c>
      <c r="Q13" s="173">
        <f>'PSUT_Data&amp;Method_2014'!H261</f>
        <v>0</v>
      </c>
      <c r="R13" s="173">
        <f>'PSUT_Data&amp;Method_2014'!H279</f>
        <v>0</v>
      </c>
      <c r="S13" s="173">
        <f>'PSUT_Data&amp;Method_2014'!H297</f>
        <v>0</v>
      </c>
      <c r="T13" s="173">
        <f>'PSUT_Data&amp;Method_2014'!H315</f>
        <v>0</v>
      </c>
      <c r="U13" s="173">
        <f>'PSUT_Data&amp;Method_2014'!H333</f>
        <v>2.0736000000000003</v>
      </c>
      <c r="V13" s="173">
        <f>'PSUT_Data&amp;Method_2014'!H351</f>
        <v>0</v>
      </c>
      <c r="W13" s="140">
        <f t="shared" si="0"/>
        <v>324998.01382874319</v>
      </c>
      <c r="X13" s="173">
        <f>'PSUT_Data&amp;Method_2014'!H372</f>
        <v>5116</v>
      </c>
      <c r="Y13" s="173">
        <f>'PSUT_Data&amp;Method_2014'!H390</f>
        <v>0</v>
      </c>
      <c r="Z13" s="76"/>
      <c r="AA13" s="143">
        <f t="shared" si="1"/>
        <v>330114.01382874319</v>
      </c>
      <c r="AB13" s="74"/>
      <c r="AC13" s="75"/>
    </row>
    <row r="14" spans="1:29" ht="12" customHeight="1" x14ac:dyDescent="0.2">
      <c r="A14" s="1763"/>
      <c r="B14" s="144" t="s">
        <v>29</v>
      </c>
      <c r="C14" s="169">
        <f>'PSUT_Data&amp;Method_2014'!H10</f>
        <v>51307.558238662903</v>
      </c>
      <c r="D14" s="173">
        <f>'PSUT_Data&amp;Method_2014'!H28</f>
        <v>0</v>
      </c>
      <c r="E14" s="173">
        <f>'PSUT_Data&amp;Method_2014'!H46</f>
        <v>0</v>
      </c>
      <c r="F14" s="173">
        <f>'PSUT_Data&amp;Method_2014'!H64</f>
        <v>205160.89605705006</v>
      </c>
      <c r="G14" s="173">
        <f>'PSUT_Data&amp;Method_2014'!H82</f>
        <v>0</v>
      </c>
      <c r="H14" s="173">
        <f>'PSUT_Data&amp;Method_2014'!H100</f>
        <v>0</v>
      </c>
      <c r="I14" s="173">
        <f>'PSUT_Data&amp;Method_2014'!H118</f>
        <v>0</v>
      </c>
      <c r="J14" s="173">
        <f>'PSUT_Data&amp;Method_2014'!H136</f>
        <v>0</v>
      </c>
      <c r="K14" s="173">
        <f>'PSUT_Data&amp;Method_2014'!H154</f>
        <v>0</v>
      </c>
      <c r="L14" s="173">
        <f>'PSUT_Data&amp;Method_2014'!H172</f>
        <v>0</v>
      </c>
      <c r="M14" s="173">
        <f>'PSUT_Data&amp;Method_2014'!H190</f>
        <v>0</v>
      </c>
      <c r="N14" s="173">
        <f>'PSUT_Data&amp;Method_2014'!H208</f>
        <v>0</v>
      </c>
      <c r="O14" s="173">
        <f>'PSUT_Data&amp;Method_2014'!H226</f>
        <v>0</v>
      </c>
      <c r="P14" s="173">
        <f>'PSUT_Data&amp;Method_2014'!H244</f>
        <v>0</v>
      </c>
      <c r="Q14" s="173">
        <f>'PSUT_Data&amp;Method_2014'!H262</f>
        <v>0</v>
      </c>
      <c r="R14" s="173">
        <f>'PSUT_Data&amp;Method_2014'!H280</f>
        <v>0</v>
      </c>
      <c r="S14" s="173">
        <f>'PSUT_Data&amp;Method_2014'!H298</f>
        <v>0</v>
      </c>
      <c r="T14" s="173">
        <f>'PSUT_Data&amp;Method_2014'!H316</f>
        <v>0</v>
      </c>
      <c r="U14" s="173">
        <f>'PSUT_Data&amp;Method_2014'!H334</f>
        <v>0</v>
      </c>
      <c r="V14" s="173">
        <f>'PSUT_Data&amp;Method_2014'!H352</f>
        <v>0</v>
      </c>
      <c r="W14" s="140">
        <f t="shared" si="0"/>
        <v>256468.45429571296</v>
      </c>
      <c r="X14" s="173">
        <f>'PSUT_Data&amp;Method_2014'!H373</f>
        <v>11.556149600257422</v>
      </c>
      <c r="Y14" s="173">
        <f>'PSUT_Data&amp;Method_2014'!H391</f>
        <v>0</v>
      </c>
      <c r="Z14" s="76"/>
      <c r="AA14" s="143">
        <f t="shared" si="1"/>
        <v>256480.01044531321</v>
      </c>
      <c r="AB14" s="74"/>
      <c r="AC14" s="75"/>
    </row>
    <row r="15" spans="1:29" ht="24" customHeight="1" x14ac:dyDescent="0.2">
      <c r="A15" s="1763"/>
      <c r="B15" s="145" t="s">
        <v>30</v>
      </c>
      <c r="C15" s="168">
        <f>'PSUT_Data&amp;Method_2014'!H11</f>
        <v>20516.089605705009</v>
      </c>
      <c r="D15" s="172">
        <f>'PSUT_Data&amp;Method_2014'!H29</f>
        <v>0</v>
      </c>
      <c r="E15" s="172">
        <f>'PSUT_Data&amp;Method_2014'!H47</f>
        <v>3498.2857362552868</v>
      </c>
      <c r="F15" s="172">
        <f>'PSUT_Data&amp;Method_2014'!H65</f>
        <v>0</v>
      </c>
      <c r="G15" s="172">
        <f>'PSUT_Data&amp;Method_2014'!H83</f>
        <v>0</v>
      </c>
      <c r="H15" s="172">
        <f>'PSUT_Data&amp;Method_2014'!H101</f>
        <v>0</v>
      </c>
      <c r="I15" s="172">
        <f>'PSUT_Data&amp;Method_2014'!H119</f>
        <v>0</v>
      </c>
      <c r="J15" s="172">
        <f>'PSUT_Data&amp;Method_2014'!H137</f>
        <v>0</v>
      </c>
      <c r="K15" s="172">
        <f>'PSUT_Data&amp;Method_2014'!H155</f>
        <v>0</v>
      </c>
      <c r="L15" s="172">
        <f>'PSUT_Data&amp;Method_2014'!H173</f>
        <v>0</v>
      </c>
      <c r="M15" s="172">
        <f>'PSUT_Data&amp;Method_2014'!H191</f>
        <v>0</v>
      </c>
      <c r="N15" s="172">
        <f>'PSUT_Data&amp;Method_2014'!H209</f>
        <v>0</v>
      </c>
      <c r="O15" s="172">
        <f>'PSUT_Data&amp;Method_2014'!H227</f>
        <v>0</v>
      </c>
      <c r="P15" s="172">
        <f>'PSUT_Data&amp;Method_2014'!H245</f>
        <v>0</v>
      </c>
      <c r="Q15" s="172">
        <f>'PSUT_Data&amp;Method_2014'!H263</f>
        <v>0</v>
      </c>
      <c r="R15" s="172">
        <f>'PSUT_Data&amp;Method_2014'!H281</f>
        <v>0</v>
      </c>
      <c r="S15" s="172">
        <f>'PSUT_Data&amp;Method_2014'!H299</f>
        <v>0</v>
      </c>
      <c r="T15" s="172">
        <f>'PSUT_Data&amp;Method_2014'!H317</f>
        <v>0</v>
      </c>
      <c r="U15" s="172">
        <f>'PSUT_Data&amp;Method_2014'!H335</f>
        <v>0</v>
      </c>
      <c r="V15" s="172">
        <f>'PSUT_Data&amp;Method_2014'!H353</f>
        <v>0</v>
      </c>
      <c r="W15" s="149">
        <f t="shared" si="0"/>
        <v>24014.375341960294</v>
      </c>
      <c r="X15" s="172">
        <f>'PSUT_Data&amp;Method_2014'!H374</f>
        <v>1134</v>
      </c>
      <c r="Y15" s="172">
        <f>'PSUT_Data&amp;Method_2014'!H392</f>
        <v>0</v>
      </c>
      <c r="Z15" s="76"/>
      <c r="AA15" s="143">
        <f t="shared" si="1"/>
        <v>25148.375341960294</v>
      </c>
      <c r="AB15" s="74"/>
      <c r="AC15" s="75"/>
    </row>
    <row r="16" spans="1:29" ht="12" customHeight="1" x14ac:dyDescent="0.2">
      <c r="A16" s="1763"/>
      <c r="B16" s="379" t="s">
        <v>31</v>
      </c>
      <c r="C16" s="170">
        <f>'PSUT_Data&amp;Method_2014'!H12</f>
        <v>13925.838745152938</v>
      </c>
      <c r="D16" s="174">
        <f>'PSUT_Data&amp;Method_2014'!H30</f>
        <v>63.788130000000002</v>
      </c>
      <c r="E16" s="174">
        <f>'PSUT_Data&amp;Method_2014'!H48</f>
        <v>9002.7114590465681</v>
      </c>
      <c r="F16" s="174">
        <f>'PSUT_Data&amp;Method_2014'!H66</f>
        <v>0</v>
      </c>
      <c r="G16" s="174">
        <f>'PSUT_Data&amp;Method_2014'!H84</f>
        <v>12105.003697344522</v>
      </c>
      <c r="H16" s="174">
        <f>'PSUT_Data&amp;Method_2014'!H102</f>
        <v>0</v>
      </c>
      <c r="I16" s="174">
        <f>'PSUT_Data&amp;Method_2014'!H120</f>
        <v>0</v>
      </c>
      <c r="J16" s="174">
        <f>'PSUT_Data&amp;Method_2014'!H138</f>
        <v>0</v>
      </c>
      <c r="K16" s="174">
        <f>'PSUT_Data&amp;Method_2014'!H156</f>
        <v>0</v>
      </c>
      <c r="L16" s="174">
        <f>'PSUT_Data&amp;Method_2014'!H174</f>
        <v>0</v>
      </c>
      <c r="M16" s="174">
        <f>'PSUT_Data&amp;Method_2014'!H192</f>
        <v>0</v>
      </c>
      <c r="N16" s="174">
        <f>'PSUT_Data&amp;Method_2014'!H210</f>
        <v>0</v>
      </c>
      <c r="O16" s="174">
        <f>'PSUT_Data&amp;Method_2014'!H228</f>
        <v>0</v>
      </c>
      <c r="P16" s="174">
        <f>'PSUT_Data&amp;Method_2014'!H246</f>
        <v>0</v>
      </c>
      <c r="Q16" s="174">
        <f>'PSUT_Data&amp;Method_2014'!H264</f>
        <v>0</v>
      </c>
      <c r="R16" s="174">
        <f>'PSUT_Data&amp;Method_2014'!H282</f>
        <v>133.11539999999999</v>
      </c>
      <c r="S16" s="174">
        <f>'PSUT_Data&amp;Method_2014'!H300</f>
        <v>90.790815573770487</v>
      </c>
      <c r="T16" s="174">
        <f>'PSUT_Data&amp;Method_2014'!H318</f>
        <v>0</v>
      </c>
      <c r="U16" s="174">
        <f>'PSUT_Data&amp;Method_2014'!H336</f>
        <v>0</v>
      </c>
      <c r="V16" s="174">
        <f>'PSUT_Data&amp;Method_2014'!H354</f>
        <v>0</v>
      </c>
      <c r="W16" s="138">
        <f t="shared" si="0"/>
        <v>35321.248247117801</v>
      </c>
      <c r="X16" s="174">
        <f>'PSUT_Data&amp;Method_2014'!H375</f>
        <v>28981.141774267882</v>
      </c>
      <c r="Y16" s="174">
        <f>'PSUT_Data&amp;Method_2014'!H393</f>
        <v>0</v>
      </c>
      <c r="Z16" s="76"/>
      <c r="AA16" s="143">
        <f t="shared" si="1"/>
        <v>64302.390021385683</v>
      </c>
      <c r="AB16" s="74"/>
      <c r="AC16" s="75"/>
    </row>
    <row r="17" spans="1:29" ht="12" customHeight="1" x14ac:dyDescent="0.2">
      <c r="A17" s="1763"/>
      <c r="B17" s="144" t="s">
        <v>461</v>
      </c>
      <c r="C17" s="382">
        <f>'PSUT_Data&amp;Method_2014'!H13</f>
        <v>4243.3496924999999</v>
      </c>
      <c r="D17" s="173">
        <f>'PSUT_Data&amp;Method_2014'!H31</f>
        <v>0</v>
      </c>
      <c r="E17" s="173">
        <f>'PSUT_Data&amp;Method_2014'!H49</f>
        <v>3380.5729698577479</v>
      </c>
      <c r="F17" s="173">
        <f>'PSUT_Data&amp;Method_2014'!H67</f>
        <v>0</v>
      </c>
      <c r="G17" s="173">
        <f>'PSUT_Data&amp;Method_2014'!H85</f>
        <v>0</v>
      </c>
      <c r="H17" s="173">
        <f>'PSUT_Data&amp;Method_2014'!H103</f>
        <v>0</v>
      </c>
      <c r="I17" s="173">
        <f>'PSUT_Data&amp;Method_2014'!H121</f>
        <v>0</v>
      </c>
      <c r="J17" s="173">
        <f>'PSUT_Data&amp;Method_2014'!H139</f>
        <v>0</v>
      </c>
      <c r="K17" s="173">
        <f>'PSUT_Data&amp;Method_2014'!H157</f>
        <v>0</v>
      </c>
      <c r="L17" s="173">
        <f>'PSUT_Data&amp;Method_2014'!H175</f>
        <v>0</v>
      </c>
      <c r="M17" s="173">
        <f>'PSUT_Data&amp;Method_2014'!H193</f>
        <v>0</v>
      </c>
      <c r="N17" s="173">
        <f>'PSUT_Data&amp;Method_2014'!H211</f>
        <v>0</v>
      </c>
      <c r="O17" s="173">
        <f>'PSUT_Data&amp;Method_2014'!H229</f>
        <v>0</v>
      </c>
      <c r="P17" s="173">
        <f>'PSUT_Data&amp;Method_2014'!H247</f>
        <v>0</v>
      </c>
      <c r="Q17" s="173">
        <f>'PSUT_Data&amp;Method_2014'!H265</f>
        <v>0</v>
      </c>
      <c r="R17" s="173">
        <f>'PSUT_Data&amp;Method_2014'!H283</f>
        <v>126.45962999999999</v>
      </c>
      <c r="S17" s="173">
        <f>'PSUT_Data&amp;Method_2014'!H301</f>
        <v>18.1581631147541</v>
      </c>
      <c r="T17" s="173">
        <f>'PSUT_Data&amp;Method_2014'!H319</f>
        <v>0</v>
      </c>
      <c r="U17" s="173">
        <f>'PSUT_Data&amp;Method_2014'!H337</f>
        <v>0</v>
      </c>
      <c r="V17" s="173">
        <f>'PSUT_Data&amp;Method_2014'!H355</f>
        <v>0</v>
      </c>
      <c r="W17" s="140">
        <f t="shared" si="0"/>
        <v>7768.5404554725019</v>
      </c>
      <c r="X17" s="173">
        <f>'PSUT_Data&amp;Method_2014'!H376</f>
        <v>3806.6702373702446</v>
      </c>
      <c r="Y17" s="173">
        <f>'PSUT_Data&amp;Method_2014'!H394</f>
        <v>0</v>
      </c>
      <c r="Z17" s="76"/>
      <c r="AA17" s="143"/>
      <c r="AB17" s="74"/>
      <c r="AC17" s="75"/>
    </row>
    <row r="18" spans="1:29" ht="12" customHeight="1" x14ac:dyDescent="0.2">
      <c r="A18" s="1763"/>
      <c r="B18" s="144" t="s">
        <v>462</v>
      </c>
      <c r="C18" s="382">
        <f>'PSUT_Data&amp;Method_2014'!H14</f>
        <v>9682.489052652938</v>
      </c>
      <c r="D18" s="173">
        <f>'PSUT_Data&amp;Method_2014'!H32</f>
        <v>63.788130000000002</v>
      </c>
      <c r="E18" s="173">
        <f>'PSUT_Data&amp;Method_2014'!H50</f>
        <v>5622.1384891888192</v>
      </c>
      <c r="F18" s="173">
        <f>'PSUT_Data&amp;Method_2014'!H68</f>
        <v>0</v>
      </c>
      <c r="G18" s="173">
        <f>'PSUT_Data&amp;Method_2014'!H86</f>
        <v>12105.003697344522</v>
      </c>
      <c r="H18" s="173">
        <f>'PSUT_Data&amp;Method_2014'!H104</f>
        <v>0</v>
      </c>
      <c r="I18" s="173">
        <f>'PSUT_Data&amp;Method_2014'!H122</f>
        <v>0</v>
      </c>
      <c r="J18" s="173">
        <f>'PSUT_Data&amp;Method_2014'!H140</f>
        <v>0</v>
      </c>
      <c r="K18" s="173">
        <f>'PSUT_Data&amp;Method_2014'!H158</f>
        <v>0</v>
      </c>
      <c r="L18" s="173">
        <f>'PSUT_Data&amp;Method_2014'!H176</f>
        <v>0</v>
      </c>
      <c r="M18" s="173">
        <f>'PSUT_Data&amp;Method_2014'!H194</f>
        <v>0</v>
      </c>
      <c r="N18" s="173">
        <f>'PSUT_Data&amp;Method_2014'!H212</f>
        <v>0</v>
      </c>
      <c r="O18" s="173">
        <f>'PSUT_Data&amp;Method_2014'!H230</f>
        <v>0</v>
      </c>
      <c r="P18" s="173">
        <f>'PSUT_Data&amp;Method_2014'!H248</f>
        <v>0</v>
      </c>
      <c r="Q18" s="173">
        <f>'PSUT_Data&amp;Method_2014'!H266</f>
        <v>0</v>
      </c>
      <c r="R18" s="173">
        <f>'PSUT_Data&amp;Method_2014'!H284</f>
        <v>6.6557700000000004</v>
      </c>
      <c r="S18" s="173">
        <f>'PSUT_Data&amp;Method_2014'!H302</f>
        <v>72.632652459016398</v>
      </c>
      <c r="T18" s="173">
        <f>'PSUT_Data&amp;Method_2014'!H320</f>
        <v>0</v>
      </c>
      <c r="U18" s="173">
        <f>'PSUT_Data&amp;Method_2014'!H338</f>
        <v>0</v>
      </c>
      <c r="V18" s="173">
        <f>'PSUT_Data&amp;Method_2014'!H356</f>
        <v>0</v>
      </c>
      <c r="W18" s="140">
        <f t="shared" si="0"/>
        <v>27552.707791645298</v>
      </c>
      <c r="X18" s="173">
        <f>'PSUT_Data&amp;Method_2014'!H377</f>
        <v>25174.471536897639</v>
      </c>
      <c r="Y18" s="173">
        <f>'PSUT_Data&amp;Method_2014'!H395</f>
        <v>0</v>
      </c>
      <c r="Z18" s="76"/>
      <c r="AA18" s="143"/>
      <c r="AB18" s="74"/>
      <c r="AC18" s="75"/>
    </row>
    <row r="19" spans="1:29" ht="12" customHeight="1" x14ac:dyDescent="0.2">
      <c r="A19" s="1763"/>
      <c r="B19" s="156" t="s">
        <v>32</v>
      </c>
      <c r="C19" s="170">
        <f>'PSUT_Data&amp;Method_2014'!H15</f>
        <v>13286936.953439228</v>
      </c>
      <c r="D19" s="174">
        <f>'PSUT_Data&amp;Method_2014'!H33</f>
        <v>0</v>
      </c>
      <c r="E19" s="174">
        <f>'PSUT_Data&amp;Method_2014'!H51</f>
        <v>0</v>
      </c>
      <c r="F19" s="174">
        <f>'PSUT_Data&amp;Method_2014'!H69</f>
        <v>0</v>
      </c>
      <c r="G19" s="174">
        <f>'PSUT_Data&amp;Method_2014'!H87</f>
        <v>0</v>
      </c>
      <c r="H19" s="174">
        <f>'PSUT_Data&amp;Method_2014'!H105</f>
        <v>0</v>
      </c>
      <c r="I19" s="174">
        <f>'PSUT_Data&amp;Method_2014'!H123</f>
        <v>0</v>
      </c>
      <c r="J19" s="174">
        <f>'PSUT_Data&amp;Method_2014'!H141</f>
        <v>0</v>
      </c>
      <c r="K19" s="174">
        <f>'PSUT_Data&amp;Method_2014'!H159</f>
        <v>0</v>
      </c>
      <c r="L19" s="174">
        <f>'PSUT_Data&amp;Method_2014'!H177</f>
        <v>0</v>
      </c>
      <c r="M19" s="174">
        <f>'PSUT_Data&amp;Method_2014'!H195</f>
        <v>0</v>
      </c>
      <c r="N19" s="174">
        <f>'PSUT_Data&amp;Method_2014'!H213</f>
        <v>0</v>
      </c>
      <c r="O19" s="174">
        <f>'PSUT_Data&amp;Method_2014'!H231</f>
        <v>0</v>
      </c>
      <c r="P19" s="174">
        <f>'PSUT_Data&amp;Method_2014'!H249</f>
        <v>0</v>
      </c>
      <c r="Q19" s="174">
        <f>'PSUT_Data&amp;Method_2014'!H267</f>
        <v>0</v>
      </c>
      <c r="R19" s="174">
        <f>'PSUT_Data&amp;Method_2014'!H285</f>
        <v>0</v>
      </c>
      <c r="S19" s="174">
        <f>'PSUT_Data&amp;Method_2014'!H303</f>
        <v>0</v>
      </c>
      <c r="T19" s="174">
        <f>'PSUT_Data&amp;Method_2014'!H321</f>
        <v>0</v>
      </c>
      <c r="U19" s="174">
        <f>'PSUT_Data&amp;Method_2014'!H339</f>
        <v>0</v>
      </c>
      <c r="V19" s="174">
        <f>'PSUT_Data&amp;Method_2014'!H357</f>
        <v>0</v>
      </c>
      <c r="W19" s="138">
        <f t="shared" si="0"/>
        <v>13286936.953439228</v>
      </c>
      <c r="X19" s="174">
        <f>'PSUT_Data&amp;Method_2014'!H378</f>
        <v>0</v>
      </c>
      <c r="Y19" s="174">
        <f>'PSUT_Data&amp;Method_2014'!H396</f>
        <v>0</v>
      </c>
      <c r="Z19" s="76"/>
      <c r="AA19" s="143">
        <f t="shared" si="1"/>
        <v>13286936.953439228</v>
      </c>
      <c r="AB19" s="74"/>
      <c r="AC19" s="75"/>
    </row>
    <row r="20" spans="1:29" ht="12" customHeight="1" x14ac:dyDescent="0.2">
      <c r="A20" s="1763"/>
      <c r="B20" s="380" t="s">
        <v>33</v>
      </c>
      <c r="C20" s="167">
        <f>'PSUT_Data&amp;Method_2014'!H16</f>
        <v>807</v>
      </c>
      <c r="D20" s="171">
        <f>'PSUT_Data&amp;Method_2014'!H34</f>
        <v>21359.8</v>
      </c>
      <c r="E20" s="171">
        <f>'PSUT_Data&amp;Method_2014'!H52</f>
        <v>28.2</v>
      </c>
      <c r="F20" s="171">
        <f>'PSUT_Data&amp;Method_2014'!H70</f>
        <v>0</v>
      </c>
      <c r="G20" s="171">
        <f>'PSUT_Data&amp;Method_2014'!H88</f>
        <v>0</v>
      </c>
      <c r="H20" s="171">
        <f>'PSUT_Data&amp;Method_2014'!H106</f>
        <v>0</v>
      </c>
      <c r="I20" s="171">
        <f>'PSUT_Data&amp;Method_2014'!H124</f>
        <v>0</v>
      </c>
      <c r="J20" s="171">
        <f>'PSUT_Data&amp;Method_2014'!H142</f>
        <v>0</v>
      </c>
      <c r="K20" s="171">
        <f>'PSUT_Data&amp;Method_2014'!H160</f>
        <v>0</v>
      </c>
      <c r="L20" s="171">
        <f>'PSUT_Data&amp;Method_2014'!H178</f>
        <v>0</v>
      </c>
      <c r="M20" s="171">
        <f>'PSUT_Data&amp;Method_2014'!H196</f>
        <v>0.06</v>
      </c>
      <c r="N20" s="171">
        <f>'PSUT_Data&amp;Method_2014'!H214</f>
        <v>0</v>
      </c>
      <c r="O20" s="171">
        <f>'PSUT_Data&amp;Method_2014'!H232</f>
        <v>0</v>
      </c>
      <c r="P20" s="171">
        <f>'PSUT_Data&amp;Method_2014'!H250</f>
        <v>0</v>
      </c>
      <c r="Q20" s="171">
        <f>'PSUT_Data&amp;Method_2014'!H268</f>
        <v>0</v>
      </c>
      <c r="R20" s="171">
        <f>'PSUT_Data&amp;Method_2014'!H286</f>
        <v>0</v>
      </c>
      <c r="S20" s="171">
        <f>'PSUT_Data&amp;Method_2014'!H304</f>
        <v>497.98870000000005</v>
      </c>
      <c r="T20" s="171">
        <f>'PSUT_Data&amp;Method_2014'!H322</f>
        <v>0</v>
      </c>
      <c r="U20" s="171">
        <f>'PSUT_Data&amp;Method_2014'!H340</f>
        <v>9.636000000000001</v>
      </c>
      <c r="V20" s="171">
        <f>'PSUT_Data&amp;Method_2014'!H358</f>
        <v>0</v>
      </c>
      <c r="W20" s="155">
        <f t="shared" si="0"/>
        <v>22702.684700000002</v>
      </c>
      <c r="X20" s="171">
        <f>'PSUT_Data&amp;Method_2014'!H379</f>
        <v>550</v>
      </c>
      <c r="Y20" s="171">
        <f>'PSUT_Data&amp;Method_2014'!H397</f>
        <v>0</v>
      </c>
      <c r="Z20" s="76"/>
      <c r="AA20" s="158">
        <f t="shared" si="1"/>
        <v>23252.684700000002</v>
      </c>
      <c r="AB20" s="74"/>
      <c r="AC20" s="75"/>
    </row>
    <row r="21" spans="1:29" ht="22.5" customHeight="1" x14ac:dyDescent="0.2">
      <c r="A21" s="1763"/>
      <c r="B21" s="152" t="s">
        <v>34</v>
      </c>
      <c r="C21" s="167">
        <f>'PSUT_Data&amp;Method_2014'!H17</f>
        <v>807</v>
      </c>
      <c r="D21" s="171">
        <f>'PSUT_Data&amp;Method_2014'!H35</f>
        <v>21359.8</v>
      </c>
      <c r="E21" s="171">
        <f>'PSUT_Data&amp;Method_2014'!H53</f>
        <v>28.2</v>
      </c>
      <c r="F21" s="171">
        <f>'PSUT_Data&amp;Method_2014'!H71</f>
        <v>0</v>
      </c>
      <c r="G21" s="171">
        <f>'PSUT_Data&amp;Method_2014'!H89</f>
        <v>0</v>
      </c>
      <c r="H21" s="171">
        <f>'PSUT_Data&amp;Method_2014'!H107</f>
        <v>0</v>
      </c>
      <c r="I21" s="171">
        <f>'PSUT_Data&amp;Method_2014'!H125</f>
        <v>0</v>
      </c>
      <c r="J21" s="171">
        <f>'PSUT_Data&amp;Method_2014'!H143</f>
        <v>0</v>
      </c>
      <c r="K21" s="171">
        <f>'PSUT_Data&amp;Method_2014'!H161</f>
        <v>0</v>
      </c>
      <c r="L21" s="171">
        <f>'PSUT_Data&amp;Method_2014'!H179</f>
        <v>0</v>
      </c>
      <c r="M21" s="171">
        <f>'PSUT_Data&amp;Method_2014'!H197</f>
        <v>0.06</v>
      </c>
      <c r="N21" s="171">
        <f>'PSUT_Data&amp;Method_2014'!H215</f>
        <v>0</v>
      </c>
      <c r="O21" s="171">
        <f>'PSUT_Data&amp;Method_2014'!H233</f>
        <v>0</v>
      </c>
      <c r="P21" s="171">
        <f>'PSUT_Data&amp;Method_2014'!H251</f>
        <v>0</v>
      </c>
      <c r="Q21" s="171">
        <f>'PSUT_Data&amp;Method_2014'!H269</f>
        <v>0</v>
      </c>
      <c r="R21" s="171">
        <f>'PSUT_Data&amp;Method_2014'!H287</f>
        <v>0</v>
      </c>
      <c r="S21" s="171">
        <f>'PSUT_Data&amp;Method_2014'!H305</f>
        <v>497.98870000000005</v>
      </c>
      <c r="T21" s="171">
        <f>'PSUT_Data&amp;Method_2014'!H323</f>
        <v>0</v>
      </c>
      <c r="U21" s="171">
        <f>'PSUT_Data&amp;Method_2014'!H341</f>
        <v>9.636000000000001</v>
      </c>
      <c r="V21" s="171">
        <f>'PSUT_Data&amp;Method_2014'!H359</f>
        <v>0</v>
      </c>
      <c r="W21" s="142">
        <f t="shared" si="0"/>
        <v>22702.684700000002</v>
      </c>
      <c r="X21" s="171">
        <f>'PSUT_Data&amp;Method_2014'!H380</f>
        <v>550</v>
      </c>
      <c r="Y21" s="171">
        <f>'PSUT_Data&amp;Method_2014'!H398</f>
        <v>0</v>
      </c>
      <c r="Z21" s="76"/>
      <c r="AA21" s="143">
        <f t="shared" si="1"/>
        <v>23252.684700000002</v>
      </c>
      <c r="AB21" s="74"/>
    </row>
    <row r="22" spans="1:29" ht="12" customHeight="1" x14ac:dyDescent="0.2">
      <c r="A22" s="1764"/>
      <c r="B22" s="145" t="s">
        <v>35</v>
      </c>
      <c r="C22" s="168">
        <f>'PSUT_Data&amp;Method_2014'!H18</f>
        <v>0</v>
      </c>
      <c r="D22" s="172">
        <f>'PSUT_Data&amp;Method_2014'!H36</f>
        <v>0</v>
      </c>
      <c r="E22" s="172">
        <f>'PSUT_Data&amp;Method_2014'!H54</f>
        <v>0</v>
      </c>
      <c r="F22" s="172">
        <f>'PSUT_Data&amp;Method_2014'!H72</f>
        <v>0</v>
      </c>
      <c r="G22" s="172">
        <f>'PSUT_Data&amp;Method_2014'!H90</f>
        <v>0</v>
      </c>
      <c r="H22" s="172">
        <f>'PSUT_Data&amp;Method_2014'!H108</f>
        <v>0</v>
      </c>
      <c r="I22" s="172">
        <f>'PSUT_Data&amp;Method_2014'!H126</f>
        <v>0</v>
      </c>
      <c r="J22" s="172">
        <f>'PSUT_Data&amp;Method_2014'!H144</f>
        <v>0</v>
      </c>
      <c r="K22" s="172">
        <f>'PSUT_Data&amp;Method_2014'!H162</f>
        <v>0</v>
      </c>
      <c r="L22" s="172">
        <f>'PSUT_Data&amp;Method_2014'!H180</f>
        <v>0</v>
      </c>
      <c r="M22" s="172">
        <f>'PSUT_Data&amp;Method_2014'!H198</f>
        <v>0</v>
      </c>
      <c r="N22" s="172">
        <f>'PSUT_Data&amp;Method_2014'!H216</f>
        <v>0</v>
      </c>
      <c r="O22" s="172">
        <f>'PSUT_Data&amp;Method_2014'!H234</f>
        <v>0</v>
      </c>
      <c r="P22" s="172">
        <f>'PSUT_Data&amp;Method_2014'!H252</f>
        <v>0</v>
      </c>
      <c r="Q22" s="172">
        <f>'PSUT_Data&amp;Method_2014'!H270</f>
        <v>0</v>
      </c>
      <c r="R22" s="172">
        <f>'PSUT_Data&amp;Method_2014'!H288</f>
        <v>0</v>
      </c>
      <c r="S22" s="172">
        <f>'PSUT_Data&amp;Method_2014'!H306</f>
        <v>0</v>
      </c>
      <c r="T22" s="172">
        <f>'PSUT_Data&amp;Method_2014'!H324</f>
        <v>0</v>
      </c>
      <c r="U22" s="172">
        <f>'PSUT_Data&amp;Method_2014'!H342</f>
        <v>0</v>
      </c>
      <c r="V22" s="172">
        <f>'PSUT_Data&amp;Method_2014'!H360</f>
        <v>0</v>
      </c>
      <c r="W22" s="149">
        <f t="shared" si="0"/>
        <v>0</v>
      </c>
      <c r="X22" s="172">
        <f>'PSUT_Data&amp;Method_2014'!H381</f>
        <v>0</v>
      </c>
      <c r="Y22" s="172">
        <f>'PSUT_Data&amp;Method_2014'!H399</f>
        <v>0</v>
      </c>
      <c r="Z22" s="76"/>
      <c r="AA22" s="143">
        <f t="shared" si="1"/>
        <v>0</v>
      </c>
      <c r="AB22" s="74"/>
    </row>
    <row r="23" spans="1:29" ht="24.75" customHeight="1" x14ac:dyDescent="0.2">
      <c r="A23" s="77" t="s">
        <v>5</v>
      </c>
      <c r="B23" s="78" t="s">
        <v>36</v>
      </c>
      <c r="C23" s="169">
        <f>'PSUT_Data&amp;Method_2014'!H19</f>
        <v>90250</v>
      </c>
      <c r="D23" s="172">
        <f>'PSUT_Data&amp;Method_2014'!H37</f>
        <v>0</v>
      </c>
      <c r="E23" s="172">
        <f>'PSUT_Data&amp;Method_2014'!H55</f>
        <v>642763.78523033194</v>
      </c>
      <c r="F23" s="172">
        <f>'PSUT_Data&amp;Method_2014'!H73</f>
        <v>0</v>
      </c>
      <c r="G23" s="172">
        <f>'PSUT_Data&amp;Method_2014'!H91</f>
        <v>0</v>
      </c>
      <c r="H23" s="172">
        <f>'PSUT_Data&amp;Method_2014'!H109</f>
        <v>0</v>
      </c>
      <c r="I23" s="172">
        <f>'PSUT_Data&amp;Method_2014'!H127</f>
        <v>0</v>
      </c>
      <c r="J23" s="172">
        <f>'PSUT_Data&amp;Method_2014'!H145</f>
        <v>0</v>
      </c>
      <c r="K23" s="172">
        <f>'PSUT_Data&amp;Method_2014'!H163</f>
        <v>16672.61</v>
      </c>
      <c r="L23" s="172">
        <f>'PSUT_Data&amp;Method_2014'!H181</f>
        <v>0</v>
      </c>
      <c r="M23" s="172">
        <f>'PSUT_Data&amp;Method_2014'!H199</f>
        <v>76.030545405347283</v>
      </c>
      <c r="N23" s="172">
        <f>'PSUT_Data&amp;Method_2014'!H217</f>
        <v>0</v>
      </c>
      <c r="O23" s="172">
        <f>'PSUT_Data&amp;Method_2014'!H235</f>
        <v>0</v>
      </c>
      <c r="P23" s="172">
        <f>'PSUT_Data&amp;Method_2014'!H253</f>
        <v>0</v>
      </c>
      <c r="Q23" s="172">
        <f>'PSUT_Data&amp;Method_2014'!H271</f>
        <v>0</v>
      </c>
      <c r="R23" s="172">
        <f>'PSUT_Data&amp;Method_2014'!H289</f>
        <v>224372.33</v>
      </c>
      <c r="S23" s="172">
        <f>'PSUT_Data&amp;Method_2014'!H307</f>
        <v>3720.9427500000002</v>
      </c>
      <c r="T23" s="172">
        <f>'PSUT_Data&amp;Method_2014'!H325</f>
        <v>0</v>
      </c>
      <c r="U23" s="172">
        <f>'PSUT_Data&amp;Method_2014'!H343</f>
        <v>131.69367175295594</v>
      </c>
      <c r="V23" s="172">
        <f>'PSUT_Data&amp;Method_2014'!H361</f>
        <v>0</v>
      </c>
      <c r="W23" s="82">
        <f t="shared" si="0"/>
        <v>977987.3921974902</v>
      </c>
      <c r="X23" s="172">
        <f>'PSUT_Data&amp;Method_2014'!H382</f>
        <v>176061</v>
      </c>
      <c r="Y23" s="172">
        <f>'PSUT_Data&amp;Method_2014'!H400</f>
        <v>6514.5680899999998</v>
      </c>
      <c r="Z23" s="163"/>
      <c r="AA23" s="158">
        <f t="shared" si="1"/>
        <v>1160562.9602874902</v>
      </c>
      <c r="AB23" s="74"/>
    </row>
    <row r="24" spans="1:29" ht="12" customHeight="1" x14ac:dyDescent="0.2">
      <c r="A24" s="1774" t="s">
        <v>142</v>
      </c>
      <c r="B24" s="1775"/>
      <c r="C24" s="137">
        <f>SUM(C6,C23)</f>
        <v>13597098.022465833</v>
      </c>
      <c r="D24" s="137">
        <f t="shared" ref="D24:V24" si="2">SUM(D6,D23)</f>
        <v>22429.728515197057</v>
      </c>
      <c r="E24" s="137">
        <f t="shared" si="2"/>
        <v>667006.1837084404</v>
      </c>
      <c r="F24" s="137">
        <f t="shared" si="2"/>
        <v>357008.97910203272</v>
      </c>
      <c r="G24" s="137">
        <f>SUM(G6,G23)</f>
        <v>53540.199500012386</v>
      </c>
      <c r="H24" s="137">
        <f>SUM(H6,H23)</f>
        <v>0</v>
      </c>
      <c r="I24" s="137">
        <f t="shared" si="2"/>
        <v>0</v>
      </c>
      <c r="J24" s="137">
        <f t="shared" si="2"/>
        <v>0</v>
      </c>
      <c r="K24" s="137">
        <f t="shared" si="2"/>
        <v>16672.61</v>
      </c>
      <c r="L24" s="137">
        <f t="shared" si="2"/>
        <v>0</v>
      </c>
      <c r="M24" s="137">
        <f t="shared" si="2"/>
        <v>76.090545405347285</v>
      </c>
      <c r="N24" s="137">
        <f t="shared" si="2"/>
        <v>0</v>
      </c>
      <c r="O24" s="137">
        <f>SUM(O6,O23)</f>
        <v>0</v>
      </c>
      <c r="P24" s="137">
        <f t="shared" si="2"/>
        <v>0</v>
      </c>
      <c r="Q24" s="137">
        <f t="shared" si="2"/>
        <v>0</v>
      </c>
      <c r="R24" s="137">
        <f t="shared" si="2"/>
        <v>224505.4454</v>
      </c>
      <c r="S24" s="137">
        <f t="shared" si="2"/>
        <v>4309.7222655737705</v>
      </c>
      <c r="T24" s="137">
        <f t="shared" si="2"/>
        <v>0</v>
      </c>
      <c r="U24" s="137">
        <f t="shared" si="2"/>
        <v>143.40327175295593</v>
      </c>
      <c r="V24" s="137">
        <f t="shared" si="2"/>
        <v>0</v>
      </c>
      <c r="W24" s="137">
        <f>SUM(C24:V24)</f>
        <v>14942790.384774245</v>
      </c>
      <c r="X24" s="137">
        <f>SUM(X6,X23)</f>
        <v>216893.69792386814</v>
      </c>
      <c r="Y24" s="137">
        <f>SUM(Y6,Y23)</f>
        <v>6514.5680899999998</v>
      </c>
      <c r="Z24" s="164"/>
      <c r="AA24" s="157">
        <f>W24+X24+Y24</f>
        <v>15166198.650788113</v>
      </c>
      <c r="AB24" s="74"/>
    </row>
    <row r="25" spans="1:29" customFormat="1" ht="5.25" customHeight="1" x14ac:dyDescent="0.25"/>
    <row r="26" spans="1:29" ht="22.5" customHeight="1" x14ac:dyDescent="0.2">
      <c r="A26" s="1776" t="s">
        <v>37</v>
      </c>
      <c r="B26" s="1776"/>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row>
    <row r="27" spans="1:29" ht="22.5" customHeight="1" x14ac:dyDescent="0.2">
      <c r="A27" s="1777" t="s">
        <v>143</v>
      </c>
      <c r="B27" s="1778"/>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row>
    <row r="28" spans="1:29" ht="31.5" customHeight="1" x14ac:dyDescent="0.2">
      <c r="A28" s="1779" t="s">
        <v>144</v>
      </c>
      <c r="B28" s="1779"/>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row>
    <row r="29" spans="1:29" customFormat="1" ht="14.25" customHeight="1" x14ac:dyDescent="0.25">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row>
    <row r="30" spans="1:29" x14ac:dyDescent="0.2">
      <c r="A30" s="1756" t="s">
        <v>38</v>
      </c>
      <c r="B30" s="1756"/>
      <c r="C30" s="1756"/>
      <c r="D30" s="1756"/>
      <c r="E30" s="1756"/>
      <c r="F30" s="1756"/>
      <c r="G30" s="1756"/>
      <c r="H30" s="1756"/>
      <c r="I30" s="1756"/>
      <c r="J30" s="1756"/>
      <c r="K30" s="1756"/>
      <c r="L30" s="1756"/>
      <c r="M30" s="1756"/>
      <c r="N30" s="1756"/>
      <c r="O30" s="1756"/>
      <c r="P30" s="1756"/>
      <c r="Q30" s="1756"/>
      <c r="R30" s="1756"/>
      <c r="S30" s="1756"/>
      <c r="T30" s="1756"/>
      <c r="U30" s="1756"/>
      <c r="V30" s="1756"/>
      <c r="W30" s="1756"/>
      <c r="X30" s="1756"/>
      <c r="Y30" s="1756"/>
      <c r="Z30" s="1756"/>
      <c r="AA30" s="1756"/>
      <c r="AB30" s="1756"/>
    </row>
    <row r="31" spans="1:29" x14ac:dyDescent="0.2">
      <c r="A31" s="1757" t="s">
        <v>577</v>
      </c>
      <c r="B31" s="1757"/>
      <c r="C31" s="1757"/>
      <c r="D31" s="1757"/>
      <c r="E31" s="1757"/>
      <c r="F31" s="1757"/>
      <c r="G31" s="1757"/>
      <c r="H31" s="1757"/>
      <c r="I31" s="1757"/>
      <c r="J31" s="1757"/>
      <c r="K31" s="1757"/>
      <c r="L31" s="1757"/>
      <c r="M31" s="1757"/>
      <c r="N31" s="1757"/>
      <c r="O31" s="1757"/>
      <c r="P31" s="1757"/>
      <c r="Q31" s="1757"/>
      <c r="R31" s="1757"/>
      <c r="S31" s="1757"/>
      <c r="T31" s="1757"/>
      <c r="U31" s="1757"/>
      <c r="V31" s="1757"/>
      <c r="W31" s="1757"/>
      <c r="X31" s="1757"/>
      <c r="Y31" s="1757"/>
      <c r="Z31" s="1757"/>
      <c r="AA31" s="1757"/>
      <c r="AB31" s="70"/>
    </row>
    <row r="32" spans="1:29" x14ac:dyDescent="0.2">
      <c r="A32" s="1752" t="s">
        <v>578</v>
      </c>
      <c r="B32" s="1765"/>
      <c r="C32" s="1769" t="s">
        <v>12</v>
      </c>
      <c r="D32" s="1770"/>
      <c r="E32" s="1770"/>
      <c r="F32" s="1770"/>
      <c r="G32" s="1770"/>
      <c r="H32" s="1770"/>
      <c r="I32" s="1770"/>
      <c r="J32" s="1770"/>
      <c r="K32" s="1770"/>
      <c r="L32" s="1770"/>
      <c r="M32" s="1770"/>
      <c r="N32" s="1770"/>
      <c r="O32" s="1770"/>
      <c r="P32" s="1770"/>
      <c r="Q32" s="1770"/>
      <c r="R32" s="1770"/>
      <c r="S32" s="1770"/>
      <c r="T32" s="1770"/>
      <c r="U32" s="1770"/>
      <c r="V32" s="1770"/>
      <c r="W32" s="1770"/>
      <c r="X32" s="1761" t="s">
        <v>642</v>
      </c>
      <c r="Y32" s="1771" t="s">
        <v>2</v>
      </c>
      <c r="Z32" s="1761" t="s">
        <v>13</v>
      </c>
      <c r="AA32" s="1773" t="s">
        <v>14</v>
      </c>
      <c r="AB32" s="79"/>
    </row>
    <row r="33" spans="1:28" ht="77.25" customHeight="1" x14ac:dyDescent="0.2">
      <c r="A33" s="1766"/>
      <c r="B33" s="1767"/>
      <c r="C33" s="71" t="s">
        <v>6</v>
      </c>
      <c r="D33" s="71" t="s">
        <v>7</v>
      </c>
      <c r="E33" s="71" t="s">
        <v>8</v>
      </c>
      <c r="F33" s="71" t="s">
        <v>9</v>
      </c>
      <c r="G33" s="71" t="s">
        <v>137</v>
      </c>
      <c r="H33" s="373" t="s">
        <v>615</v>
      </c>
      <c r="I33" s="373" t="s">
        <v>616</v>
      </c>
      <c r="J33" s="373" t="s">
        <v>617</v>
      </c>
      <c r="K33" s="71" t="s">
        <v>0</v>
      </c>
      <c r="L33" s="373" t="s">
        <v>618</v>
      </c>
      <c r="M33" s="71" t="s">
        <v>138</v>
      </c>
      <c r="N33" s="373" t="s">
        <v>619</v>
      </c>
      <c r="O33" s="373" t="s">
        <v>620</v>
      </c>
      <c r="P33" s="373" t="s">
        <v>621</v>
      </c>
      <c r="Q33" s="373" t="s">
        <v>622</v>
      </c>
      <c r="R33" s="71" t="s">
        <v>1</v>
      </c>
      <c r="S33" s="71" t="s">
        <v>10</v>
      </c>
      <c r="T33" s="373" t="s">
        <v>623</v>
      </c>
      <c r="U33" s="71" t="s">
        <v>139</v>
      </c>
      <c r="V33" s="374" t="s">
        <v>624</v>
      </c>
      <c r="W33" s="141"/>
      <c r="X33" s="1761"/>
      <c r="Y33" s="1772"/>
      <c r="Z33" s="1761"/>
      <c r="AA33" s="1773"/>
      <c r="AB33" s="74"/>
    </row>
    <row r="34" spans="1:28" x14ac:dyDescent="0.2">
      <c r="A34" s="1768"/>
      <c r="B34" s="1767"/>
      <c r="C34" s="146" t="s">
        <v>15</v>
      </c>
      <c r="D34" s="147" t="s">
        <v>16</v>
      </c>
      <c r="E34" s="147" t="s">
        <v>17</v>
      </c>
      <c r="F34" s="147">
        <v>35</v>
      </c>
      <c r="G34" s="147" t="s">
        <v>18</v>
      </c>
      <c r="H34" s="147"/>
      <c r="I34" s="147"/>
      <c r="J34" s="147"/>
      <c r="K34" s="147" t="s">
        <v>19</v>
      </c>
      <c r="L34" s="147"/>
      <c r="M34" s="147" t="s">
        <v>20</v>
      </c>
      <c r="N34" s="147"/>
      <c r="O34" s="147"/>
      <c r="P34" s="147"/>
      <c r="Q34" s="147"/>
      <c r="R34" s="147">
        <v>85</v>
      </c>
      <c r="S34" s="147" t="s">
        <v>21</v>
      </c>
      <c r="T34" s="147"/>
      <c r="U34" s="147" t="s">
        <v>22</v>
      </c>
      <c r="V34" s="147"/>
      <c r="W34" s="166" t="s">
        <v>3</v>
      </c>
      <c r="X34" s="100">
        <v>98</v>
      </c>
      <c r="Y34" s="148">
        <v>99</v>
      </c>
      <c r="Z34" s="100"/>
      <c r="AA34" s="101"/>
      <c r="AB34" s="74"/>
    </row>
    <row r="35" spans="1:28" ht="21.75" customHeight="1" x14ac:dyDescent="0.2">
      <c r="A35" s="1780" t="s">
        <v>5</v>
      </c>
      <c r="B35" s="377" t="s">
        <v>39</v>
      </c>
      <c r="C35" s="174">
        <f>'PSUT_Data&amp;Method_2014'!H405</f>
        <v>0</v>
      </c>
      <c r="D35" s="174">
        <f>'PSUT_Data&amp;Method_2014'!H414</f>
        <v>21308.242089437204</v>
      </c>
      <c r="E35" s="174">
        <f>'PSUT_Data&amp;Method_2014'!H423</f>
        <v>816.87563283886971</v>
      </c>
      <c r="F35" s="174">
        <f>'PSUT_Data&amp;Method_2014'!H432</f>
        <v>0</v>
      </c>
      <c r="G35" s="174">
        <f>'PSUT_Data&amp;Method_2014'!H441</f>
        <v>0</v>
      </c>
      <c r="H35" s="174">
        <f>'PSUT_Data&amp;Method_2014'!H450</f>
        <v>0</v>
      </c>
      <c r="I35" s="174">
        <f>'PSUT_Data&amp;Method_2014'!H459</f>
        <v>0</v>
      </c>
      <c r="J35" s="174">
        <f>'PSUT_Data&amp;Method_2014'!H468</f>
        <v>0</v>
      </c>
      <c r="K35" s="174">
        <f>'PSUT_Data&amp;Method_2014'!H477</f>
        <v>12671.183667903779</v>
      </c>
      <c r="L35" s="174">
        <f>'PSUT_Data&amp;Method_2014'!H486</f>
        <v>0</v>
      </c>
      <c r="M35" s="174">
        <f>'PSUT_Data&amp;Method_2014'!H495</f>
        <v>5.6106036082474233</v>
      </c>
      <c r="N35" s="174">
        <f>'PSUT_Data&amp;Method_2014'!H504</f>
        <v>0</v>
      </c>
      <c r="O35" s="174">
        <f>'PSUT_Data&amp;Method_2014'!H513</f>
        <v>0</v>
      </c>
      <c r="P35" s="174">
        <f>'PSUT_Data&amp;Method_2014'!H522</f>
        <v>0</v>
      </c>
      <c r="Q35" s="174">
        <f>'PSUT_Data&amp;Method_2014'!H531</f>
        <v>0</v>
      </c>
      <c r="R35" s="174">
        <f>'PSUT_Data&amp;Method_2014'!H540</f>
        <v>0</v>
      </c>
      <c r="S35" s="174">
        <f>'PSUT_Data&amp;Method_2014'!H549</f>
        <v>0</v>
      </c>
      <c r="T35" s="174">
        <f>'PSUT_Data&amp;Method_2014'!H558</f>
        <v>0</v>
      </c>
      <c r="U35" s="174">
        <f>'PSUT_Data&amp;Method_2014'!H567</f>
        <v>0</v>
      </c>
      <c r="V35" s="174">
        <f>'PSUT_Data&amp;Method_2014'!H576</f>
        <v>0</v>
      </c>
      <c r="W35" s="138">
        <f t="shared" ref="W35:W43" si="3">SUM(C35:V35)</f>
        <v>34801.911993788104</v>
      </c>
      <c r="X35" s="174">
        <f>'PSUT_Data&amp;Method_2014'!H588</f>
        <v>0</v>
      </c>
      <c r="Y35" s="174">
        <f>'PSUT_Data&amp;Method_2014'!H597</f>
        <v>0</v>
      </c>
      <c r="Z35" s="162"/>
      <c r="AA35" s="376">
        <f t="shared" ref="AA35:AA41" si="4">W35+X35+Y35</f>
        <v>34801.911993788104</v>
      </c>
      <c r="AB35" s="74"/>
    </row>
    <row r="36" spans="1:28" ht="12" customHeight="1" x14ac:dyDescent="0.2">
      <c r="A36" s="1781"/>
      <c r="B36" s="375" t="s">
        <v>40</v>
      </c>
      <c r="C36" s="173">
        <f>'PSUT_Data&amp;Method_2014'!H406</f>
        <v>0</v>
      </c>
      <c r="D36" s="173">
        <f>'PSUT_Data&amp;Method_2014'!H415</f>
        <v>21308.242089437204</v>
      </c>
      <c r="E36" s="173">
        <f>'PSUT_Data&amp;Method_2014'!H424</f>
        <v>346.29059499999994</v>
      </c>
      <c r="F36" s="173">
        <f>'PSUT_Data&amp;Method_2014'!H433</f>
        <v>0</v>
      </c>
      <c r="G36" s="173">
        <f>'PSUT_Data&amp;Method_2014'!H442</f>
        <v>0</v>
      </c>
      <c r="H36" s="173">
        <f>'PSUT_Data&amp;Method_2014'!H451</f>
        <v>0</v>
      </c>
      <c r="I36" s="173">
        <f>'PSUT_Data&amp;Method_2014'!H460</f>
        <v>0</v>
      </c>
      <c r="J36" s="173">
        <f>'PSUT_Data&amp;Method_2014'!H469</f>
        <v>0</v>
      </c>
      <c r="K36" s="173">
        <f>'PSUT_Data&amp;Method_2014'!H478</f>
        <v>12671.183667903779</v>
      </c>
      <c r="L36" s="173">
        <f>'PSUT_Data&amp;Method_2014'!H487</f>
        <v>0</v>
      </c>
      <c r="M36" s="173">
        <f>'PSUT_Data&amp;Method_2014'!H496</f>
        <v>2.3110416666666667</v>
      </c>
      <c r="N36" s="173">
        <f>'PSUT_Data&amp;Method_2014'!H505</f>
        <v>0</v>
      </c>
      <c r="O36" s="173">
        <f>'PSUT_Data&amp;Method_2014'!H514</f>
        <v>0</v>
      </c>
      <c r="P36" s="173">
        <f>'PSUT_Data&amp;Method_2014'!H523</f>
        <v>0</v>
      </c>
      <c r="Q36" s="173">
        <f>'PSUT_Data&amp;Method_2014'!H532</f>
        <v>0</v>
      </c>
      <c r="R36" s="173">
        <f>'PSUT_Data&amp;Method_2014'!H541</f>
        <v>0</v>
      </c>
      <c r="S36" s="173">
        <f>'PSUT_Data&amp;Method_2014'!H550</f>
        <v>0</v>
      </c>
      <c r="T36" s="173">
        <f>'PSUT_Data&amp;Method_2014'!H559</f>
        <v>0</v>
      </c>
      <c r="U36" s="173">
        <f>'PSUT_Data&amp;Method_2014'!H568</f>
        <v>0</v>
      </c>
      <c r="V36" s="173">
        <f>'PSUT_Data&amp;Method_2014'!H577</f>
        <v>0</v>
      </c>
      <c r="W36" s="140">
        <f t="shared" si="3"/>
        <v>34328.027394007651</v>
      </c>
      <c r="X36" s="173">
        <f>'PSUT_Data&amp;Method_2014'!H589</f>
        <v>0</v>
      </c>
      <c r="Y36" s="173">
        <f>'PSUT_Data&amp;Method_2014'!H598</f>
        <v>0</v>
      </c>
      <c r="Z36" s="163"/>
      <c r="AA36" s="158">
        <f t="shared" si="4"/>
        <v>34328.027394007651</v>
      </c>
      <c r="AB36" s="74"/>
    </row>
    <row r="37" spans="1:28" ht="12" customHeight="1" x14ac:dyDescent="0.2">
      <c r="A37" s="1782"/>
      <c r="B37" s="375" t="s">
        <v>41</v>
      </c>
      <c r="C37" s="173">
        <f>'PSUT_Data&amp;Method_2014'!H407</f>
        <v>0</v>
      </c>
      <c r="D37" s="173">
        <f>'PSUT_Data&amp;Method_2014'!H416</f>
        <v>0</v>
      </c>
      <c r="E37" s="173">
        <f>'PSUT_Data&amp;Method_2014'!H425</f>
        <v>470.58503783886977</v>
      </c>
      <c r="F37" s="173">
        <f>'PSUT_Data&amp;Method_2014'!H434</f>
        <v>0</v>
      </c>
      <c r="G37" s="173">
        <f>'PSUT_Data&amp;Method_2014'!H443</f>
        <v>0</v>
      </c>
      <c r="H37" s="173">
        <f>'PSUT_Data&amp;Method_2014'!H452</f>
        <v>0</v>
      </c>
      <c r="I37" s="173">
        <f>'PSUT_Data&amp;Method_2014'!H461</f>
        <v>0</v>
      </c>
      <c r="J37" s="173">
        <f>'PSUT_Data&amp;Method_2014'!H470</f>
        <v>0</v>
      </c>
      <c r="K37" s="173">
        <f>'PSUT_Data&amp;Method_2014'!H479</f>
        <v>0</v>
      </c>
      <c r="L37" s="173">
        <f>'PSUT_Data&amp;Method_2014'!H488</f>
        <v>0</v>
      </c>
      <c r="M37" s="173">
        <f>'PSUT_Data&amp;Method_2014'!H497</f>
        <v>3.2995619415807562</v>
      </c>
      <c r="N37" s="173">
        <f>'PSUT_Data&amp;Method_2014'!H506</f>
        <v>0</v>
      </c>
      <c r="O37" s="173">
        <f>'PSUT_Data&amp;Method_2014'!H515</f>
        <v>0</v>
      </c>
      <c r="P37" s="173">
        <f>'PSUT_Data&amp;Method_2014'!H524</f>
        <v>0</v>
      </c>
      <c r="Q37" s="173">
        <f>'PSUT_Data&amp;Method_2014'!H533</f>
        <v>0</v>
      </c>
      <c r="R37" s="173">
        <f>'PSUT_Data&amp;Method_2014'!H542</f>
        <v>0</v>
      </c>
      <c r="S37" s="173">
        <f>'PSUT_Data&amp;Method_2014'!H551</f>
        <v>0</v>
      </c>
      <c r="T37" s="173">
        <f>'PSUT_Data&amp;Method_2014'!H560</f>
        <v>0</v>
      </c>
      <c r="U37" s="173">
        <f>'PSUT_Data&amp;Method_2014'!H569</f>
        <v>0</v>
      </c>
      <c r="V37" s="173">
        <f>'PSUT_Data&amp;Method_2014'!H578</f>
        <v>0</v>
      </c>
      <c r="W37" s="140">
        <f t="shared" si="3"/>
        <v>473.88459978045051</v>
      </c>
      <c r="X37" s="173">
        <f>'PSUT_Data&amp;Method_2014'!H590</f>
        <v>0</v>
      </c>
      <c r="Y37" s="173">
        <f>'PSUT_Data&amp;Method_2014'!H599</f>
        <v>0</v>
      </c>
      <c r="Z37" s="163"/>
      <c r="AA37" s="158">
        <f t="shared" si="4"/>
        <v>473.88459978045051</v>
      </c>
      <c r="AB37" s="74"/>
    </row>
    <row r="38" spans="1:28" ht="12" customHeight="1" x14ac:dyDescent="0.2">
      <c r="A38" s="1781" t="s">
        <v>42</v>
      </c>
      <c r="B38" s="377" t="s">
        <v>162</v>
      </c>
      <c r="C38" s="174">
        <f>'PSUT_Data&amp;Method_2014'!H408</f>
        <v>1524008.4750215835</v>
      </c>
      <c r="D38" s="174">
        <f>'PSUT_Data&amp;Method_2014'!H417</f>
        <v>54.219910499999997</v>
      </c>
      <c r="E38" s="174">
        <f>'PSUT_Data&amp;Method_2014'!H426</f>
        <v>514699.26072578493</v>
      </c>
      <c r="F38" s="174">
        <f>'PSUT_Data&amp;Method_2014'!H435</f>
        <v>339158.53014693107</v>
      </c>
      <c r="G38" s="174">
        <f>'PSUT_Data&amp;Method_2014'!H444</f>
        <v>2570.3302400000002</v>
      </c>
      <c r="H38" s="174">
        <f>'PSUT_Data&amp;Method_2014'!H453</f>
        <v>0</v>
      </c>
      <c r="I38" s="174">
        <f>'PSUT_Data&amp;Method_2014'!H462</f>
        <v>0</v>
      </c>
      <c r="J38" s="174">
        <f>'PSUT_Data&amp;Method_2014'!H471</f>
        <v>0</v>
      </c>
      <c r="K38" s="174">
        <f>'PSUT_Data&amp;Method_2014'!H480</f>
        <v>301.01142363711335</v>
      </c>
      <c r="L38" s="174">
        <f>'PSUT_Data&amp;Method_2014'!H489</f>
        <v>0</v>
      </c>
      <c r="M38" s="174">
        <f>'PSUT_Data&amp;Method_2014'!H498</f>
        <v>56.868619657611163</v>
      </c>
      <c r="N38" s="174">
        <f>'PSUT_Data&amp;Method_2014'!H507</f>
        <v>0</v>
      </c>
      <c r="O38" s="174">
        <f>'PSUT_Data&amp;Method_2014'!H516</f>
        <v>0</v>
      </c>
      <c r="P38" s="174">
        <f>'PSUT_Data&amp;Method_2014'!H525</f>
        <v>0</v>
      </c>
      <c r="Q38" s="174">
        <f>'PSUT_Data&amp;Method_2014'!H534</f>
        <v>0</v>
      </c>
      <c r="R38" s="174">
        <f>'PSUT_Data&amp;Method_2014'!H543</f>
        <v>179497.86400000003</v>
      </c>
      <c r="S38" s="174">
        <f>'PSUT_Data&amp;Method_2014'!H552</f>
        <v>3447.7778158871602</v>
      </c>
      <c r="T38" s="174">
        <f>'PSUT_Data&amp;Method_2014'!H561</f>
        <v>0</v>
      </c>
      <c r="U38" s="174">
        <f>'PSUT_Data&amp;Method_2014'!H570</f>
        <v>10.714873014735879</v>
      </c>
      <c r="V38" s="174">
        <f>'PSUT_Data&amp;Method_2014'!H579</f>
        <v>0</v>
      </c>
      <c r="W38" s="138">
        <f t="shared" si="3"/>
        <v>2563805.052776997</v>
      </c>
      <c r="X38" s="174">
        <f>'PSUT_Data&amp;Method_2014'!H591</f>
        <v>82781</v>
      </c>
      <c r="Y38" s="174">
        <f>'PSUT_Data&amp;Method_2014'!H600</f>
        <v>5211.6544753063881</v>
      </c>
      <c r="Z38" s="76"/>
      <c r="AA38" s="157">
        <f t="shared" si="4"/>
        <v>2651797.7072523031</v>
      </c>
      <c r="AB38" s="74"/>
    </row>
    <row r="39" spans="1:28" ht="12" customHeight="1" x14ac:dyDescent="0.2">
      <c r="A39" s="1781"/>
      <c r="B39" s="381" t="s">
        <v>43</v>
      </c>
      <c r="C39" s="174">
        <f>'PSUT_Data&amp;Method_2014'!H409</f>
        <v>1524008.4750215835</v>
      </c>
      <c r="D39" s="174">
        <f>'PSUT_Data&amp;Method_2014'!H418</f>
        <v>54.219910499999997</v>
      </c>
      <c r="E39" s="174">
        <f>'PSUT_Data&amp;Method_2014'!H427</f>
        <v>514699.26072578493</v>
      </c>
      <c r="F39" s="174">
        <f>'PSUT_Data&amp;Method_2014'!H436</f>
        <v>339158.53014693107</v>
      </c>
      <c r="G39" s="174">
        <f>'PSUT_Data&amp;Method_2014'!H445</f>
        <v>2570.3302400000002</v>
      </c>
      <c r="H39" s="174">
        <f>'PSUT_Data&amp;Method_2014'!H454</f>
        <v>0</v>
      </c>
      <c r="I39" s="174">
        <f>'PSUT_Data&amp;Method_2014'!H463</f>
        <v>0</v>
      </c>
      <c r="J39" s="174">
        <f>'PSUT_Data&amp;Method_2014'!H472</f>
        <v>0</v>
      </c>
      <c r="K39" s="174">
        <f>'PSUT_Data&amp;Method_2014'!H481</f>
        <v>301.01142363711335</v>
      </c>
      <c r="L39" s="174">
        <f>'PSUT_Data&amp;Method_2014'!H490</f>
        <v>0</v>
      </c>
      <c r="M39" s="174">
        <f>'PSUT_Data&amp;Method_2014'!H499</f>
        <v>56.868619657611163</v>
      </c>
      <c r="N39" s="174">
        <f>'PSUT_Data&amp;Method_2014'!H508</f>
        <v>0</v>
      </c>
      <c r="O39" s="174">
        <f>'PSUT_Data&amp;Method_2014'!H517</f>
        <v>0</v>
      </c>
      <c r="P39" s="174">
        <f>'PSUT_Data&amp;Method_2014'!H526</f>
        <v>0</v>
      </c>
      <c r="Q39" s="174">
        <f>'PSUT_Data&amp;Method_2014'!H535</f>
        <v>0</v>
      </c>
      <c r="R39" s="174">
        <f>'PSUT_Data&amp;Method_2014'!H544</f>
        <v>179497.86400000003</v>
      </c>
      <c r="S39" s="174">
        <f>'PSUT_Data&amp;Method_2014'!H553</f>
        <v>3447.7778158871602</v>
      </c>
      <c r="T39" s="174">
        <f>'PSUT_Data&amp;Method_2014'!H562</f>
        <v>0</v>
      </c>
      <c r="U39" s="174">
        <f>'PSUT_Data&amp;Method_2014'!H571</f>
        <v>10.714873014735879</v>
      </c>
      <c r="V39" s="174">
        <f>'PSUT_Data&amp;Method_2014'!H580</f>
        <v>0</v>
      </c>
      <c r="W39" s="138">
        <f t="shared" si="3"/>
        <v>2563805.052776997</v>
      </c>
      <c r="X39" s="174">
        <f>'PSUT_Data&amp;Method_2014'!H592</f>
        <v>72433</v>
      </c>
      <c r="Y39" s="174">
        <f>'PSUT_Data&amp;Method_2014'!H601</f>
        <v>5211.6544753063881</v>
      </c>
      <c r="Z39" s="76"/>
      <c r="AA39" s="157">
        <f t="shared" si="4"/>
        <v>2641449.7072523031</v>
      </c>
      <c r="AB39" s="74"/>
    </row>
    <row r="40" spans="1:28" ht="12" customHeight="1" x14ac:dyDescent="0.2">
      <c r="A40" s="1781"/>
      <c r="B40" s="144" t="s">
        <v>44</v>
      </c>
      <c r="C40" s="173">
        <f>'PSUT_Data&amp;Method_2014'!H410</f>
        <v>766714.77389829163</v>
      </c>
      <c r="D40" s="173">
        <f>'PSUT_Data&amp;Method_2014'!H419</f>
        <v>1.2757626</v>
      </c>
      <c r="E40" s="173">
        <f>'PSUT_Data&amp;Method_2014'!H428</f>
        <v>514526.07285221177</v>
      </c>
      <c r="F40" s="173">
        <f>'PSUT_Data&amp;Method_2014'!H437</f>
        <v>339158.53014693107</v>
      </c>
      <c r="G40" s="173">
        <f>'PSUT_Data&amp;Method_2014'!H446</f>
        <v>2570.3302400000002</v>
      </c>
      <c r="H40" s="173">
        <f>'PSUT_Data&amp;Method_2014'!H455</f>
        <v>0</v>
      </c>
      <c r="I40" s="173">
        <f>'PSUT_Data&amp;Method_2014'!H464</f>
        <v>0</v>
      </c>
      <c r="J40" s="173">
        <f>'PSUT_Data&amp;Method_2014'!H473</f>
        <v>0</v>
      </c>
      <c r="K40" s="173">
        <f>'PSUT_Data&amp;Method_2014'!H482</f>
        <v>159.09130227903779</v>
      </c>
      <c r="L40" s="173">
        <f>'PSUT_Data&amp;Method_2014'!H491</f>
        <v>0</v>
      </c>
      <c r="M40" s="173">
        <f>'PSUT_Data&amp;Method_2014'!H500</f>
        <v>46.976258591065296</v>
      </c>
      <c r="N40" s="173">
        <f>'PSUT_Data&amp;Method_2014'!H509</f>
        <v>0</v>
      </c>
      <c r="O40" s="173">
        <f>'PSUT_Data&amp;Method_2014'!H518</f>
        <v>0</v>
      </c>
      <c r="P40" s="173">
        <f>'PSUT_Data&amp;Method_2014'!H527</f>
        <v>0</v>
      </c>
      <c r="Q40" s="173">
        <f>'PSUT_Data&amp;Method_2014'!H536</f>
        <v>0</v>
      </c>
      <c r="R40" s="173">
        <f>'PSUT_Data&amp;Method_2014'!H545</f>
        <v>44209.770400000001</v>
      </c>
      <c r="S40" s="173">
        <f>'PSUT_Data&amp;Method_2014'!H554</f>
        <v>0</v>
      </c>
      <c r="T40" s="173">
        <f>'PSUT_Data&amp;Method_2014'!H563</f>
        <v>0</v>
      </c>
      <c r="U40" s="173">
        <f>'PSUT_Data&amp;Method_2014'!H572</f>
        <v>1.1818737127147767</v>
      </c>
      <c r="V40" s="173">
        <f>'PSUT_Data&amp;Method_2014'!H581</f>
        <v>0</v>
      </c>
      <c r="W40" s="140">
        <f t="shared" si="3"/>
        <v>1667388.0027346173</v>
      </c>
      <c r="X40" s="173">
        <f>'PSUT_Data&amp;Method_2014'!H593</f>
        <v>41390</v>
      </c>
      <c r="Y40" s="173">
        <f>'PSUT_Data&amp;Method_2014'!H602</f>
        <v>4688.7652799999996</v>
      </c>
      <c r="Z40" s="76"/>
      <c r="AA40" s="158">
        <f t="shared" si="4"/>
        <v>1713466.7680146173</v>
      </c>
      <c r="AB40" s="74"/>
    </row>
    <row r="41" spans="1:28" ht="12" customHeight="1" x14ac:dyDescent="0.2">
      <c r="A41" s="1781"/>
      <c r="B41" s="144" t="s">
        <v>45</v>
      </c>
      <c r="C41" s="173">
        <f>'PSUT_Data&amp;Method_2014'!H411</f>
        <v>81951.3</v>
      </c>
      <c r="D41" s="173">
        <f>'PSUT_Data&amp;Method_2014'!H420</f>
        <v>1.9136439000000001</v>
      </c>
      <c r="E41" s="173">
        <f>'PSUT_Data&amp;Method_2014'!H429</f>
        <v>166.95464286320009</v>
      </c>
      <c r="F41" s="173">
        <f>'PSUT_Data&amp;Method_2014'!H438</f>
        <v>0</v>
      </c>
      <c r="G41" s="173">
        <f>'PSUT_Data&amp;Method_2014'!H447</f>
        <v>0</v>
      </c>
      <c r="H41" s="173">
        <f>'PSUT_Data&amp;Method_2014'!H456</f>
        <v>0</v>
      </c>
      <c r="I41" s="173">
        <f>'PSUT_Data&amp;Method_2014'!H465</f>
        <v>0</v>
      </c>
      <c r="J41" s="173">
        <f>'PSUT_Data&amp;Method_2014'!H474</f>
        <v>0</v>
      </c>
      <c r="K41" s="173">
        <f>'PSUT_Data&amp;Method_2014'!H483</f>
        <v>0</v>
      </c>
      <c r="L41" s="173">
        <f>'PSUT_Data&amp;Method_2014'!H492</f>
        <v>0</v>
      </c>
      <c r="M41" s="173">
        <f>'PSUT_Data&amp;Method_2014'!H501</f>
        <v>4.7351202749140899</v>
      </c>
      <c r="N41" s="173">
        <f>'PSUT_Data&amp;Method_2014'!H510</f>
        <v>0</v>
      </c>
      <c r="O41" s="173">
        <f>'PSUT_Data&amp;Method_2014'!H519</f>
        <v>0</v>
      </c>
      <c r="P41" s="173">
        <f>'PSUT_Data&amp;Method_2014'!H528</f>
        <v>0</v>
      </c>
      <c r="Q41" s="173">
        <f>'PSUT_Data&amp;Method_2014'!H537</f>
        <v>0</v>
      </c>
      <c r="R41" s="173">
        <f>'PSUT_Data&amp;Method_2014'!H546</f>
        <v>135288.09360000002</v>
      </c>
      <c r="S41" s="173">
        <f>'PSUT_Data&amp;Method_2014'!H555</f>
        <v>3201.047978608482</v>
      </c>
      <c r="T41" s="173">
        <f>'PSUT_Data&amp;Method_2014'!H564</f>
        <v>0</v>
      </c>
      <c r="U41" s="173">
        <f>'PSUT_Data&amp;Method_2014'!H573</f>
        <v>9.3718228896499678</v>
      </c>
      <c r="V41" s="173">
        <f>'PSUT_Data&amp;Method_2014'!H582</f>
        <v>0</v>
      </c>
      <c r="W41" s="140">
        <f t="shared" si="3"/>
        <v>220623.41680853631</v>
      </c>
      <c r="X41" s="173">
        <f>'PSUT_Data&amp;Method_2014'!H594</f>
        <v>20695</v>
      </c>
      <c r="Y41" s="173">
        <f>'PSUT_Data&amp;Method_2014'!H603</f>
        <v>522.8891953063885</v>
      </c>
      <c r="Z41" s="76"/>
      <c r="AA41" s="158">
        <f t="shared" si="4"/>
        <v>241841.30600384271</v>
      </c>
      <c r="AB41" s="74"/>
    </row>
    <row r="42" spans="1:28" ht="12" customHeight="1" x14ac:dyDescent="0.2">
      <c r="A42" s="1781"/>
      <c r="B42" s="144" t="s">
        <v>46</v>
      </c>
      <c r="C42" s="173">
        <f>'PSUT_Data&amp;Method_2014'!H412</f>
        <v>675342.4011232917</v>
      </c>
      <c r="D42" s="173">
        <f>'PSUT_Data&amp;Method_2014'!H421</f>
        <v>51.030504000000001</v>
      </c>
      <c r="E42" s="173">
        <f>'PSUT_Data&amp;Method_2014'!H430</f>
        <v>6.2332307099999991</v>
      </c>
      <c r="F42" s="173">
        <f>'PSUT_Data&amp;Method_2014'!H439</f>
        <v>0</v>
      </c>
      <c r="G42" s="173">
        <f>'PSUT_Data&amp;Method_2014'!H448</f>
        <v>0</v>
      </c>
      <c r="H42" s="173">
        <f>'PSUT_Data&amp;Method_2014'!H457</f>
        <v>0</v>
      </c>
      <c r="I42" s="173">
        <f>'PSUT_Data&amp;Method_2014'!H466</f>
        <v>0</v>
      </c>
      <c r="J42" s="173">
        <f>'PSUT_Data&amp;Method_2014'!H475</f>
        <v>0</v>
      </c>
      <c r="K42" s="173">
        <f>'PSUT_Data&amp;Method_2014'!H484</f>
        <v>141.92012135807559</v>
      </c>
      <c r="L42" s="173">
        <f>'PSUT_Data&amp;Method_2014'!H493</f>
        <v>0</v>
      </c>
      <c r="M42" s="173">
        <f>'PSUT_Data&amp;Method_2014'!H502</f>
        <v>5.1572407916317804</v>
      </c>
      <c r="N42" s="173">
        <f>'PSUT_Data&amp;Method_2014'!H511</f>
        <v>0</v>
      </c>
      <c r="O42" s="173">
        <f>'PSUT_Data&amp;Method_2014'!H520</f>
        <v>0</v>
      </c>
      <c r="P42" s="173">
        <f>'PSUT_Data&amp;Method_2014'!H529</f>
        <v>0</v>
      </c>
      <c r="Q42" s="173">
        <f>'PSUT_Data&amp;Method_2014'!H538</f>
        <v>0</v>
      </c>
      <c r="R42" s="173">
        <f>'PSUT_Data&amp;Method_2014'!H547</f>
        <v>0</v>
      </c>
      <c r="S42" s="173">
        <f>'PSUT_Data&amp;Method_2014'!H556</f>
        <v>246.72983727867833</v>
      </c>
      <c r="T42" s="173">
        <f>'PSUT_Data&amp;Method_2014'!H565</f>
        <v>0</v>
      </c>
      <c r="U42" s="173">
        <f>'PSUT_Data&amp;Method_2014'!H574</f>
        <v>0.16117641237113403</v>
      </c>
      <c r="V42" s="173">
        <f>'PSUT_Data&amp;Method_2014'!H583</f>
        <v>0</v>
      </c>
      <c r="W42" s="140">
        <f t="shared" si="3"/>
        <v>675793.63323384256</v>
      </c>
      <c r="X42" s="173">
        <f>'PSUT_Data&amp;Method_2014'!H595</f>
        <v>10348</v>
      </c>
      <c r="Y42" s="173">
        <f>'PSUT_Data&amp;Method_2014'!H604</f>
        <v>0</v>
      </c>
      <c r="Z42" s="76"/>
      <c r="AA42" s="158">
        <f>W42+X42+Y42</f>
        <v>686141.63323384256</v>
      </c>
      <c r="AB42" s="74"/>
    </row>
    <row r="43" spans="1:28" ht="12" customHeight="1" x14ac:dyDescent="0.2">
      <c r="A43" s="1782"/>
      <c r="B43" s="153" t="s">
        <v>47</v>
      </c>
      <c r="C43" s="174">
        <f>'PSUT_Data&amp;Method_2014'!H413</f>
        <v>0</v>
      </c>
      <c r="D43" s="174">
        <f>'PSUT_Data&amp;Method_2014'!H422</f>
        <v>0</v>
      </c>
      <c r="E43" s="174">
        <f>'PSUT_Data&amp;Method_2014'!H431</f>
        <v>0</v>
      </c>
      <c r="F43" s="174">
        <f>'PSUT_Data&amp;Method_2014'!H440</f>
        <v>0</v>
      </c>
      <c r="G43" s="174">
        <f>'PSUT_Data&amp;Method_2014'!H449</f>
        <v>0</v>
      </c>
      <c r="H43" s="174">
        <f>'PSUT_Data&amp;Method_2014'!H458</f>
        <v>0</v>
      </c>
      <c r="I43" s="174">
        <f>'PSUT_Data&amp;Method_2014'!H467</f>
        <v>0</v>
      </c>
      <c r="J43" s="174">
        <f>'PSUT_Data&amp;Method_2014'!H476</f>
        <v>0</v>
      </c>
      <c r="K43" s="174">
        <f>'PSUT_Data&amp;Method_2014'!H485</f>
        <v>0</v>
      </c>
      <c r="L43" s="174">
        <f>'PSUT_Data&amp;Method_2014'!H494</f>
        <v>0</v>
      </c>
      <c r="M43" s="174">
        <f>'PSUT_Data&amp;Method_2014'!H503</f>
        <v>0</v>
      </c>
      <c r="N43" s="174">
        <f>'PSUT_Data&amp;Method_2014'!H512</f>
        <v>0</v>
      </c>
      <c r="O43" s="174">
        <f>'PSUT_Data&amp;Method_2014'!H521</f>
        <v>0</v>
      </c>
      <c r="P43" s="174">
        <f>'PSUT_Data&amp;Method_2014'!H530</f>
        <v>0</v>
      </c>
      <c r="Q43" s="174">
        <f>'PSUT_Data&amp;Method_2014'!H539</f>
        <v>0</v>
      </c>
      <c r="R43" s="174">
        <f>'PSUT_Data&amp;Method_2014'!H548</f>
        <v>0</v>
      </c>
      <c r="S43" s="174">
        <f>'PSUT_Data&amp;Method_2014'!H557</f>
        <v>0</v>
      </c>
      <c r="T43" s="174">
        <f>'PSUT_Data&amp;Method_2014'!H566</f>
        <v>0</v>
      </c>
      <c r="U43" s="174">
        <f>'PSUT_Data&amp;Method_2014'!H575</f>
        <v>0</v>
      </c>
      <c r="V43" s="174">
        <f>'PSUT_Data&amp;Method_2014'!H584</f>
        <v>0</v>
      </c>
      <c r="W43" s="138">
        <f t="shared" si="3"/>
        <v>0</v>
      </c>
      <c r="X43" s="174">
        <f>'PSUT_Data&amp;Method_2014'!H596</f>
        <v>10348</v>
      </c>
      <c r="Y43" s="174">
        <f>'PSUT_Data&amp;Method_2014'!H605</f>
        <v>0</v>
      </c>
      <c r="Z43" s="76"/>
      <c r="AA43" s="157">
        <f>W43+X43+Y43</f>
        <v>10348</v>
      </c>
      <c r="AB43" s="74"/>
    </row>
    <row r="44" spans="1:28" ht="12" customHeight="1" x14ac:dyDescent="0.2">
      <c r="A44" s="1783" t="s">
        <v>163</v>
      </c>
      <c r="B44" s="1784"/>
      <c r="C44" s="151">
        <f t="shared" ref="C44:V44" si="5">SUM(C35,C38)</f>
        <v>1524008.4750215835</v>
      </c>
      <c r="D44" s="151">
        <f t="shared" si="5"/>
        <v>21362.461999937204</v>
      </c>
      <c r="E44" s="151">
        <f t="shared" si="5"/>
        <v>515516.1363586238</v>
      </c>
      <c r="F44" s="151">
        <f t="shared" si="5"/>
        <v>339158.53014693107</v>
      </c>
      <c r="G44" s="151">
        <f t="shared" si="5"/>
        <v>2570.3302400000002</v>
      </c>
      <c r="H44" s="151">
        <f t="shared" si="5"/>
        <v>0</v>
      </c>
      <c r="I44" s="151">
        <f t="shared" si="5"/>
        <v>0</v>
      </c>
      <c r="J44" s="151">
        <f t="shared" si="5"/>
        <v>0</v>
      </c>
      <c r="K44" s="151">
        <f t="shared" si="5"/>
        <v>12972.195091540892</v>
      </c>
      <c r="L44" s="151">
        <f t="shared" si="5"/>
        <v>0</v>
      </c>
      <c r="M44" s="151">
        <f t="shared" si="5"/>
        <v>62.479223265858586</v>
      </c>
      <c r="N44" s="151">
        <f t="shared" si="5"/>
        <v>0</v>
      </c>
      <c r="O44" s="151">
        <f t="shared" si="5"/>
        <v>0</v>
      </c>
      <c r="P44" s="151">
        <f t="shared" si="5"/>
        <v>0</v>
      </c>
      <c r="Q44" s="151">
        <f t="shared" si="5"/>
        <v>0</v>
      </c>
      <c r="R44" s="151">
        <f t="shared" si="5"/>
        <v>179497.86400000003</v>
      </c>
      <c r="S44" s="151">
        <f t="shared" si="5"/>
        <v>3447.7778158871602</v>
      </c>
      <c r="T44" s="151">
        <f t="shared" si="5"/>
        <v>0</v>
      </c>
      <c r="U44" s="151">
        <f t="shared" si="5"/>
        <v>10.714873014735879</v>
      </c>
      <c r="V44" s="151">
        <f t="shared" si="5"/>
        <v>0</v>
      </c>
      <c r="W44" s="151">
        <f>SUM(C44:V44)</f>
        <v>2598606.9647707846</v>
      </c>
      <c r="X44" s="151">
        <f>SUM(X35,X38)</f>
        <v>82781</v>
      </c>
      <c r="Y44" s="151">
        <f>SUM(Y35,Y38)</f>
        <v>5211.6544753063881</v>
      </c>
      <c r="Z44" s="76"/>
      <c r="AA44" s="159">
        <f>W44+X44+Y44</f>
        <v>2686599.6192460908</v>
      </c>
      <c r="AB44" s="74"/>
    </row>
    <row r="45" spans="1:28" ht="12" customHeight="1" x14ac:dyDescent="0.2">
      <c r="A45" s="1785" t="s">
        <v>164</v>
      </c>
      <c r="B45" s="1785"/>
      <c r="C45" s="139">
        <f t="shared" ref="C45:V45" si="6">SUM(C24-C44)</f>
        <v>12073089.547444249</v>
      </c>
      <c r="D45" s="139">
        <f t="shared" si="6"/>
        <v>1067.2665152598529</v>
      </c>
      <c r="E45" s="139">
        <f t="shared" si="6"/>
        <v>151490.0473498166</v>
      </c>
      <c r="F45" s="139">
        <f t="shared" si="6"/>
        <v>17850.44895510166</v>
      </c>
      <c r="G45" s="139">
        <f t="shared" si="6"/>
        <v>50969.869260012383</v>
      </c>
      <c r="H45" s="139">
        <f t="shared" si="6"/>
        <v>0</v>
      </c>
      <c r="I45" s="139">
        <f t="shared" si="6"/>
        <v>0</v>
      </c>
      <c r="J45" s="139">
        <f t="shared" si="6"/>
        <v>0</v>
      </c>
      <c r="K45" s="139">
        <f t="shared" si="6"/>
        <v>3700.4149084591081</v>
      </c>
      <c r="L45" s="139">
        <f t="shared" si="6"/>
        <v>0</v>
      </c>
      <c r="M45" s="139">
        <f t="shared" si="6"/>
        <v>13.611322139488699</v>
      </c>
      <c r="N45" s="139">
        <f t="shared" si="6"/>
        <v>0</v>
      </c>
      <c r="O45" s="139">
        <f t="shared" si="6"/>
        <v>0</v>
      </c>
      <c r="P45" s="139">
        <f t="shared" si="6"/>
        <v>0</v>
      </c>
      <c r="Q45" s="139">
        <f t="shared" si="6"/>
        <v>0</v>
      </c>
      <c r="R45" s="139">
        <f t="shared" si="6"/>
        <v>45007.581399999966</v>
      </c>
      <c r="S45" s="139">
        <f t="shared" si="6"/>
        <v>861.94444968661037</v>
      </c>
      <c r="T45" s="139">
        <f t="shared" si="6"/>
        <v>0</v>
      </c>
      <c r="U45" s="139">
        <f t="shared" si="6"/>
        <v>132.68839873822006</v>
      </c>
      <c r="V45" s="139">
        <f t="shared" si="6"/>
        <v>0</v>
      </c>
      <c r="W45" s="151">
        <f>SUM(C45:V45)</f>
        <v>12344183.420003464</v>
      </c>
      <c r="X45" s="139">
        <f>SUM(X24-X44)</f>
        <v>134112.69792386814</v>
      </c>
      <c r="Y45" s="139">
        <f>SUM(Y24-Y44)</f>
        <v>1302.9136146936116</v>
      </c>
      <c r="Z45" s="161"/>
      <c r="AA45" s="157">
        <f>W45+X45+Y45</f>
        <v>12479599.031542027</v>
      </c>
      <c r="AB45" s="74"/>
    </row>
    <row r="46" spans="1:28" customFormat="1" ht="5.25" customHeight="1" x14ac:dyDescent="0.25"/>
    <row r="47" spans="1:28" ht="22.5" customHeight="1" x14ac:dyDescent="0.2">
      <c r="A47" s="1776" t="s">
        <v>37</v>
      </c>
      <c r="B47" s="1776"/>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row>
    <row r="48" spans="1:28" ht="22.5" customHeight="1" x14ac:dyDescent="0.2">
      <c r="A48" s="1777" t="s">
        <v>143</v>
      </c>
      <c r="B48" s="1778"/>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row>
    <row r="49" spans="1:28" ht="32.25" customHeight="1" x14ac:dyDescent="0.2">
      <c r="A49" s="1779" t="s">
        <v>144</v>
      </c>
      <c r="B49" s="1779"/>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row>
    <row r="50" spans="1:28" x14ac:dyDescent="0.2">
      <c r="C50" s="80"/>
      <c r="D50" s="80"/>
      <c r="E50" s="80"/>
      <c r="F50" s="80"/>
      <c r="G50" s="81"/>
      <c r="H50" s="81"/>
      <c r="I50" s="81"/>
      <c r="J50" s="81"/>
      <c r="K50" s="80"/>
      <c r="L50" s="80"/>
      <c r="M50" s="80"/>
      <c r="N50" s="80"/>
      <c r="O50" s="80"/>
      <c r="P50" s="80"/>
      <c r="Q50" s="80"/>
      <c r="R50" s="80"/>
      <c r="S50" s="80"/>
      <c r="T50" s="80"/>
      <c r="U50" s="80"/>
      <c r="V50" s="80"/>
      <c r="W50" s="80"/>
      <c r="X50" s="80"/>
      <c r="Y50" s="80"/>
      <c r="Z50" s="80"/>
      <c r="AA50" s="80"/>
      <c r="AB50" s="80"/>
    </row>
  </sheetData>
  <mergeCells count="28">
    <mergeCell ref="A6:A22"/>
    <mergeCell ref="C3:U3"/>
    <mergeCell ref="W3:W4"/>
    <mergeCell ref="Y3:Y4"/>
    <mergeCell ref="Z3:Z4"/>
    <mergeCell ref="AA3:AA4"/>
    <mergeCell ref="A3:B4"/>
    <mergeCell ref="C1:AA1"/>
    <mergeCell ref="C2:AA2"/>
    <mergeCell ref="X32:X33"/>
    <mergeCell ref="Y32:Y33"/>
    <mergeCell ref="Z32:Z33"/>
    <mergeCell ref="A24:B24"/>
    <mergeCell ref="A26:B26"/>
    <mergeCell ref="A27:B27"/>
    <mergeCell ref="A28:B28"/>
    <mergeCell ref="A31:AA31"/>
    <mergeCell ref="A30:AB30"/>
    <mergeCell ref="AA32:AA33"/>
    <mergeCell ref="A32:B34"/>
    <mergeCell ref="C32:W32"/>
    <mergeCell ref="A49:B49"/>
    <mergeCell ref="A35:A37"/>
    <mergeCell ref="A38:A43"/>
    <mergeCell ref="A44:B44"/>
    <mergeCell ref="A45:B45"/>
    <mergeCell ref="A47:B47"/>
    <mergeCell ref="A48:B48"/>
  </mergeCells>
  <hyperlinks>
    <hyperlink ref="D6" location="'PSUT_Data&amp;Method_2014'!H20" display="'PSUT_Data&amp;Method_2014'!H20"/>
    <hyperlink ref="C7" location="'PSUT_Data&amp;Method_2014'!H3" display="'PSUT_Data&amp;Method_2014'!H3"/>
    <hyperlink ref="C8" location="'PSUT_Data&amp;Method_2014'!H4" display="'PSUT_Data&amp;Method_2014'!H4"/>
    <hyperlink ref="C9" location="'PSUT_Data&amp;Method_2014'!H5" display="'PSUT_Data&amp;Method_2014'!H5"/>
    <hyperlink ref="C10" location="'PSUT_Data&amp;Method_2014'!H6" display="'PSUT_Data&amp;Method_2014'!H6"/>
    <hyperlink ref="C12" location="'PSUT_Data&amp;Method_2014'!H8" display="'PSUT_Data&amp;Method_2014'!H8"/>
    <hyperlink ref="C13" location="'PSUT_Data&amp;Method_2014'!H9" display="'PSUT_Data&amp;Method_2014'!H9"/>
    <hyperlink ref="C14" location="'PSUT_Data&amp;Method_2014'!H10" display="'PSUT_Data&amp;Method_2014'!H10"/>
    <hyperlink ref="C19" location="'PSUT_Data&amp;Method_2014'!H15" display="'PSUT_Data&amp;Method_2014'!H15"/>
    <hyperlink ref="C20" location="'PSUT_Data&amp;Method_2014'!H16" display="'PSUT_Data&amp;Method_2014'!H16"/>
    <hyperlink ref="C21" location="'PSUT_Data&amp;Method_2014'!H17" display="'PSUT_Data&amp;Method_2014'!H17"/>
    <hyperlink ref="C22" location="'PSUT_Data&amp;Method_2014'!H18" display="'PSUT_Data&amp;Method_2014'!H18"/>
    <hyperlink ref="C23" location="'PSUT_Data&amp;Method_2014'!H19" display="'PSUT_Data&amp;Method_2014'!H19"/>
    <hyperlink ref="D7" location="'PSUT_Data&amp;Method_2014'!H21" display="'PSUT_Data&amp;Method_2014'!H21"/>
    <hyperlink ref="D8" location="'PSUT_Data&amp;Method_2014'!H22" display="'PSUT_Data&amp;Method_2014'!H22"/>
    <hyperlink ref="D9" location="'PSUT_Data&amp;Method_2014'!H23" display="'PSUT_Data&amp;Method_2014'!H23"/>
    <hyperlink ref="D10" location="'PSUT_Data&amp;Method_2014'!H24" display="'PSUT_Data&amp;Method_2014'!H24"/>
    <hyperlink ref="D12" location="'PSUT_Data&amp;Method_2014'!H26" display="'PSUT_Data&amp;Method_2014'!H26"/>
    <hyperlink ref="D13" location="'PSUT_Data&amp;Method_2014'!H27" display="'PSUT_Data&amp;Method_2014'!H27"/>
    <hyperlink ref="D14" location="'PSUT_Data&amp;Method_2014'!H28" display="'PSUT_Data&amp;Method_2014'!H28"/>
    <hyperlink ref="D15" location="'PSUT_Data&amp;Method_2014'!H29" display="'PSUT_Data&amp;Method_2014'!H29"/>
    <hyperlink ref="D16" location="'PSUT_Data&amp;Method_2014'!H30" display="'PSUT_Data&amp;Method_2014'!H30"/>
    <hyperlink ref="C35" location="'PSUT_Data&amp;Method_2014'!H405" display="'PSUT_Data&amp;Method_2014'!H405"/>
    <hyperlink ref="C18" location="'PSUT_Data&amp;Method_2014'!H14" display="'PSUT_Data&amp;Method_2014'!H14"/>
    <hyperlink ref="D17:D23" location="'PSUT_Data&amp;Method_2012'!H30" display="'PSUT_Data&amp;Method_2012'!H30"/>
    <hyperlink ref="D17" location="'PSUT_Data&amp;Method_2014'!H31" display="'PSUT_Data&amp;Method_2014'!H31"/>
    <hyperlink ref="D18" location="'PSUT_Data&amp;Method_2014'!H32" display="'PSUT_Data&amp;Method_2014'!H32"/>
    <hyperlink ref="D19" location="'PSUT_Data&amp;Method_2014'!H33" display="'PSUT_Data&amp;Method_2014'!H33"/>
    <hyperlink ref="D20" location="'PSUT_Data&amp;Method_2014'!H34" display="'PSUT_Data&amp;Method_2014'!H34"/>
    <hyperlink ref="D21" location="'PSUT_Data&amp;Method_2014'!H35" display="'PSUT_Data&amp;Method_2014'!H35"/>
    <hyperlink ref="D22" location="'PSUT_Data&amp;Method_2014'!H36" display="'PSUT_Data&amp;Method_2014'!H36"/>
    <hyperlink ref="D23" location="'PSUT_Data&amp;Method_2014'!H37" display="'PSUT_Data&amp;Method_2014'!H37"/>
    <hyperlink ref="E6" location="'PSUT_Data&amp;Method_2014'!H38" display="'PSUT_Data&amp;Method_2014'!H38"/>
    <hyperlink ref="E7:E23" location="'PSUT_Data&amp;Method_2012'!H38" display="'PSUT_Data&amp;Method_2012'!H38"/>
    <hyperlink ref="E7" location="'PSUT_Data&amp;Method_2014'!H39" display="'PSUT_Data&amp;Method_2014'!H39"/>
    <hyperlink ref="E8" location="'PSUT_Data&amp;Method_2014'!H40" display="'PSUT_Data&amp;Method_2014'!H40"/>
    <hyperlink ref="E9" location="'PSUT_Data&amp;Method_2014'!H41" display="'PSUT_Data&amp;Method_2014'!H41"/>
    <hyperlink ref="E10" location="'PSUT_Data&amp;Method_2014'!H42" display="'PSUT_Data&amp;Method_2014'!H42"/>
    <hyperlink ref="E11" location="'PSUT_Data&amp;Method_2014'!H43" display="'PSUT_Data&amp;Method_2014'!H43"/>
    <hyperlink ref="E12" location="'PSUT_Data&amp;Method_2014'!H44" display="'PSUT_Data&amp;Method_2014'!H44"/>
    <hyperlink ref="E13" location="'PSUT_Data&amp;Method_2014'!H45" display="'PSUT_Data&amp;Method_2014'!H45"/>
    <hyperlink ref="E14" location="'PSUT_Data&amp;Method_2014'!H46" display="'PSUT_Data&amp;Method_2014'!H46"/>
    <hyperlink ref="E15" location="'PSUT_Data&amp;Method_2014'!H47" display="'PSUT_Data&amp;Method_2014'!H47"/>
    <hyperlink ref="E16" location="'PSUT_Data&amp;Method_2014'!H48" display="'PSUT_Data&amp;Method_2014'!H48"/>
    <hyperlink ref="E17" location="'PSUT_Data&amp;Method_2014'!H49" display="'PSUT_Data&amp;Method_2014'!H49"/>
    <hyperlink ref="E18" location="'PSUT_Data&amp;Method_2014'!H50" display="'PSUT_Data&amp;Method_2014'!H50"/>
    <hyperlink ref="E19" location="'PSUT_Data&amp;Method_2014'!H51" display="'PSUT_Data&amp;Method_2014'!H51"/>
    <hyperlink ref="E20" location="'PSUT_Data&amp;Method_2014'!H52" display="'PSUT_Data&amp;Method_2014'!H52"/>
    <hyperlink ref="E21" location="'PSUT_Data&amp;Method_2014'!H53" display="'PSUT_Data&amp;Method_2014'!H53"/>
    <hyperlink ref="E22" location="'PSUT_Data&amp;Method_2014'!H54" display="'PSUT_Data&amp;Method_2014'!H54"/>
    <hyperlink ref="E23" location="'PSUT_Data&amp;Method_2014'!H55" display="'PSUT_Data&amp;Method_2014'!H55"/>
    <hyperlink ref="F6" location="'PSUT_Data&amp;Method_2014'!H56" display="'PSUT_Data&amp;Method_2014'!H56"/>
    <hyperlink ref="F7:F23" location="'PSUT_Data&amp;Method_2012'!H56" display="'PSUT_Data&amp;Method_2012'!H56"/>
    <hyperlink ref="F7" location="'PSUT_Data&amp;Method_2014'!H57" display="'PSUT_Data&amp;Method_2014'!H57"/>
    <hyperlink ref="F8" location="'PSUT_Data&amp;Method_2014'!H58" display="'PSUT_Data&amp;Method_2014'!H58"/>
    <hyperlink ref="F9" location="'PSUT_Data&amp;Method_2014'!H59" display="'PSUT_Data&amp;Method_2014'!H59"/>
    <hyperlink ref="F10" location="'PSUT_Data&amp;Method_2014'!H60" display="'PSUT_Data&amp;Method_2014'!H60"/>
    <hyperlink ref="F11" location="'PSUT_Data&amp;Method_2014'!H61" display="'PSUT_Data&amp;Method_2014'!H61"/>
    <hyperlink ref="F12" location="'PSUT_Data&amp;Method_2014'!H62" display="'PSUT_Data&amp;Method_2014'!H62"/>
    <hyperlink ref="F13" location="'PSUT_Data&amp;Method_2014'!H63" display="'PSUT_Data&amp;Method_2014'!H63"/>
    <hyperlink ref="F14" location="'PSUT_Data&amp;Method_2014'!H64" display="'PSUT_Data&amp;Method_2014'!H64"/>
    <hyperlink ref="F15" location="'PSUT_Data&amp;Method_2014'!H65" display="'PSUT_Data&amp;Method_2014'!H65"/>
    <hyperlink ref="F16" location="'PSUT_Data&amp;Method_2014'!H66" display="'PSUT_Data&amp;Method_2014'!H66"/>
    <hyperlink ref="F17" location="'PSUT_Data&amp;Method_2014'!H67" display="'PSUT_Data&amp;Method_2014'!H67"/>
    <hyperlink ref="F18" location="'PSUT_Data&amp;Method_2014'!H68" display="'PSUT_Data&amp;Method_2014'!H68"/>
    <hyperlink ref="F19" location="'PSUT_Data&amp;Method_2014'!H69" display="'PSUT_Data&amp;Method_2014'!H69"/>
    <hyperlink ref="F20" location="'PSUT_Data&amp;Method_2014'!H70" display="'PSUT_Data&amp;Method_2014'!H70"/>
    <hyperlink ref="F21" location="'PSUT_Data&amp;Method_2014'!H71" display="'PSUT_Data&amp;Method_2014'!H71"/>
    <hyperlink ref="F22" location="'PSUT_Data&amp;Method_2014'!H72" display="'PSUT_Data&amp;Method_2014'!H72"/>
    <hyperlink ref="F23" location="'PSUT_Data&amp;Method_2014'!H73" display="'PSUT_Data&amp;Method_2014'!H73"/>
    <hyperlink ref="G6" location="'PSUT_Data&amp;Method_2014'!H74" display="'PSUT_Data&amp;Method_2014'!H74"/>
    <hyperlink ref="G7:G23" location="'PSUT_Data&amp;Method_2012'!H74" display="'PSUT_Data&amp;Method_2012'!H74"/>
    <hyperlink ref="G7" location="'PSUT_Data&amp;Method_2014'!H75" display="'PSUT_Data&amp;Method_2014'!H75"/>
    <hyperlink ref="G8" location="'PSUT_Data&amp;Method_2014'!H76" display="'PSUT_Data&amp;Method_2014'!H76"/>
    <hyperlink ref="G9" location="'PSUT_Data&amp;Method_2014'!H77" display="'PSUT_Data&amp;Method_2014'!H77"/>
    <hyperlink ref="G10" location="'PSUT_Data&amp;Method_2014'!H78" display="'PSUT_Data&amp;Method_2014'!H78"/>
    <hyperlink ref="G11" location="'PSUT_Data&amp;Method_2014'!H79" display="'PSUT_Data&amp;Method_2014'!H79"/>
    <hyperlink ref="G12" location="'PSUT_Data&amp;Method_2014'!H80" display="'PSUT_Data&amp;Method_2014'!H80"/>
    <hyperlink ref="G13" location="'PSUT_Data&amp;Method_2014'!H81" display="'PSUT_Data&amp;Method_2014'!H81"/>
    <hyperlink ref="G14" location="'PSUT_Data&amp;Method_2014'!H82" display="'PSUT_Data&amp;Method_2014'!H82"/>
    <hyperlink ref="G15" location="'PSUT_Data&amp;Method_2014'!H83" display="'PSUT_Data&amp;Method_2014'!H83"/>
    <hyperlink ref="G16" location="'PSUT_Data&amp;Method_2014'!H84" display="'PSUT_Data&amp;Method_2014'!H84"/>
    <hyperlink ref="G17" location="'PSUT_Data&amp;Method_2014'!H85" display="'PSUT_Data&amp;Method_2014'!H85"/>
    <hyperlink ref="G18" location="'PSUT_Data&amp;Method_2014'!H86" display="'PSUT_Data&amp;Method_2014'!H86"/>
    <hyperlink ref="G19" location="'PSUT_Data&amp;Method_2014'!H87" display="'PSUT_Data&amp;Method_2014'!H87"/>
    <hyperlink ref="G20" location="'PSUT_Data&amp;Method_2014'!H88" display="'PSUT_Data&amp;Method_2014'!H88"/>
    <hyperlink ref="G21" location="'PSUT_Data&amp;Method_2014'!H89" display="'PSUT_Data&amp;Method_2014'!H89"/>
    <hyperlink ref="G22" location="'PSUT_Data&amp;Method_2014'!H90" display="'PSUT_Data&amp;Method_2014'!H90"/>
    <hyperlink ref="G23" location="'PSUT_Data&amp;Method_2014'!H91" display="'PSUT_Data&amp;Method_2014'!H91"/>
    <hyperlink ref="H6" location="'PSUT_Data&amp;Method_2014'!H92" display="'PSUT_Data&amp;Method_2014'!H92"/>
    <hyperlink ref="H7:H23" location="'PSUT_Data&amp;Method_2012'!H92" display="'PSUT_Data&amp;Method_2012'!H92"/>
    <hyperlink ref="H7" location="'PSUT_Data&amp;Method_2014'!H93" display="'PSUT_Data&amp;Method_2014'!H93"/>
    <hyperlink ref="H8" location="'PSUT_Data&amp;Method_2014'!H94" display="'PSUT_Data&amp;Method_2014'!H94"/>
    <hyperlink ref="H9" location="'PSUT_Data&amp;Method_2014'!H95" display="'PSUT_Data&amp;Method_2014'!H95"/>
    <hyperlink ref="H10" location="'PSUT_Data&amp;Method_2014'!H96" display="'PSUT_Data&amp;Method_2014'!H96"/>
    <hyperlink ref="H11" location="'PSUT_Data&amp;Method_2014'!H97" display="'PSUT_Data&amp;Method_2014'!H97"/>
    <hyperlink ref="H12" location="'PSUT_Data&amp;Method_2014'!H98" display="'PSUT_Data&amp;Method_2014'!H98"/>
    <hyperlink ref="H13" location="'PSUT_Data&amp;Method_2014'!H99" display="'PSUT_Data&amp;Method_2014'!H99"/>
    <hyperlink ref="H14" location="'PSUT_Data&amp;Method_2014'!H100" display="'PSUT_Data&amp;Method_2014'!H100"/>
    <hyperlink ref="H15" location="'PSUT_Data&amp;Method_2014'!H101" display="'PSUT_Data&amp;Method_2014'!H101"/>
    <hyperlink ref="H16" location="'PSUT_Data&amp;Method_2014'!H102" display="'PSUT_Data&amp;Method_2014'!H102"/>
    <hyperlink ref="H17" location="'PSUT_Data&amp;Method_2014'!H103" display="'PSUT_Data&amp;Method_2014'!H103"/>
    <hyperlink ref="H18" location="'PSUT_Data&amp;Method_2014'!H104" display="'PSUT_Data&amp;Method_2014'!H104"/>
    <hyperlink ref="H19" location="'PSUT_Data&amp;Method_2014'!H105" display="'PSUT_Data&amp;Method_2014'!H105"/>
    <hyperlink ref="H20" location="'PSUT_Data&amp;Method_2014'!H106" display="'PSUT_Data&amp;Method_2014'!H106"/>
    <hyperlink ref="H21" location="'PSUT_Data&amp;Method_2014'!H107" display="'PSUT_Data&amp;Method_2014'!H107"/>
    <hyperlink ref="H22" location="'PSUT_Data&amp;Method_2014'!H108" display="'PSUT_Data&amp;Method_2014'!H108"/>
    <hyperlink ref="H23" location="'PSUT_Data&amp;Method_2014'!H109" display="'PSUT_Data&amp;Method_2014'!H109"/>
    <hyperlink ref="I6" location="'PSUT_Data&amp;Method_2014'!H110" display="'PSUT_Data&amp;Method_2014'!H110"/>
    <hyperlink ref="I7:I23" location="'PSUT_Data&amp;Method_2012'!H110" display="'PSUT_Data&amp;Method_2012'!H110"/>
    <hyperlink ref="I7" location="'PSUT_Data&amp;Method_2014'!H111" display="'PSUT_Data&amp;Method_2014'!H111"/>
    <hyperlink ref="I8" location="'PSUT_Data&amp;Method_2014'!H112" display="'PSUT_Data&amp;Method_2014'!H112"/>
    <hyperlink ref="I9" location="'PSUT_Data&amp;Method_2014'!H113" display="'PSUT_Data&amp;Method_2014'!H113"/>
    <hyperlink ref="I10" location="'PSUT_Data&amp;Method_2014'!H114" display="'PSUT_Data&amp;Method_2014'!H114"/>
    <hyperlink ref="I11" location="'PSUT_Data&amp;Method_2014'!H115" display="'PSUT_Data&amp;Method_2014'!H115"/>
    <hyperlink ref="I12" location="'PSUT_Data&amp;Method_2014'!H116" display="'PSUT_Data&amp;Method_2014'!H116"/>
    <hyperlink ref="I13" location="'PSUT_Data&amp;Method_2014'!H117" display="'PSUT_Data&amp;Method_2014'!H117"/>
    <hyperlink ref="I14" location="'PSUT_Data&amp;Method_2014'!H118" display="'PSUT_Data&amp;Method_2014'!H118"/>
    <hyperlink ref="I15" location="'PSUT_Data&amp;Method_2014'!H119" display="'PSUT_Data&amp;Method_2014'!H119"/>
    <hyperlink ref="I16" location="'PSUT_Data&amp;Method_2014'!H120" display="'PSUT_Data&amp;Method_2014'!H120"/>
    <hyperlink ref="I17" location="'PSUT_Data&amp;Method_2014'!H121" display="'PSUT_Data&amp;Method_2014'!H121"/>
    <hyperlink ref="I18" location="'PSUT_Data&amp;Method_2014'!H122" display="'PSUT_Data&amp;Method_2014'!H122"/>
    <hyperlink ref="I19" location="'PSUT_Data&amp;Method_2014'!H123" display="'PSUT_Data&amp;Method_2014'!H123"/>
    <hyperlink ref="I20" location="'PSUT_Data&amp;Method_2014'!H124" display="'PSUT_Data&amp;Method_2014'!H124"/>
    <hyperlink ref="I21" location="'PSUT_Data&amp;Method_2014'!H125" display="'PSUT_Data&amp;Method_2014'!H125"/>
    <hyperlink ref="I22" location="'PSUT_Data&amp;Method_2014'!H126" display="'PSUT_Data&amp;Method_2014'!H126"/>
    <hyperlink ref="I23" location="'PSUT_Data&amp;Method_2014'!H127" display="'PSUT_Data&amp;Method_2014'!H127"/>
    <hyperlink ref="J6" location="'PSUT_Data&amp;Method_2014'!H128" display="'PSUT_Data&amp;Method_2014'!H128"/>
    <hyperlink ref="J7:J23" location="'PSUT_Data&amp;Method_2012'!H128" display="'PSUT_Data&amp;Method_2012'!H128"/>
    <hyperlink ref="J7" location="'PSUT_Data&amp;Method_2014'!H129" display="'PSUT_Data&amp;Method_2014'!H129"/>
    <hyperlink ref="J8" location="'PSUT_Data&amp;Method_2014'!H130" display="'PSUT_Data&amp;Method_2014'!H130"/>
    <hyperlink ref="J9" location="'PSUT_Data&amp;Method_2014'!H131" display="'PSUT_Data&amp;Method_2014'!H131"/>
    <hyperlink ref="J10" location="'PSUT_Data&amp;Method_2014'!H132" display="'PSUT_Data&amp;Method_2014'!H132"/>
    <hyperlink ref="J11" location="'PSUT_Data&amp;Method_2014'!H133" display="'PSUT_Data&amp;Method_2014'!H133"/>
    <hyperlink ref="J12" location="'PSUT_Data&amp;Method_2014'!H134" display="'PSUT_Data&amp;Method_2014'!H134"/>
    <hyperlink ref="J13" location="'PSUT_Data&amp;Method_2014'!H135" display="'PSUT_Data&amp;Method_2014'!H135"/>
    <hyperlink ref="J14" location="'PSUT_Data&amp;Method_2014'!H136" display="'PSUT_Data&amp;Method_2014'!H136"/>
    <hyperlink ref="J15" location="'PSUT_Data&amp;Method_2014'!H137" display="'PSUT_Data&amp;Method_2014'!H137"/>
    <hyperlink ref="J16" location="'PSUT_Data&amp;Method_2014'!H138" display="'PSUT_Data&amp;Method_2014'!H138"/>
    <hyperlink ref="J17" location="'PSUT_Data&amp;Method_2014'!H139" display="'PSUT_Data&amp;Method_2014'!H139"/>
    <hyperlink ref="J18" location="'PSUT_Data&amp;Method_2014'!H140" display="'PSUT_Data&amp;Method_2014'!H140"/>
    <hyperlink ref="J19" location="'PSUT_Data&amp;Method_2014'!H141" display="'PSUT_Data&amp;Method_2014'!H141"/>
    <hyperlink ref="J20" location="'PSUT_Data&amp;Method_2014'!H142" display="'PSUT_Data&amp;Method_2014'!H142"/>
    <hyperlink ref="J21" location="'PSUT_Data&amp;Method_2014'!H143" display="'PSUT_Data&amp;Method_2014'!H143"/>
    <hyperlink ref="J22" location="'PSUT_Data&amp;Method_2014'!H144" display="'PSUT_Data&amp;Method_2014'!H144"/>
    <hyperlink ref="J23" location="'PSUT_Data&amp;Method_2014'!H145" display="'PSUT_Data&amp;Method_2014'!H145"/>
    <hyperlink ref="K6" location="'PSUT_Data&amp;Method_2014'!H146" display="'PSUT_Data&amp;Method_2014'!H146"/>
    <hyperlink ref="K7:K23" location="'PSUT_Data&amp;Method_2012'!H146" display="'PSUT_Data&amp;Method_2012'!H146"/>
    <hyperlink ref="K7" location="'PSUT_Data&amp;Method_2014'!H147" display="'PSUT_Data&amp;Method_2014'!H147"/>
    <hyperlink ref="K8" location="'PSUT_Data&amp;Method_2014'!H148" display="'PSUT_Data&amp;Method_2014'!H148"/>
    <hyperlink ref="K9" location="'PSUT_Data&amp;Method_2014'!H149" display="'PSUT_Data&amp;Method_2014'!H149"/>
    <hyperlink ref="K10" location="'PSUT_Data&amp;Method_2014'!H150" display="'PSUT_Data&amp;Method_2014'!H150"/>
    <hyperlink ref="K11" location="'PSUT_Data&amp;Method_2014'!H151" display="'PSUT_Data&amp;Method_2014'!H151"/>
    <hyperlink ref="K12" location="'PSUT_Data&amp;Method_2014'!H152" display="'PSUT_Data&amp;Method_2014'!H152"/>
    <hyperlink ref="K13" location="'PSUT_Data&amp;Method_2014'!H153" display="'PSUT_Data&amp;Method_2014'!H153"/>
    <hyperlink ref="K14" location="'PSUT_Data&amp;Method_2014'!H154" display="'PSUT_Data&amp;Method_2014'!H154"/>
    <hyperlink ref="K15" location="'PSUT_Data&amp;Method_2014'!H155" display="'PSUT_Data&amp;Method_2014'!H155"/>
    <hyperlink ref="K16" location="'PSUT_Data&amp;Method_2014'!H156" display="'PSUT_Data&amp;Method_2014'!H156"/>
    <hyperlink ref="K17" location="'PSUT_Data&amp;Method_2014'!H157" display="'PSUT_Data&amp;Method_2014'!H157"/>
    <hyperlink ref="K18" location="'PSUT_Data&amp;Method_2014'!H158" display="'PSUT_Data&amp;Method_2014'!H158"/>
    <hyperlink ref="K19" location="'PSUT_Data&amp;Method_2014'!H159" display="'PSUT_Data&amp;Method_2014'!H159"/>
    <hyperlink ref="K20" location="'PSUT_Data&amp;Method_2014'!H160" display="'PSUT_Data&amp;Method_2014'!H160"/>
    <hyperlink ref="K21" location="'PSUT_Data&amp;Method_2014'!H161" display="'PSUT_Data&amp;Method_2014'!H161"/>
    <hyperlink ref="K22" location="'PSUT_Data&amp;Method_2014'!H162" display="'PSUT_Data&amp;Method_2014'!H162"/>
    <hyperlink ref="K23" location="'PSUT_Data&amp;Method_2014'!H163" display="'PSUT_Data&amp;Method_2014'!H163"/>
    <hyperlink ref="L6" location="'PSUT_Data&amp;Method_2014'!H164" display="'PSUT_Data&amp;Method_2014'!H164"/>
    <hyperlink ref="L7:L23" location="'PSUT_Data&amp;Method_2012'!H164" display="'PSUT_Data&amp;Method_2012'!H164"/>
    <hyperlink ref="L7" location="'PSUT_Data&amp;Method_2014'!H165" display="'PSUT_Data&amp;Method_2014'!H165"/>
    <hyperlink ref="L8" location="'PSUT_Data&amp;Method_2014'!H166" display="'PSUT_Data&amp;Method_2014'!H166"/>
    <hyperlink ref="L9" location="'PSUT_Data&amp;Method_2014'!H167" display="'PSUT_Data&amp;Method_2014'!H167"/>
    <hyperlink ref="L10" location="'PSUT_Data&amp;Method_2014'!H168" display="'PSUT_Data&amp;Method_2014'!H168"/>
    <hyperlink ref="L11" location="'PSUT_Data&amp;Method_2014'!H169" display="'PSUT_Data&amp;Method_2014'!H169"/>
    <hyperlink ref="L12" location="'PSUT_Data&amp;Method_2014'!H170" display="'PSUT_Data&amp;Method_2014'!H170"/>
    <hyperlink ref="L13" location="'PSUT_Data&amp;Method_2014'!H171" display="'PSUT_Data&amp;Method_2014'!H171"/>
    <hyperlink ref="L14" location="'PSUT_Data&amp;Method_2014'!H172" display="'PSUT_Data&amp;Method_2014'!H172"/>
    <hyperlink ref="L15" location="'PSUT_Data&amp;Method_2014'!H173" display="'PSUT_Data&amp;Method_2014'!H173"/>
    <hyperlink ref="L16" location="'PSUT_Data&amp;Method_2014'!H174" display="'PSUT_Data&amp;Method_2014'!H174"/>
    <hyperlink ref="L17" location="'PSUT_Data&amp;Method_2014'!H175" display="'PSUT_Data&amp;Method_2014'!H175"/>
    <hyperlink ref="L18" location="'PSUT_Data&amp;Method_2014'!H176" display="'PSUT_Data&amp;Method_2014'!H176"/>
    <hyperlink ref="L19" location="'PSUT_Data&amp;Method_2014'!H177" display="'PSUT_Data&amp;Method_2014'!H177"/>
    <hyperlink ref="L20" location="'PSUT_Data&amp;Method_2014'!H178" display="'PSUT_Data&amp;Method_2014'!H178"/>
    <hyperlink ref="L21" location="'PSUT_Data&amp;Method_2014'!H179" display="'PSUT_Data&amp;Method_2014'!H179"/>
    <hyperlink ref="L22" location="'PSUT_Data&amp;Method_2014'!H180" display="'PSUT_Data&amp;Method_2014'!H180"/>
    <hyperlink ref="L23" location="'PSUT_Data&amp;Method_2014'!H181" display="'PSUT_Data&amp;Method_2014'!H181"/>
    <hyperlink ref="M6" location="'PSUT_Data&amp;Method_2014'!H182" display="'PSUT_Data&amp;Method_2014'!H182"/>
    <hyperlink ref="M7:M23" location="'PSUT_Data&amp;Method_2012'!H182" display="'PSUT_Data&amp;Method_2012'!H182"/>
    <hyperlink ref="M7" location="'PSUT_Data&amp;Method_2014'!H183" display="'PSUT_Data&amp;Method_2014'!H183"/>
    <hyperlink ref="M8" location="'PSUT_Data&amp;Method_2014'!H184" display="'PSUT_Data&amp;Method_2014'!H184"/>
    <hyperlink ref="M9" location="'PSUT_Data&amp;Method_2014'!H185" display="'PSUT_Data&amp;Method_2014'!H185"/>
    <hyperlink ref="M10" location="'PSUT_Data&amp;Method_2014'!H186" display="'PSUT_Data&amp;Method_2014'!H186"/>
    <hyperlink ref="M11" location="'PSUT_Data&amp;Method_2014'!H187" display="'PSUT_Data&amp;Method_2014'!H187"/>
    <hyperlink ref="M12" location="'PSUT_Data&amp;Method_2014'!H188" display="'PSUT_Data&amp;Method_2014'!H188"/>
    <hyperlink ref="M13" location="'PSUT_Data&amp;Method_2014'!H189" display="'PSUT_Data&amp;Method_2014'!H189"/>
    <hyperlink ref="M14" location="'PSUT_Data&amp;Method_2014'!H190" display="'PSUT_Data&amp;Method_2014'!H190"/>
    <hyperlink ref="M15" location="'PSUT_Data&amp;Method_2014'!H191" display="'PSUT_Data&amp;Method_2014'!H191"/>
    <hyperlink ref="M16" location="'PSUT_Data&amp;Method_2014'!H192" display="'PSUT_Data&amp;Method_2014'!H192"/>
    <hyperlink ref="M17" location="'PSUT_Data&amp;Method_2014'!H193" display="'PSUT_Data&amp;Method_2014'!H193"/>
    <hyperlink ref="M18" location="'PSUT_Data&amp;Method_2014'!H194" display="'PSUT_Data&amp;Method_2014'!H194"/>
    <hyperlink ref="M19" location="'PSUT_Data&amp;Method_2014'!H195" display="'PSUT_Data&amp;Method_2014'!H195"/>
    <hyperlink ref="M20" location="'PSUT_Data&amp;Method_2014'!H196" display="'PSUT_Data&amp;Method_2014'!H196"/>
    <hyperlink ref="M21" location="'PSUT_Data&amp;Method_2014'!H197" display="'PSUT_Data&amp;Method_2014'!H197"/>
    <hyperlink ref="M22" location="'PSUT_Data&amp;Method_2014'!H198" display="'PSUT_Data&amp;Method_2014'!H198"/>
    <hyperlink ref="M23" location="'PSUT_Data&amp;Method_2014'!H199" display="'PSUT_Data&amp;Method_2014'!H199"/>
    <hyperlink ref="N6" location="'PSUT_Data&amp;Method_2014'!H200" display="'PSUT_Data&amp;Method_2014'!H200"/>
    <hyperlink ref="N7:N23" location="'PSUT_Data&amp;Method_2012'!H200" display="'PSUT_Data&amp;Method_2012'!H200"/>
    <hyperlink ref="N7" location="'PSUT_Data&amp;Method_2014'!H201" display="'PSUT_Data&amp;Method_2014'!H201"/>
    <hyperlink ref="N8" location="'PSUT_Data&amp;Method_2014'!H202" display="'PSUT_Data&amp;Method_2014'!H202"/>
    <hyperlink ref="N9" location="'PSUT_Data&amp;Method_2014'!H203" display="'PSUT_Data&amp;Method_2014'!H203"/>
    <hyperlink ref="N10" location="'PSUT_Data&amp;Method_2014'!H204" display="'PSUT_Data&amp;Method_2014'!H204"/>
    <hyperlink ref="N11" location="'PSUT_Data&amp;Method_2014'!H205" display="'PSUT_Data&amp;Method_2014'!H205"/>
    <hyperlink ref="N12" location="'PSUT_Data&amp;Method_2014'!H206" display="'PSUT_Data&amp;Method_2014'!H206"/>
    <hyperlink ref="N13" location="'PSUT_Data&amp;Method_2014'!H207" display="'PSUT_Data&amp;Method_2014'!H207"/>
    <hyperlink ref="N14" location="'PSUT_Data&amp;Method_2014'!H208" display="'PSUT_Data&amp;Method_2014'!H208"/>
    <hyperlink ref="N15" location="'PSUT_Data&amp;Method_2014'!H209" display="'PSUT_Data&amp;Method_2014'!H209"/>
    <hyperlink ref="N16" location="'PSUT_Data&amp;Method_2014'!H210" display="'PSUT_Data&amp;Method_2014'!H210"/>
    <hyperlink ref="N17" location="'PSUT_Data&amp;Method_2014'!H211" display="'PSUT_Data&amp;Method_2014'!H211"/>
    <hyperlink ref="N18" location="'PSUT_Data&amp;Method_2014'!H212" display="'PSUT_Data&amp;Method_2014'!H212"/>
    <hyperlink ref="N19" location="'PSUT_Data&amp;Method_2014'!H213" display="'PSUT_Data&amp;Method_2014'!H213"/>
    <hyperlink ref="N20" location="'PSUT_Data&amp;Method_2014'!H214" display="'PSUT_Data&amp;Method_2014'!H214"/>
    <hyperlink ref="N21" location="'PSUT_Data&amp;Method_2014'!H215" display="'PSUT_Data&amp;Method_2014'!H215"/>
    <hyperlink ref="N22" location="'PSUT_Data&amp;Method_2014'!H216" display="'PSUT_Data&amp;Method_2014'!H216"/>
    <hyperlink ref="N23" location="'PSUT_Data&amp;Method_2014'!H217" display="'PSUT_Data&amp;Method_2014'!H217"/>
    <hyperlink ref="O6" location="'PSUT_Data&amp;Method_2014'!H218" display="'PSUT_Data&amp;Method_2014'!H218"/>
    <hyperlink ref="O7:O23" location="'PSUT_Data&amp;Method_2012'!H218" display="'PSUT_Data&amp;Method_2012'!H218"/>
    <hyperlink ref="O7" location="'PSUT_Data&amp;Method_2014'!H219" display="'PSUT_Data&amp;Method_2014'!H219"/>
    <hyperlink ref="O8" location="'PSUT_Data&amp;Method_2014'!H220" display="'PSUT_Data&amp;Method_2014'!H220"/>
    <hyperlink ref="O9" location="'PSUT_Data&amp;Method_2014'!H221" display="'PSUT_Data&amp;Method_2014'!H221"/>
    <hyperlink ref="O10" location="'PSUT_Data&amp;Method_2014'!H222" display="'PSUT_Data&amp;Method_2014'!H222"/>
    <hyperlink ref="O11" location="'PSUT_Data&amp;Method_2014'!H223" display="'PSUT_Data&amp;Method_2014'!H223"/>
    <hyperlink ref="O12" location="'PSUT_Data&amp;Method_2014'!H224" display="'PSUT_Data&amp;Method_2014'!H224"/>
    <hyperlink ref="O13" location="'PSUT_Data&amp;Method_2014'!H225" display="'PSUT_Data&amp;Method_2014'!H225"/>
    <hyperlink ref="O14" location="'PSUT_Data&amp;Method_2014'!H226" display="'PSUT_Data&amp;Method_2014'!H226"/>
    <hyperlink ref="O15" location="'PSUT_Data&amp;Method_2014'!H227" display="'PSUT_Data&amp;Method_2014'!H227"/>
    <hyperlink ref="O16" location="'PSUT_Data&amp;Method_2014'!H228" display="'PSUT_Data&amp;Method_2014'!H228"/>
    <hyperlink ref="O17" location="'PSUT_Data&amp;Method_2014'!H229" display="'PSUT_Data&amp;Method_2014'!H229"/>
    <hyperlink ref="O18" location="'PSUT_Data&amp;Method_2014'!H230" display="'PSUT_Data&amp;Method_2014'!H230"/>
    <hyperlink ref="O19" location="'PSUT_Data&amp;Method_2014'!H231" display="'PSUT_Data&amp;Method_2014'!H231"/>
    <hyperlink ref="O20" location="'PSUT_Data&amp;Method_2014'!H232" display="'PSUT_Data&amp;Method_2014'!H232"/>
    <hyperlink ref="O21" location="'PSUT_Data&amp;Method_2014'!H233" display="'PSUT_Data&amp;Method_2014'!H233"/>
    <hyperlink ref="O22" location="'PSUT_Data&amp;Method_2014'!H234" display="'PSUT_Data&amp;Method_2014'!H234"/>
    <hyperlink ref="O23" location="'PSUT_Data&amp;Method_2014'!H235" display="'PSUT_Data&amp;Method_2014'!H235"/>
    <hyperlink ref="P6" location="'PSUT_Data&amp;Method_2014'!H236" display="'PSUT_Data&amp;Method_2014'!H236"/>
    <hyperlink ref="P7:P23" location="'PSUT_Data&amp;Method_2012'!H236" display="'PSUT_Data&amp;Method_2012'!H236"/>
    <hyperlink ref="P7" location="'PSUT_Data&amp;Method_2014'!H237" display="'PSUT_Data&amp;Method_2014'!H237"/>
    <hyperlink ref="P8" location="'PSUT_Data&amp;Method_2014'!H238" display="'PSUT_Data&amp;Method_2014'!H238"/>
    <hyperlink ref="P9" location="'PSUT_Data&amp;Method_2014'!H239" display="'PSUT_Data&amp;Method_2014'!H239"/>
    <hyperlink ref="P10" location="'PSUT_Data&amp;Method_2014'!H240" display="'PSUT_Data&amp;Method_2014'!H240"/>
    <hyperlink ref="P11" location="'PSUT_Data&amp;Method_2014'!H241" display="'PSUT_Data&amp;Method_2014'!H241"/>
    <hyperlink ref="P12" location="'PSUT_Data&amp;Method_2014'!H242" display="'PSUT_Data&amp;Method_2014'!H242"/>
    <hyperlink ref="P13" location="'PSUT_Data&amp;Method_2014'!H243" display="'PSUT_Data&amp;Method_2014'!H243"/>
    <hyperlink ref="P14" location="'PSUT_Data&amp;Method_2014'!H244" display="'PSUT_Data&amp;Method_2014'!H244"/>
    <hyperlink ref="P15" location="'PSUT_Data&amp;Method_2014'!H245" display="'PSUT_Data&amp;Method_2014'!H245"/>
    <hyperlink ref="P16" location="'PSUT_Data&amp;Method_2014'!H246" display="'PSUT_Data&amp;Method_2014'!H246"/>
    <hyperlink ref="P17" location="'PSUT_Data&amp;Method_2014'!H247" display="'PSUT_Data&amp;Method_2014'!H247"/>
    <hyperlink ref="P18" location="'PSUT_Data&amp;Method_2014'!H248" display="'PSUT_Data&amp;Method_2014'!H248"/>
    <hyperlink ref="P19" location="'PSUT_Data&amp;Method_2014'!H249" display="'PSUT_Data&amp;Method_2014'!H249"/>
    <hyperlink ref="P20" location="'PSUT_Data&amp;Method_2014'!H250" display="'PSUT_Data&amp;Method_2014'!H250"/>
    <hyperlink ref="P21" location="'PSUT_Data&amp;Method_2014'!H251" display="'PSUT_Data&amp;Method_2014'!H251"/>
    <hyperlink ref="P22" location="'PSUT_Data&amp;Method_2014'!H252" display="'PSUT_Data&amp;Method_2014'!H252"/>
    <hyperlink ref="P23" location="'PSUT_Data&amp;Method_2014'!H253" display="'PSUT_Data&amp;Method_2014'!H253"/>
    <hyperlink ref="Q6" location="'PSUT_Data&amp;Method_2014'!H254" display="'PSUT_Data&amp;Method_2014'!H254"/>
    <hyperlink ref="Q7:Q23" location="'PSUT_Data&amp;Method_2012'!H254" display="'PSUT_Data&amp;Method_2012'!H254"/>
    <hyperlink ref="Q7" location="'PSUT_Data&amp;Method_2014'!H255" display="'PSUT_Data&amp;Method_2014'!H255"/>
    <hyperlink ref="Q8" location="'PSUT_Data&amp;Method_2014'!H256" display="'PSUT_Data&amp;Method_2014'!H256"/>
    <hyperlink ref="Q9" location="'PSUT_Data&amp;Method_2014'!H257" display="'PSUT_Data&amp;Method_2014'!H257"/>
    <hyperlink ref="Q10" location="'PSUT_Data&amp;Method_2014'!H258" display="'PSUT_Data&amp;Method_2014'!H258"/>
    <hyperlink ref="Q11" location="'PSUT_Data&amp;Method_2014'!H259" display="'PSUT_Data&amp;Method_2014'!H259"/>
    <hyperlink ref="Q12" location="'PSUT_Data&amp;Method_2014'!H260" display="'PSUT_Data&amp;Method_2014'!H260"/>
    <hyperlink ref="Q13" location="'PSUT_Data&amp;Method_2014'!H261" display="'PSUT_Data&amp;Method_2014'!H261"/>
    <hyperlink ref="Q14" location="'PSUT_Data&amp;Method_2014'!H262" display="'PSUT_Data&amp;Method_2014'!H262"/>
    <hyperlink ref="Q15" location="'PSUT_Data&amp;Method_2014'!H263" display="'PSUT_Data&amp;Method_2014'!H263"/>
    <hyperlink ref="Q16" location="'PSUT_Data&amp;Method_2014'!H264" display="'PSUT_Data&amp;Method_2014'!H264"/>
    <hyperlink ref="Q17" location="'PSUT_Data&amp;Method_2014'!H265" display="'PSUT_Data&amp;Method_2014'!H265"/>
    <hyperlink ref="Q18" location="'PSUT_Data&amp;Method_2014'!H266" display="'PSUT_Data&amp;Method_2014'!H266"/>
    <hyperlink ref="Q19" location="'PSUT_Data&amp;Method_2014'!H267" display="'PSUT_Data&amp;Method_2014'!H267"/>
    <hyperlink ref="Q20" location="'PSUT_Data&amp;Method_2014'!H268" display="'PSUT_Data&amp;Method_2014'!H268"/>
    <hyperlink ref="Q21" location="'PSUT_Data&amp;Method_2014'!H269" display="'PSUT_Data&amp;Method_2014'!H269"/>
    <hyperlink ref="Q22" location="'PSUT_Data&amp;Method_2014'!H270" display="'PSUT_Data&amp;Method_2014'!H270"/>
    <hyperlink ref="Q23" location="'PSUT_Data&amp;Method_2014'!H271" display="'PSUT_Data&amp;Method_2014'!H271"/>
    <hyperlink ref="R6" location="'PSUT_Data&amp;Method_2014'!H272" display="'PSUT_Data&amp;Method_2014'!H272"/>
    <hyperlink ref="R7:R23" location="'PSUT_Data&amp;Method_2012'!H272" display="'PSUT_Data&amp;Method_2012'!H272"/>
    <hyperlink ref="R7" location="'PSUT_Data&amp;Method_2014'!H273" display="'PSUT_Data&amp;Method_2014'!H273"/>
    <hyperlink ref="R8" location="'PSUT_Data&amp;Method_2014'!H274" display="'PSUT_Data&amp;Method_2014'!H274"/>
    <hyperlink ref="R9" location="'PSUT_Data&amp;Method_2014'!H275" display="'PSUT_Data&amp;Method_2014'!H275"/>
    <hyperlink ref="R10" location="'PSUT_Data&amp;Method_2014'!H276" display="'PSUT_Data&amp;Method_2014'!H276"/>
    <hyperlink ref="R11" location="'PSUT_Data&amp;Method_2014'!H277" display="'PSUT_Data&amp;Method_2014'!H277"/>
    <hyperlink ref="R12" location="'PSUT_Data&amp;Method_2014'!H278" display="'PSUT_Data&amp;Method_2014'!H278"/>
    <hyperlink ref="R13" location="'PSUT_Data&amp;Method_2014'!H279" display="'PSUT_Data&amp;Method_2014'!H279"/>
    <hyperlink ref="R14" location="'PSUT_Data&amp;Method_2014'!H280" display="'PSUT_Data&amp;Method_2014'!H280"/>
    <hyperlink ref="R15" location="'PSUT_Data&amp;Method_2014'!H281" display="'PSUT_Data&amp;Method_2014'!H281"/>
    <hyperlink ref="R16" location="'PSUT_Data&amp;Method_2014'!H282" display="'PSUT_Data&amp;Method_2014'!H282"/>
    <hyperlink ref="R17" location="'PSUT_Data&amp;Method_2014'!H283" display="'PSUT_Data&amp;Method_2014'!H283"/>
    <hyperlink ref="R18" location="'PSUT_Data&amp;Method_2014'!H284" display="'PSUT_Data&amp;Method_2014'!H284"/>
    <hyperlink ref="R19" location="'PSUT_Data&amp;Method_2014'!H285" display="'PSUT_Data&amp;Method_2014'!H285"/>
    <hyperlink ref="R20" location="'PSUT_Data&amp;Method_2014'!H286" display="'PSUT_Data&amp;Method_2014'!H286"/>
    <hyperlink ref="R21" location="'PSUT_Data&amp;Method_2014'!H287" display="'PSUT_Data&amp;Method_2014'!H287"/>
    <hyperlink ref="R22" location="'PSUT_Data&amp;Method_2014'!H288" display="'PSUT_Data&amp;Method_2014'!H288"/>
    <hyperlink ref="R23" location="'PSUT_Data&amp;Method_2014'!H289" display="'PSUT_Data&amp;Method_2014'!H289"/>
    <hyperlink ref="S6" location="'PSUT_Data&amp;Method_2014'!H290" display="'PSUT_Data&amp;Method_2014'!H290"/>
    <hyperlink ref="S7:S23" location="'PSUT_Data&amp;Method_2012'!H290" display="'PSUT_Data&amp;Method_2012'!H290"/>
    <hyperlink ref="S7" location="'PSUT_Data&amp;Method_2014'!H291" display="'PSUT_Data&amp;Method_2014'!H291"/>
    <hyperlink ref="S8" location="'PSUT_Data&amp;Method_2014'!H292" display="'PSUT_Data&amp;Method_2014'!H292"/>
    <hyperlink ref="S9" location="'PSUT_Data&amp;Method_2014'!H293" display="'PSUT_Data&amp;Method_2014'!H293"/>
    <hyperlink ref="S10" location="'PSUT_Data&amp;Method_2014'!H294" display="'PSUT_Data&amp;Method_2014'!H294"/>
    <hyperlink ref="S11" location="'PSUT_Data&amp;Method_2014'!H295" display="'PSUT_Data&amp;Method_2014'!H295"/>
    <hyperlink ref="S12" location="'PSUT_Data&amp;Method_2014'!H296" display="'PSUT_Data&amp;Method_2014'!H296"/>
    <hyperlink ref="S13" location="'PSUT_Data&amp;Method_2014'!H297" display="'PSUT_Data&amp;Method_2014'!H297"/>
    <hyperlink ref="S14" location="'PSUT_Data&amp;Method_2014'!H298" display="'PSUT_Data&amp;Method_2014'!H298"/>
    <hyperlink ref="S15" location="'PSUT_Data&amp;Method_2014'!H299" display="'PSUT_Data&amp;Method_2014'!H299"/>
    <hyperlink ref="S16" location="'PSUT_Data&amp;Method_2014'!H300" display="'PSUT_Data&amp;Method_2014'!H300"/>
    <hyperlink ref="S17" location="'PSUT_Data&amp;Method_2014'!H301" display="'PSUT_Data&amp;Method_2014'!H301"/>
    <hyperlink ref="S18" location="'PSUT_Data&amp;Method_2014'!H302" display="'PSUT_Data&amp;Method_2014'!H302"/>
    <hyperlink ref="S19" location="'PSUT_Data&amp;Method_2014'!H303" display="'PSUT_Data&amp;Method_2014'!H303"/>
    <hyperlink ref="S20" location="'PSUT_Data&amp;Method_2014'!H304" display="'PSUT_Data&amp;Method_2014'!H304"/>
    <hyperlink ref="S21" location="'PSUT_Data&amp;Method_2014'!H305" display="'PSUT_Data&amp;Method_2014'!H305"/>
    <hyperlink ref="S22" location="'PSUT_Data&amp;Method_2014'!H306" display="'PSUT_Data&amp;Method_2014'!H306"/>
    <hyperlink ref="S23" location="'PSUT_Data&amp;Method_2014'!H307" display="'PSUT_Data&amp;Method_2014'!H307"/>
    <hyperlink ref="T6" location="'PSUT_Data&amp;Method_2014'!H308" display="'PSUT_Data&amp;Method_2014'!H308"/>
    <hyperlink ref="T7:T23" location="'PSUT_Data&amp;Method_2012'!H308" display="'PSUT_Data&amp;Method_2012'!H308"/>
    <hyperlink ref="T7" location="'PSUT_Data&amp;Method_2014'!H309" display="'PSUT_Data&amp;Method_2014'!H309"/>
    <hyperlink ref="T8" location="'PSUT_Data&amp;Method_2014'!H310" display="'PSUT_Data&amp;Method_2014'!H310"/>
    <hyperlink ref="T9" location="'PSUT_Data&amp;Method_2014'!H311" display="'PSUT_Data&amp;Method_2014'!H311"/>
    <hyperlink ref="T10" location="'PSUT_Data&amp;Method_2014'!H312" display="'PSUT_Data&amp;Method_2014'!H312"/>
    <hyperlink ref="T11" location="'PSUT_Data&amp;Method_2014'!H313" display="'PSUT_Data&amp;Method_2014'!H313"/>
    <hyperlink ref="T12" location="'PSUT_Data&amp;Method_2014'!H314" display="'PSUT_Data&amp;Method_2014'!H314"/>
    <hyperlink ref="T13" location="'PSUT_Data&amp;Method_2014'!H315" display="'PSUT_Data&amp;Method_2014'!H315"/>
    <hyperlink ref="T14" location="'PSUT_Data&amp;Method_2014'!H316" display="'PSUT_Data&amp;Method_2014'!H316"/>
    <hyperlink ref="T15" location="'PSUT_Data&amp;Method_2014'!H317" display="'PSUT_Data&amp;Method_2014'!H317"/>
    <hyperlink ref="T16" location="'PSUT_Data&amp;Method_2014'!H318" display="'PSUT_Data&amp;Method_2014'!H318"/>
    <hyperlink ref="T17" location="'PSUT_Data&amp;Method_2014'!H319" display="'PSUT_Data&amp;Method_2014'!H319"/>
    <hyperlink ref="T18" location="'PSUT_Data&amp;Method_2014'!H320" display="'PSUT_Data&amp;Method_2014'!H320"/>
    <hyperlink ref="T19" location="'PSUT_Data&amp;Method_2014'!H321" display="'PSUT_Data&amp;Method_2014'!H321"/>
    <hyperlink ref="T20" location="'PSUT_Data&amp;Method_2014'!H322" display="'PSUT_Data&amp;Method_2014'!H322"/>
    <hyperlink ref="T21" location="'PSUT_Data&amp;Method_2014'!H323" display="'PSUT_Data&amp;Method_2014'!H323"/>
    <hyperlink ref="T22" location="'PSUT_Data&amp;Method_2014'!H324" display="'PSUT_Data&amp;Method_2014'!H324"/>
    <hyperlink ref="T23" location="'PSUT_Data&amp;Method_2014'!H325" display="'PSUT_Data&amp;Method_2014'!H325"/>
    <hyperlink ref="U6" location="'PSUT_Data&amp;Method_2014'!H326" display="'PSUT_Data&amp;Method_2014'!H326"/>
    <hyperlink ref="U7:U23" location="'PSUT_Data&amp;Method_2012'!H326" display="'PSUT_Data&amp;Method_2012'!H326"/>
    <hyperlink ref="U7" location="'PSUT_Data&amp;Method_2014'!H327" display="'PSUT_Data&amp;Method_2014'!H327"/>
    <hyperlink ref="U8" location="'PSUT_Data&amp;Method_2014'!H328" display="'PSUT_Data&amp;Method_2014'!H328"/>
    <hyperlink ref="U9" location="'PSUT_Data&amp;Method_2014'!H329" display="'PSUT_Data&amp;Method_2014'!H329"/>
    <hyperlink ref="U10" location="'PSUT_Data&amp;Method_2014'!H330" display="'PSUT_Data&amp;Method_2014'!H330"/>
    <hyperlink ref="U11" location="'PSUT_Data&amp;Method_2014'!H331" display="'PSUT_Data&amp;Method_2014'!H331"/>
    <hyperlink ref="U12" location="'PSUT_Data&amp;Method_2014'!H332" display="'PSUT_Data&amp;Method_2014'!H332"/>
    <hyperlink ref="U13" location="'PSUT_Data&amp;Method_2014'!H333" display="'PSUT_Data&amp;Method_2014'!H333"/>
    <hyperlink ref="U14" location="'PSUT_Data&amp;Method_2014'!H334" display="'PSUT_Data&amp;Method_2014'!H334"/>
    <hyperlink ref="U15" location="'PSUT_Data&amp;Method_2014'!H335" display="'PSUT_Data&amp;Method_2014'!H335"/>
    <hyperlink ref="U16" location="'PSUT_Data&amp;Method_2014'!H336" display="'PSUT_Data&amp;Method_2014'!H336"/>
    <hyperlink ref="U17" location="'PSUT_Data&amp;Method_2014'!H337" display="'PSUT_Data&amp;Method_2014'!H337"/>
    <hyperlink ref="U18" location="'PSUT_Data&amp;Method_2014'!H338" display="'PSUT_Data&amp;Method_2014'!H338"/>
    <hyperlink ref="U19" location="'PSUT_Data&amp;Method_2014'!H339" display="'PSUT_Data&amp;Method_2014'!H339"/>
    <hyperlink ref="U20" location="'PSUT_Data&amp;Method_2014'!H340" display="'PSUT_Data&amp;Method_2014'!H340"/>
    <hyperlink ref="U21" location="'PSUT_Data&amp;Method_2014'!H341" display="'PSUT_Data&amp;Method_2014'!H341"/>
    <hyperlink ref="U22" location="'PSUT_Data&amp;Method_2014'!H342" display="'PSUT_Data&amp;Method_2014'!H342"/>
    <hyperlink ref="U23" location="'PSUT_Data&amp;Method_2014'!H343" display="'PSUT_Data&amp;Method_2014'!H343"/>
    <hyperlink ref="V6" location="'PSUT_Data&amp;Method_2014'!H344" display="'PSUT_Data&amp;Method_2014'!H344"/>
    <hyperlink ref="V7:V23" location="'PSUT_Data&amp;Method_2012'!H344" display="'PSUT_Data&amp;Method_2012'!H344"/>
    <hyperlink ref="V7" location="'PSUT_Data&amp;Method_2014'!H345" display="'PSUT_Data&amp;Method_2014'!H345"/>
    <hyperlink ref="V8" location="'PSUT_Data&amp;Method_2014'!H346" display="'PSUT_Data&amp;Method_2014'!H346"/>
    <hyperlink ref="V9" location="'PSUT_Data&amp;Method_2014'!H347" display="'PSUT_Data&amp;Method_2014'!H347"/>
    <hyperlink ref="V10" location="'PSUT_Data&amp;Method_2014'!H348" display="'PSUT_Data&amp;Method_2014'!H348"/>
    <hyperlink ref="V11" location="'PSUT_Data&amp;Method_2014'!H349" display="'PSUT_Data&amp;Method_2014'!H349"/>
    <hyperlink ref="V12" location="'PSUT_Data&amp;Method_2014'!H350" display="'PSUT_Data&amp;Method_2014'!H350"/>
    <hyperlink ref="V13" location="'PSUT_Data&amp;Method_2014'!H351" display="'PSUT_Data&amp;Method_2014'!H351"/>
    <hyperlink ref="V14" location="'PSUT_Data&amp;Method_2014'!H352" display="'PSUT_Data&amp;Method_2014'!H352"/>
    <hyperlink ref="V15" location="'PSUT_Data&amp;Method_2014'!H353" display="'PSUT_Data&amp;Method_2014'!H353"/>
    <hyperlink ref="V16" location="'PSUT_Data&amp;Method_2014'!H354" display="'PSUT_Data&amp;Method_2014'!H354"/>
    <hyperlink ref="V17" location="'PSUT_Data&amp;Method_2014'!H355" display="'PSUT_Data&amp;Method_2014'!H355"/>
    <hyperlink ref="V18" location="'PSUT_Data&amp;Method_2014'!H356" display="'PSUT_Data&amp;Method_2014'!H356"/>
    <hyperlink ref="V19" location="'PSUT_Data&amp;Method_2014'!H357" display="'PSUT_Data&amp;Method_2014'!H357"/>
    <hyperlink ref="V20" location="'PSUT_Data&amp;Method_2014'!H358" display="'PSUT_Data&amp;Method_2014'!H358"/>
    <hyperlink ref="V21" location="'PSUT_Data&amp;Method_2014'!H359" display="'PSUT_Data&amp;Method_2014'!H359"/>
    <hyperlink ref="V22" location="'PSUT_Data&amp;Method_2014'!H360" display="'PSUT_Data&amp;Method_2014'!H360"/>
    <hyperlink ref="V23" location="'PSUT_Data&amp;Method_2014'!H361" display="'PSUT_Data&amp;Method_2014'!H361"/>
    <hyperlink ref="X6" location="'PSUT_Data&amp;Method_2014'!H365" display="'PSUT_Data&amp;Method_2014'!H365"/>
    <hyperlink ref="X7:X23" location="'PSUT_Data&amp;Method_2012'!H365" display="'PSUT_Data&amp;Method_2012'!H365"/>
    <hyperlink ref="X7" location="'PSUT_Data&amp;Method_2014'!H366" display="'PSUT_Data&amp;Method_2014'!H366"/>
    <hyperlink ref="X8" location="'PSUT_Data&amp;Method_2014'!H367" display="'PSUT_Data&amp;Method_2014'!H367"/>
    <hyperlink ref="X9" location="'PSUT_Data&amp;Method_2014'!H368" display="'PSUT_Data&amp;Method_2014'!H368"/>
    <hyperlink ref="X10" location="'PSUT_Data&amp;Method_2014'!H369" display="'PSUT_Data&amp;Method_2014'!H369"/>
    <hyperlink ref="X11" location="'PSUT_Data&amp;Method_2014'!H370" display="'PSUT_Data&amp;Method_2014'!H370"/>
    <hyperlink ref="X12" location="'PSUT_Data&amp;Method_2014'!H371" display="'PSUT_Data&amp;Method_2014'!H371"/>
    <hyperlink ref="X13" location="'PSUT_Data&amp;Method_2014'!H372" display="'PSUT_Data&amp;Method_2014'!H372"/>
    <hyperlink ref="X14" location="'PSUT_Data&amp;Method_2014'!H373" display="'PSUT_Data&amp;Method_2014'!H373"/>
    <hyperlink ref="X15" location="'PSUT_Data&amp;Method_2014'!H374" display="'PSUT_Data&amp;Method_2014'!H374"/>
    <hyperlink ref="X16" location="'PSUT_Data&amp;Method_2014'!H375" display="'PSUT_Data&amp;Method_2014'!H375"/>
    <hyperlink ref="X17" location="'PSUT_Data&amp;Method_2014'!H376" display="'PSUT_Data&amp;Method_2014'!H376"/>
    <hyperlink ref="X18" location="'PSUT_Data&amp;Method_2014'!H377" display="'PSUT_Data&amp;Method_2014'!H377"/>
    <hyperlink ref="X19" location="'PSUT_Data&amp;Method_2014'!H378" display="'PSUT_Data&amp;Method_2014'!H378"/>
    <hyperlink ref="X20" location="'PSUT_Data&amp;Method_2014'!H379" display="'PSUT_Data&amp;Method_2014'!H379"/>
    <hyperlink ref="X21" location="'PSUT_Data&amp;Method_2014'!H380" display="'PSUT_Data&amp;Method_2014'!H380"/>
    <hyperlink ref="X22" location="'PSUT_Data&amp;Method_2014'!H381" display="'PSUT_Data&amp;Method_2014'!H381"/>
    <hyperlink ref="X23" location="'PSUT_Data&amp;Method_2014'!H382" display="'PSUT_Data&amp;Method_2014'!H382"/>
    <hyperlink ref="Y6" location="'PSUT_Data&amp;Method_2014'!H383" display="'PSUT_Data&amp;Method_2014'!H383"/>
    <hyperlink ref="Y7:Y23" location="'PSUT_Data&amp;Method_2012'!H383" display="'PSUT_Data&amp;Method_2012'!H383"/>
    <hyperlink ref="Y7" location="'PSUT_Data&amp;Method_2014'!H384" display="'PSUT_Data&amp;Method_2014'!H384"/>
    <hyperlink ref="Y8" location="'PSUT_Data&amp;Method_2014'!H385" display="'PSUT_Data&amp;Method_2014'!H385"/>
    <hyperlink ref="Y9" location="'PSUT_Data&amp;Method_2014'!H386" display="'PSUT_Data&amp;Method_2014'!H386"/>
    <hyperlink ref="Y10" location="'PSUT_Data&amp;Method_2014'!H387" display="'PSUT_Data&amp;Method_2014'!H387"/>
    <hyperlink ref="Y11" location="'PSUT_Data&amp;Method_2014'!H388" display="'PSUT_Data&amp;Method_2014'!H388"/>
    <hyperlink ref="Y12" location="'PSUT_Data&amp;Method_2014'!H389" display="'PSUT_Data&amp;Method_2014'!H389"/>
    <hyperlink ref="Y13" location="'PSUT_Data&amp;Method_2014'!H390" display="'PSUT_Data&amp;Method_2014'!H390"/>
    <hyperlink ref="Y14" location="'PSUT_Data&amp;Method_2014'!H391" display="'PSUT_Data&amp;Method_2014'!H391"/>
    <hyperlink ref="Y15" location="'PSUT_Data&amp;Method_2014'!H392" display="'PSUT_Data&amp;Method_2014'!H392"/>
    <hyperlink ref="Y16" location="'PSUT_Data&amp;Method_2014'!H393" display="'PSUT_Data&amp;Method_2014'!H393"/>
    <hyperlink ref="Y17" location="'PSUT_Data&amp;Method_2014'!H394" display="'PSUT_Data&amp;Method_2014'!H394"/>
    <hyperlink ref="Y18" location="'PSUT_Data&amp;Method_2014'!H395" display="'PSUT_Data&amp;Method_2014'!H395"/>
    <hyperlink ref="Y19" location="'PSUT_Data&amp;Method_2014'!H396" display="'PSUT_Data&amp;Method_2014'!H396"/>
    <hyperlink ref="Y20" location="'PSUT_Data&amp;Method_2014'!H397" display="'PSUT_Data&amp;Method_2014'!H397"/>
    <hyperlink ref="Y21" location="'PSUT_Data&amp;Method_2014'!H398" display="'PSUT_Data&amp;Method_2014'!H398"/>
    <hyperlink ref="Y22" location="'PSUT_Data&amp;Method_2014'!H399" display="'PSUT_Data&amp;Method_2014'!H399"/>
    <hyperlink ref="Y23" location="'PSUT_Data&amp;Method_2014'!H400" display="'PSUT_Data&amp;Method_2014'!H400"/>
    <hyperlink ref="C36:C43" location="'PSUT_Data&amp;Method_2012'!H405" display="'PSUT_Data&amp;Method_2012'!H405"/>
    <hyperlink ref="C36" location="'PSUT_Data&amp;Method_2014'!H406" display="'PSUT_Data&amp;Method_2014'!H406"/>
    <hyperlink ref="C37" location="'PSUT_Data&amp;Method_2014'!H407" display="'PSUT_Data&amp;Method_2014'!H407"/>
    <hyperlink ref="C38" location="'PSUT_Data&amp;Method_2014'!H408" display="'PSUT_Data&amp;Method_2014'!H408"/>
    <hyperlink ref="C39" location="'PSUT_Data&amp;Method_2014'!H409" display="'PSUT_Data&amp;Method_2014'!H409"/>
    <hyperlink ref="C40" location="'PSUT_Data&amp;Method_2014'!H410" display="'PSUT_Data&amp;Method_2014'!H410"/>
    <hyperlink ref="C41" location="'PSUT_Data&amp;Method_2014'!H411" display="'PSUT_Data&amp;Method_2014'!H411"/>
    <hyperlink ref="C42" location="'PSUT_Data&amp;Method_2014'!H412" display="'PSUT_Data&amp;Method_2014'!H412"/>
    <hyperlink ref="C43" location="'PSUT_Data&amp;Method_2014'!H413" display="'PSUT_Data&amp;Method_2014'!H413"/>
    <hyperlink ref="D35" location="'PSUT_Data&amp;Method_2014'!H414" display="'PSUT_Data&amp;Method_2014'!H414"/>
    <hyperlink ref="D36:D43" location="'PSUT_Data&amp;Method_2012'!H414" display="'PSUT_Data&amp;Method_2012'!H414"/>
    <hyperlink ref="D36" location="'PSUT_Data&amp;Method_2014'!H415" display="'PSUT_Data&amp;Method_2014'!H415"/>
    <hyperlink ref="D37" location="'PSUT_Data&amp;Method_2014'!H416" display="'PSUT_Data&amp;Method_2014'!H416"/>
    <hyperlink ref="D38" location="'PSUT_Data&amp;Method_2014'!H417" display="'PSUT_Data&amp;Method_2014'!H417"/>
    <hyperlink ref="D39" location="'PSUT_Data&amp;Method_2014'!H418" display="'PSUT_Data&amp;Method_2014'!H418"/>
    <hyperlink ref="D40" location="'PSUT_Data&amp;Method_2014'!H419" display="'PSUT_Data&amp;Method_2014'!H419"/>
    <hyperlink ref="D41" location="'PSUT_Data&amp;Method_2014'!H420" display="'PSUT_Data&amp;Method_2014'!H420"/>
    <hyperlink ref="D42" location="'PSUT_Data&amp;Method_2014'!H421" display="'PSUT_Data&amp;Method_2014'!H421"/>
    <hyperlink ref="D43" location="'PSUT_Data&amp;Method_2014'!H422" display="'PSUT_Data&amp;Method_2014'!H422"/>
    <hyperlink ref="E35" location="'PSUT_Data&amp;Method_2014'!H423" display="'PSUT_Data&amp;Method_2014'!H423"/>
    <hyperlink ref="E36:E43" location="'PSUT_Data&amp;Method_2012'!H423" display="'PSUT_Data&amp;Method_2012'!H423"/>
    <hyperlink ref="E36" location="'PSUT_Data&amp;Method_2014'!H424" display="'PSUT_Data&amp;Method_2014'!H424"/>
    <hyperlink ref="E37" location="'PSUT_Data&amp;Method_2014'!H425" display="'PSUT_Data&amp;Method_2014'!H425"/>
    <hyperlink ref="E38" location="'PSUT_Data&amp;Method_2014'!H426" display="'PSUT_Data&amp;Method_2014'!H426"/>
    <hyperlink ref="E39" location="'PSUT_Data&amp;Method_2014'!H427" display="'PSUT_Data&amp;Method_2014'!H427"/>
    <hyperlink ref="E40" location="'PSUT_Data&amp;Method_2014'!H428" display="'PSUT_Data&amp;Method_2014'!H428"/>
    <hyperlink ref="E41" location="'PSUT_Data&amp;Method_2014'!H429" display="'PSUT_Data&amp;Method_2014'!H429"/>
    <hyperlink ref="E42" location="'PSUT_Data&amp;Method_2014'!H430" display="'PSUT_Data&amp;Method_2014'!H430"/>
    <hyperlink ref="E43" location="'PSUT_Data&amp;Method_2014'!H431" display="'PSUT_Data&amp;Method_2014'!H431"/>
    <hyperlink ref="F35" location="'PSUT_Data&amp;Method_2014'!H432" display="'PSUT_Data&amp;Method_2014'!H432"/>
    <hyperlink ref="F36:F43" location="'PSUT_Data&amp;Method_2012'!H432" display="'PSUT_Data&amp;Method_2012'!H432"/>
    <hyperlink ref="F36" location="'PSUT_Data&amp;Method_2014'!H433" display="'PSUT_Data&amp;Method_2014'!H433"/>
    <hyperlink ref="F37" location="'PSUT_Data&amp;Method_2014'!H434" display="'PSUT_Data&amp;Method_2014'!H434"/>
    <hyperlink ref="F38" location="'PSUT_Data&amp;Method_2014'!H435" display="'PSUT_Data&amp;Method_2014'!H435"/>
    <hyperlink ref="F39" location="'PSUT_Data&amp;Method_2014'!H436" display="'PSUT_Data&amp;Method_2014'!H436"/>
    <hyperlink ref="F40" location="'PSUT_Data&amp;Method_2014'!H437" display="'PSUT_Data&amp;Method_2014'!H437"/>
    <hyperlink ref="F41" location="'PSUT_Data&amp;Method_2014'!H438" display="'PSUT_Data&amp;Method_2014'!H438"/>
    <hyperlink ref="F42" location="'PSUT_Data&amp;Method_2014'!H439" display="'PSUT_Data&amp;Method_2014'!H439"/>
    <hyperlink ref="F43" location="'PSUT_Data&amp;Method_2014'!H440" display="'PSUT_Data&amp;Method_2014'!H440"/>
    <hyperlink ref="G35" location="'PSUT_Data&amp;Method_2014'!H441" display="'PSUT_Data&amp;Method_2014'!H441"/>
    <hyperlink ref="G36:G43" location="'PSUT_Data&amp;Method_2012'!H441" display="'PSUT_Data&amp;Method_2012'!H441"/>
    <hyperlink ref="G36" location="'PSUT_Data&amp;Method_2014'!H442" display="'PSUT_Data&amp;Method_2014'!H442"/>
    <hyperlink ref="G37" location="'PSUT_Data&amp;Method_2014'!H443" display="'PSUT_Data&amp;Method_2014'!H443"/>
    <hyperlink ref="G38" location="'PSUT_Data&amp;Method_2014'!H444" display="'PSUT_Data&amp;Method_2014'!H444"/>
    <hyperlink ref="G39" location="'PSUT_Data&amp;Method_2014'!H445" display="'PSUT_Data&amp;Method_2014'!H445"/>
    <hyperlink ref="G40" location="'PSUT_Data&amp;Method_2014'!H446" display="'PSUT_Data&amp;Method_2014'!H446"/>
    <hyperlink ref="G41" location="'PSUT_Data&amp;Method_2014'!H447" display="'PSUT_Data&amp;Method_2014'!H447"/>
    <hyperlink ref="G42" location="'PSUT_Data&amp;Method_2014'!H448" display="'PSUT_Data&amp;Method_2014'!H448"/>
    <hyperlink ref="G43" location="'PSUT_Data&amp;Method_2014'!H449" display="'PSUT_Data&amp;Method_2014'!H449"/>
    <hyperlink ref="H35" location="'PSUT_Data&amp;Method_2014'!H450" display="'PSUT_Data&amp;Method_2014'!H450"/>
    <hyperlink ref="H36:H43" location="'PSUT_Data&amp;Method_2012'!H450" display="'PSUT_Data&amp;Method_2012'!H450"/>
    <hyperlink ref="H36" location="'PSUT_Data&amp;Method_2014'!H451" display="'PSUT_Data&amp;Method_2014'!H451"/>
    <hyperlink ref="H37" location="'PSUT_Data&amp;Method_2014'!H452" display="'PSUT_Data&amp;Method_2014'!H452"/>
    <hyperlink ref="H38" location="'PSUT_Data&amp;Method_2014'!H453" display="'PSUT_Data&amp;Method_2014'!H453"/>
    <hyperlink ref="H39" location="'PSUT_Data&amp;Method_2014'!H454" display="'PSUT_Data&amp;Method_2014'!H454"/>
    <hyperlink ref="H40" location="'PSUT_Data&amp;Method_2014'!H455" display="'PSUT_Data&amp;Method_2014'!H455"/>
    <hyperlink ref="H41" location="'PSUT_Data&amp;Method_2014'!H456" display="'PSUT_Data&amp;Method_2014'!H456"/>
    <hyperlink ref="H42" location="'PSUT_Data&amp;Method_2014'!H457" display="'PSUT_Data&amp;Method_2014'!H457"/>
    <hyperlink ref="H43" location="'PSUT_Data&amp;Method_2014'!H458" display="'PSUT_Data&amp;Method_2014'!H458"/>
    <hyperlink ref="I35" location="'PSUT_Data&amp;Method_2014'!H459" display="'PSUT_Data&amp;Method_2014'!H459"/>
    <hyperlink ref="I36:I43" location="'PSUT_Data&amp;Method_2012'!H459" display="'PSUT_Data&amp;Method_2012'!H459"/>
    <hyperlink ref="I36" location="'PSUT_Data&amp;Method_2014'!H460" display="'PSUT_Data&amp;Method_2014'!H460"/>
    <hyperlink ref="I37" location="'PSUT_Data&amp;Method_2014'!H461" display="'PSUT_Data&amp;Method_2014'!H461"/>
    <hyperlink ref="I38" location="'PSUT_Data&amp;Method_2014'!H462" display="'PSUT_Data&amp;Method_2014'!H462"/>
    <hyperlink ref="I39" location="'PSUT_Data&amp;Method_2014'!H463" display="'PSUT_Data&amp;Method_2014'!H463"/>
    <hyperlink ref="I40" location="'PSUT_Data&amp;Method_2014'!H464" display="'PSUT_Data&amp;Method_2014'!H464"/>
    <hyperlink ref="I41" location="'PSUT_Data&amp;Method_2014'!H465" display="'PSUT_Data&amp;Method_2014'!H465"/>
    <hyperlink ref="I42" location="'PSUT_Data&amp;Method_2014'!H466" display="'PSUT_Data&amp;Method_2014'!H466"/>
    <hyperlink ref="I43" location="'PSUT_Data&amp;Method_2014'!H467" display="'PSUT_Data&amp;Method_2014'!H467"/>
    <hyperlink ref="J35" location="'PSUT_Data&amp;Method_2014'!H468" display="'PSUT_Data&amp;Method_2014'!H468"/>
    <hyperlink ref="J36:J43" location="'PSUT_Data&amp;Method_2012'!H468" display="'PSUT_Data&amp;Method_2012'!H468"/>
    <hyperlink ref="J36" location="'PSUT_Data&amp;Method_2014'!H469" display="'PSUT_Data&amp;Method_2014'!H469"/>
    <hyperlink ref="J37" location="'PSUT_Data&amp;Method_2014'!H470" display="'PSUT_Data&amp;Method_2014'!H470"/>
    <hyperlink ref="J38" location="'PSUT_Data&amp;Method_2014'!H471" display="'PSUT_Data&amp;Method_2014'!H471"/>
    <hyperlink ref="J39" location="'PSUT_Data&amp;Method_2014'!H472" display="'PSUT_Data&amp;Method_2014'!H472"/>
    <hyperlink ref="J40" location="'PSUT_Data&amp;Method_2014'!H473" display="'PSUT_Data&amp;Method_2014'!H473"/>
    <hyperlink ref="J41" location="'PSUT_Data&amp;Method_2014'!H474" display="'PSUT_Data&amp;Method_2014'!H474"/>
    <hyperlink ref="J42" location="'PSUT_Data&amp;Method_2014'!H475" display="'PSUT_Data&amp;Method_2014'!H475"/>
    <hyperlink ref="J43" location="'PSUT_Data&amp;Method_2014'!H476" display="'PSUT_Data&amp;Method_2014'!H476"/>
    <hyperlink ref="K35" location="'PSUT_Data&amp;Method_2014'!H477" display="'PSUT_Data&amp;Method_2014'!H477"/>
    <hyperlink ref="K36:K43" location="'PSUT_Data&amp;Method_2012'!H477" display="'PSUT_Data&amp;Method_2012'!H477"/>
    <hyperlink ref="K36" location="'PSUT_Data&amp;Method_2014'!H478" display="'PSUT_Data&amp;Method_2014'!H478"/>
    <hyperlink ref="K37" location="'PSUT_Data&amp;Method_2014'!H479" display="'PSUT_Data&amp;Method_2014'!H479"/>
    <hyperlink ref="K38" location="'PSUT_Data&amp;Method_2014'!H480" display="'PSUT_Data&amp;Method_2014'!H480"/>
    <hyperlink ref="K39" location="'PSUT_Data&amp;Method_2014'!H481" display="'PSUT_Data&amp;Method_2014'!H481"/>
    <hyperlink ref="K40" location="'PSUT_Data&amp;Method_2014'!H482" display="'PSUT_Data&amp;Method_2014'!H482"/>
    <hyperlink ref="K41" location="'PSUT_Data&amp;Method_2014'!H483" display="'PSUT_Data&amp;Method_2014'!H483"/>
    <hyperlink ref="K42" location="'PSUT_Data&amp;Method_2014'!H484" display="'PSUT_Data&amp;Method_2014'!H484"/>
    <hyperlink ref="K43" location="'PSUT_Data&amp;Method_2014'!H485" display="'PSUT_Data&amp;Method_2014'!H485"/>
    <hyperlink ref="L35" location="'PSUT_Data&amp;Method_2014'!H486" display="'PSUT_Data&amp;Method_2014'!H486"/>
    <hyperlink ref="L36:L43" location="'PSUT_Data&amp;Method_2012'!H486" display="'PSUT_Data&amp;Method_2012'!H486"/>
    <hyperlink ref="L36" location="'PSUT_Data&amp;Method_2014'!H487" display="'PSUT_Data&amp;Method_2014'!H487"/>
    <hyperlink ref="L37" location="'PSUT_Data&amp;Method_2014'!H488" display="'PSUT_Data&amp;Method_2014'!H488"/>
    <hyperlink ref="L38" location="'PSUT_Data&amp;Method_2014'!H489" display="'PSUT_Data&amp;Method_2014'!H489"/>
    <hyperlink ref="L39" location="'PSUT_Data&amp;Method_2014'!H490" display="'PSUT_Data&amp;Method_2014'!H490"/>
    <hyperlink ref="L40" location="'PSUT_Data&amp;Method_2014'!H491" display="'PSUT_Data&amp;Method_2014'!H491"/>
    <hyperlink ref="L41" location="'PSUT_Data&amp;Method_2014'!H492" display="'PSUT_Data&amp;Method_2014'!H492"/>
    <hyperlink ref="L42" location="'PSUT_Data&amp;Method_2014'!H493" display="'PSUT_Data&amp;Method_2014'!H493"/>
    <hyperlink ref="L43" location="'PSUT_Data&amp;Method_2014'!H494" display="'PSUT_Data&amp;Method_2014'!H494"/>
    <hyperlink ref="M35" location="'PSUT_Data&amp;Method_2014'!H495" display="'PSUT_Data&amp;Method_2014'!H495"/>
    <hyperlink ref="M36:M43" location="'PSUT_Data&amp;Method_2012'!H495" display="'PSUT_Data&amp;Method_2012'!H495"/>
    <hyperlink ref="M36" location="'PSUT_Data&amp;Method_2014'!H496" display="'PSUT_Data&amp;Method_2014'!H496"/>
    <hyperlink ref="M37" location="'PSUT_Data&amp;Method_2014'!H497" display="'PSUT_Data&amp;Method_2014'!H497"/>
    <hyperlink ref="M38" location="'PSUT_Data&amp;Method_2014'!H498" display="'PSUT_Data&amp;Method_2014'!H498"/>
    <hyperlink ref="M39" location="'PSUT_Data&amp;Method_2014'!H499" display="'PSUT_Data&amp;Method_2014'!H499"/>
    <hyperlink ref="M40" location="'PSUT_Data&amp;Method_2014'!H500" display="'PSUT_Data&amp;Method_2014'!H500"/>
    <hyperlink ref="M41" location="'PSUT_Data&amp;Method_2014'!H501" display="'PSUT_Data&amp;Method_2014'!H501"/>
    <hyperlink ref="M42" location="'PSUT_Data&amp;Method_2014'!H502" display="'PSUT_Data&amp;Method_2014'!H502"/>
    <hyperlink ref="M43" location="'PSUT_Data&amp;Method_2014'!H503" display="'PSUT_Data&amp;Method_2014'!H503"/>
    <hyperlink ref="N35" location="'PSUT_Data&amp;Method_2014'!H504" display="'PSUT_Data&amp;Method_2014'!H504"/>
    <hyperlink ref="N36:N43" location="'PSUT_Data&amp;Method_2012'!H504" display="'PSUT_Data&amp;Method_2012'!H504"/>
    <hyperlink ref="N36" location="'PSUT_Data&amp;Method_2014'!H505" display="'PSUT_Data&amp;Method_2014'!H505"/>
    <hyperlink ref="N37" location="'PSUT_Data&amp;Method_2014'!H506" display="'PSUT_Data&amp;Method_2014'!H506"/>
    <hyperlink ref="N38" location="'PSUT_Data&amp;Method_2014'!H507" display="'PSUT_Data&amp;Method_2014'!H507"/>
    <hyperlink ref="N39" location="'PSUT_Data&amp;Method_2014'!H508" display="'PSUT_Data&amp;Method_2014'!H508"/>
    <hyperlink ref="N40" location="'PSUT_Data&amp;Method_2014'!H509" display="'PSUT_Data&amp;Method_2014'!H509"/>
    <hyperlink ref="N41" location="'PSUT_Data&amp;Method_2014'!H510" display="'PSUT_Data&amp;Method_2014'!H510"/>
    <hyperlink ref="N42" location="'PSUT_Data&amp;Method_2014'!H511" display="'PSUT_Data&amp;Method_2014'!H511"/>
    <hyperlink ref="N43" location="'PSUT_Data&amp;Method_2014'!H512" display="'PSUT_Data&amp;Method_2014'!H512"/>
    <hyperlink ref="O35" location="'PSUT_Data&amp;Method_2014'!H513" display="'PSUT_Data&amp;Method_2014'!H513"/>
    <hyperlink ref="O36:O43" location="'PSUT_Data&amp;Method_2012'!H513" display="'PSUT_Data&amp;Method_2012'!H513"/>
    <hyperlink ref="O36" location="'PSUT_Data&amp;Method_2014'!H514" display="'PSUT_Data&amp;Method_2014'!H514"/>
    <hyperlink ref="O37" location="'PSUT_Data&amp;Method_2014'!H515" display="'PSUT_Data&amp;Method_2014'!H515"/>
    <hyperlink ref="O38" location="'PSUT_Data&amp;Method_2014'!H516" display="'PSUT_Data&amp;Method_2014'!H516"/>
    <hyperlink ref="O39" location="'PSUT_Data&amp;Method_2014'!H517" display="'PSUT_Data&amp;Method_2014'!H517"/>
    <hyperlink ref="O40" location="'PSUT_Data&amp;Method_2014'!H518" display="'PSUT_Data&amp;Method_2014'!H518"/>
    <hyperlink ref="O41" location="'PSUT_Data&amp;Method_2014'!H519" display="'PSUT_Data&amp;Method_2014'!H519"/>
    <hyperlink ref="O42" location="'PSUT_Data&amp;Method_2014'!H520" display="'PSUT_Data&amp;Method_2014'!H520"/>
    <hyperlink ref="O43" location="'PSUT_Data&amp;Method_2014'!H521" display="'PSUT_Data&amp;Method_2014'!H521"/>
    <hyperlink ref="P35" location="'PSUT_Data&amp;Method_2014'!H522" display="'PSUT_Data&amp;Method_2014'!H522"/>
    <hyperlink ref="P36:P43" location="'PSUT_Data&amp;Method_2012'!H522" display="'PSUT_Data&amp;Method_2012'!H522"/>
    <hyperlink ref="P36" location="'PSUT_Data&amp;Method_2014'!H523" display="'PSUT_Data&amp;Method_2014'!H523"/>
    <hyperlink ref="P37" location="'PSUT_Data&amp;Method_2014'!H524" display="'PSUT_Data&amp;Method_2014'!H524"/>
    <hyperlink ref="P38" location="'PSUT_Data&amp;Method_2014'!H525" display="'PSUT_Data&amp;Method_2014'!H525"/>
    <hyperlink ref="P39" location="'PSUT_Data&amp;Method_2014'!H526" display="'PSUT_Data&amp;Method_2014'!H526"/>
    <hyperlink ref="P40" location="'PSUT_Data&amp;Method_2014'!H527" display="'PSUT_Data&amp;Method_2014'!H527"/>
    <hyperlink ref="P41" location="'PSUT_Data&amp;Method_2014'!H528" display="'PSUT_Data&amp;Method_2014'!H528"/>
    <hyperlink ref="P42" location="'PSUT_Data&amp;Method_2014'!H529" display="'PSUT_Data&amp;Method_2014'!H529"/>
    <hyperlink ref="P43" location="'PSUT_Data&amp;Method_2014'!H530" display="'PSUT_Data&amp;Method_2014'!H530"/>
    <hyperlink ref="Q35" location="'PSUT_Data&amp;Method_2014'!H531" display="'PSUT_Data&amp;Method_2014'!H531"/>
    <hyperlink ref="Q36:Q43" location="'PSUT_Data&amp;Method_2012'!H531" display="'PSUT_Data&amp;Method_2012'!H531"/>
    <hyperlink ref="Q36" location="'PSUT_Data&amp;Method_2014'!H532" display="'PSUT_Data&amp;Method_2014'!H532"/>
    <hyperlink ref="Q37" location="'PSUT_Data&amp;Method_2014'!H533" display="'PSUT_Data&amp;Method_2014'!H533"/>
    <hyperlink ref="Q38" location="'PSUT_Data&amp;Method_2014'!H534" display="'PSUT_Data&amp;Method_2014'!H534"/>
    <hyperlink ref="Q39" location="'PSUT_Data&amp;Method_2014'!H535" display="'PSUT_Data&amp;Method_2014'!H535"/>
    <hyperlink ref="Q40" location="'PSUT_Data&amp;Method_2014'!H536" display="'PSUT_Data&amp;Method_2014'!H536"/>
    <hyperlink ref="Q41" location="'PSUT_Data&amp;Method_2014'!H537" display="'PSUT_Data&amp;Method_2014'!H537"/>
    <hyperlink ref="Q42" location="'PSUT_Data&amp;Method_2014'!H538" display="'PSUT_Data&amp;Method_2014'!H538"/>
    <hyperlink ref="Q43" location="'PSUT_Data&amp;Method_2014'!H539" display="'PSUT_Data&amp;Method_2014'!H539"/>
    <hyperlink ref="R35" location="'PSUT_Data&amp;Method_2014'!H540" display="'PSUT_Data&amp;Method_2014'!H540"/>
    <hyperlink ref="R36:R43" location="'PSUT_Data&amp;Method_2012'!H541" display="'PSUT_Data&amp;Method_2012'!H541"/>
    <hyperlink ref="R36" location="'PSUT_Data&amp;Method_2014'!H541" display="'PSUT_Data&amp;Method_2014'!H541"/>
    <hyperlink ref="R37" location="'PSUT_Data&amp;Method_2014'!H542" display="'PSUT_Data&amp;Method_2014'!H542"/>
    <hyperlink ref="R38" location="'PSUT_Data&amp;Method_2014'!H543" display="'PSUT_Data&amp;Method_2014'!H543"/>
    <hyperlink ref="R39" location="'PSUT_Data&amp;Method_2014'!H544" display="'PSUT_Data&amp;Method_2014'!H544"/>
    <hyperlink ref="R40" location="'PSUT_Data&amp;Method_2014'!H545" display="'PSUT_Data&amp;Method_2014'!H545"/>
    <hyperlink ref="R41" location="'PSUT_Data&amp;Method_2014'!H546" display="'PSUT_Data&amp;Method_2014'!H546"/>
    <hyperlink ref="R42" location="'PSUT_Data&amp;Method_2014'!H547" display="'PSUT_Data&amp;Method_2014'!H547"/>
    <hyperlink ref="R43" location="'PSUT_Data&amp;Method_2014'!H548" display="'PSUT_Data&amp;Method_2014'!H548"/>
    <hyperlink ref="S35" location="'PSUT_Data&amp;Method_2014'!H549" display="'PSUT_Data&amp;Method_2014'!H549"/>
    <hyperlink ref="S36:S43" location="'PSUT_Data&amp;Method_2012'!H549" display="'PSUT_Data&amp;Method_2012'!H549"/>
    <hyperlink ref="S36" location="'PSUT_Data&amp;Method_2014'!H550" display="'PSUT_Data&amp;Method_2014'!H550"/>
    <hyperlink ref="S37" location="'PSUT_Data&amp;Method_2014'!H551" display="'PSUT_Data&amp;Method_2014'!H551"/>
    <hyperlink ref="S38" location="'PSUT_Data&amp;Method_2014'!H552" display="'PSUT_Data&amp;Method_2014'!H552"/>
    <hyperlink ref="S39" location="'PSUT_Data&amp;Method_2014'!H553" display="'PSUT_Data&amp;Method_2014'!H553"/>
    <hyperlink ref="S40" location="'PSUT_Data&amp;Method_2014'!H554" display="'PSUT_Data&amp;Method_2014'!H554"/>
    <hyperlink ref="S41" location="'PSUT_Data&amp;Method_2014'!H555" display="'PSUT_Data&amp;Method_2014'!H555"/>
    <hyperlink ref="S42" location="'PSUT_Data&amp;Method_2014'!H556" display="'PSUT_Data&amp;Method_2014'!H556"/>
    <hyperlink ref="S43" location="'PSUT_Data&amp;Method_2014'!H557" display="'PSUT_Data&amp;Method_2014'!H557"/>
    <hyperlink ref="T35" location="'PSUT_Data&amp;Method_2014'!H558" display="'PSUT_Data&amp;Method_2014'!H558"/>
    <hyperlink ref="T36:T43" location="'PSUT_Data&amp;Method_2012'!H558" display="'PSUT_Data&amp;Method_2012'!H558"/>
    <hyperlink ref="T36" location="'PSUT_Data&amp;Method_2014'!H559" display="'PSUT_Data&amp;Method_2014'!H559"/>
    <hyperlink ref="T37" location="'PSUT_Data&amp;Method_2014'!H560" display="'PSUT_Data&amp;Method_2014'!H560"/>
    <hyperlink ref="T38" location="'PSUT_Data&amp;Method_2014'!H561" display="'PSUT_Data&amp;Method_2014'!H561"/>
    <hyperlink ref="T39" location="'PSUT_Data&amp;Method_2014'!H562" display="'PSUT_Data&amp;Method_2014'!H562"/>
    <hyperlink ref="T40" location="'PSUT_Data&amp;Method_2014'!H563" display="'PSUT_Data&amp;Method_2014'!H563"/>
    <hyperlink ref="T41" location="'PSUT_Data&amp;Method_2014'!H564" display="'PSUT_Data&amp;Method_2014'!H564"/>
    <hyperlink ref="T42" location="'PSUT_Data&amp;Method_2014'!H565" display="'PSUT_Data&amp;Method_2014'!H565"/>
    <hyperlink ref="T43" location="'PSUT_Data&amp;Method_2014'!H566" display="'PSUT_Data&amp;Method_2014'!H566"/>
    <hyperlink ref="U35" location="'PSUT_Data&amp;Method_2014'!H567" display="'PSUT_Data&amp;Method_2014'!H567"/>
    <hyperlink ref="U36:U43" location="'PSUT_Data&amp;Method_2012'!H567" display="'PSUT_Data&amp;Method_2012'!H567"/>
    <hyperlink ref="U36" location="'PSUT_Data&amp;Method_2014'!H568" display="'PSUT_Data&amp;Method_2014'!H568"/>
    <hyperlink ref="U37" location="'PSUT_Data&amp;Method_2014'!H569" display="'PSUT_Data&amp;Method_2014'!H569"/>
    <hyperlink ref="U38" location="'PSUT_Data&amp;Method_2014'!H570" display="'PSUT_Data&amp;Method_2014'!H570"/>
    <hyperlink ref="U39" location="'PSUT_Data&amp;Method_2014'!H571" display="'PSUT_Data&amp;Method_2014'!H571"/>
    <hyperlink ref="U40" location="'PSUT_Data&amp;Method_2014'!H572" display="'PSUT_Data&amp;Method_2014'!H572"/>
    <hyperlink ref="U41" location="'PSUT_Data&amp;Method_2014'!H573" display="'PSUT_Data&amp;Method_2014'!H573"/>
    <hyperlink ref="U42" location="'PSUT_Data&amp;Method_2014'!H574" display="'PSUT_Data&amp;Method_2014'!H574"/>
    <hyperlink ref="U43" location="'PSUT_Data&amp;Method_2014'!H575" display="'PSUT_Data&amp;Method_2014'!H575"/>
    <hyperlink ref="V35" location="'PSUT_Data&amp;Method_2014'!H576" display="'PSUT_Data&amp;Method_2014'!H576"/>
    <hyperlink ref="V36:V43" location="'PSUT_Data&amp;Method_2012'!H576" display="'PSUT_Data&amp;Method_2012'!H576"/>
    <hyperlink ref="V36" location="'PSUT_Data&amp;Method_2014'!H577" display="'PSUT_Data&amp;Method_2014'!H577"/>
    <hyperlink ref="V37" location="'PSUT_Data&amp;Method_2014'!H578" display="'PSUT_Data&amp;Method_2014'!H578"/>
    <hyperlink ref="V38" location="'PSUT_Data&amp;Method_2014'!H579" display="'PSUT_Data&amp;Method_2014'!H579"/>
    <hyperlink ref="V39" location="'PSUT_Data&amp;Method_2014'!H580" display="'PSUT_Data&amp;Method_2014'!H580"/>
    <hyperlink ref="V40" location="'PSUT_Data&amp;Method_2014'!H581" display="'PSUT_Data&amp;Method_2014'!H581"/>
    <hyperlink ref="V41" location="'PSUT_Data&amp;Method_2014'!H582" display="'PSUT_Data&amp;Method_2014'!H582"/>
    <hyperlink ref="V42" location="'PSUT_Data&amp;Method_2014'!H583" display="'PSUT_Data&amp;Method_2014'!H583"/>
    <hyperlink ref="V43" location="'PSUT_Data&amp;Method_2014'!H584" display="'PSUT_Data&amp;Method_2014'!H584"/>
    <hyperlink ref="X35" location="'PSUT_Data&amp;Method_2014'!H588" display="'PSUT_Data&amp;Method_2014'!H588"/>
    <hyperlink ref="X36:X43" location="'PSUT_Data&amp;Method_2012'!H588" display="'PSUT_Data&amp;Method_2012'!H588"/>
    <hyperlink ref="X36" location="'PSUT_Data&amp;Method_2014'!H589" display="'PSUT_Data&amp;Method_2014'!H589"/>
    <hyperlink ref="X37" location="'PSUT_Data&amp;Method_2014'!H590" display="'PSUT_Data&amp;Method_2014'!H590"/>
    <hyperlink ref="X38" location="'PSUT_Data&amp;Method_2014'!H591" display="'PSUT_Data&amp;Method_2014'!H591"/>
    <hyperlink ref="X39" location="'PSUT_Data&amp;Method_2014'!H592" display="'PSUT_Data&amp;Method_2014'!H592"/>
    <hyperlink ref="X40" location="'PSUT_Data&amp;Method_2014'!H593" display="'PSUT_Data&amp;Method_2014'!H593"/>
    <hyperlink ref="X41" location="'PSUT_Data&amp;Method_2014'!H594" display="'PSUT_Data&amp;Method_2014'!H594"/>
    <hyperlink ref="X42" location="'PSUT_Data&amp;Method_2014'!H595" display="'PSUT_Data&amp;Method_2014'!H595"/>
    <hyperlink ref="X43" location="'PSUT_Data&amp;Method_2014'!H596" display="'PSUT_Data&amp;Method_2014'!H596"/>
    <hyperlink ref="Y35" location="'PSUT_Data&amp;Method_2014'!H597" display="'PSUT_Data&amp;Method_2014'!H597"/>
    <hyperlink ref="Y36" location="'PSUT_Data&amp;Method_2014'!H598" display="'PSUT_Data&amp;Method_2014'!H598"/>
    <hyperlink ref="Y37" location="'PSUT_Data&amp;Method_2014'!H599" display="'PSUT_Data&amp;Method_2014'!H599"/>
    <hyperlink ref="Y38" location="'PSUT_Data&amp;Method_2014'!H600" display="'PSUT_Data&amp;Method_2014'!H600"/>
    <hyperlink ref="Y39:Y43" location="'PSUT_Data&amp;Method_2012'!H600" display="'PSUT_Data&amp;Method_2012'!H600"/>
    <hyperlink ref="Y39" location="'PSUT_Data&amp;Method_2014'!H601" display="'PSUT_Data&amp;Method_2014'!H601"/>
    <hyperlink ref="Y40" location="'PSUT_Data&amp;Method_2014'!H602" display="'PSUT_Data&amp;Method_2014'!H602"/>
    <hyperlink ref="Y41" location="'PSUT_Data&amp;Method_2014'!H603" display="'PSUT_Data&amp;Method_2014'!H603"/>
    <hyperlink ref="Y42" location="'PSUT_Data&amp;Method_2014'!H604" display="'PSUT_Data&amp;Method_2014'!H604"/>
    <hyperlink ref="Y43" location="'PSUT_Data&amp;Method_2014'!H605" display="'PSUT_Data&amp;Method_2014'!H605"/>
    <hyperlink ref="C16" location="'PSUT_Data&amp;Method_2014'!H12" display="'PSUT_Data&amp;Method_2014'!H12"/>
    <hyperlink ref="C15" location="'PSUT_Data&amp;Method_2014'!H11" display="'PSUT_Data&amp;Method_2014'!H11"/>
    <hyperlink ref="C11" location="'PSUT_Data&amp;Method_2014'!H7" display="'PSUT_Data&amp;Method_2014'!H7"/>
    <hyperlink ref="D11" location="'PSUT_Data&amp;Method_2014'!H25" display="'PSUT_Data&amp;Method_2014'!H25"/>
    <hyperlink ref="C17" location="'PSUT_Data&amp;Method_2014'!H13" display="'PSUT_Data&amp;Method_2014'!H13"/>
    <hyperlink ref="C6" location="'PSUT_Data&amp;Method_2014'!H2" display="'PSUT_Data&amp;Method_2014'!H2"/>
  </hyperlinks>
  <pageMargins left="0.51181102362204722" right="0.51181102362204722" top="0.74803149606299213" bottom="0.74803149606299213" header="0.31496062992125984" footer="0.31496062992125984"/>
  <pageSetup paperSize="9" scale="54" orientation="landscape" r:id="rId1"/>
  <headerFooter>
    <oddHeader>&amp;L&amp;F    &amp;&amp;&amp;A&amp;C
&amp;D&amp;RPage &amp;P of &amp;N</oddHead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2060"/>
    <pageSetUpPr fitToPage="1"/>
  </sheetPr>
  <dimension ref="A1:V42"/>
  <sheetViews>
    <sheetView zoomScale="120" zoomScaleNormal="120" workbookViewId="0">
      <pane ySplit="4" topLeftCell="A17" activePane="bottomLeft" state="frozen"/>
      <selection activeCell="B16" sqref="B16"/>
      <selection pane="bottomLeft" activeCell="N10" sqref="N10"/>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5.42578125" customWidth="1"/>
    <col min="13" max="13" width="7.85546875" customWidth="1"/>
    <col min="14" max="14" width="9.85546875" customWidth="1"/>
    <col min="15" max="15" width="12.28515625" customWidth="1"/>
    <col min="16" max="16" width="11.85546875" customWidth="1"/>
    <col min="17" max="17" width="11.140625" customWidth="1"/>
    <col min="18" max="18" width="15.28515625" customWidth="1"/>
    <col min="19" max="21" width="8.85546875" customWidth="1"/>
    <col min="22" max="16384" width="9.140625" style="2"/>
  </cols>
  <sheetData>
    <row r="1" spans="1:22" x14ac:dyDescent="0.25">
      <c r="B1" s="66" t="s">
        <v>1676</v>
      </c>
      <c r="C1" s="3"/>
      <c r="D1" s="3"/>
      <c r="E1" s="3"/>
      <c r="F1" s="3"/>
      <c r="G1" s="3"/>
      <c r="H1"/>
      <c r="J1"/>
      <c r="K1"/>
    </row>
    <row r="2" spans="1:22" customFormat="1" ht="3.75" customHeight="1" thickBot="1" x14ac:dyDescent="0.3"/>
    <row r="3" spans="1:22" s="368" customFormat="1" ht="24.75" x14ac:dyDescent="0.25">
      <c r="A3" s="364"/>
      <c r="B3" s="34" t="s">
        <v>69</v>
      </c>
      <c r="C3" s="1726" t="s">
        <v>49</v>
      </c>
      <c r="D3" s="1727"/>
      <c r="E3" s="1728"/>
      <c r="F3" s="366" t="s">
        <v>50</v>
      </c>
      <c r="G3" s="367" t="s">
        <v>51</v>
      </c>
      <c r="H3" s="363" t="s">
        <v>3</v>
      </c>
      <c r="I3" s="439"/>
      <c r="J3" s="365" t="s">
        <v>70</v>
      </c>
      <c r="K3" s="363" t="s">
        <v>71</v>
      </c>
      <c r="L3" s="440"/>
      <c r="M3" s="364"/>
      <c r="N3" s="364"/>
      <c r="O3" s="364"/>
      <c r="P3" s="364"/>
      <c r="Q3" s="364"/>
      <c r="R3" s="364"/>
      <c r="S3" s="364"/>
      <c r="T3" s="364"/>
      <c r="U3" s="364"/>
      <c r="V3" s="6"/>
    </row>
    <row r="4" spans="1:22" s="368" customFormat="1" ht="18" customHeight="1" thickBot="1" x14ac:dyDescent="0.3">
      <c r="A4" s="364"/>
      <c r="B4" s="369"/>
      <c r="C4" s="370" t="s">
        <v>52</v>
      </c>
      <c r="D4" s="370" t="s">
        <v>68</v>
      </c>
      <c r="E4" s="370" t="s">
        <v>53</v>
      </c>
      <c r="F4" s="371"/>
      <c r="G4" s="370"/>
      <c r="H4" s="372"/>
      <c r="I4" s="439"/>
      <c r="J4" s="369"/>
      <c r="K4" s="372"/>
      <c r="L4" s="440"/>
      <c r="M4" s="364"/>
      <c r="N4" s="364"/>
      <c r="O4" s="364"/>
      <c r="P4" s="364"/>
      <c r="Q4" s="364"/>
      <c r="R4" s="364"/>
      <c r="S4" s="364"/>
      <c r="T4" s="364"/>
      <c r="U4" s="364"/>
      <c r="V4" s="6"/>
    </row>
    <row r="5" spans="1:22" ht="15" customHeight="1" thickBot="1" x14ac:dyDescent="0.3">
      <c r="B5" s="43" t="s">
        <v>54</v>
      </c>
      <c r="C5" s="1067">
        <f>Asset_2014_Table!C24</f>
        <v>256806.61475408886</v>
      </c>
      <c r="D5" s="1067">
        <f>Asset_2014_Table!D24</f>
        <v>1264</v>
      </c>
      <c r="E5" s="1067">
        <f>Asset_2014_Table!E24</f>
        <v>77.39732494588236</v>
      </c>
      <c r="F5" s="1067">
        <f>Asset_2014_Table!F24</f>
        <v>3388.8607500000003</v>
      </c>
      <c r="G5" s="1067">
        <f>Asset_2014_Table!G24</f>
        <v>62127</v>
      </c>
      <c r="H5" s="388">
        <f>SUM(C5:G5)</f>
        <v>323663.87282903475</v>
      </c>
      <c r="I5" s="445"/>
      <c r="J5" s="63"/>
      <c r="K5" s="50"/>
      <c r="L5" s="439"/>
      <c r="V5" s="5"/>
    </row>
    <row r="6" spans="1:22" ht="3" customHeight="1" thickBot="1" x14ac:dyDescent="0.3">
      <c r="B6" s="1244"/>
      <c r="C6" s="1245"/>
      <c r="D6" s="1245"/>
      <c r="E6" s="1245"/>
      <c r="F6" s="1245"/>
      <c r="G6" s="1245"/>
      <c r="H6" s="1246"/>
      <c r="I6" s="445"/>
      <c r="J6" s="1247"/>
      <c r="K6" s="1248"/>
      <c r="L6" s="439"/>
      <c r="V6" s="5"/>
    </row>
    <row r="7" spans="1:22" ht="15.75" thickBot="1" x14ac:dyDescent="0.3">
      <c r="B7" s="52" t="s">
        <v>55</v>
      </c>
      <c r="C7" s="105"/>
      <c r="D7" s="105"/>
      <c r="E7" s="105"/>
      <c r="F7" s="105"/>
      <c r="G7" s="105"/>
      <c r="H7" s="106"/>
      <c r="I7" s="445"/>
      <c r="J7" s="56"/>
      <c r="K7" s="57"/>
      <c r="L7" s="439"/>
      <c r="V7" s="4"/>
    </row>
    <row r="8" spans="1:22" x14ac:dyDescent="0.25">
      <c r="B8" s="51" t="s">
        <v>56</v>
      </c>
      <c r="C8" s="1068">
        <f>'W-Assets_Data&amp;Method_2015'!F8</f>
        <v>1.0026151113806254</v>
      </c>
      <c r="D8" s="1068">
        <f>'W-Assets_Data&amp;Method_2015'!F9</f>
        <v>350.91528898321883</v>
      </c>
      <c r="E8" s="1068">
        <f>'W-Assets_Data&amp;Method_2015'!F10</f>
        <v>0</v>
      </c>
      <c r="F8" s="1068">
        <f>'W-Assets_Data&amp;Method_2015'!F11</f>
        <v>148.13638270648738</v>
      </c>
      <c r="G8" s="1068">
        <f>'W-Assets_Data&amp;Method_2015'!F12</f>
        <v>1.2532688892257815</v>
      </c>
      <c r="H8" s="389">
        <f>SUM(C8:G8)</f>
        <v>501.30755569031265</v>
      </c>
      <c r="I8" s="445"/>
      <c r="J8" s="384"/>
      <c r="K8" s="385"/>
      <c r="L8" s="439"/>
      <c r="V8" s="4"/>
    </row>
    <row r="9" spans="1:22" x14ac:dyDescent="0.25">
      <c r="B9" s="44" t="s">
        <v>48</v>
      </c>
      <c r="C9" s="1068">
        <f>'W-Assets_Data&amp;Method_2015'!F13</f>
        <v>2110.4427087490953</v>
      </c>
      <c r="D9" s="1068">
        <f>'W-Assets_Data&amp;Method_2015'!F14</f>
        <v>2623.2045059641218</v>
      </c>
      <c r="E9" s="1068">
        <f>'W-Assets_Data&amp;Method_2015'!F15</f>
        <v>106.6487429219963</v>
      </c>
      <c r="F9" s="1068">
        <f>'W-Assets_Data&amp;Method_2015'!F16</f>
        <v>27186.712042364787</v>
      </c>
      <c r="G9" s="254"/>
      <c r="H9" s="390">
        <f>SUM(C9:G9)</f>
        <v>32027.008000000002</v>
      </c>
      <c r="I9" s="445"/>
      <c r="J9" s="1072">
        <f>+(H9)</f>
        <v>32027.008000000002</v>
      </c>
      <c r="K9" s="1073">
        <f>+(H9)</f>
        <v>32027.008000000002</v>
      </c>
      <c r="L9" s="439"/>
      <c r="V9" s="4"/>
    </row>
    <row r="10" spans="1:22" x14ac:dyDescent="0.25">
      <c r="B10" s="45" t="s">
        <v>57</v>
      </c>
      <c r="C10" s="1068">
        <f>'W-Assets_Data&amp;Method_2015'!F18</f>
        <v>0</v>
      </c>
      <c r="D10" s="1069">
        <f>'W-Assets_Data&amp;Method_2015'!F19</f>
        <v>850.20267600000011</v>
      </c>
      <c r="E10" s="1068">
        <f>'W-Assets_Data&amp;Method_2015'!F20</f>
        <v>0</v>
      </c>
      <c r="F10" s="254"/>
      <c r="G10" s="1068">
        <f>'W-Assets_Data&amp;Method_2015'!F22</f>
        <v>0</v>
      </c>
      <c r="H10" s="390">
        <f>SUM(C10:G10)</f>
        <v>850.20267600000011</v>
      </c>
      <c r="I10" s="445"/>
      <c r="J10" s="386"/>
      <c r="K10" s="1073">
        <f>+(H10)</f>
        <v>850.20267600000011</v>
      </c>
      <c r="L10" s="556"/>
      <c r="M10" s="400">
        <f>+K10/K9</f>
        <v>2.6546428439397151E-2</v>
      </c>
      <c r="N10" s="400">
        <f>+H17/H10</f>
        <v>7.5738261286554609</v>
      </c>
      <c r="V10" s="4"/>
    </row>
    <row r="11" spans="1:22" x14ac:dyDescent="0.25">
      <c r="B11" s="44" t="s">
        <v>58</v>
      </c>
      <c r="C11" s="1068">
        <f>'W-Assets_Data&amp;Method_2015'!F23</f>
        <v>1636</v>
      </c>
      <c r="D11" s="1068">
        <f>'W-Assets_Data&amp;Method_2015'!F24</f>
        <v>4422.5199999999995</v>
      </c>
      <c r="E11" s="1070">
        <f>'W-Assets_Data&amp;Method_2015'!F25</f>
        <v>221.12599999999998</v>
      </c>
      <c r="F11" s="1070">
        <f>'W-Assets_Data&amp;Method_2015'!F26</f>
        <v>911.12000000000012</v>
      </c>
      <c r="G11" s="1070">
        <f>'W-Assets_Data&amp;Method_2015'!F27</f>
        <v>3644.4800000000005</v>
      </c>
      <c r="H11" s="390">
        <f>SUM(C11:G11)</f>
        <v>10835.245999999999</v>
      </c>
      <c r="I11" s="445"/>
      <c r="J11" s="386"/>
      <c r="K11" s="387"/>
      <c r="L11" s="439"/>
      <c r="V11" s="4"/>
    </row>
    <row r="12" spans="1:22" x14ac:dyDescent="0.25">
      <c r="B12" s="46" t="s">
        <v>59</v>
      </c>
      <c r="C12" s="391">
        <f>SUM(C8:C11)</f>
        <v>3747.445323860476</v>
      </c>
      <c r="D12" s="391">
        <f>SUM(D8:D11)</f>
        <v>8246.8424709473402</v>
      </c>
      <c r="E12" s="391">
        <f>SUM(E8:E11)</f>
        <v>327.77474292199628</v>
      </c>
      <c r="F12" s="391">
        <f>SUM(F8:F11)</f>
        <v>28245.968425071274</v>
      </c>
      <c r="G12" s="391">
        <f>SUM(G8:G11)</f>
        <v>3645.7332688892261</v>
      </c>
      <c r="H12" s="390">
        <f>SUM(C12:G12)</f>
        <v>44213.764231690315</v>
      </c>
      <c r="I12" s="445"/>
      <c r="J12" s="351">
        <f>SUM(J8:J11)</f>
        <v>32027.008000000002</v>
      </c>
      <c r="K12" s="352">
        <f>SUM(K8:K11)</f>
        <v>32877.210676000002</v>
      </c>
      <c r="L12" s="439"/>
      <c r="V12" s="4"/>
    </row>
    <row r="13" spans="1:22" ht="6" customHeight="1" thickBot="1" x14ac:dyDescent="0.3">
      <c r="B13" s="1249"/>
      <c r="C13" s="1250"/>
      <c r="D13" s="1250"/>
      <c r="E13" s="1250"/>
      <c r="F13" s="1250"/>
      <c r="G13" s="1250"/>
      <c r="H13" s="1251"/>
      <c r="I13" s="445"/>
      <c r="J13" s="1252"/>
      <c r="K13" s="1251"/>
      <c r="L13" s="439"/>
      <c r="V13" s="4"/>
    </row>
    <row r="14" spans="1:22" ht="15.75" thickBot="1" x14ac:dyDescent="0.3">
      <c r="B14" s="54" t="s">
        <v>60</v>
      </c>
      <c r="C14" s="114"/>
      <c r="D14" s="114"/>
      <c r="E14" s="114"/>
      <c r="F14" s="114"/>
      <c r="G14" s="114"/>
      <c r="H14" s="115"/>
      <c r="I14" s="445"/>
      <c r="J14" s="450"/>
      <c r="K14" s="115"/>
      <c r="L14" s="439"/>
      <c r="V14" s="4"/>
    </row>
    <row r="15" spans="1:22" x14ac:dyDescent="0.25">
      <c r="B15" s="53" t="s">
        <v>61</v>
      </c>
      <c r="C15" s="1068">
        <f>'W-Assets_Data&amp;Method_2015'!F28</f>
        <v>19.990074495677241</v>
      </c>
      <c r="D15" s="1068">
        <f>'W-Assets_Data&amp;Method_2015'!F29</f>
        <v>338.37413239742483</v>
      </c>
      <c r="E15" s="1068">
        <f>'W-Assets_Data&amp;Method_2015'!F30</f>
        <v>293.05415155062633</v>
      </c>
      <c r="F15" s="1068">
        <f>'W-Assets_Data&amp;Method_2015'!F31</f>
        <v>0</v>
      </c>
      <c r="G15" s="1068">
        <f>'W-Assets_Data&amp;Method_2015'!F32</f>
        <v>64.735292542432575</v>
      </c>
      <c r="H15" s="395">
        <f t="shared" ref="H15:H20" si="0">SUM(C15:G15)</f>
        <v>716.15365098616098</v>
      </c>
      <c r="I15" s="445"/>
      <c r="J15" s="1074"/>
      <c r="K15" s="1075"/>
      <c r="L15" s="439"/>
      <c r="M15" t="s">
        <v>628</v>
      </c>
      <c r="O15" s="401">
        <f>H15</f>
        <v>716.15365098616098</v>
      </c>
      <c r="P15" s="402">
        <f>+(O15*1000000)/J29</f>
        <v>68.318055629889543</v>
      </c>
      <c r="Q15" t="s">
        <v>626</v>
      </c>
      <c r="V15" s="4"/>
    </row>
    <row r="16" spans="1:22" x14ac:dyDescent="0.25">
      <c r="B16" s="48" t="s">
        <v>1718</v>
      </c>
      <c r="C16" s="1068">
        <f>'W-Assets_Data&amp;Method_2015'!F33</f>
        <v>1331.3619384852905</v>
      </c>
      <c r="D16" s="1068">
        <f>'W-Assets_Data&amp;Method_2015'!F34</f>
        <v>53.046557999999997</v>
      </c>
      <c r="E16" s="1068">
        <f>'W-Assets_Data&amp;Method_2015'!F35</f>
        <v>15.980404289683745</v>
      </c>
      <c r="F16" s="1068">
        <f>'W-Assets_Data&amp;Method_2015'!F36</f>
        <v>20220.475299225025</v>
      </c>
      <c r="G16" s="254"/>
      <c r="H16" s="390">
        <f>SUM(C16:G16)</f>
        <v>21620.8642</v>
      </c>
      <c r="I16" s="445"/>
      <c r="J16" s="1072">
        <f>+(H16)</f>
        <v>21620.8642</v>
      </c>
      <c r="K16" s="1073">
        <f>+(H16)</f>
        <v>21620.8642</v>
      </c>
      <c r="L16" s="439"/>
      <c r="M16" t="s">
        <v>627</v>
      </c>
      <c r="O16">
        <v>500</v>
      </c>
      <c r="P16" s="402">
        <f>+(O16*1000000)/J29</f>
        <v>47.697903610359262</v>
      </c>
      <c r="Q16" t="s">
        <v>626</v>
      </c>
      <c r="V16" s="4"/>
    </row>
    <row r="17" spans="2:22" x14ac:dyDescent="0.25">
      <c r="B17" s="48" t="s">
        <v>65</v>
      </c>
      <c r="C17" s="254"/>
      <c r="D17" s="1068">
        <f>'W-Assets_Data&amp;Method_2015'!F39</f>
        <v>6439.2872421415941</v>
      </c>
      <c r="E17" s="1068">
        <f>'W-Assets_Data&amp;Method_2015'!F40</f>
        <v>0</v>
      </c>
      <c r="F17" s="254"/>
      <c r="G17" s="1068">
        <f>'W-Assets_Data&amp;Method_2015'!F42</f>
        <v>0</v>
      </c>
      <c r="H17" s="396">
        <f t="shared" si="0"/>
        <v>6439.2872421415941</v>
      </c>
      <c r="I17" s="445"/>
      <c r="J17" s="451"/>
      <c r="K17" s="452"/>
      <c r="L17" s="439"/>
      <c r="V17" s="4"/>
    </row>
    <row r="18" spans="2:22" x14ac:dyDescent="0.25">
      <c r="B18" s="48" t="s">
        <v>66</v>
      </c>
      <c r="C18" s="254"/>
      <c r="D18" s="1068">
        <f>'W-Assets_Data&amp;Method_2015'!F44</f>
        <v>0</v>
      </c>
      <c r="E18" s="1068">
        <f>'W-Assets_Data&amp;Method_2015'!F45</f>
        <v>0</v>
      </c>
      <c r="F18" s="254"/>
      <c r="G18" s="1068">
        <f>'W-Assets_Data&amp;Method_2015'!F47</f>
        <v>0</v>
      </c>
      <c r="H18" s="396">
        <f t="shared" si="0"/>
        <v>0</v>
      </c>
      <c r="I18" s="445"/>
      <c r="J18" s="451"/>
      <c r="K18" s="452"/>
      <c r="L18" s="439"/>
      <c r="N18" s="1079" t="s">
        <v>1359</v>
      </c>
      <c r="O18" s="3"/>
      <c r="P18" s="3"/>
      <c r="Q18" s="2"/>
      <c r="S18" s="4"/>
      <c r="V18" s="4"/>
    </row>
    <row r="19" spans="2:22" x14ac:dyDescent="0.25">
      <c r="B19" s="48" t="s">
        <v>67</v>
      </c>
      <c r="C19" s="1068">
        <f>'W-Assets_Data&amp;Method_2015'!F48</f>
        <v>2837.7862699232355</v>
      </c>
      <c r="D19" s="1068">
        <f>'W-Assets_Data&amp;Method_2015'!F49</f>
        <v>1857.126</v>
      </c>
      <c r="E19" s="1068">
        <f>'W-Assets_Data&amp;Method_2015'!F50</f>
        <v>131.10989716879851</v>
      </c>
      <c r="F19" s="1068">
        <f>'W-Assets_Data&amp;Method_2015'!F51</f>
        <v>8038.7183715698811</v>
      </c>
      <c r="G19" s="1068">
        <f>'W-Assets_Data&amp;Method_2015'!F52</f>
        <v>3399.8873800000001</v>
      </c>
      <c r="H19" s="396">
        <f t="shared" si="0"/>
        <v>16264.627918661916</v>
      </c>
      <c r="I19" s="445"/>
      <c r="J19" s="451"/>
      <c r="K19" s="452"/>
      <c r="L19" s="439"/>
      <c r="N19" s="426" t="s">
        <v>1360</v>
      </c>
      <c r="O19" s="426" t="s">
        <v>661</v>
      </c>
      <c r="P19" s="427">
        <f>12742*26338</f>
        <v>335598796</v>
      </c>
      <c r="Q19" s="2" t="s">
        <v>1373</v>
      </c>
      <c r="R19" t="s">
        <v>1367</v>
      </c>
      <c r="S19" s="4"/>
      <c r="V19" s="4"/>
    </row>
    <row r="20" spans="2:22" ht="15.75" thickBot="1" x14ac:dyDescent="0.3">
      <c r="B20" s="47" t="s">
        <v>63</v>
      </c>
      <c r="C20" s="397">
        <f>SUM(C15:C19)</f>
        <v>4189.1382829042032</v>
      </c>
      <c r="D20" s="397">
        <f>SUM(D15:D19)</f>
        <v>8687.8339325390189</v>
      </c>
      <c r="E20" s="397">
        <f>SUM(E15:E19)</f>
        <v>440.14445300910859</v>
      </c>
      <c r="F20" s="397">
        <f>SUM(F15:F19)</f>
        <v>28259.193670794906</v>
      </c>
      <c r="G20" s="397">
        <f>SUM(G15:G19)</f>
        <v>3464.6226725424326</v>
      </c>
      <c r="H20" s="396">
        <f t="shared" si="0"/>
        <v>45040.933011789675</v>
      </c>
      <c r="I20" s="445"/>
      <c r="J20" s="1076">
        <f>SUM(J15:J19)</f>
        <v>21620.8642</v>
      </c>
      <c r="K20" s="1077">
        <f>SUM(K15:K19)</f>
        <v>21620.8642</v>
      </c>
      <c r="L20" s="439"/>
      <c r="N20" s="426" t="s">
        <v>1362</v>
      </c>
      <c r="O20" s="3" t="s">
        <v>665</v>
      </c>
      <c r="P20" s="3"/>
      <c r="Q20" s="2" t="s">
        <v>1372</v>
      </c>
      <c r="S20" s="4"/>
      <c r="V20" s="4"/>
    </row>
    <row r="21" spans="2:22" ht="3" customHeight="1" x14ac:dyDescent="0.25">
      <c r="B21" s="47"/>
      <c r="C21" s="397"/>
      <c r="D21" s="397"/>
      <c r="E21" s="397"/>
      <c r="F21" s="397"/>
      <c r="G21" s="397"/>
      <c r="H21" s="396"/>
      <c r="I21" s="445"/>
      <c r="J21" s="1253"/>
      <c r="K21" s="1253"/>
      <c r="L21" s="439"/>
      <c r="N21" s="426"/>
      <c r="O21" s="3"/>
      <c r="P21" s="3"/>
      <c r="Q21" s="2"/>
      <c r="S21" s="4"/>
      <c r="V21" s="4"/>
    </row>
    <row r="22" spans="2:22" x14ac:dyDescent="0.25">
      <c r="B22" s="69" t="s">
        <v>72</v>
      </c>
      <c r="C22" s="398">
        <f>-SUM(C5,C12,-C20,-C24)</f>
        <v>0</v>
      </c>
      <c r="D22" s="398">
        <f>-SUM(D5,D12,-D20,-D24)</f>
        <v>440.99146159167867</v>
      </c>
      <c r="E22" s="398">
        <f>-SUM(E5,E12,-E20,-E24)</f>
        <v>137.1228528165241</v>
      </c>
      <c r="F22" s="398">
        <f>-SUM(F5,F12,-F20,-F24)</f>
        <v>13.22524572363227</v>
      </c>
      <c r="G22" s="398">
        <f>-SUM(G5,G12,-G20,-G24)</f>
        <v>-181.11059634678531</v>
      </c>
      <c r="H22" s="399">
        <f>SUM(C22:G22)</f>
        <v>410.2289637850497</v>
      </c>
      <c r="I22" s="445"/>
      <c r="J22" s="1078"/>
      <c r="K22" s="1078"/>
      <c r="L22" s="439"/>
      <c r="N22" s="3">
        <v>1.216</v>
      </c>
      <c r="O22" s="331">
        <v>26338000000</v>
      </c>
      <c r="P22" s="331">
        <v>32027008000</v>
      </c>
      <c r="Q22" s="2">
        <v>0.82091999999999998</v>
      </c>
      <c r="R22" s="433">
        <f>Q22*O22</f>
        <v>21621390960</v>
      </c>
      <c r="S22" s="4"/>
      <c r="V22" s="4"/>
    </row>
    <row r="23" spans="2:22" ht="3" customHeight="1" x14ac:dyDescent="0.25">
      <c r="B23" s="1254"/>
      <c r="C23" s="1255"/>
      <c r="D23" s="1255"/>
      <c r="E23" s="1255"/>
      <c r="F23" s="1255"/>
      <c r="G23" s="1255"/>
      <c r="H23" s="1256"/>
      <c r="I23" s="445"/>
      <c r="J23" s="1078"/>
      <c r="K23" s="1078"/>
      <c r="L23" s="439"/>
      <c r="N23" s="3"/>
      <c r="O23" s="331"/>
      <c r="P23" s="331"/>
      <c r="Q23" s="2"/>
      <c r="R23" s="433"/>
      <c r="S23" s="4"/>
      <c r="V23" s="4"/>
    </row>
    <row r="24" spans="2:22" ht="15.75" thickBot="1" x14ac:dyDescent="0.3">
      <c r="B24" s="49" t="s">
        <v>64</v>
      </c>
      <c r="C24" s="650">
        <f>C5+(Lakes!F68/1000000)</f>
        <v>256364.92179504514</v>
      </c>
      <c r="D24" s="405">
        <f>D5+(0)</f>
        <v>1264</v>
      </c>
      <c r="E24" s="1071">
        <f>'W-Assets_Data&amp;Method_2015'!F55</f>
        <v>102.15046767529415</v>
      </c>
      <c r="F24" s="736">
        <f>F5*(100%)</f>
        <v>3388.8607500000003</v>
      </c>
      <c r="G24" s="737">
        <f>G5+(0)</f>
        <v>62127</v>
      </c>
      <c r="H24" s="405">
        <f>SUM(C24:G24)</f>
        <v>323246.93301272043</v>
      </c>
      <c r="I24" s="445"/>
      <c r="J24" s="1078"/>
      <c r="K24" s="1078"/>
      <c r="L24" s="439"/>
      <c r="N24" s="428">
        <f>+P22/1000000</f>
        <v>32027.008000000002</v>
      </c>
      <c r="O24" s="423" t="s">
        <v>1361</v>
      </c>
      <c r="P24" s="3"/>
      <c r="Q24" s="429">
        <f>R22/1000000</f>
        <v>21621.390960000001</v>
      </c>
      <c r="S24" s="4"/>
      <c r="V24" s="5"/>
    </row>
    <row r="25" spans="2:22" ht="15.75" thickBot="1" x14ac:dyDescent="0.3">
      <c r="B25" s="8"/>
      <c r="C25" s="9"/>
      <c r="D25" s="9"/>
      <c r="E25" s="649"/>
      <c r="F25" s="9"/>
      <c r="G25" s="9"/>
      <c r="H25" s="9"/>
      <c r="I25" s="439"/>
      <c r="J25" s="441"/>
      <c r="K25" s="441"/>
      <c r="L25" s="439"/>
      <c r="N25" s="430">
        <f>N24/1000</f>
        <v>32.027008000000002</v>
      </c>
      <c r="O25" s="430" t="s">
        <v>190</v>
      </c>
      <c r="P25" s="370" t="s">
        <v>52</v>
      </c>
      <c r="Q25" s="2"/>
      <c r="R25" s="187"/>
      <c r="S25" s="4"/>
      <c r="V25" s="5"/>
    </row>
    <row r="26" spans="2:22" ht="15" customHeight="1" thickBot="1" x14ac:dyDescent="0.3">
      <c r="B26" s="557" t="s">
        <v>1315</v>
      </c>
      <c r="C26" s="557">
        <f t="shared" ref="C26:H26" si="1">(C5+C12)-C20</f>
        <v>256364.92179504514</v>
      </c>
      <c r="D26" s="557">
        <f t="shared" si="1"/>
        <v>823.00853840832133</v>
      </c>
      <c r="E26" s="557">
        <f t="shared" si="1"/>
        <v>-34.97238514122995</v>
      </c>
      <c r="F26" s="557">
        <f t="shared" si="1"/>
        <v>3375.635504276368</v>
      </c>
      <c r="G26" s="557">
        <f t="shared" si="1"/>
        <v>62308.110596346785</v>
      </c>
      <c r="H26" s="557">
        <f t="shared" si="1"/>
        <v>322836.70404893538</v>
      </c>
      <c r="I26" s="439"/>
      <c r="J26" s="326" t="s">
        <v>607</v>
      </c>
      <c r="K26" s="327" t="s">
        <v>608</v>
      </c>
      <c r="L26" s="439"/>
      <c r="M26" s="431" t="s">
        <v>667</v>
      </c>
      <c r="O26" s="3"/>
      <c r="P26" s="370" t="s">
        <v>68</v>
      </c>
      <c r="Q26" s="2"/>
      <c r="S26" s="4"/>
    </row>
    <row r="27" spans="2:22" ht="17.25" thickBot="1" x14ac:dyDescent="0.3">
      <c r="B27" s="441"/>
      <c r="C27" s="441"/>
      <c r="D27" s="441"/>
      <c r="E27" s="441"/>
      <c r="F27" s="441"/>
      <c r="G27" s="441"/>
      <c r="H27" s="441"/>
      <c r="I27" s="439"/>
      <c r="J27" s="403">
        <f>SUM(J12,-J20)</f>
        <v>10406.143800000002</v>
      </c>
      <c r="K27" s="442"/>
      <c r="L27" s="439"/>
      <c r="N27" s="431"/>
      <c r="O27" s="432"/>
      <c r="P27" s="370" t="s">
        <v>53</v>
      </c>
      <c r="Q27" s="2"/>
      <c r="S27" s="4"/>
    </row>
    <row r="28" spans="2:22" ht="15.75" thickBot="1" x14ac:dyDescent="0.3">
      <c r="B28" s="441"/>
      <c r="C28" s="721"/>
      <c r="D28" s="441"/>
      <c r="E28" s="441"/>
      <c r="F28" s="441"/>
      <c r="G28" s="441"/>
      <c r="H28" s="441"/>
      <c r="I28" s="439"/>
      <c r="J28" s="325"/>
      <c r="K28" s="404">
        <f>SUM(K12,-K20)</f>
        <v>11256.346476000002</v>
      </c>
      <c r="L28" s="439"/>
      <c r="N28" s="431"/>
      <c r="O28" s="3"/>
      <c r="P28" s="366" t="s">
        <v>50</v>
      </c>
      <c r="Q28" s="2"/>
      <c r="S28" s="4"/>
    </row>
    <row r="29" spans="2:22" x14ac:dyDescent="0.25">
      <c r="B29" s="441"/>
      <c r="C29" s="441"/>
      <c r="D29" s="441"/>
      <c r="E29" s="441"/>
      <c r="F29" s="441"/>
      <c r="G29" s="441"/>
      <c r="H29" s="441"/>
      <c r="I29" s="439"/>
      <c r="J29" s="329">
        <v>10482641</v>
      </c>
      <c r="K29" s="441" t="s">
        <v>609</v>
      </c>
      <c r="L29" s="439"/>
      <c r="P29" s="367" t="s">
        <v>51</v>
      </c>
    </row>
    <row r="30" spans="2:22" x14ac:dyDescent="0.25">
      <c r="B30" s="441"/>
      <c r="C30" s="441"/>
      <c r="D30" s="441"/>
      <c r="E30" s="441"/>
      <c r="F30" s="441"/>
      <c r="G30" s="441"/>
      <c r="H30" s="441"/>
      <c r="I30" s="439"/>
      <c r="J30" s="330">
        <v>11.262563999999999</v>
      </c>
      <c r="K30" s="441" t="s">
        <v>1358</v>
      </c>
      <c r="L30" s="439"/>
    </row>
    <row r="31" spans="2:22" x14ac:dyDescent="0.25">
      <c r="B31" s="441"/>
      <c r="C31" s="441"/>
      <c r="D31" s="441"/>
      <c r="E31" s="441"/>
      <c r="F31" s="441"/>
      <c r="G31" s="441"/>
      <c r="H31" s="441"/>
      <c r="I31" s="439"/>
      <c r="J31" s="443">
        <f>+(J27/J30)</f>
        <v>923.9586829428896</v>
      </c>
      <c r="K31" s="444"/>
      <c r="L31" s="445" t="s">
        <v>613</v>
      </c>
      <c r="M31" s="331"/>
    </row>
    <row r="32" spans="2:22" x14ac:dyDescent="0.25">
      <c r="B32" s="441"/>
      <c r="C32" s="441"/>
      <c r="D32" s="441"/>
      <c r="E32" s="441"/>
      <c r="F32" s="441"/>
      <c r="G32" s="441"/>
      <c r="H32" s="441"/>
      <c r="I32" s="439"/>
      <c r="J32" s="444"/>
      <c r="K32" s="443">
        <f>+(K28/J30)</f>
        <v>999.44794773197316</v>
      </c>
      <c r="L32" s="445" t="s">
        <v>614</v>
      </c>
      <c r="N32" s="316"/>
    </row>
    <row r="33" spans="2:14" x14ac:dyDescent="0.25">
      <c r="B33" s="441"/>
      <c r="C33" s="441"/>
      <c r="D33" s="441"/>
      <c r="E33" s="441"/>
      <c r="F33" s="441"/>
      <c r="G33" s="441"/>
      <c r="H33" s="441"/>
      <c r="I33" s="439"/>
      <c r="J33" s="441"/>
      <c r="K33" s="446">
        <f>H41</f>
        <v>333.10199809252555</v>
      </c>
      <c r="L33" s="445" t="s">
        <v>611</v>
      </c>
      <c r="M33" s="328"/>
      <c r="N33" s="316"/>
    </row>
    <row r="34" spans="2:14" x14ac:dyDescent="0.25">
      <c r="B34" s="441"/>
      <c r="C34" s="441"/>
      <c r="D34" s="441"/>
      <c r="E34" s="441"/>
      <c r="F34" s="441"/>
      <c r="G34" s="441"/>
      <c r="H34" s="441"/>
      <c r="I34" s="439"/>
      <c r="J34" s="441"/>
      <c r="K34" s="447">
        <f>+(K33/K28)</f>
        <v>2.9592372516494797E-2</v>
      </c>
      <c r="L34" s="445" t="s">
        <v>612</v>
      </c>
      <c r="M34" s="316"/>
    </row>
    <row r="35" spans="2:14" x14ac:dyDescent="0.25">
      <c r="F35" s="422"/>
    </row>
    <row r="36" spans="2:14" x14ac:dyDescent="0.25">
      <c r="E36" s="179"/>
      <c r="F36" s="564">
        <v>499468512</v>
      </c>
      <c r="G36" t="s">
        <v>659</v>
      </c>
      <c r="I36" s="2"/>
      <c r="J36"/>
      <c r="K36"/>
    </row>
    <row r="37" spans="2:14" x14ac:dyDescent="0.25">
      <c r="E37" s="192"/>
      <c r="G37"/>
      <c r="I37" s="2"/>
      <c r="J37"/>
      <c r="K37"/>
      <c r="L37" t="s">
        <v>658</v>
      </c>
    </row>
    <row r="38" spans="2:14" x14ac:dyDescent="0.25">
      <c r="G38" s="2">
        <v>2012</v>
      </c>
      <c r="H38" s="334">
        <v>151.61674924557377</v>
      </c>
      <c r="K38"/>
      <c r="L38" s="316">
        <f>H38/(F$36/1000000)</f>
        <v>0.30355617141601465</v>
      </c>
    </row>
    <row r="39" spans="2:14" x14ac:dyDescent="0.25">
      <c r="G39" s="2">
        <v>2013</v>
      </c>
      <c r="H39" s="334">
        <v>197.10177401924591</v>
      </c>
      <c r="K39"/>
      <c r="L39" s="316">
        <f>H39/(F$36/1000000)</f>
        <v>0.39462302284081907</v>
      </c>
    </row>
    <row r="40" spans="2:14" x14ac:dyDescent="0.25">
      <c r="G40" s="2">
        <v>2014</v>
      </c>
      <c r="H40" s="334">
        <v>256.23230622501967</v>
      </c>
      <c r="K40"/>
      <c r="L40" s="316">
        <f>H40/(F$36/1000000)</f>
        <v>0.5130099296930648</v>
      </c>
    </row>
    <row r="41" spans="2:14" x14ac:dyDescent="0.25">
      <c r="G41" s="2">
        <v>2015</v>
      </c>
      <c r="H41" s="334">
        <v>333.10199809252555</v>
      </c>
      <c r="K41"/>
      <c r="L41" s="316">
        <f>H41/(F$36/1000000)</f>
        <v>0.66691290860098418</v>
      </c>
    </row>
    <row r="42" spans="2:14" x14ac:dyDescent="0.25">
      <c r="G42" s="2">
        <v>2016</v>
      </c>
      <c r="H42">
        <v>499.46851199999998</v>
      </c>
      <c r="I42" s="2">
        <v>2016</v>
      </c>
      <c r="K42"/>
      <c r="L42" s="1053">
        <f>H42/(F$36/1000000)</f>
        <v>1</v>
      </c>
    </row>
  </sheetData>
  <mergeCells count="1">
    <mergeCell ref="C3:E3"/>
  </mergeCells>
  <hyperlinks>
    <hyperlink ref="C9" location="'W-Assets_Data&amp;Method_2015'!F13" display="'W-Assets_Data&amp;Method_2015'!F13"/>
    <hyperlink ref="D9" location="'W-Assets_Data&amp;Method_2015'!F14" display="'W-Assets_Data&amp;Method_2015'!F14"/>
    <hyperlink ref="E9" location="'W-Assets_Data&amp;Method_2015'!F15" display="'W-Assets_Data&amp;Method_2015'!F15"/>
    <hyperlink ref="F9" location="'W-Assets_Data&amp;Method_2015'!F16" display="'W-Assets_Data&amp;Method_2015'!F16"/>
    <hyperlink ref="C10" location="'W-Assets_Data&amp;Method_2015'!F18" display="'W-Assets_Data&amp;Method_2015'!F18"/>
    <hyperlink ref="D10" location="'W-Assets_Data&amp;Method_2015'!F19" display="'W-Assets_Data&amp;Method_2015'!F19"/>
    <hyperlink ref="E10" location="'W-Assets_Data&amp;Method_2015'!F20" display="'W-Assets_Data&amp;Method_2015'!F20"/>
    <hyperlink ref="G10" location="'W-Assets_Data&amp;Method_2015'!F22" display="'W-Assets_Data&amp;Method_2015'!F22"/>
    <hyperlink ref="C11" location="'W-Assets_Data&amp;Method_2015'!F23" display="'W-Assets_Data&amp;Method_2015'!F23"/>
    <hyperlink ref="D11" location="'W-Assets_Data&amp;Method_2015'!F24" display="'W-Assets_Data&amp;Method_2015'!F24"/>
    <hyperlink ref="E11" location="'W-Assets_Data&amp;Method_2015'!F25" display="'W-Assets_Data&amp;Method_2015'!F25"/>
    <hyperlink ref="F11" location="'W-Assets_Data&amp;Method_2015'!F26" display="'W-Assets_Data&amp;Method_2015'!F26"/>
    <hyperlink ref="G11" location="'W-Assets_Data&amp;Method_2015'!F27" display="'W-Assets_Data&amp;Method_2015'!F27"/>
    <hyperlink ref="D17" location="'W-Assets_Data&amp;Method_2015'!F39" display="'W-Assets_Data&amp;Method_2015'!F39"/>
    <hyperlink ref="E17" location="'W-Assets_Data&amp;Method_2015'!F40" display="'W-Assets_Data&amp;Method_2015'!F40"/>
    <hyperlink ref="G17" location="'W-Assets_Data&amp;Method_2015'!F42" display="'W-Assets_Data&amp;Method_2015'!F42"/>
    <hyperlink ref="D18" location="'W-Assets_Data&amp;Method_2015'!F44" display="'W-Assets_Data&amp;Method_2015'!F44"/>
    <hyperlink ref="E18" location="'W-Assets_Data&amp;Method_2015'!F45" display="'W-Assets_Data&amp;Method_2015'!F45"/>
    <hyperlink ref="G18" location="'W-Assets_Data&amp;Method_2015'!F47" display="'W-Assets_Data&amp;Method_2015'!F47"/>
    <hyperlink ref="C19" location="'W-Assets_Data&amp;Method_2015'!F48" display="'W-Assets_Data&amp;Method_2015'!F48"/>
    <hyperlink ref="D19" location="'W-Assets_Data&amp;Method_2015'!F49" display="'W-Assets_Data&amp;Method_2015'!F49"/>
    <hyperlink ref="E19" location="'W-Assets_Data&amp;Method_2015'!F50" display="'W-Assets_Data&amp;Method_2015'!F50"/>
    <hyperlink ref="F19" location="'W-Assets_Data&amp;Method_2015'!F51" display="'W-Assets_Data&amp;Method_2015'!F51"/>
    <hyperlink ref="G19" location="'W-Assets_Data&amp;Method_2015'!F52" display="'W-Assets_Data&amp;Method_2015'!F52"/>
    <hyperlink ref="C5" location="'W-Assets_Data&amp;Method_2015'!F3" display="'W-Assets_Data&amp;Method_2015'!F3"/>
    <hyperlink ref="D5" location="'W-Assets_Data&amp;Method_2015'!F4" display="'W-Assets_Data&amp;Method_2015'!F4"/>
    <hyperlink ref="E5" location="'W-Assets_Data&amp;Method_2015'!F5" display="'W-Assets_Data&amp;Method_2015'!F5"/>
    <hyperlink ref="F5" location="'W-Assets_Data&amp;Method_2015'!F6" display="'W-Assets_Data&amp;Method_2015'!F6"/>
    <hyperlink ref="G5" location="'W-Assets_Data&amp;Method_2015'!F7" display="'W-Assets_Data&amp;Method_2015'!F7"/>
    <hyperlink ref="C8" location="'W-Assets_Data&amp;Method_2015'!F8" display="'W-Assets_Data&amp;Method_2015'!F8"/>
    <hyperlink ref="D8" location="'W-Assets_Data&amp;Method_2015'!F9" display="'W-Assets_Data&amp;Method_2015'!F9"/>
    <hyperlink ref="E8" location="'W-Assets_Data&amp;Method_2015'!F10" display="'W-Assets_Data&amp;Method_2015'!F10"/>
    <hyperlink ref="F8" location="'W-Assets_Data&amp;Method_2015'!F11" display="'W-Assets_Data&amp;Method_2015'!F11"/>
    <hyperlink ref="G8" location="'W-Assets_Data&amp;Method_2015'!F12" display="'W-Assets_Data&amp;Method_2015'!F12"/>
    <hyperlink ref="C15" location="'W-Assets_Data&amp;Method_2015'!F28" display="'W-Assets_Data&amp;Method_2015'!F28"/>
    <hyperlink ref="F15" location="'W-Assets_Data&amp;Method_2015'!F31" display="'W-Assets_Data&amp;Method_2015'!F31"/>
    <hyperlink ref="E15" location="'W-Assets_Data&amp;Method_2015'!F30" display="'W-Assets_Data&amp;Method_2015'!F30"/>
    <hyperlink ref="D15" location="'W-Assets_Data&amp;Method_2015'!F29" display="'W-Assets_Data&amp;Method_2015'!F29"/>
    <hyperlink ref="G15" location="'W-Assets_Data&amp;Method_2015'!F32" display="'W-Assets_Data&amp;Method_2015'!F32"/>
    <hyperlink ref="C16" location="'W-Assets_Data&amp;Method_2015'!F33" display="'W-Assets_Data&amp;Method_2015'!F33"/>
    <hyperlink ref="D16" location="'W-Assets_Data&amp;Method_2015'!F34" display="'W-Assets_Data&amp;Method_2015'!F34"/>
    <hyperlink ref="E16" location="'W-Assets_Data&amp;Method_2015'!F35" display="'W-Assets_Data&amp;Method_2015'!F35"/>
    <hyperlink ref="F16" location="'W-Assets_Data&amp;Method_2015'!F36" display="'W-Assets_Data&amp;Method_2015'!F36"/>
    <hyperlink ref="J9" location="'W-Assets_Data&amp;Method_2015'!F58" display="'W-Assets_Data&amp;Method_2015'!F58"/>
    <hyperlink ref="J16" location="'W-Assets_Data&amp;Method_2015'!F59" display="'W-Assets_Data&amp;Method_2015'!F59"/>
    <hyperlink ref="K9" location="'W-Assets_Data&amp;Method_2015'!F58" display="'W-Assets_Data&amp;Method_2015'!F58"/>
    <hyperlink ref="K10" location="'W-Assets_Data&amp;Method_2015'!F61" display="'W-Assets_Data&amp;Method_2015'!F61"/>
    <hyperlink ref="K16" location="'W-Assets_Data&amp;Method_2015'!F59" display="'W-Assets_Data&amp;Method_2015'!F59"/>
    <hyperlink ref="J27" location="'W-Assets_Data&amp;Method_2012'!F60" display="'W-Assets_Data&amp;Method_2012'!F60"/>
    <hyperlink ref="K28" location="'W-Assets_Data&amp;Method_2012'!F62" display="'W-Assets_Data&amp;Method_2012'!F62"/>
    <hyperlink ref="E24" location="'W-Assets_Data&amp;Method_2015'!F55" display="'W-Assets_Data&amp;Method_2015'!F55"/>
    <hyperlink ref="C24" location="'W-Assets_Data&amp;Method_2012'!F53" display="'W-Assets_Data&amp;Method_2012'!F53"/>
    <hyperlink ref="F24" location="'W-Assets_Data&amp;Method_2012'!F56" display="'W-Assets_Data&amp;Method_2012'!F56"/>
    <hyperlink ref="G24" location="'W-Assets_Data&amp;Method_2012'!F57" display="'W-Assets_Data&amp;Method_2012'!F57"/>
  </hyperlinks>
  <pageMargins left="0.51181102362204722" right="0.51181102362204722" top="0.74803149606299213" bottom="0.74803149606299213" header="0.31496062992125984" footer="0.31496062992125984"/>
  <pageSetup paperSize="9" scale="69" orientation="landscape" r:id="rId1"/>
  <headerFooter>
    <oddHeader>&amp;L&amp;F    &amp;&amp;&amp;A&amp;C&amp;D&amp;RPage &amp;P of &amp;N</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2060"/>
    <pageSetUpPr fitToPage="1"/>
  </sheetPr>
  <dimension ref="B1:I62"/>
  <sheetViews>
    <sheetView workbookViewId="0">
      <pane ySplit="2" topLeftCell="A36" activePane="bottomLeft" state="frozen"/>
      <selection activeCell="B16" sqref="B16"/>
      <selection pane="bottomLeft" activeCell="B8" sqref="B8:B27"/>
    </sheetView>
  </sheetViews>
  <sheetFormatPr defaultRowHeight="15" x14ac:dyDescent="0.25"/>
  <cols>
    <col min="1" max="1" width="1.7109375" customWidth="1"/>
    <col min="2" max="2" width="12.140625" customWidth="1"/>
    <col min="3" max="3" width="1.42578125" customWidth="1"/>
    <col min="4" max="4" width="3.5703125" bestFit="1" customWidth="1"/>
    <col min="5" max="5" width="71.7109375" bestFit="1" customWidth="1"/>
    <col min="6" max="6" width="13.5703125" bestFit="1" customWidth="1"/>
    <col min="7" max="7" width="15" customWidth="1"/>
    <col min="8" max="8" width="9.5703125" bestFit="1" customWidth="1"/>
    <col min="9" max="9" width="112.85546875" customWidth="1"/>
    <col min="10" max="10" width="10.140625" customWidth="1"/>
  </cols>
  <sheetData>
    <row r="1" spans="2:9" ht="6.75" customHeight="1" thickBot="1" x14ac:dyDescent="0.3"/>
    <row r="2" spans="2:9" ht="45.75" thickBot="1" x14ac:dyDescent="0.3">
      <c r="B2" s="14" t="s">
        <v>77</v>
      </c>
      <c r="D2" s="28" t="s">
        <v>73</v>
      </c>
      <c r="E2" s="11" t="s">
        <v>133</v>
      </c>
      <c r="F2" s="12" t="s">
        <v>440</v>
      </c>
      <c r="G2" s="12" t="s">
        <v>134</v>
      </c>
      <c r="H2" s="12" t="s">
        <v>135</v>
      </c>
      <c r="I2" s="13" t="s">
        <v>467</v>
      </c>
    </row>
    <row r="3" spans="2:9" ht="409.5" x14ac:dyDescent="0.25">
      <c r="B3" s="1729" t="s">
        <v>74</v>
      </c>
      <c r="D3" s="29">
        <v>1</v>
      </c>
      <c r="E3" s="20" t="s">
        <v>80</v>
      </c>
      <c r="F3" s="462">
        <f>Lakes!N61/1000000</f>
        <v>258131.69363122003</v>
      </c>
      <c r="G3" s="20" t="s">
        <v>168</v>
      </c>
      <c r="H3" s="20">
        <v>2012</v>
      </c>
      <c r="I3" s="21" t="s">
        <v>707</v>
      </c>
    </row>
    <row r="4" spans="2:9" ht="25.5" customHeight="1" x14ac:dyDescent="0.25">
      <c r="B4" s="1730"/>
      <c r="D4" s="30">
        <v>2</v>
      </c>
      <c r="E4" s="18" t="s">
        <v>81</v>
      </c>
      <c r="F4" s="454">
        <f>Rivers!D4</f>
        <v>1264</v>
      </c>
      <c r="G4" s="18" t="s">
        <v>168</v>
      </c>
      <c r="H4" s="18">
        <v>2012</v>
      </c>
      <c r="I4" s="19" t="s">
        <v>738</v>
      </c>
    </row>
    <row r="5" spans="2:9" ht="300" x14ac:dyDescent="0.25">
      <c r="B5" s="1730"/>
      <c r="D5" s="30">
        <v>3</v>
      </c>
      <c r="E5" s="18" t="s">
        <v>82</v>
      </c>
      <c r="F5" s="454">
        <f>Artificial_reserv!T112</f>
        <v>77.39732494588236</v>
      </c>
      <c r="G5" s="18" t="s">
        <v>168</v>
      </c>
      <c r="H5" s="18">
        <v>2016</v>
      </c>
      <c r="I5" s="19" t="s">
        <v>945</v>
      </c>
    </row>
    <row r="6" spans="2:9" ht="195" x14ac:dyDescent="0.25">
      <c r="B6" s="1730"/>
      <c r="D6" s="30">
        <v>4</v>
      </c>
      <c r="E6" s="18" t="s">
        <v>83</v>
      </c>
      <c r="F6" s="454">
        <f>'GW&amp;SOILW_2012'!A58</f>
        <v>3388.8607500000003</v>
      </c>
      <c r="G6" s="175" t="s">
        <v>169</v>
      </c>
      <c r="H6" s="18">
        <v>2012</v>
      </c>
      <c r="I6" s="19" t="s">
        <v>165</v>
      </c>
    </row>
    <row r="7" spans="2:9" ht="225.75" thickBot="1" x14ac:dyDescent="0.3">
      <c r="B7" s="1731"/>
      <c r="D7" s="31">
        <v>5</v>
      </c>
      <c r="E7" s="22" t="s">
        <v>84</v>
      </c>
      <c r="F7" s="455">
        <f>'GW&amp;SOILW_2012'!A75</f>
        <v>62127</v>
      </c>
      <c r="G7" s="22" t="s">
        <v>168</v>
      </c>
      <c r="H7" s="22">
        <v>2012</v>
      </c>
      <c r="I7" s="23" t="s">
        <v>708</v>
      </c>
    </row>
    <row r="8" spans="2:9" ht="45" x14ac:dyDescent="0.25">
      <c r="B8" s="1732" t="s">
        <v>78</v>
      </c>
      <c r="D8" s="32">
        <v>6</v>
      </c>
      <c r="E8" s="560" t="s">
        <v>85</v>
      </c>
      <c r="F8" s="561">
        <f>(SUM(PSUT_2015!AA12:'PSUT_2015'!AA16)/1000)*(70%*0.2%)</f>
        <v>1.0026151113806254</v>
      </c>
      <c r="G8" s="560"/>
      <c r="H8" s="560">
        <v>2012</v>
      </c>
      <c r="I8" s="562" t="s">
        <v>732</v>
      </c>
    </row>
    <row r="9" spans="2:9" ht="63" customHeight="1" x14ac:dyDescent="0.25">
      <c r="B9" s="1733"/>
      <c r="D9" s="30">
        <v>7</v>
      </c>
      <c r="E9" s="10" t="s">
        <v>86</v>
      </c>
      <c r="F9" s="457">
        <f>(SUM(PSUT_2015!AA12:'PSUT_2015'!AA16)/1000)*(70%*70%)</f>
        <v>350.91528898321883</v>
      </c>
      <c r="G9" s="10"/>
      <c r="H9" s="10">
        <v>2012</v>
      </c>
      <c r="I9" s="16" t="s">
        <v>736</v>
      </c>
    </row>
    <row r="10" spans="2:9" ht="30" x14ac:dyDescent="0.25">
      <c r="B10" s="1733"/>
      <c r="D10" s="30">
        <v>8</v>
      </c>
      <c r="E10" s="10" t="s">
        <v>87</v>
      </c>
      <c r="F10" s="457">
        <f>(SUM(PSUT_2015!AA12:'PSUT_2015'!AA16)/1000)*(70%*0%)</f>
        <v>0</v>
      </c>
      <c r="G10" s="10"/>
      <c r="H10" s="10">
        <v>2012</v>
      </c>
      <c r="I10" s="16" t="s">
        <v>733</v>
      </c>
    </row>
    <row r="11" spans="2:9" ht="65.25" customHeight="1" x14ac:dyDescent="0.25">
      <c r="B11" s="1733"/>
      <c r="D11" s="30">
        <v>9</v>
      </c>
      <c r="E11" s="10" t="s">
        <v>88</v>
      </c>
      <c r="F11" s="457">
        <f>(SUM(PSUT_2015!AA12:'PSUT_2015'!AA16)/1000)*(70%*29.55%)</f>
        <v>148.13638270648738</v>
      </c>
      <c r="G11" s="10"/>
      <c r="H11" s="10">
        <v>2012</v>
      </c>
      <c r="I11" s="16" t="s">
        <v>737</v>
      </c>
    </row>
    <row r="12" spans="2:9" ht="30.75" thickBot="1" x14ac:dyDescent="0.3">
      <c r="B12" s="1733"/>
      <c r="D12" s="31">
        <v>10</v>
      </c>
      <c r="E12" s="15" t="s">
        <v>89</v>
      </c>
      <c r="F12" s="458">
        <f>(SUM(PSUT_2015!AA12:'PSUT_2015'!AA16)/1000)*(70%*0.25%)</f>
        <v>1.2532688892257815</v>
      </c>
      <c r="G12" s="15"/>
      <c r="H12" s="15">
        <v>2012</v>
      </c>
      <c r="I12" s="17" t="s">
        <v>734</v>
      </c>
    </row>
    <row r="13" spans="2:9" ht="150" x14ac:dyDescent="0.25">
      <c r="B13" s="1733"/>
      <c r="D13" s="29">
        <v>11</v>
      </c>
      <c r="E13" s="20" t="s">
        <v>90</v>
      </c>
      <c r="F13" s="459">
        <f>+('Prec&amp;ET2012'!E266/1000000)</f>
        <v>2110.4427087490953</v>
      </c>
      <c r="G13" s="20"/>
      <c r="H13" s="20"/>
      <c r="I13" s="21" t="s">
        <v>501</v>
      </c>
    </row>
    <row r="14" spans="2:9" ht="90" x14ac:dyDescent="0.25">
      <c r="B14" s="1733"/>
      <c r="D14" s="30">
        <v>12</v>
      </c>
      <c r="E14" s="18" t="s">
        <v>91</v>
      </c>
      <c r="F14" s="459">
        <f>+('Prec&amp;ET2012'!E267/1000000)</f>
        <v>2623.2045059641218</v>
      </c>
      <c r="G14" s="18"/>
      <c r="H14" s="18"/>
      <c r="I14" s="253" t="s">
        <v>499</v>
      </c>
    </row>
    <row r="15" spans="2:9" ht="115.5" customHeight="1" x14ac:dyDescent="0.25">
      <c r="B15" s="1733"/>
      <c r="D15" s="30">
        <v>13</v>
      </c>
      <c r="E15" s="18" t="s">
        <v>92</v>
      </c>
      <c r="F15" s="459">
        <f>+('Prec&amp;ET2012'!E268/1000000)</f>
        <v>106.6487429219963</v>
      </c>
      <c r="G15" s="18"/>
      <c r="H15" s="18"/>
      <c r="I15" s="19" t="s">
        <v>500</v>
      </c>
    </row>
    <row r="16" spans="2:9" ht="150" x14ac:dyDescent="0.25">
      <c r="B16" s="1733"/>
      <c r="D16" s="30">
        <v>14</v>
      </c>
      <c r="E16" s="18" t="s">
        <v>93</v>
      </c>
      <c r="F16" s="459">
        <f>('Prec&amp;ET2012'!D273/1000000)</f>
        <v>27186.712042364787</v>
      </c>
      <c r="G16" s="18"/>
      <c r="H16" s="18"/>
      <c r="I16" s="19" t="s">
        <v>504</v>
      </c>
    </row>
    <row r="17" spans="2:9" ht="30.75" thickBot="1" x14ac:dyDescent="0.3">
      <c r="B17" s="1733"/>
      <c r="D17" s="31">
        <v>15</v>
      </c>
      <c r="E17" s="22" t="s">
        <v>94</v>
      </c>
      <c r="F17" s="340"/>
      <c r="G17" s="341"/>
      <c r="H17" s="341"/>
      <c r="I17" s="23" t="s">
        <v>381</v>
      </c>
    </row>
    <row r="18" spans="2:9" ht="210" x14ac:dyDescent="0.25">
      <c r="B18" s="1733"/>
      <c r="D18" s="29">
        <v>16</v>
      </c>
      <c r="E18" s="24" t="s">
        <v>95</v>
      </c>
      <c r="F18" s="125"/>
      <c r="G18" s="24"/>
      <c r="H18" s="24"/>
      <c r="I18" s="25" t="s">
        <v>709</v>
      </c>
    </row>
    <row r="19" spans="2:9" ht="135" x14ac:dyDescent="0.25">
      <c r="B19" s="1733"/>
      <c r="D19" s="30">
        <v>17</v>
      </c>
      <c r="E19" s="10" t="s">
        <v>96</v>
      </c>
      <c r="F19" s="460">
        <f>(Inflow!C10)</f>
        <v>850.20267600000011</v>
      </c>
      <c r="G19" s="10"/>
      <c r="H19" s="10">
        <v>2012</v>
      </c>
      <c r="I19" s="16" t="s">
        <v>652</v>
      </c>
    </row>
    <row r="20" spans="2:9" x14ac:dyDescent="0.25">
      <c r="B20" s="1733"/>
      <c r="D20" s="30">
        <v>18</v>
      </c>
      <c r="E20" s="10" t="s">
        <v>97</v>
      </c>
      <c r="F20" s="126"/>
      <c r="G20" s="10"/>
      <c r="H20" s="10"/>
      <c r="I20" s="16"/>
    </row>
    <row r="21" spans="2:9" x14ac:dyDescent="0.25">
      <c r="B21" s="1733"/>
      <c r="D21" s="30">
        <v>19</v>
      </c>
      <c r="E21" s="10" t="s">
        <v>98</v>
      </c>
      <c r="F21" s="339"/>
      <c r="G21" s="342"/>
      <c r="H21" s="342"/>
      <c r="I21" s="16"/>
    </row>
    <row r="22" spans="2:9" ht="15.75" thickBot="1" x14ac:dyDescent="0.3">
      <c r="B22" s="1733"/>
      <c r="D22" s="31">
        <v>20</v>
      </c>
      <c r="E22" s="15" t="s">
        <v>99</v>
      </c>
      <c r="F22" s="127"/>
      <c r="G22" s="15"/>
      <c r="H22" s="15"/>
      <c r="I22" s="17"/>
    </row>
    <row r="23" spans="2:9" ht="270" x14ac:dyDescent="0.25">
      <c r="B23" s="1733"/>
      <c r="D23" s="29">
        <v>21</v>
      </c>
      <c r="E23" s="20" t="s">
        <v>927</v>
      </c>
      <c r="F23" s="559">
        <v>1636</v>
      </c>
      <c r="G23" s="20"/>
      <c r="H23" s="20"/>
      <c r="I23" s="21" t="s">
        <v>1039</v>
      </c>
    </row>
    <row r="24" spans="2:9" ht="90" x14ac:dyDescent="0.25">
      <c r="B24" s="1733"/>
      <c r="D24" s="30">
        <v>22</v>
      </c>
      <c r="E24" s="18" t="s">
        <v>100</v>
      </c>
      <c r="F24" s="454">
        <f>(('2012NWRMP'!J34)*70%)+(F23*70%)+(221*40%)</f>
        <v>4422.5199999999995</v>
      </c>
      <c r="G24" s="18"/>
      <c r="H24" s="18"/>
      <c r="I24" s="19" t="s">
        <v>1069</v>
      </c>
    </row>
    <row r="25" spans="2:9" ht="54.75" customHeight="1" x14ac:dyDescent="0.25">
      <c r="B25" s="1733"/>
      <c r="D25" s="30">
        <v>23</v>
      </c>
      <c r="E25" s="18" t="s">
        <v>101</v>
      </c>
      <c r="F25" s="454">
        <f>F24*5%</f>
        <v>221.12599999999998</v>
      </c>
      <c r="G25" s="18"/>
      <c r="H25" s="18"/>
      <c r="I25" s="19" t="s">
        <v>1045</v>
      </c>
    </row>
    <row r="26" spans="2:9" ht="409.5" x14ac:dyDescent="0.25">
      <c r="B26" s="1733"/>
      <c r="D26" s="30">
        <v>24</v>
      </c>
      <c r="E26" s="18" t="s">
        <v>102</v>
      </c>
      <c r="F26" s="454">
        <f>('2012NWRMP'!J34)*20%</f>
        <v>911.12000000000012</v>
      </c>
      <c r="G26" s="18"/>
      <c r="H26" s="18"/>
      <c r="I26" s="19" t="s">
        <v>741</v>
      </c>
    </row>
    <row r="27" spans="2:9" ht="45.75" thickBot="1" x14ac:dyDescent="0.3">
      <c r="B27" s="1734"/>
      <c r="D27" s="31">
        <v>25</v>
      </c>
      <c r="E27" s="22" t="s">
        <v>103</v>
      </c>
      <c r="F27" s="455">
        <f>('2012NWRMP'!J34)*80%</f>
        <v>3644.4800000000005</v>
      </c>
      <c r="G27" s="22"/>
      <c r="H27" s="22"/>
      <c r="I27" s="23" t="s">
        <v>742</v>
      </c>
    </row>
    <row r="28" spans="2:9" ht="60" x14ac:dyDescent="0.25">
      <c r="B28" s="1729" t="s">
        <v>79</v>
      </c>
      <c r="D28" s="29">
        <v>26</v>
      </c>
      <c r="E28" s="24" t="s">
        <v>104</v>
      </c>
      <c r="F28" s="1051">
        <f>SUM(PSUT_2015!AA12)/1000</f>
        <v>19.990074495677241</v>
      </c>
      <c r="G28" s="24"/>
      <c r="H28" s="24">
        <v>2012</v>
      </c>
      <c r="I28" s="25" t="s">
        <v>575</v>
      </c>
    </row>
    <row r="29" spans="2:9" ht="75" x14ac:dyDescent="0.25">
      <c r="B29" s="1730"/>
      <c r="D29" s="30">
        <v>27</v>
      </c>
      <c r="E29" s="10" t="s">
        <v>105</v>
      </c>
      <c r="F29" s="747">
        <f>SUM(PSUT_2015!AA13)/1000</f>
        <v>338.37413239742483</v>
      </c>
      <c r="G29" s="10"/>
      <c r="H29" s="10">
        <v>2012</v>
      </c>
      <c r="I29" s="16" t="s">
        <v>576</v>
      </c>
    </row>
    <row r="30" spans="2:9" x14ac:dyDescent="0.25">
      <c r="B30" s="1730"/>
      <c r="D30" s="30">
        <v>28</v>
      </c>
      <c r="E30" s="10" t="s">
        <v>106</v>
      </c>
      <c r="F30" s="747">
        <f>SUM(PSUT_2015!AA14,PSUT_2015!AA15)/1000</f>
        <v>293.05415155062633</v>
      </c>
      <c r="G30" s="10"/>
      <c r="H30" s="10">
        <v>2012</v>
      </c>
      <c r="I30" s="16" t="s">
        <v>166</v>
      </c>
    </row>
    <row r="31" spans="2:9" x14ac:dyDescent="0.25">
      <c r="B31" s="1730"/>
      <c r="D31" s="30">
        <v>29</v>
      </c>
      <c r="E31" s="10" t="s">
        <v>107</v>
      </c>
      <c r="F31" s="456"/>
      <c r="G31" s="10"/>
      <c r="H31" s="10"/>
      <c r="I31" s="16" t="s">
        <v>167</v>
      </c>
    </row>
    <row r="32" spans="2:9" ht="15.75" thickBot="1" x14ac:dyDescent="0.3">
      <c r="B32" s="1730"/>
      <c r="D32" s="31">
        <v>30</v>
      </c>
      <c r="E32" s="15" t="s">
        <v>108</v>
      </c>
      <c r="F32" s="1052">
        <f>SUM(PSUT_2015!AA16)/1000</f>
        <v>64.735292542432575</v>
      </c>
      <c r="G32" s="15"/>
      <c r="H32" s="15">
        <v>2012</v>
      </c>
      <c r="I32" s="17" t="s">
        <v>460</v>
      </c>
    </row>
    <row r="33" spans="2:9" ht="60" x14ac:dyDescent="0.25">
      <c r="B33" s="1730"/>
      <c r="D33" s="29">
        <v>31</v>
      </c>
      <c r="E33" s="20" t="s">
        <v>109</v>
      </c>
      <c r="F33" s="453">
        <f>+('Prec&amp;ET2012'!E290)/1000000</f>
        <v>1331.3619384852905</v>
      </c>
      <c r="G33" s="20"/>
      <c r="H33" s="20">
        <v>2012</v>
      </c>
      <c r="I33" s="21" t="s">
        <v>394</v>
      </c>
    </row>
    <row r="34" spans="2:9" ht="30" x14ac:dyDescent="0.25">
      <c r="B34" s="1730"/>
      <c r="D34" s="30">
        <v>32</v>
      </c>
      <c r="E34" s="18" t="s">
        <v>110</v>
      </c>
      <c r="F34" s="453">
        <f>+('Prec&amp;ET2012'!E291)/1000000</f>
        <v>53.046557999999997</v>
      </c>
      <c r="G34" s="18"/>
      <c r="H34" s="18">
        <v>2012</v>
      </c>
      <c r="I34" s="19" t="s">
        <v>395</v>
      </c>
    </row>
    <row r="35" spans="2:9" ht="33" customHeight="1" x14ac:dyDescent="0.25">
      <c r="B35" s="1730"/>
      <c r="D35" s="30">
        <v>33</v>
      </c>
      <c r="E35" s="18" t="s">
        <v>111</v>
      </c>
      <c r="F35" s="453">
        <f>+('Prec&amp;ET2012'!E292)/1000000</f>
        <v>15.980404289683745</v>
      </c>
      <c r="G35" s="18"/>
      <c r="H35" s="18">
        <v>2012</v>
      </c>
      <c r="I35" s="19" t="s">
        <v>396</v>
      </c>
    </row>
    <row r="36" spans="2:9" ht="180" x14ac:dyDescent="0.25">
      <c r="B36" s="1730"/>
      <c r="D36" s="30">
        <v>34</v>
      </c>
      <c r="E36" s="18" t="s">
        <v>1719</v>
      </c>
      <c r="F36" s="453">
        <f>+('Prec&amp;ET2012'!E294)/1000000</f>
        <v>20220.475299225025</v>
      </c>
      <c r="G36" s="18"/>
      <c r="H36" s="18">
        <v>2012</v>
      </c>
      <c r="I36" s="19" t="s">
        <v>606</v>
      </c>
    </row>
    <row r="37" spans="2:9" ht="15.75" thickBot="1" x14ac:dyDescent="0.3">
      <c r="B37" s="1730"/>
      <c r="D37" s="31">
        <v>35</v>
      </c>
      <c r="E37" s="22" t="s">
        <v>112</v>
      </c>
      <c r="F37" s="340"/>
      <c r="G37" s="341"/>
      <c r="H37" s="341"/>
      <c r="I37" s="17"/>
    </row>
    <row r="38" spans="2:9" ht="150" x14ac:dyDescent="0.25">
      <c r="B38" s="1730"/>
      <c r="D38" s="29">
        <v>36</v>
      </c>
      <c r="E38" s="24" t="s">
        <v>113</v>
      </c>
      <c r="F38" s="345">
        <v>0</v>
      </c>
      <c r="G38" s="346"/>
      <c r="H38" s="346"/>
      <c r="I38" s="25" t="s">
        <v>651</v>
      </c>
    </row>
    <row r="39" spans="2:9" ht="180" x14ac:dyDescent="0.25">
      <c r="B39" s="1730"/>
      <c r="D39" s="30">
        <v>37</v>
      </c>
      <c r="E39" s="10" t="s">
        <v>114</v>
      </c>
      <c r="F39" s="460">
        <f>+(Outflow!H14)</f>
        <v>6439.2872421415941</v>
      </c>
      <c r="G39" s="10"/>
      <c r="H39" s="10">
        <v>2012</v>
      </c>
      <c r="I39" s="16" t="s">
        <v>1065</v>
      </c>
    </row>
    <row r="40" spans="2:9" x14ac:dyDescent="0.25">
      <c r="B40" s="1730"/>
      <c r="D40" s="30">
        <v>38</v>
      </c>
      <c r="E40" s="10" t="s">
        <v>115</v>
      </c>
      <c r="F40" s="126"/>
      <c r="G40" s="10"/>
      <c r="H40" s="10"/>
      <c r="I40" s="16"/>
    </row>
    <row r="41" spans="2:9" x14ac:dyDescent="0.25">
      <c r="B41" s="1730"/>
      <c r="D41" s="30">
        <v>39</v>
      </c>
      <c r="E41" s="10" t="s">
        <v>116</v>
      </c>
      <c r="F41" s="343"/>
      <c r="G41" s="344"/>
      <c r="H41" s="344"/>
      <c r="I41" s="16"/>
    </row>
    <row r="42" spans="2:9" ht="15.75" thickBot="1" x14ac:dyDescent="0.3">
      <c r="B42" s="1730"/>
      <c r="D42" s="31">
        <v>40</v>
      </c>
      <c r="E42" s="15" t="s">
        <v>117</v>
      </c>
      <c r="F42" s="127"/>
      <c r="G42" s="15"/>
      <c r="H42" s="15"/>
      <c r="I42" s="17"/>
    </row>
    <row r="43" spans="2:9" x14ac:dyDescent="0.25">
      <c r="B43" s="1730"/>
      <c r="D43" s="29">
        <v>41</v>
      </c>
      <c r="E43" s="20" t="s">
        <v>118</v>
      </c>
      <c r="F43" s="345"/>
      <c r="G43" s="346"/>
      <c r="H43" s="346"/>
      <c r="I43" s="21"/>
    </row>
    <row r="44" spans="2:9" x14ac:dyDescent="0.25">
      <c r="B44" s="1730"/>
      <c r="D44" s="30">
        <v>42</v>
      </c>
      <c r="E44" s="18" t="s">
        <v>119</v>
      </c>
      <c r="F44" s="128"/>
      <c r="G44" s="18"/>
      <c r="H44" s="18"/>
      <c r="I44" s="19" t="s">
        <v>673</v>
      </c>
    </row>
    <row r="45" spans="2:9" x14ac:dyDescent="0.25">
      <c r="B45" s="1730"/>
      <c r="D45" s="30">
        <v>43</v>
      </c>
      <c r="E45" s="18" t="s">
        <v>120</v>
      </c>
      <c r="F45" s="128"/>
      <c r="G45" s="18"/>
      <c r="H45" s="18"/>
      <c r="I45" s="19" t="s">
        <v>673</v>
      </c>
    </row>
    <row r="46" spans="2:9" x14ac:dyDescent="0.25">
      <c r="B46" s="1730"/>
      <c r="D46" s="30">
        <v>44</v>
      </c>
      <c r="E46" s="18" t="s">
        <v>121</v>
      </c>
      <c r="F46" s="343"/>
      <c r="G46" s="344"/>
      <c r="H46" s="344"/>
      <c r="I46" s="19"/>
    </row>
    <row r="47" spans="2:9" ht="15.75" thickBot="1" x14ac:dyDescent="0.3">
      <c r="B47" s="1730"/>
      <c r="D47" s="31">
        <v>45</v>
      </c>
      <c r="E47" s="22" t="s">
        <v>122</v>
      </c>
      <c r="F47" s="129"/>
      <c r="G47" s="22"/>
      <c r="H47" s="22"/>
      <c r="I47" s="19" t="s">
        <v>673</v>
      </c>
    </row>
    <row r="48" spans="2:9" ht="195" x14ac:dyDescent="0.25">
      <c r="B48" s="1730"/>
      <c r="D48" s="29">
        <v>46</v>
      </c>
      <c r="E48" s="24" t="s">
        <v>123</v>
      </c>
      <c r="F48" s="457">
        <f>SUM(Asset_2015_Table!C5,Asset_2015_Table!C12)-SUM(Asset_2015_Table!C24,Asset_2015_Table!C15,Asset_2015_Table!C16)</f>
        <v>2837.7862699232355</v>
      </c>
      <c r="G48" s="24"/>
      <c r="H48" s="24"/>
      <c r="I48" s="25" t="s">
        <v>1064</v>
      </c>
    </row>
    <row r="49" spans="2:9" ht="45" x14ac:dyDescent="0.25">
      <c r="B49" s="1730"/>
      <c r="D49" s="30">
        <v>47</v>
      </c>
      <c r="E49" s="10" t="s">
        <v>124</v>
      </c>
      <c r="F49" s="563">
        <f>F23+F25</f>
        <v>1857.126</v>
      </c>
      <c r="G49" s="10"/>
      <c r="H49" s="10"/>
      <c r="I49" s="558" t="s">
        <v>740</v>
      </c>
    </row>
    <row r="50" spans="2:9" ht="141" customHeight="1" x14ac:dyDescent="0.25">
      <c r="B50" s="1730"/>
      <c r="D50" s="30">
        <v>48</v>
      </c>
      <c r="E50" s="10" t="s">
        <v>125</v>
      </c>
      <c r="F50" s="457">
        <f>(F25+F15)*40%</f>
        <v>131.10989716879851</v>
      </c>
      <c r="G50" s="10"/>
      <c r="H50" s="10"/>
      <c r="I50" s="16" t="s">
        <v>1046</v>
      </c>
    </row>
    <row r="51" spans="2:9" ht="180" x14ac:dyDescent="0.25">
      <c r="B51" s="1730"/>
      <c r="D51" s="30">
        <v>49</v>
      </c>
      <c r="E51" s="10" t="s">
        <v>126</v>
      </c>
      <c r="F51" s="747">
        <f>('2012NWRMP'!J34)+((Asset_2015_Table!F9-Asset_2015_Table!F16)*50%)</f>
        <v>8038.7183715698811</v>
      </c>
      <c r="G51" s="10"/>
      <c r="H51" s="10"/>
      <c r="I51" s="16" t="s">
        <v>1071</v>
      </c>
    </row>
    <row r="52" spans="2:9" ht="63" customHeight="1" thickBot="1" x14ac:dyDescent="0.3">
      <c r="B52" s="1731"/>
      <c r="D52" s="31">
        <v>50</v>
      </c>
      <c r="E52" s="15" t="s">
        <v>127</v>
      </c>
      <c r="F52" s="458">
        <f>(('2012NWRMP'!J34))*70%+'GW&amp;SOILW_2012'!A73*2%</f>
        <v>3399.8873800000001</v>
      </c>
      <c r="G52" s="15"/>
      <c r="H52" s="15"/>
      <c r="I52" s="17" t="s">
        <v>739</v>
      </c>
    </row>
    <row r="53" spans="2:9" ht="30" x14ac:dyDescent="0.25">
      <c r="B53" s="1732" t="s">
        <v>136</v>
      </c>
      <c r="D53" s="29">
        <v>51</v>
      </c>
      <c r="E53" s="20" t="s">
        <v>128</v>
      </c>
      <c r="F53" s="732">
        <f>F3+(Lakes!F68/1000000)</f>
        <v>257690.00067217631</v>
      </c>
      <c r="G53" s="20"/>
      <c r="H53" s="20"/>
      <c r="I53" s="21" t="s">
        <v>946</v>
      </c>
    </row>
    <row r="54" spans="2:9" x14ac:dyDescent="0.25">
      <c r="B54" s="1733"/>
      <c r="D54" s="30">
        <v>52</v>
      </c>
      <c r="E54" s="18" t="s">
        <v>129</v>
      </c>
      <c r="F54" s="733">
        <f>Asset_2015_Table!D24</f>
        <v>1264</v>
      </c>
      <c r="G54" s="18"/>
      <c r="H54" s="18"/>
      <c r="I54" s="19"/>
    </row>
    <row r="55" spans="2:9" ht="300" x14ac:dyDescent="0.25">
      <c r="B55" s="1733"/>
      <c r="D55" s="30">
        <v>53</v>
      </c>
      <c r="E55" s="18" t="s">
        <v>130</v>
      </c>
      <c r="F55" s="454">
        <f>Artificial_reserv!U112</f>
        <v>102.15046767529415</v>
      </c>
      <c r="G55" s="731"/>
      <c r="H55" s="18"/>
      <c r="I55" s="19" t="s">
        <v>944</v>
      </c>
    </row>
    <row r="56" spans="2:9" ht="75" x14ac:dyDescent="0.25">
      <c r="B56" s="1733"/>
      <c r="D56" s="30">
        <v>54</v>
      </c>
      <c r="E56" s="18" t="s">
        <v>131</v>
      </c>
      <c r="F56" s="123">
        <f>Asset_2015_Table!F24</f>
        <v>3388.8607500000003</v>
      </c>
      <c r="G56" s="18"/>
      <c r="H56" s="18"/>
      <c r="I56" s="19" t="s">
        <v>1047</v>
      </c>
    </row>
    <row r="57" spans="2:9" ht="120.75" thickBot="1" x14ac:dyDescent="0.3">
      <c r="B57" s="1734"/>
      <c r="D57" s="31">
        <v>55</v>
      </c>
      <c r="E57" s="22" t="s">
        <v>132</v>
      </c>
      <c r="F57" s="735">
        <f>'GW&amp;SOILW_2012'!A75</f>
        <v>62127</v>
      </c>
      <c r="G57" s="22"/>
      <c r="H57" s="22"/>
      <c r="I57" s="23" t="s">
        <v>1042</v>
      </c>
    </row>
    <row r="58" spans="2:9" x14ac:dyDescent="0.25">
      <c r="B58" s="1735"/>
      <c r="D58" s="30">
        <v>56</v>
      </c>
      <c r="E58" s="18" t="s">
        <v>546</v>
      </c>
      <c r="F58" s="734">
        <f>Asset_2015_Table!J9</f>
        <v>32027.008000000002</v>
      </c>
      <c r="G58" s="18"/>
      <c r="H58" s="18"/>
      <c r="I58" s="19" t="s">
        <v>1048</v>
      </c>
    </row>
    <row r="59" spans="2:9" x14ac:dyDescent="0.25">
      <c r="B59" s="1736"/>
      <c r="D59" s="30">
        <v>57</v>
      </c>
      <c r="E59" s="308" t="s">
        <v>547</v>
      </c>
      <c r="F59" s="324">
        <f>Asset_2015_Table!J16</f>
        <v>21620.8642</v>
      </c>
      <c r="G59" s="18"/>
      <c r="H59" s="18"/>
      <c r="I59" s="19" t="s">
        <v>1048</v>
      </c>
    </row>
    <row r="60" spans="2:9" ht="30" x14ac:dyDescent="0.25">
      <c r="B60" s="1736"/>
      <c r="D60" s="33">
        <v>58</v>
      </c>
      <c r="E60" s="18" t="s">
        <v>548</v>
      </c>
      <c r="F60" s="307">
        <f>Asset_2015_Table!J27</f>
        <v>10406.143800000002</v>
      </c>
      <c r="G60" s="26"/>
      <c r="H60" s="26"/>
      <c r="I60" s="27" t="s">
        <v>1049</v>
      </c>
    </row>
    <row r="61" spans="2:9" x14ac:dyDescent="0.25">
      <c r="B61" s="1736"/>
      <c r="D61" s="33">
        <v>59</v>
      </c>
      <c r="E61" s="18" t="s">
        <v>549</v>
      </c>
      <c r="F61" s="307">
        <f>Asset_2015_Table!K10</f>
        <v>850.20267600000011</v>
      </c>
      <c r="G61" s="26"/>
      <c r="H61" s="26"/>
      <c r="I61" s="27" t="s">
        <v>1048</v>
      </c>
    </row>
    <row r="62" spans="2:9" ht="15.75" thickBot="1" x14ac:dyDescent="0.3">
      <c r="B62" s="1737"/>
      <c r="D62" s="31">
        <v>60</v>
      </c>
      <c r="E62" s="22" t="s">
        <v>550</v>
      </c>
      <c r="F62" s="124">
        <f>Asset_2015_Table!K28</f>
        <v>11256.346476000002</v>
      </c>
      <c r="G62" s="22"/>
      <c r="H62" s="22"/>
      <c r="I62" s="23" t="s">
        <v>1048</v>
      </c>
    </row>
  </sheetData>
  <mergeCells count="5">
    <mergeCell ref="B3:B7"/>
    <mergeCell ref="B8:B27"/>
    <mergeCell ref="B28:B52"/>
    <mergeCell ref="B53:B57"/>
    <mergeCell ref="B58:B62"/>
  </mergeCells>
  <hyperlinks>
    <hyperlink ref="F4" location="Rivers!D4" display="Rivers!D4"/>
    <hyperlink ref="F3" location="Lakes!N61" display="Lakes!N61"/>
    <hyperlink ref="F5" location="Artificial_reserv!T112" display="Artificial_reserv!T112"/>
    <hyperlink ref="F6" location="'GW&amp;SOILW_2012'!A57" display="'GW&amp;SOILW_2012'!A57"/>
    <hyperlink ref="F7" location="'GW&amp;SOILW_2012'!A74" display="'GW&amp;SOILW_2012'!A74"/>
    <hyperlink ref="F8" location="PSUT_2012!AB16" display="PSUT_2012!AB16"/>
    <hyperlink ref="F9" location="PSUT_2012!AA12" display="PSUT_2012!AA12"/>
    <hyperlink ref="F10" location="PSUT_2012!AB16" display="PSUT_2012!AB16"/>
    <hyperlink ref="F11" location="PSUT_2012!AB16" display="PSUT_2012!AB16"/>
    <hyperlink ref="F12" location="PSUT_2012!AB16" display="PSUT_2012!AB16"/>
    <hyperlink ref="F13" location="'Prec&amp;ET2012'!E266" display="'Prec&amp;ET2012'!E266"/>
    <hyperlink ref="F14" location="'Prec&amp;ET2012'!E267" display="'Prec&amp;ET2012'!E267"/>
    <hyperlink ref="F15" location="'Prec&amp;ET2012'!E268" display="'Prec&amp;ET2012'!E268"/>
    <hyperlink ref="F16" location="'Prec&amp;ET2012'!D273" display="'Prec&amp;ET2012'!D273"/>
    <hyperlink ref="F19" location="Inflow!C11" display="Inflow!C11"/>
    <hyperlink ref="F24" location="'2012NWRMP'!J34" display="'2012NWRMP'!J34"/>
    <hyperlink ref="F25" location="'W-Assets_Data&amp;Method_2012'!F24" display="'W-Assets_Data&amp;Method_2012'!F24"/>
    <hyperlink ref="F26" location="'GW&amp;SOILW_2012'!A72" display="'GW&amp;SOILW_2012'!A72"/>
    <hyperlink ref="F27" location="'2012NWRMP'!J34" display="'2012NWRMP'!J34"/>
    <hyperlink ref="F28" location="PSUT_2012!AA12" display="PSUT_2012!AA12"/>
    <hyperlink ref="F29" location="PSUT_2012!AA13" display="PSUT_2012!AA13"/>
    <hyperlink ref="F30" location="PSUT_2012!AA14" display="PSUT_2012!AA14"/>
    <hyperlink ref="F32" location="PSUT_2012!AA16" display="PSUT_2012!AA16"/>
    <hyperlink ref="F33" location="'Prec&amp;ET2012'!E290" display="'Prec&amp;ET2012'!E290"/>
    <hyperlink ref="F34" location="'Prec&amp;ET2012'!E291" display="'Prec&amp;ET2012'!E291"/>
    <hyperlink ref="F35" location="'Prec&amp;ET2012'!E292" display="'Prec&amp;ET2012'!E292"/>
    <hyperlink ref="F36" location="'Prec&amp;ET2012'!E294" display="'Prec&amp;ET2012'!E294"/>
    <hyperlink ref="F39" location="Outflow!H14" display="Outflow!H14"/>
    <hyperlink ref="F50" location="'RBM&amp;E-2017_S'!P15" display="'RBM&amp;E-2017_S'!P15"/>
    <hyperlink ref="F51" location="'2012NWRMP'!J34" display="'2012NWRMP'!J34"/>
    <hyperlink ref="F52" location="'2012NWRMP'!J34" display="'2012NWRMP'!J34"/>
    <hyperlink ref="F55" location="Artificial_reserv!U112" display="Artificial_reserv!U112"/>
    <hyperlink ref="F53" location="Lakes!F68" display="Lakes!F68"/>
    <hyperlink ref="F57" location="'GW&amp;SOILW_2012'!A74" display="'GW&amp;SOILW_2012'!A74"/>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V52"/>
  <sheetViews>
    <sheetView zoomScale="120" zoomScaleNormal="120" workbookViewId="0">
      <pane ySplit="4" topLeftCell="A20" activePane="bottomLeft" state="frozen"/>
      <selection activeCell="B16" sqref="B16"/>
      <selection pane="bottomLeft" activeCell="M24" sqref="M24"/>
    </sheetView>
  </sheetViews>
  <sheetFormatPr defaultRowHeight="15" x14ac:dyDescent="0.25"/>
  <cols>
    <col min="1" max="1" width="1.42578125" customWidth="1"/>
    <col min="2" max="2" width="24.28515625" style="2" customWidth="1"/>
    <col min="3" max="3" width="13.7109375" style="2" customWidth="1"/>
    <col min="4" max="4" width="13.7109375" style="2" bestFit="1" customWidth="1"/>
    <col min="5" max="5" width="13.7109375" style="2" customWidth="1"/>
    <col min="6" max="8" width="10.28515625" style="2" customWidth="1"/>
    <col min="9" max="9" width="1.28515625" customWidth="1"/>
    <col min="10" max="11" width="12.7109375" style="2" customWidth="1"/>
    <col min="12" max="12" width="6.28515625" customWidth="1"/>
    <col min="13" max="14" width="9.85546875" customWidth="1"/>
    <col min="15" max="15" width="9" customWidth="1"/>
    <col min="16" max="16" width="11" customWidth="1"/>
    <col min="17" max="17" width="11.140625" customWidth="1"/>
    <col min="18" max="18" width="11.85546875" customWidth="1"/>
    <col min="22" max="16384" width="9.140625" style="2"/>
  </cols>
  <sheetData>
    <row r="1" spans="2:22" x14ac:dyDescent="0.25">
      <c r="B1" s="66" t="s">
        <v>1385</v>
      </c>
      <c r="C1" s="3"/>
      <c r="D1" s="3"/>
      <c r="E1" s="3"/>
      <c r="F1" s="3"/>
      <c r="G1" s="3"/>
      <c r="H1"/>
      <c r="J1"/>
      <c r="K1"/>
    </row>
    <row r="2" spans="2:22" customFormat="1" ht="3.75" customHeight="1" thickBot="1" x14ac:dyDescent="0.3"/>
    <row r="3" spans="2:22" ht="24.75" x14ac:dyDescent="0.25">
      <c r="B3" s="34" t="s">
        <v>69</v>
      </c>
      <c r="C3" s="1726" t="s">
        <v>49</v>
      </c>
      <c r="D3" s="1727"/>
      <c r="E3" s="1728"/>
      <c r="F3" s="366" t="s">
        <v>50</v>
      </c>
      <c r="G3" s="367" t="s">
        <v>51</v>
      </c>
      <c r="H3" s="363" t="s">
        <v>3</v>
      </c>
      <c r="I3" s="58"/>
      <c r="J3" s="365" t="s">
        <v>70</v>
      </c>
      <c r="K3" s="363" t="s">
        <v>71</v>
      </c>
      <c r="V3" s="6"/>
    </row>
    <row r="4" spans="2:22" ht="18" customHeight="1" thickBot="1" x14ac:dyDescent="0.3">
      <c r="B4" s="38"/>
      <c r="C4" s="370" t="s">
        <v>52</v>
      </c>
      <c r="D4" s="370" t="s">
        <v>68</v>
      </c>
      <c r="E4" s="370" t="s">
        <v>53</v>
      </c>
      <c r="F4" s="40"/>
      <c r="G4" s="41"/>
      <c r="H4" s="42"/>
      <c r="I4" s="58"/>
      <c r="J4" s="369"/>
      <c r="K4" s="372"/>
      <c r="V4" s="6"/>
    </row>
    <row r="5" spans="2:22" x14ac:dyDescent="0.25">
      <c r="B5" s="43" t="s">
        <v>54</v>
      </c>
      <c r="C5" s="130">
        <f>SUM(Asset_2015_Table!C5)</f>
        <v>256806.61475408886</v>
      </c>
      <c r="D5" s="130">
        <f>SUM(Asset_2015_Table!D5)</f>
        <v>1264</v>
      </c>
      <c r="E5" s="130">
        <f>SUM(Asset_2015_Table!E5)</f>
        <v>77.39732494588236</v>
      </c>
      <c r="F5" s="130">
        <f>SUM(Asset_2015_Table!F5)</f>
        <v>3388.8607500000003</v>
      </c>
      <c r="G5" s="130">
        <f>SUM(Asset_2015_Table!G5)</f>
        <v>62127</v>
      </c>
      <c r="H5" s="102">
        <f>SUM(C5:G5)</f>
        <v>323663.87282903475</v>
      </c>
      <c r="I5" s="58"/>
      <c r="J5" s="63"/>
      <c r="K5" s="50"/>
      <c r="V5" s="5"/>
    </row>
    <row r="6" spans="2:22" ht="3" customHeight="1" thickBot="1" x14ac:dyDescent="0.3">
      <c r="B6" s="59"/>
      <c r="C6" s="103"/>
      <c r="D6" s="103"/>
      <c r="E6" s="103"/>
      <c r="F6" s="103"/>
      <c r="G6" s="103"/>
      <c r="H6" s="104"/>
      <c r="I6" s="58"/>
      <c r="J6" s="439"/>
      <c r="K6" s="439"/>
      <c r="V6" s="4"/>
    </row>
    <row r="7" spans="2:22" ht="15.75" thickBot="1" x14ac:dyDescent="0.3">
      <c r="B7" s="52" t="s">
        <v>55</v>
      </c>
      <c r="C7" s="105"/>
      <c r="D7" s="105"/>
      <c r="E7" s="105"/>
      <c r="F7" s="105"/>
      <c r="G7" s="105"/>
      <c r="H7" s="106"/>
      <c r="I7" s="58"/>
      <c r="J7" s="56"/>
      <c r="K7" s="57"/>
      <c r="V7" s="4"/>
    </row>
    <row r="8" spans="2:22" x14ac:dyDescent="0.25">
      <c r="B8" s="51" t="s">
        <v>56</v>
      </c>
      <c r="C8" s="107">
        <f>SUM(Asset_2015_Table!C8,+(0))</f>
        <v>1.0026151113806254</v>
      </c>
      <c r="D8" s="107">
        <f>SUM(Asset_2015_Table!D8,+(0))</f>
        <v>350.91528898321883</v>
      </c>
      <c r="E8" s="107">
        <f>SUM(Asset_2015_Table!E8,+(0))</f>
        <v>0</v>
      </c>
      <c r="F8" s="107">
        <f>SUM(Asset_2015_Table!F8,+(0))</f>
        <v>148.13638270648738</v>
      </c>
      <c r="G8" s="107">
        <f>SUM(Asset_2015_Table!G8,+(0))</f>
        <v>1.2532688892257815</v>
      </c>
      <c r="H8" s="108">
        <f>SUM(C8:G8)</f>
        <v>501.30755569031265</v>
      </c>
      <c r="I8" s="58"/>
      <c r="J8" s="384"/>
      <c r="K8" s="385"/>
      <c r="V8" s="4"/>
    </row>
    <row r="9" spans="2:22" x14ac:dyDescent="0.25">
      <c r="B9" s="44" t="s">
        <v>48</v>
      </c>
      <c r="C9" s="109">
        <f>SUM(Asset_2015_Table!C9,+(0))</f>
        <v>2110.4427087490953</v>
      </c>
      <c r="D9" s="109">
        <f>SUM(Asset_2015_Table!D9,+(0))</f>
        <v>2623.2045059641218</v>
      </c>
      <c r="E9" s="109">
        <f>SUM(Asset_2015_Table!E9,+(0))</f>
        <v>106.6487429219963</v>
      </c>
      <c r="F9" s="109">
        <f>SUM(Asset_2015_Table!F9,+(0))</f>
        <v>27186.712042364787</v>
      </c>
      <c r="G9" s="254"/>
      <c r="H9" s="110">
        <f>SUM(C9:G9)</f>
        <v>32027.008000000002</v>
      </c>
      <c r="I9" s="58"/>
      <c r="J9" s="392">
        <f>+(H9)</f>
        <v>32027.008000000002</v>
      </c>
      <c r="K9" s="393">
        <f>+(H9)</f>
        <v>32027.008000000002</v>
      </c>
      <c r="V9" s="4"/>
    </row>
    <row r="10" spans="2:22" x14ac:dyDescent="0.25">
      <c r="B10" s="45" t="s">
        <v>57</v>
      </c>
      <c r="C10" s="109">
        <f>SUM(Asset_2015_Table!C10,+(0))</f>
        <v>0</v>
      </c>
      <c r="D10" s="111">
        <f>SUM(Asset_2015_Table!D10,+(0))</f>
        <v>850.20267600000011</v>
      </c>
      <c r="E10" s="109">
        <f>SUM(Asset_2015_Table!E10,+(0))</f>
        <v>0</v>
      </c>
      <c r="F10" s="254"/>
      <c r="G10" s="109">
        <f>SUM(Asset_2015_Table!G10,+(0))</f>
        <v>0</v>
      </c>
      <c r="H10" s="110">
        <f>SUM(C10:G10)</f>
        <v>850.20267600000011</v>
      </c>
      <c r="I10" s="58"/>
      <c r="J10" s="386"/>
      <c r="K10" s="393">
        <f>+(H10)</f>
        <v>850.20267600000011</v>
      </c>
      <c r="N10" s="400">
        <f>+H17/H10</f>
        <v>7.5738261286554609</v>
      </c>
      <c r="V10" s="4"/>
    </row>
    <row r="11" spans="2:22" x14ac:dyDescent="0.25">
      <c r="B11" s="44" t="s">
        <v>58</v>
      </c>
      <c r="C11" s="109">
        <f>SUM(Asset_2015_Table!C11,+(0))</f>
        <v>1636</v>
      </c>
      <c r="D11" s="109">
        <f>SUM(Asset_2015_Table!D11,+(438.6))</f>
        <v>4861.12</v>
      </c>
      <c r="E11" s="112">
        <f>SUM(Asset_2015_Table!E11,+(115.7))</f>
        <v>336.82599999999996</v>
      </c>
      <c r="F11" s="112">
        <f>SUM(Asset_2015_Table!F11,+(-0.5))</f>
        <v>910.62000000000012</v>
      </c>
      <c r="G11" s="112">
        <f>SUM(Asset_2015_Table!G11,+(0))</f>
        <v>3644.4800000000005</v>
      </c>
      <c r="H11" s="110">
        <f>SUM(C11:G11)</f>
        <v>11389.046</v>
      </c>
      <c r="I11" s="58"/>
      <c r="J11" s="386"/>
      <c r="K11" s="387"/>
      <c r="V11" s="4"/>
    </row>
    <row r="12" spans="2:22" x14ac:dyDescent="0.25">
      <c r="B12" s="46" t="s">
        <v>59</v>
      </c>
      <c r="C12" s="113">
        <f>SUM(C8:C11)</f>
        <v>3747.445323860476</v>
      </c>
      <c r="D12" s="113">
        <f>SUM(D8:D11)</f>
        <v>8685.4424709473406</v>
      </c>
      <c r="E12" s="113">
        <f>SUM(E8:E11)</f>
        <v>443.47474292199627</v>
      </c>
      <c r="F12" s="113">
        <f>SUM(F8:F11)</f>
        <v>28245.468425071274</v>
      </c>
      <c r="G12" s="113">
        <f>SUM(G8:G11)</f>
        <v>3645.7332688892261</v>
      </c>
      <c r="H12" s="110">
        <f>SUM(C12:G12)</f>
        <v>44767.564231690318</v>
      </c>
      <c r="I12" s="58"/>
      <c r="J12" s="351">
        <f>SUM(J8:J11)</f>
        <v>32027.008000000002</v>
      </c>
      <c r="K12" s="352">
        <f>SUM(K8:K11)</f>
        <v>32877.210676000002</v>
      </c>
      <c r="V12" s="4"/>
    </row>
    <row r="13" spans="2:22" customFormat="1" ht="6" customHeight="1" thickBot="1" x14ac:dyDescent="0.3">
      <c r="B13" s="59"/>
      <c r="C13" s="103"/>
      <c r="D13" s="103"/>
      <c r="E13" s="103"/>
      <c r="F13" s="103"/>
      <c r="G13" s="103"/>
      <c r="H13" s="104"/>
      <c r="I13" s="58"/>
      <c r="J13" s="353"/>
      <c r="K13" s="354"/>
    </row>
    <row r="14" spans="2:22" ht="15.75" thickBot="1" x14ac:dyDescent="0.3">
      <c r="B14" s="54" t="s">
        <v>60</v>
      </c>
      <c r="C14" s="114"/>
      <c r="D14" s="114"/>
      <c r="E14" s="114"/>
      <c r="F14" s="114"/>
      <c r="G14" s="114"/>
      <c r="H14" s="115"/>
      <c r="I14" s="58"/>
      <c r="J14" s="355"/>
      <c r="K14" s="356"/>
      <c r="V14" s="4"/>
    </row>
    <row r="15" spans="2:22" x14ac:dyDescent="0.25">
      <c r="B15" s="53" t="s">
        <v>61</v>
      </c>
      <c r="C15" s="109">
        <f>SUM(Asset_2015_Table!C15,+(0))</f>
        <v>19.990074495677241</v>
      </c>
      <c r="D15" s="107">
        <f>SUM(Asset_2015_Table!D15,+(0))</f>
        <v>338.37413239742483</v>
      </c>
      <c r="E15" s="107">
        <f>SUM(Asset_2015_Table!E15,+(0))</f>
        <v>293.05415155062633</v>
      </c>
      <c r="F15" s="107">
        <f>SUM(Asset_2015_Table!F15,+(0))</f>
        <v>0</v>
      </c>
      <c r="G15" s="107">
        <f>SUM(Asset_2015_Table!G15,+(0))</f>
        <v>64.735292542432575</v>
      </c>
      <c r="H15" s="116">
        <f t="shared" ref="H15:H20" si="0">SUM(C15:G15)</f>
        <v>716.15365098616098</v>
      </c>
      <c r="I15" s="58"/>
      <c r="J15" s="357"/>
      <c r="K15" s="358"/>
      <c r="M15" s="67"/>
      <c r="V15" s="4"/>
    </row>
    <row r="16" spans="2:22" x14ac:dyDescent="0.25">
      <c r="B16" s="48" t="s">
        <v>1718</v>
      </c>
      <c r="C16" s="109">
        <f>SUM(Asset_2015_Table!C16,+(0))</f>
        <v>1331.3619384852905</v>
      </c>
      <c r="D16" s="109">
        <f>SUM(Asset_2015_Table!D16,+(0))</f>
        <v>53.046557999999997</v>
      </c>
      <c r="E16" s="109">
        <f>SUM(Asset_2015_Table!E16,+(0))</f>
        <v>15.980404289683745</v>
      </c>
      <c r="F16" s="109">
        <f>SUM(Asset_2015_Table!F16,+(0))</f>
        <v>20220.475299225025</v>
      </c>
      <c r="G16" s="254"/>
      <c r="H16" s="110">
        <f t="shared" si="0"/>
        <v>21620.8642</v>
      </c>
      <c r="I16" s="58"/>
      <c r="J16" s="392">
        <f>+(H16)</f>
        <v>21620.8642</v>
      </c>
      <c r="K16" s="394">
        <f>+(H16)</f>
        <v>21620.8642</v>
      </c>
      <c r="V16" s="4"/>
    </row>
    <row r="17" spans="2:22" x14ac:dyDescent="0.25">
      <c r="B17" s="48" t="s">
        <v>65</v>
      </c>
      <c r="C17" s="254"/>
      <c r="D17" s="109">
        <f>SUM(Asset_2015_Table!D17,+(0))</f>
        <v>6439.2872421415941</v>
      </c>
      <c r="E17" s="109">
        <f>SUM(Asset_2015_Table!E17,+(0))</f>
        <v>0</v>
      </c>
      <c r="F17" s="254"/>
      <c r="G17" s="109">
        <f>SUM(Asset_2015_Table!G17,+(0))</f>
        <v>0</v>
      </c>
      <c r="H17" s="117">
        <f t="shared" si="0"/>
        <v>6439.2872421415941</v>
      </c>
      <c r="I17" s="58"/>
      <c r="J17" s="359"/>
      <c r="K17" s="360"/>
      <c r="V17" s="4"/>
    </row>
    <row r="18" spans="2:22" x14ac:dyDescent="0.25">
      <c r="B18" s="48" t="s">
        <v>66</v>
      </c>
      <c r="C18" s="254"/>
      <c r="D18" s="109">
        <f>SUM(Asset_2015_Table!D18,+(0))</f>
        <v>0</v>
      </c>
      <c r="E18" s="109">
        <f>SUM(Asset_2015_Table!E18,+(0))</f>
        <v>0</v>
      </c>
      <c r="F18" s="254"/>
      <c r="G18" s="109">
        <f>SUM(Asset_2015_Table!G18,+(0))</f>
        <v>0</v>
      </c>
      <c r="H18" s="117">
        <f t="shared" si="0"/>
        <v>0</v>
      </c>
      <c r="I18" s="58"/>
      <c r="J18" s="359"/>
      <c r="K18" s="360"/>
      <c r="V18" s="4"/>
    </row>
    <row r="19" spans="2:22" x14ac:dyDescent="0.25">
      <c r="B19" s="48" t="s">
        <v>67</v>
      </c>
      <c r="C19" s="109">
        <f>SUM(Asset_2015_Table!C19,+(0))</f>
        <v>2837.7862699232355</v>
      </c>
      <c r="D19" s="109">
        <f>SUM(Asset_2015_Table!D19,+(0))</f>
        <v>1857.126</v>
      </c>
      <c r="E19" s="109">
        <f>SUM(Asset_2015_Table!E19,+(-30))</f>
        <v>101.10989716879851</v>
      </c>
      <c r="F19" s="109">
        <f>SUM(Asset_2015_Table!F19,+(-(11)))</f>
        <v>8027.7183715698811</v>
      </c>
      <c r="G19" s="109">
        <f>SUM(Asset_2015_Table!G19,+(181))</f>
        <v>3580.8873800000001</v>
      </c>
      <c r="H19" s="117">
        <f t="shared" si="0"/>
        <v>16404.627918661914</v>
      </c>
      <c r="I19" s="58"/>
      <c r="J19" s="359"/>
      <c r="K19" s="360"/>
      <c r="V19" s="4"/>
    </row>
    <row r="20" spans="2:22" ht="15.75" thickBot="1" x14ac:dyDescent="0.3">
      <c r="B20" s="47" t="s">
        <v>63</v>
      </c>
      <c r="C20" s="118">
        <f>SUM(C15:C19)</f>
        <v>4189.1382829042032</v>
      </c>
      <c r="D20" s="118">
        <f>SUM(D15:D19)</f>
        <v>8687.8339325390189</v>
      </c>
      <c r="E20" s="118">
        <f>SUM(E15:E19)</f>
        <v>410.14445300910859</v>
      </c>
      <c r="F20" s="118">
        <f>SUM(F15:F19)</f>
        <v>28248.193670794906</v>
      </c>
      <c r="G20" s="118">
        <f>SUM(G15:G19)</f>
        <v>3645.6226725424326</v>
      </c>
      <c r="H20" s="117">
        <f t="shared" si="0"/>
        <v>45180.933011789675</v>
      </c>
      <c r="I20" s="58"/>
      <c r="J20" s="361">
        <f>SUM(J15:J19)</f>
        <v>21620.8642</v>
      </c>
      <c r="K20" s="362">
        <f>SUM(K15:K19)</f>
        <v>21620.8642</v>
      </c>
      <c r="V20" s="4"/>
    </row>
    <row r="21" spans="2:22" customFormat="1" ht="3" customHeight="1" x14ac:dyDescent="0.25">
      <c r="B21" s="59"/>
      <c r="C21" s="103"/>
      <c r="D21" s="103"/>
      <c r="E21" s="103"/>
      <c r="F21" s="103"/>
      <c r="G21" s="103"/>
      <c r="H21" s="104"/>
      <c r="I21" s="58"/>
      <c r="J21" s="439"/>
      <c r="K21" s="439"/>
    </row>
    <row r="22" spans="2:22" x14ac:dyDescent="0.25">
      <c r="B22" s="69" t="s">
        <v>72</v>
      </c>
      <c r="C22" s="119">
        <f>-SUM(C5,C12,-C20,-C24)</f>
        <v>0</v>
      </c>
      <c r="D22" s="119">
        <f>-SUM(D5,D12,-D20,-D24)</f>
        <v>2.3914615916783077</v>
      </c>
      <c r="E22" s="119">
        <f>-SUM(E5,E12,-E20,-E24)</f>
        <v>-8.577147183475887</v>
      </c>
      <c r="F22" s="119">
        <f>-SUM(F5,F12,-F20,-F24)</f>
        <v>2.7252457236322698</v>
      </c>
      <c r="G22" s="119">
        <f>-SUM(G5,G12,-G20,-G24)</f>
        <v>-0.11059634678531438</v>
      </c>
      <c r="H22" s="120">
        <f>SUM(C22:G22)</f>
        <v>-3.5710362149506238</v>
      </c>
      <c r="I22" s="58"/>
      <c r="J22" s="441"/>
      <c r="K22" s="441"/>
      <c r="V22" s="4"/>
    </row>
    <row r="23" spans="2:22" customFormat="1" ht="3" customHeight="1" x14ac:dyDescent="0.25">
      <c r="B23" s="59"/>
      <c r="C23" s="103"/>
      <c r="D23" s="103"/>
      <c r="E23" s="103"/>
      <c r="F23" s="103"/>
      <c r="G23" s="103"/>
      <c r="H23" s="104"/>
      <c r="I23" s="58"/>
      <c r="J23" s="441"/>
      <c r="K23" s="441"/>
    </row>
    <row r="24" spans="2:22" ht="15.75" thickBot="1" x14ac:dyDescent="0.3">
      <c r="B24" s="49" t="s">
        <v>64</v>
      </c>
      <c r="C24" s="121">
        <f>SUM(Asset_2015_Table!C24)</f>
        <v>256364.92179504514</v>
      </c>
      <c r="D24" s="121">
        <f>SUM(Asset_2015_Table!D24)</f>
        <v>1264</v>
      </c>
      <c r="E24" s="121">
        <f>SUM(Asset_2015_Table!E24)</f>
        <v>102.15046767529415</v>
      </c>
      <c r="F24" s="121">
        <f>SUM(Asset_2015_Table!F24)</f>
        <v>3388.8607500000003</v>
      </c>
      <c r="G24" s="121">
        <f>SUM(Asset_2015_Table!G24)</f>
        <v>62127</v>
      </c>
      <c r="H24" s="122">
        <f>SUM(C24:G24)</f>
        <v>323246.93301272043</v>
      </c>
      <c r="I24" s="58"/>
      <c r="J24" s="441"/>
      <c r="K24" s="441"/>
      <c r="V24" s="5"/>
    </row>
    <row r="25" spans="2:22" ht="15.75" thickBot="1" x14ac:dyDescent="0.3">
      <c r="B25" s="8"/>
      <c r="C25" s="9"/>
      <c r="D25" s="9"/>
      <c r="E25" s="9"/>
      <c r="F25" s="9"/>
      <c r="G25" s="9"/>
      <c r="H25" s="9"/>
      <c r="J25" s="441"/>
      <c r="K25" s="441"/>
      <c r="V25" s="5"/>
    </row>
    <row r="26" spans="2:22" ht="15.75" thickBot="1" x14ac:dyDescent="0.3">
      <c r="B26" s="8"/>
      <c r="C26" s="9"/>
      <c r="D26" s="9"/>
      <c r="E26" s="9"/>
      <c r="F26" s="9">
        <v>173</v>
      </c>
      <c r="G26" s="9"/>
      <c r="H26" s="9"/>
      <c r="J26" s="326" t="s">
        <v>607</v>
      </c>
      <c r="K26" s="327" t="s">
        <v>608</v>
      </c>
      <c r="V26" s="5"/>
    </row>
    <row r="27" spans="2:22" ht="15.75" thickBot="1" x14ac:dyDescent="0.3">
      <c r="B27" s="8"/>
      <c r="C27" s="9"/>
      <c r="D27" s="9"/>
      <c r="E27" s="9"/>
      <c r="F27" s="9"/>
      <c r="G27" s="9"/>
      <c r="H27" s="9"/>
      <c r="J27" s="403">
        <f>SUM(J12,-J20)</f>
        <v>10406.143800000002</v>
      </c>
      <c r="K27" s="442"/>
      <c r="V27" s="5"/>
    </row>
    <row r="28" spans="2:22" ht="15.75" thickBot="1" x14ac:dyDescent="0.3">
      <c r="B28" s="8"/>
      <c r="C28" s="9"/>
      <c r="D28" s="9"/>
      <c r="E28" s="9"/>
      <c r="F28" s="9"/>
      <c r="G28" s="9"/>
      <c r="H28" s="9"/>
      <c r="J28" s="325"/>
      <c r="K28" s="404">
        <f>SUM(K12,-K20)</f>
        <v>11256.346476000002</v>
      </c>
      <c r="V28" s="5"/>
    </row>
    <row r="29" spans="2:22" x14ac:dyDescent="0.25">
      <c r="H29" s="68"/>
    </row>
    <row r="30" spans="2:22" ht="15.75" thickBot="1" x14ac:dyDescent="0.3">
      <c r="B30" s="233" t="s">
        <v>947</v>
      </c>
      <c r="C30" s="233"/>
      <c r="D30" s="233"/>
      <c r="E30" s="233"/>
      <c r="F30" s="233"/>
      <c r="G30" s="233"/>
      <c r="H30" s="233"/>
      <c r="I30" s="232"/>
      <c r="J30" s="233"/>
      <c r="K30" s="233"/>
    </row>
    <row r="31" spans="2:22" ht="24.75" x14ac:dyDescent="0.25">
      <c r="B31" s="34" t="s">
        <v>69</v>
      </c>
      <c r="C31" s="1726" t="s">
        <v>49</v>
      </c>
      <c r="D31" s="1727"/>
      <c r="E31" s="1728"/>
      <c r="F31" s="35" t="s">
        <v>50</v>
      </c>
      <c r="G31" s="36" t="s">
        <v>51</v>
      </c>
      <c r="H31" s="37" t="s">
        <v>3</v>
      </c>
      <c r="I31" s="58"/>
      <c r="J31" s="61" t="s">
        <v>70</v>
      </c>
      <c r="K31" s="37" t="s">
        <v>71</v>
      </c>
    </row>
    <row r="32" spans="2:22" ht="17.25" thickBot="1" x14ac:dyDescent="0.3">
      <c r="B32" s="38"/>
      <c r="C32" s="39" t="s">
        <v>52</v>
      </c>
      <c r="D32" s="39" t="s">
        <v>68</v>
      </c>
      <c r="E32" s="39" t="s">
        <v>53</v>
      </c>
      <c r="F32" s="40"/>
      <c r="G32" s="41"/>
      <c r="H32" s="42"/>
      <c r="I32" s="58"/>
      <c r="J32" s="62"/>
      <c r="K32" s="42"/>
    </row>
    <row r="33" spans="2:11" x14ac:dyDescent="0.25">
      <c r="B33" s="43" t="s">
        <v>54</v>
      </c>
      <c r="C33" s="130">
        <f>SUM(C5,-Asset_2015_Table!C5)</f>
        <v>0</v>
      </c>
      <c r="D33" s="130">
        <f>SUM(D5,-Asset_2015_Table!D5)</f>
        <v>0</v>
      </c>
      <c r="E33" s="130">
        <f>SUM(E5,-Asset_2015_Table!E5)</f>
        <v>0</v>
      </c>
      <c r="F33" s="130">
        <f>SUM(F5,-Asset_2015_Table!F5)</f>
        <v>0</v>
      </c>
      <c r="G33" s="130">
        <f>SUM(G5,-Asset_2015_Table!G5)</f>
        <v>0</v>
      </c>
      <c r="H33" s="102">
        <f>SUM(H5,-Asset_2015_Table!H5)</f>
        <v>0</v>
      </c>
      <c r="I33" s="58"/>
      <c r="J33" s="347">
        <f>SUM(J5,-Asset_2015_Table!J5)</f>
        <v>0</v>
      </c>
      <c r="K33" s="348">
        <f>SUM(K5,-Asset_2015_Table!K5)</f>
        <v>0</v>
      </c>
    </row>
    <row r="34" spans="2:11" ht="15.75" thickBot="1" x14ac:dyDescent="0.3">
      <c r="B34" s="59"/>
      <c r="C34" s="103"/>
      <c r="D34" s="103"/>
      <c r="E34" s="103"/>
      <c r="F34" s="103"/>
      <c r="G34" s="103"/>
      <c r="H34" s="104"/>
      <c r="I34" s="58"/>
      <c r="J34" s="64"/>
      <c r="K34" s="60"/>
    </row>
    <row r="35" spans="2:11" ht="15.75" thickBot="1" x14ac:dyDescent="0.3">
      <c r="B35" s="52" t="s">
        <v>55</v>
      </c>
      <c r="C35" s="105"/>
      <c r="D35" s="105"/>
      <c r="E35" s="105"/>
      <c r="F35" s="105"/>
      <c r="G35" s="105"/>
      <c r="H35" s="106"/>
      <c r="I35" s="58"/>
      <c r="J35" s="56"/>
      <c r="K35" s="57"/>
    </row>
    <row r="36" spans="2:11" x14ac:dyDescent="0.25">
      <c r="B36" s="51" t="s">
        <v>56</v>
      </c>
      <c r="C36" s="107">
        <f>SUM(C8,-Asset_2015_Table!C8)</f>
        <v>0</v>
      </c>
      <c r="D36" s="107">
        <f>SUM(D8,-Asset_2015_Table!D8)</f>
        <v>0</v>
      </c>
      <c r="E36" s="107">
        <f>SUM(E8,-Asset_2015_Table!E8)</f>
        <v>0</v>
      </c>
      <c r="F36" s="107">
        <f>SUM(F8,-Asset_2015_Table!F8)</f>
        <v>0</v>
      </c>
      <c r="G36" s="107">
        <f>SUM(G8,-Asset_2015_Table!G8)</f>
        <v>0</v>
      </c>
      <c r="H36" s="108">
        <f>SUM(H8,-Asset_2015_Table!H8)</f>
        <v>0</v>
      </c>
      <c r="I36" s="58"/>
      <c r="J36" s="65"/>
      <c r="K36" s="55"/>
    </row>
    <row r="37" spans="2:11" x14ac:dyDescent="0.25">
      <c r="B37" s="44" t="s">
        <v>48</v>
      </c>
      <c r="C37" s="109">
        <f>SUM(C9,-Asset_2015_Table!C9)</f>
        <v>0</v>
      </c>
      <c r="D37" s="109">
        <f>SUM(D9,-Asset_2015_Table!D9)</f>
        <v>0</v>
      </c>
      <c r="E37" s="109">
        <f>SUM(E9,-Asset_2015_Table!E9)</f>
        <v>0</v>
      </c>
      <c r="F37" s="109">
        <f>SUM(F9,-Asset_2015_Table!F9)</f>
        <v>0</v>
      </c>
      <c r="G37" s="254"/>
      <c r="H37" s="110">
        <f>SUM(H9,-Asset_2015_Table!H9)</f>
        <v>0</v>
      </c>
      <c r="I37" s="58"/>
      <c r="J37" s="349">
        <f>SUM(J9,-Asset_2015_Table!J9)</f>
        <v>0</v>
      </c>
      <c r="K37" s="350">
        <f>SUM(K9,-Asset_2015_Table!K9)</f>
        <v>0</v>
      </c>
    </row>
    <row r="38" spans="2:11" x14ac:dyDescent="0.25">
      <c r="B38" s="45" t="s">
        <v>57</v>
      </c>
      <c r="C38" s="109">
        <f>SUM(C10,-Asset_2015_Table!C10)</f>
        <v>0</v>
      </c>
      <c r="D38" s="111">
        <f>SUM(D10,-Asset_2015_Table!D10)</f>
        <v>0</v>
      </c>
      <c r="E38" s="109">
        <f>SUM(E10,-Asset_2015_Table!E10)</f>
        <v>0</v>
      </c>
      <c r="F38" s="254"/>
      <c r="G38" s="109">
        <f>SUM(G10,-Asset_2015_Table!G10)</f>
        <v>0</v>
      </c>
      <c r="H38" s="110">
        <f>SUM(H10,-Asset_2015_Table!H10)</f>
        <v>0</v>
      </c>
      <c r="I38" s="58"/>
      <c r="J38" s="349"/>
      <c r="K38" s="350">
        <f>SUM(K10,-Asset_2015_Table!K10)</f>
        <v>0</v>
      </c>
    </row>
    <row r="39" spans="2:11" x14ac:dyDescent="0.25">
      <c r="B39" s="44" t="s">
        <v>58</v>
      </c>
      <c r="C39" s="109">
        <f>SUM(C11,-Asset_2015_Table!C11)</f>
        <v>0</v>
      </c>
      <c r="D39" s="109">
        <f>SUM(D11,-Asset_2015_Table!D11)</f>
        <v>438.60000000000036</v>
      </c>
      <c r="E39" s="112">
        <f>SUM(E11,-Asset_2015_Table!E11)</f>
        <v>115.69999999999999</v>
      </c>
      <c r="F39" s="112">
        <f>SUM(F11,-Asset_2015_Table!F11)</f>
        <v>-0.5</v>
      </c>
      <c r="G39" s="112">
        <f>SUM(G11,-Asset_2015_Table!G11)</f>
        <v>0</v>
      </c>
      <c r="H39" s="110">
        <f>SUM(H11,-Asset_2015_Table!H11)</f>
        <v>553.80000000000109</v>
      </c>
      <c r="I39" s="58"/>
      <c r="J39" s="349"/>
      <c r="K39" s="350"/>
    </row>
    <row r="40" spans="2:11" x14ac:dyDescent="0.25">
      <c r="B40" s="46" t="s">
        <v>59</v>
      </c>
      <c r="C40" s="113">
        <f>SUM(C12,-Asset_2015_Table!C12)</f>
        <v>0</v>
      </c>
      <c r="D40" s="113">
        <f>SUM(D12,-Asset_2015_Table!D12)</f>
        <v>438.60000000000036</v>
      </c>
      <c r="E40" s="113">
        <f>SUM(E12,-Asset_2015_Table!E12)</f>
        <v>115.69999999999999</v>
      </c>
      <c r="F40" s="113">
        <f>SUM(F12,-Asset_2015_Table!F12)</f>
        <v>-0.5</v>
      </c>
      <c r="G40" s="113">
        <f>SUM(G12,-Asset_2015_Table!G12)</f>
        <v>0</v>
      </c>
      <c r="H40" s="110">
        <f>SUM(H12,-Asset_2015_Table!H12)</f>
        <v>553.80000000000291</v>
      </c>
      <c r="I40" s="58"/>
      <c r="J40" s="351">
        <f>SUM(J12,-Asset_2015_Table!J12)</f>
        <v>0</v>
      </c>
      <c r="K40" s="352">
        <f>SUM(K12,-Asset_2015_Table!K12)</f>
        <v>0</v>
      </c>
    </row>
    <row r="41" spans="2:11" ht="15.75" thickBot="1" x14ac:dyDescent="0.3">
      <c r="B41" s="59"/>
      <c r="C41" s="103"/>
      <c r="D41" s="103"/>
      <c r="E41" s="103"/>
      <c r="F41" s="103"/>
      <c r="G41" s="103"/>
      <c r="H41" s="104"/>
      <c r="I41" s="58"/>
      <c r="J41" s="353"/>
      <c r="K41" s="354"/>
    </row>
    <row r="42" spans="2:11" ht="15.75" thickBot="1" x14ac:dyDescent="0.3">
      <c r="B42" s="54" t="s">
        <v>60</v>
      </c>
      <c r="C42" s="114"/>
      <c r="D42" s="114"/>
      <c r="E42" s="114"/>
      <c r="F42" s="114"/>
      <c r="G42" s="114"/>
      <c r="H42" s="115"/>
      <c r="I42" s="58"/>
      <c r="J42" s="355"/>
      <c r="K42" s="356"/>
    </row>
    <row r="43" spans="2:11" x14ac:dyDescent="0.25">
      <c r="B43" s="53" t="s">
        <v>61</v>
      </c>
      <c r="C43" s="109">
        <f>SUM(C15,-Asset_2015_Table!C15)</f>
        <v>0</v>
      </c>
      <c r="D43" s="107">
        <f>SUM(D15,-Asset_2015_Table!D15)</f>
        <v>0</v>
      </c>
      <c r="E43" s="107">
        <f>SUM(E15,-Asset_2015_Table!E15)</f>
        <v>0</v>
      </c>
      <c r="F43" s="107">
        <f>SUM(F15,-Asset_2015_Table!F15)</f>
        <v>0</v>
      </c>
      <c r="G43" s="107">
        <f>SUM(G15,-Asset_2015_Table!G15)</f>
        <v>0</v>
      </c>
      <c r="H43" s="116">
        <f>SUM(H15,-Asset_2015_Table!H15)</f>
        <v>0</v>
      </c>
      <c r="I43" s="58"/>
      <c r="J43" s="357"/>
      <c r="K43" s="358"/>
    </row>
    <row r="44" spans="2:11" x14ac:dyDescent="0.25">
      <c r="B44" s="48" t="s">
        <v>62</v>
      </c>
      <c r="C44" s="109">
        <f>SUM(C16,-Asset_2015_Table!C16)</f>
        <v>0</v>
      </c>
      <c r="D44" s="109">
        <f>SUM(D16,-Asset_2015_Table!D16)</f>
        <v>0</v>
      </c>
      <c r="E44" s="109">
        <f>SUM(E16,-Asset_2015_Table!E16)</f>
        <v>0</v>
      </c>
      <c r="F44" s="109">
        <f>SUM(F16,-Asset_2015_Table!F16)</f>
        <v>0</v>
      </c>
      <c r="G44" s="254"/>
      <c r="H44" s="110">
        <f>SUM(H16,-Asset_2015_Table!H16)</f>
        <v>0</v>
      </c>
      <c r="I44" s="58"/>
      <c r="J44" s="359">
        <f>SUM(J16,-Asset_2015_Table!J16)</f>
        <v>0</v>
      </c>
      <c r="K44" s="360">
        <f>SUM(K16,-Asset_2015_Table!K16)</f>
        <v>0</v>
      </c>
    </row>
    <row r="45" spans="2:11" x14ac:dyDescent="0.25">
      <c r="B45" s="48" t="s">
        <v>65</v>
      </c>
      <c r="C45" s="254"/>
      <c r="D45" s="109">
        <f>SUM(D17,-Asset_2015_Table!D17)</f>
        <v>0</v>
      </c>
      <c r="E45" s="109">
        <f>SUM(E17,-Asset_2015_Table!E17)</f>
        <v>0</v>
      </c>
      <c r="F45" s="254"/>
      <c r="G45" s="109">
        <f>SUM(G17,-Asset_2015_Table!G17)</f>
        <v>0</v>
      </c>
      <c r="H45" s="117">
        <f>SUM(H17,-Asset_2015_Table!H17)</f>
        <v>0</v>
      </c>
      <c r="I45" s="58"/>
      <c r="J45" s="359"/>
      <c r="K45" s="360"/>
    </row>
    <row r="46" spans="2:11" x14ac:dyDescent="0.25">
      <c r="B46" s="48" t="s">
        <v>66</v>
      </c>
      <c r="C46" s="254"/>
      <c r="D46" s="109">
        <f>SUM(D18,-Asset_2015_Table!D18)</f>
        <v>0</v>
      </c>
      <c r="E46" s="109">
        <f>SUM(E18,-Asset_2015_Table!E18)</f>
        <v>0</v>
      </c>
      <c r="F46" s="254"/>
      <c r="G46" s="109">
        <f>SUM(G18,-Asset_2015_Table!G18)</f>
        <v>0</v>
      </c>
      <c r="H46" s="117">
        <f>SUM(H18,-Asset_2015_Table!H18)</f>
        <v>0</v>
      </c>
      <c r="I46" s="58"/>
      <c r="J46" s="359"/>
      <c r="K46" s="360"/>
    </row>
    <row r="47" spans="2:11" x14ac:dyDescent="0.25">
      <c r="B47" s="48" t="s">
        <v>67</v>
      </c>
      <c r="C47" s="109">
        <f>SUM(C19,-Asset_2015_Table!C19)</f>
        <v>0</v>
      </c>
      <c r="D47" s="109">
        <f>SUM(D19,-Asset_2015_Table!D19)</f>
        <v>0</v>
      </c>
      <c r="E47" s="109">
        <f>SUM(E19,-Asset_2015_Table!E19)</f>
        <v>-30</v>
      </c>
      <c r="F47" s="109">
        <f>SUM(F19,-Asset_2015_Table!F19)</f>
        <v>-11</v>
      </c>
      <c r="G47" s="109">
        <f>SUM(G19,-Asset_2015_Table!G19)</f>
        <v>181</v>
      </c>
      <c r="H47" s="117">
        <f>SUM(H19,-Asset_2015_Table!H19)</f>
        <v>139.99999999999818</v>
      </c>
      <c r="I47" s="58"/>
      <c r="J47" s="359"/>
      <c r="K47" s="360"/>
    </row>
    <row r="48" spans="2:11" ht="15.75" thickBot="1" x14ac:dyDescent="0.3">
      <c r="B48" s="47" t="s">
        <v>63</v>
      </c>
      <c r="C48" s="118">
        <f>SUM(C20,-Asset_2015_Table!C20)</f>
        <v>0</v>
      </c>
      <c r="D48" s="118">
        <f>SUM(D20,-Asset_2015_Table!D20)</f>
        <v>0</v>
      </c>
      <c r="E48" s="118">
        <f>SUM(E20,-Asset_2015_Table!E20)</f>
        <v>-30</v>
      </c>
      <c r="F48" s="118">
        <f>SUM(F20,-Asset_2015_Table!F20)</f>
        <v>-11</v>
      </c>
      <c r="G48" s="118">
        <f>SUM(G20,-Asset_2015_Table!G20)</f>
        <v>181</v>
      </c>
      <c r="H48" s="117">
        <f>SUM(H20,-Asset_2015_Table!H20)</f>
        <v>140</v>
      </c>
      <c r="I48" s="58"/>
      <c r="J48" s="361">
        <f>SUM(J20,-Asset_2015_Table!J20)</f>
        <v>0</v>
      </c>
      <c r="K48" s="362">
        <f>SUM(K20,-Asset_2015_Table!K20)</f>
        <v>0</v>
      </c>
    </row>
    <row r="49" spans="2:9" x14ac:dyDescent="0.25">
      <c r="B49" s="59"/>
      <c r="C49" s="103"/>
      <c r="D49" s="103"/>
      <c r="E49" s="103"/>
      <c r="F49" s="103"/>
      <c r="G49" s="103"/>
      <c r="H49" s="104"/>
      <c r="I49" s="58"/>
    </row>
    <row r="50" spans="2:9" x14ac:dyDescent="0.25">
      <c r="B50" s="69" t="s">
        <v>72</v>
      </c>
      <c r="C50" s="119">
        <f>-SUM(C33,C40,-C48,-C52)</f>
        <v>0</v>
      </c>
      <c r="D50" s="119">
        <f>SUM(D22,-Asset_2015_Table!D22)</f>
        <v>-438.60000000000036</v>
      </c>
      <c r="E50" s="119">
        <f>SUM(E22,-Asset_2015_Table!E22)</f>
        <v>-145.69999999999999</v>
      </c>
      <c r="F50" s="119">
        <f>SUM(F22,-Asset_2015_Table!F22)</f>
        <v>-10.5</v>
      </c>
      <c r="G50" s="119">
        <f>SUM(G22,-Asset_2015_Table!G22)</f>
        <v>181</v>
      </c>
      <c r="H50" s="120">
        <f>SUM(H22,-Asset_2015_Table!H22)</f>
        <v>-413.8000000000003</v>
      </c>
      <c r="I50" s="58"/>
    </row>
    <row r="51" spans="2:9" x14ac:dyDescent="0.25">
      <c r="B51" s="59"/>
      <c r="C51" s="103"/>
      <c r="D51" s="103"/>
      <c r="E51" s="103"/>
      <c r="F51" s="103"/>
      <c r="G51" s="103"/>
      <c r="H51" s="104"/>
      <c r="I51" s="58"/>
    </row>
    <row r="52" spans="2:9" ht="15.75" thickBot="1" x14ac:dyDescent="0.3">
      <c r="B52" s="49" t="s">
        <v>64</v>
      </c>
      <c r="C52" s="121">
        <f>SUM(Asset_2015_Table!C49)</f>
        <v>0</v>
      </c>
      <c r="D52" s="121">
        <f>SUM(Asset_2015_Table!D49)</f>
        <v>0</v>
      </c>
      <c r="E52" s="121">
        <f>SUM(Asset_2015_Table!E49)</f>
        <v>0</v>
      </c>
      <c r="F52" s="121">
        <f>SUM(Asset_2015_Table!F49)</f>
        <v>0</v>
      </c>
      <c r="G52" s="121">
        <f>SUM(Asset_2015_Table!G49)</f>
        <v>0</v>
      </c>
      <c r="H52" s="122">
        <f>SUM(C52:G52)</f>
        <v>0</v>
      </c>
      <c r="I52" s="58"/>
    </row>
  </sheetData>
  <mergeCells count="2">
    <mergeCell ref="C3:E3"/>
    <mergeCell ref="C31:E31"/>
  </mergeCells>
  <hyperlinks>
    <hyperlink ref="J9" location="'W-Assets_Data&amp;Method_2012'!F58" display="'W-Assets_Data&amp;Method_2012'!F58"/>
    <hyperlink ref="J16" location="'W-Assets_Data&amp;Method_2012'!F59" display="'W-Assets_Data&amp;Method_2012'!F59"/>
    <hyperlink ref="K9" location="'W-Assets_Data&amp;Method_2012'!F58" display="'W-Assets_Data&amp;Method_2012'!F58"/>
    <hyperlink ref="K10" location="'W-Assets_Data&amp;Method_2012'!F61" display="'W-Assets_Data&amp;Method_2012'!F61"/>
    <hyperlink ref="K16" location="'W-Assets_Data&amp;Method_2012'!F59" display="'W-Assets_Data&amp;Method_2012'!F59"/>
    <hyperlink ref="J27" location="'W-Assets_Data&amp;Method_2012'!F60" display="'W-Assets_Data&amp;Method_2012'!F60"/>
    <hyperlink ref="K28" location="'W-Assets_Data&amp;Method_2012'!F62" display="'W-Assets_Data&amp;Method_2012'!F62"/>
  </hyperlink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2060"/>
    <pageSetUpPr fitToPage="1"/>
  </sheetPr>
  <dimension ref="A1:K605"/>
  <sheetViews>
    <sheetView topLeftCell="F1" workbookViewId="0">
      <pane ySplit="1" topLeftCell="A51" activePane="bottomLeft" state="frozen"/>
      <selection activeCell="K27" sqref="K27"/>
      <selection pane="bottomLeft" activeCell="H55" sqref="H55"/>
    </sheetView>
  </sheetViews>
  <sheetFormatPr defaultRowHeight="15" x14ac:dyDescent="0.25"/>
  <cols>
    <col min="1" max="1" width="1.85546875" customWidth="1"/>
    <col min="2" max="2" width="6.42578125" bestFit="1" customWidth="1"/>
    <col min="3" max="3" width="0.7109375" customWidth="1"/>
    <col min="4" max="4" width="5.5703125" bestFit="1" customWidth="1"/>
    <col min="5" max="5" width="11" customWidth="1"/>
    <col min="6" max="6" width="1" customWidth="1"/>
    <col min="7" max="7" width="71.7109375" bestFit="1" customWidth="1"/>
    <col min="8" max="8" width="10.7109375" bestFit="1" customWidth="1"/>
    <col min="9" max="9" width="15" customWidth="1"/>
    <col min="10" max="10" width="9.5703125" bestFit="1" customWidth="1"/>
    <col min="11" max="11" width="105.5703125" customWidth="1"/>
    <col min="12" max="12" width="10.140625" customWidth="1"/>
    <col min="13" max="13" width="8.85546875" customWidth="1"/>
  </cols>
  <sheetData>
    <row r="1" spans="2:11" ht="45.75" thickBot="1" x14ac:dyDescent="0.3">
      <c r="B1" s="98"/>
      <c r="D1" s="14" t="s">
        <v>147</v>
      </c>
      <c r="E1" s="84" t="s">
        <v>12</v>
      </c>
      <c r="G1" s="28" t="s">
        <v>133</v>
      </c>
      <c r="H1" s="12" t="s">
        <v>1339</v>
      </c>
      <c r="I1" s="12" t="s">
        <v>134</v>
      </c>
      <c r="J1" s="12" t="s">
        <v>135</v>
      </c>
      <c r="K1" s="13" t="s">
        <v>76</v>
      </c>
    </row>
    <row r="2" spans="2:11" ht="15" customHeight="1" x14ac:dyDescent="0.25">
      <c r="B2" s="1749" t="s">
        <v>11</v>
      </c>
      <c r="D2" s="1745" t="s">
        <v>15</v>
      </c>
      <c r="E2" s="1746" t="s">
        <v>148</v>
      </c>
      <c r="G2" s="86" t="s">
        <v>145</v>
      </c>
      <c r="H2" s="131">
        <f>SUM(H3:H4)</f>
        <v>13846587.983314097</v>
      </c>
      <c r="I2" s="87"/>
      <c r="J2" s="87"/>
      <c r="K2" s="88"/>
    </row>
    <row r="3" spans="2:11" x14ac:dyDescent="0.25">
      <c r="B3" s="1750"/>
      <c r="D3" s="1786"/>
      <c r="E3" s="1747"/>
      <c r="G3" s="30" t="s">
        <v>23</v>
      </c>
      <c r="H3" s="126">
        <f>+(H5)</f>
        <v>13846587.983314097</v>
      </c>
      <c r="I3" s="10"/>
      <c r="J3" s="10"/>
      <c r="K3" s="16" t="s">
        <v>170</v>
      </c>
    </row>
    <row r="4" spans="2:11" x14ac:dyDescent="0.25">
      <c r="B4" s="1750"/>
      <c r="D4" s="1786"/>
      <c r="E4" s="1747"/>
      <c r="G4" s="30" t="s">
        <v>24</v>
      </c>
      <c r="H4" s="126">
        <v>0</v>
      </c>
      <c r="I4" s="10"/>
      <c r="J4" s="10"/>
      <c r="K4" s="16"/>
    </row>
    <row r="5" spans="2:11" x14ac:dyDescent="0.25">
      <c r="B5" s="1750"/>
      <c r="D5" s="1786"/>
      <c r="E5" s="1747"/>
      <c r="G5" s="89" t="s">
        <v>146</v>
      </c>
      <c r="H5" s="132">
        <f>SUM(H6+H16)</f>
        <v>13846587.983314097</v>
      </c>
      <c r="I5" s="90"/>
      <c r="J5" s="90"/>
      <c r="K5" s="91"/>
    </row>
    <row r="6" spans="2:11" x14ac:dyDescent="0.25">
      <c r="B6" s="1750"/>
      <c r="D6" s="1786"/>
      <c r="E6" s="1747"/>
      <c r="G6" s="89" t="s">
        <v>25</v>
      </c>
      <c r="H6" s="132">
        <f>SUM(H7,H12,H15)</f>
        <v>13845780.983314097</v>
      </c>
      <c r="I6" s="90"/>
      <c r="J6" s="90"/>
      <c r="K6" s="91"/>
    </row>
    <row r="7" spans="2:11" x14ac:dyDescent="0.25">
      <c r="B7" s="1750"/>
      <c r="D7" s="1786"/>
      <c r="E7" s="1747"/>
      <c r="G7" s="89" t="s">
        <v>26</v>
      </c>
      <c r="H7" s="132">
        <f>SUM(H8:H11)</f>
        <v>213589.91369091149</v>
      </c>
      <c r="I7" s="90"/>
      <c r="J7" s="90"/>
      <c r="K7" s="91"/>
    </row>
    <row r="8" spans="2:11" ht="30" x14ac:dyDescent="0.25">
      <c r="B8" s="1750"/>
      <c r="D8" s="1786"/>
      <c r="E8" s="1747"/>
      <c r="G8" s="30" t="s">
        <v>27</v>
      </c>
      <c r="H8" s="747">
        <f>+('RBM&amp;E-2017_S'!W$30*7%)</f>
        <v>14950.074495677238</v>
      </c>
      <c r="I8" s="10"/>
      <c r="J8" s="10"/>
      <c r="K8" s="16" t="s">
        <v>1044</v>
      </c>
    </row>
    <row r="9" spans="2:11" ht="30" x14ac:dyDescent="0.25">
      <c r="B9" s="1750"/>
      <c r="D9" s="1786"/>
      <c r="E9" s="1747"/>
      <c r="G9" s="30" t="s">
        <v>28</v>
      </c>
      <c r="H9" s="747">
        <f>+('RBM&amp;E-2017_S'!W$30*58%)</f>
        <v>123872.04582132566</v>
      </c>
      <c r="I9" s="10"/>
      <c r="J9" s="10"/>
      <c r="K9" s="16" t="s">
        <v>1043</v>
      </c>
    </row>
    <row r="10" spans="2:11" ht="150" x14ac:dyDescent="0.25">
      <c r="B10" s="1750"/>
      <c r="D10" s="1786"/>
      <c r="E10" s="1747"/>
      <c r="G10" s="30" t="s">
        <v>29</v>
      </c>
      <c r="H10" s="747">
        <f>+('RBM&amp;E-2017_S'!W$30*25%)+('RBM&amp;E-2017_S'!W$34*60%)</f>
        <v>53410.544094369659</v>
      </c>
      <c r="I10" s="10"/>
      <c r="J10" s="10"/>
      <c r="K10" s="16" t="s">
        <v>1088</v>
      </c>
    </row>
    <row r="11" spans="2:11" ht="45" x14ac:dyDescent="0.25">
      <c r="B11" s="1750"/>
      <c r="D11" s="1786"/>
      <c r="E11" s="1747"/>
      <c r="G11" s="30" t="s">
        <v>30</v>
      </c>
      <c r="H11" s="747">
        <f>+('RBM&amp;E-2017_S'!W$30*10%)</f>
        <v>21357.249279538912</v>
      </c>
      <c r="I11" s="10"/>
      <c r="J11" s="10"/>
      <c r="K11" s="16" t="s">
        <v>1087</v>
      </c>
    </row>
    <row r="12" spans="2:11" x14ac:dyDescent="0.25">
      <c r="B12" s="1750"/>
      <c r="D12" s="1786"/>
      <c r="E12" s="1747"/>
      <c r="G12" s="89" t="s">
        <v>31</v>
      </c>
      <c r="H12" s="132">
        <f>SUM(H13:H14)</f>
        <v>13974.251190416202</v>
      </c>
      <c r="I12" s="90"/>
      <c r="J12" s="90"/>
      <c r="K12" s="91"/>
    </row>
    <row r="13" spans="2:11" ht="195" x14ac:dyDescent="0.25">
      <c r="B13" s="1750"/>
      <c r="D13" s="1786"/>
      <c r="E13" s="1747"/>
      <c r="G13" s="30" t="s">
        <v>640</v>
      </c>
      <c r="H13" s="126">
        <f>(5657.79959)*(75%*100%)</f>
        <v>4243.3496924999999</v>
      </c>
      <c r="I13" s="10"/>
      <c r="J13" s="10"/>
      <c r="K13" s="16" t="s">
        <v>1292</v>
      </c>
    </row>
    <row r="14" spans="2:11" ht="180" x14ac:dyDescent="0.25">
      <c r="B14" s="1750"/>
      <c r="D14" s="1786"/>
      <c r="E14" s="1747"/>
      <c r="G14" s="30" t="s">
        <v>641</v>
      </c>
      <c r="H14" s="747">
        <f>+('RBM&amp;E-2017_S'!W$33*25%)</f>
        <v>9730.9014979162021</v>
      </c>
      <c r="I14" s="10"/>
      <c r="J14" s="10"/>
      <c r="K14" s="16" t="s">
        <v>1293</v>
      </c>
    </row>
    <row r="15" spans="2:11" x14ac:dyDescent="0.25">
      <c r="B15" s="1750"/>
      <c r="D15" s="1786"/>
      <c r="E15" s="1747"/>
      <c r="G15" s="1043" t="s">
        <v>32</v>
      </c>
      <c r="H15" s="1566">
        <f>+('GW&amp;SOILW_2012'!AF20)</f>
        <v>13618216.818432769</v>
      </c>
      <c r="I15" s="1044"/>
      <c r="J15" s="1044"/>
      <c r="K15" s="1045"/>
    </row>
    <row r="16" spans="2:11" x14ac:dyDescent="0.25">
      <c r="B16" s="1750"/>
      <c r="D16" s="1786"/>
      <c r="E16" s="1747"/>
      <c r="G16" s="89" t="s">
        <v>33</v>
      </c>
      <c r="H16" s="132">
        <f>SUM(H17:H18)</f>
        <v>807</v>
      </c>
      <c r="I16" s="90"/>
      <c r="J16" s="90"/>
      <c r="K16" s="91"/>
    </row>
    <row r="17" spans="2:11" x14ac:dyDescent="0.25">
      <c r="B17" s="1750"/>
      <c r="D17" s="1786"/>
      <c r="E17" s="1747"/>
      <c r="G17" s="30" t="s">
        <v>34</v>
      </c>
      <c r="H17" s="126">
        <v>807</v>
      </c>
      <c r="I17" s="10"/>
      <c r="J17" s="10"/>
      <c r="K17" s="16" t="s">
        <v>1268</v>
      </c>
    </row>
    <row r="18" spans="2:11" x14ac:dyDescent="0.25">
      <c r="B18" s="1750"/>
      <c r="D18" s="1786"/>
      <c r="E18" s="1747"/>
      <c r="G18" s="30" t="s">
        <v>35</v>
      </c>
      <c r="H18" s="126">
        <v>0</v>
      </c>
      <c r="I18" s="10"/>
      <c r="J18" s="10"/>
      <c r="K18" s="16"/>
    </row>
    <row r="19" spans="2:11" ht="15.75" thickBot="1" x14ac:dyDescent="0.3">
      <c r="B19" s="1750"/>
      <c r="D19" s="1787"/>
      <c r="E19" s="1748"/>
      <c r="G19" s="1047" t="s">
        <v>36</v>
      </c>
      <c r="H19" s="1048">
        <v>90250</v>
      </c>
      <c r="I19" s="1049"/>
      <c r="J19" s="1049"/>
      <c r="K19" s="1050" t="s">
        <v>1268</v>
      </c>
    </row>
    <row r="20" spans="2:11" ht="15" customHeight="1" x14ac:dyDescent="0.25">
      <c r="B20" s="1750"/>
      <c r="D20" s="1745" t="s">
        <v>16</v>
      </c>
      <c r="E20" s="1746" t="s">
        <v>149</v>
      </c>
      <c r="G20" s="86" t="s">
        <v>145</v>
      </c>
      <c r="H20" s="131">
        <f>SUM(H21:H22)</f>
        <v>22449.851322900999</v>
      </c>
      <c r="I20" s="87"/>
      <c r="J20" s="87"/>
      <c r="K20" s="88"/>
    </row>
    <row r="21" spans="2:11" x14ac:dyDescent="0.25">
      <c r="B21" s="1750"/>
      <c r="D21" s="1786"/>
      <c r="E21" s="1747"/>
      <c r="G21" s="30" t="s">
        <v>23</v>
      </c>
      <c r="H21" s="126">
        <f>SUM(H23,-H22)</f>
        <v>22449.851322900999</v>
      </c>
      <c r="I21" s="10"/>
      <c r="J21" s="10"/>
      <c r="K21" s="16"/>
    </row>
    <row r="22" spans="2:11" x14ac:dyDescent="0.25">
      <c r="B22" s="1750"/>
      <c r="D22" s="1786"/>
      <c r="E22" s="1747"/>
      <c r="G22" s="30" t="s">
        <v>24</v>
      </c>
      <c r="H22" s="126">
        <v>0</v>
      </c>
      <c r="I22" s="10"/>
      <c r="J22" s="10"/>
      <c r="K22" s="16"/>
    </row>
    <row r="23" spans="2:11" x14ac:dyDescent="0.25">
      <c r="B23" s="1750"/>
      <c r="D23" s="1786"/>
      <c r="E23" s="1747"/>
      <c r="G23" s="89" t="s">
        <v>146</v>
      </c>
      <c r="H23" s="132">
        <f>SUM(H24+H34)</f>
        <v>22449.851322900999</v>
      </c>
      <c r="I23" s="90"/>
      <c r="J23" s="90"/>
      <c r="K23" s="91"/>
    </row>
    <row r="24" spans="2:11" x14ac:dyDescent="0.25">
      <c r="B24" s="1750"/>
      <c r="D24" s="1786"/>
      <c r="E24" s="1747"/>
      <c r="G24" s="89" t="s">
        <v>25</v>
      </c>
      <c r="H24" s="132">
        <f>SUM(H25,H30,H33)</f>
        <v>1090.051322901</v>
      </c>
      <c r="I24" s="90"/>
      <c r="J24" s="90"/>
      <c r="K24" s="91"/>
    </row>
    <row r="25" spans="2:11" x14ac:dyDescent="0.25">
      <c r="B25" s="1750"/>
      <c r="D25" s="1786"/>
      <c r="E25" s="1747"/>
      <c r="G25" s="89" t="s">
        <v>26</v>
      </c>
      <c r="H25" s="132">
        <f>SUM(H26:H29)</f>
        <v>1026.2631929010001</v>
      </c>
      <c r="I25" s="90"/>
      <c r="J25" s="90"/>
      <c r="K25" s="91"/>
    </row>
    <row r="26" spans="2:11" x14ac:dyDescent="0.25">
      <c r="B26" s="1750"/>
      <c r="D26" s="1786"/>
      <c r="E26" s="1747"/>
      <c r="G26" s="30" t="s">
        <v>27</v>
      </c>
      <c r="H26" s="126">
        <v>0</v>
      </c>
      <c r="I26" s="10"/>
      <c r="J26" s="10"/>
      <c r="K26" s="16"/>
    </row>
    <row r="27" spans="2:11" ht="30" x14ac:dyDescent="0.25">
      <c r="B27" s="1750"/>
      <c r="D27" s="1786"/>
      <c r="E27" s="1747"/>
      <c r="G27" s="30" t="s">
        <v>28</v>
      </c>
      <c r="H27" s="747">
        <f>+('RBM&amp;E-2017_S'!W$32*100%)</f>
        <v>1026.2631929010001</v>
      </c>
      <c r="I27" s="10"/>
      <c r="J27" s="10"/>
      <c r="K27" s="16" t="s">
        <v>1295</v>
      </c>
    </row>
    <row r="28" spans="2:11" x14ac:dyDescent="0.25">
      <c r="B28" s="1750"/>
      <c r="D28" s="1786"/>
      <c r="E28" s="1747"/>
      <c r="G28" s="30" t="s">
        <v>29</v>
      </c>
      <c r="H28" s="126">
        <v>0</v>
      </c>
      <c r="I28" s="10"/>
      <c r="J28" s="10"/>
      <c r="K28" s="16"/>
    </row>
    <row r="29" spans="2:11" x14ac:dyDescent="0.25">
      <c r="B29" s="1750"/>
      <c r="D29" s="1786"/>
      <c r="E29" s="1747"/>
      <c r="G29" s="30" t="s">
        <v>30</v>
      </c>
      <c r="H29" s="126">
        <v>0</v>
      </c>
      <c r="I29" s="10"/>
      <c r="J29" s="10"/>
      <c r="K29" s="16"/>
    </row>
    <row r="30" spans="2:11" ht="15" customHeight="1" x14ac:dyDescent="0.25">
      <c r="B30" s="1750"/>
      <c r="D30" s="1786"/>
      <c r="E30" s="1747"/>
      <c r="G30" s="89" t="s">
        <v>31</v>
      </c>
      <c r="H30" s="132">
        <v>63.788130000000002</v>
      </c>
      <c r="I30" s="90"/>
      <c r="J30" s="90"/>
      <c r="K30" s="91" t="s">
        <v>1318</v>
      </c>
    </row>
    <row r="31" spans="2:11" ht="15" customHeight="1" x14ac:dyDescent="0.25">
      <c r="B31" s="1750"/>
      <c r="D31" s="1786"/>
      <c r="E31" s="1747"/>
      <c r="G31" s="30" t="s">
        <v>640</v>
      </c>
      <c r="H31" s="126"/>
      <c r="I31" s="10"/>
      <c r="J31" s="10"/>
      <c r="K31" s="16"/>
    </row>
    <row r="32" spans="2:11" ht="15" customHeight="1" x14ac:dyDescent="0.25">
      <c r="B32" s="1750"/>
      <c r="D32" s="1786"/>
      <c r="E32" s="1747"/>
      <c r="G32" s="30" t="s">
        <v>641</v>
      </c>
      <c r="H32" s="126">
        <f>SUM(H30,-H31)</f>
        <v>63.788130000000002</v>
      </c>
      <c r="I32" s="10"/>
      <c r="J32" s="10"/>
      <c r="K32" s="16"/>
    </row>
    <row r="33" spans="2:11" x14ac:dyDescent="0.25">
      <c r="B33" s="1750"/>
      <c r="D33" s="1786"/>
      <c r="E33" s="1747"/>
      <c r="G33" s="1043" t="s">
        <v>32</v>
      </c>
      <c r="H33" s="1036">
        <v>0</v>
      </c>
      <c r="I33" s="1044"/>
      <c r="J33" s="1044"/>
      <c r="K33" s="1045"/>
    </row>
    <row r="34" spans="2:11" x14ac:dyDescent="0.25">
      <c r="B34" s="1750"/>
      <c r="D34" s="1786"/>
      <c r="E34" s="1747"/>
      <c r="G34" s="89" t="s">
        <v>33</v>
      </c>
      <c r="H34" s="132">
        <f>SUM(H35:H36)</f>
        <v>21359.8</v>
      </c>
      <c r="I34" s="90"/>
      <c r="J34" s="90"/>
      <c r="K34" s="91"/>
    </row>
    <row r="35" spans="2:11" x14ac:dyDescent="0.25">
      <c r="B35" s="1750"/>
      <c r="D35" s="1786"/>
      <c r="E35" s="1747"/>
      <c r="G35" s="30" t="s">
        <v>34</v>
      </c>
      <c r="H35" s="126">
        <v>21359.8</v>
      </c>
      <c r="I35" s="10"/>
      <c r="J35" s="10"/>
      <c r="K35" s="16" t="s">
        <v>1268</v>
      </c>
    </row>
    <row r="36" spans="2:11" x14ac:dyDescent="0.25">
      <c r="B36" s="1750"/>
      <c r="D36" s="1786"/>
      <c r="E36" s="1747"/>
      <c r="G36" s="30" t="s">
        <v>35</v>
      </c>
      <c r="H36" s="126">
        <v>0</v>
      </c>
      <c r="I36" s="10"/>
      <c r="J36" s="10"/>
      <c r="K36" s="16"/>
    </row>
    <row r="37" spans="2:11" ht="15.75" thickBot="1" x14ac:dyDescent="0.3">
      <c r="B37" s="1750"/>
      <c r="D37" s="1787"/>
      <c r="E37" s="1748"/>
      <c r="G37" s="1047" t="s">
        <v>36</v>
      </c>
      <c r="H37" s="1048">
        <v>0</v>
      </c>
      <c r="I37" s="1049"/>
      <c r="J37" s="1049"/>
      <c r="K37" s="1050"/>
    </row>
    <row r="38" spans="2:11" ht="15" customHeight="1" x14ac:dyDescent="0.25">
      <c r="B38" s="1750"/>
      <c r="D38" s="1745" t="s">
        <v>160</v>
      </c>
      <c r="E38" s="1746" t="s">
        <v>150</v>
      </c>
      <c r="G38" s="86" t="s">
        <v>145</v>
      </c>
      <c r="H38" s="131">
        <f>SUM(H39:H40)</f>
        <v>24551.455500526612</v>
      </c>
      <c r="I38" s="87"/>
      <c r="J38" s="87"/>
      <c r="K38" s="88"/>
    </row>
    <row r="39" spans="2:11" x14ac:dyDescent="0.25">
      <c r="B39" s="1750"/>
      <c r="D39" s="1786"/>
      <c r="E39" s="1747"/>
      <c r="G39" s="30" t="s">
        <v>23</v>
      </c>
      <c r="H39" s="126">
        <f>SUM(H41,-H40)</f>
        <v>24465.680500526611</v>
      </c>
      <c r="I39" s="10"/>
      <c r="J39" s="10"/>
      <c r="K39" s="16" t="s">
        <v>1268</v>
      </c>
    </row>
    <row r="40" spans="2:11" x14ac:dyDescent="0.25">
      <c r="B40" s="1750"/>
      <c r="D40" s="1786"/>
      <c r="E40" s="1747"/>
      <c r="G40" s="30" t="s">
        <v>24</v>
      </c>
      <c r="H40" s="126">
        <v>85.774999999999991</v>
      </c>
      <c r="I40" s="10"/>
      <c r="J40" s="10"/>
      <c r="K40" s="16" t="s">
        <v>1268</v>
      </c>
    </row>
    <row r="41" spans="2:11" x14ac:dyDescent="0.25">
      <c r="B41" s="1750"/>
      <c r="D41" s="1786"/>
      <c r="E41" s="1747"/>
      <c r="G41" s="89" t="s">
        <v>146</v>
      </c>
      <c r="H41" s="132">
        <f>SUM(H42+H52)</f>
        <v>24551.455500526612</v>
      </c>
      <c r="I41" s="90"/>
      <c r="J41" s="90"/>
      <c r="K41" s="91"/>
    </row>
    <row r="42" spans="2:11" x14ac:dyDescent="0.25">
      <c r="B42" s="1750"/>
      <c r="D42" s="1786"/>
      <c r="E42" s="1747"/>
      <c r="G42" s="89" t="s">
        <v>25</v>
      </c>
      <c r="H42" s="132">
        <f>SUM(H43,H48,H51)</f>
        <v>24523.255500526611</v>
      </c>
      <c r="I42" s="90"/>
      <c r="J42" s="90"/>
      <c r="K42" s="91"/>
    </row>
    <row r="43" spans="2:11" x14ac:dyDescent="0.25">
      <c r="B43" s="1750"/>
      <c r="D43" s="1786"/>
      <c r="E43" s="1747"/>
      <c r="G43" s="89" t="s">
        <v>26</v>
      </c>
      <c r="H43" s="132">
        <f>SUM(H44:H47)</f>
        <v>15398.58474661503</v>
      </c>
      <c r="I43" s="90"/>
      <c r="J43" s="90"/>
      <c r="K43" s="91"/>
    </row>
    <row r="44" spans="2:11" x14ac:dyDescent="0.25">
      <c r="B44" s="1750"/>
      <c r="D44" s="1786"/>
      <c r="E44" s="1747"/>
      <c r="G44" s="30" t="s">
        <v>27</v>
      </c>
      <c r="H44" s="126">
        <v>0</v>
      </c>
      <c r="I44" s="10"/>
      <c r="J44" s="10"/>
      <c r="K44" s="16"/>
    </row>
    <row r="45" spans="2:11" ht="45" x14ac:dyDescent="0.25">
      <c r="B45" s="1750"/>
      <c r="D45" s="1786"/>
      <c r="E45" s="1747"/>
      <c r="G45" s="30" t="s">
        <v>28</v>
      </c>
      <c r="H45" s="747">
        <f>+('RBM&amp;E-2017_S'!W$28*100%)+(0)</f>
        <v>11830.333295634638</v>
      </c>
      <c r="I45" s="10"/>
      <c r="J45" s="10"/>
      <c r="K45" s="16" t="s">
        <v>1308</v>
      </c>
    </row>
    <row r="46" spans="2:11" x14ac:dyDescent="0.25">
      <c r="B46" s="1750"/>
      <c r="D46" s="1786"/>
      <c r="E46" s="1747"/>
      <c r="G46" s="30" t="s">
        <v>29</v>
      </c>
      <c r="H46" s="126">
        <v>0</v>
      </c>
      <c r="I46" s="10"/>
      <c r="J46" s="10"/>
      <c r="K46" s="16"/>
    </row>
    <row r="47" spans="2:11" x14ac:dyDescent="0.25">
      <c r="B47" s="1750"/>
      <c r="D47" s="1786"/>
      <c r="E47" s="1747"/>
      <c r="G47" s="30" t="s">
        <v>30</v>
      </c>
      <c r="H47" s="747">
        <f>+('RBM&amp;E-2017_S'!W$31*50%)</f>
        <v>3568.2514509803923</v>
      </c>
      <c r="I47" s="10"/>
      <c r="J47" s="10"/>
      <c r="K47" s="16" t="s">
        <v>1310</v>
      </c>
    </row>
    <row r="48" spans="2:11" x14ac:dyDescent="0.25">
      <c r="B48" s="1750"/>
      <c r="D48" s="1786"/>
      <c r="E48" s="1747"/>
      <c r="G48" s="89" t="s">
        <v>31</v>
      </c>
      <c r="H48" s="1036">
        <f>SUM(H49:H50)</f>
        <v>9124.6707539115796</v>
      </c>
      <c r="I48" s="90"/>
      <c r="J48" s="90"/>
      <c r="K48" s="91" t="s">
        <v>1307</v>
      </c>
    </row>
    <row r="49" spans="2:11" ht="195" x14ac:dyDescent="0.25">
      <c r="B49" s="1750"/>
      <c r="D49" s="1786"/>
      <c r="E49" s="1747"/>
      <c r="G49" s="30" t="s">
        <v>640</v>
      </c>
      <c r="H49" s="747">
        <f>+('RBM&amp;E-2017_S'!W$27*30%)+('RBM&amp;E-2017_S'!W$31*25%)</f>
        <v>3448.1844292549031</v>
      </c>
      <c r="I49" s="10"/>
      <c r="J49" s="10"/>
      <c r="K49" s="16" t="s">
        <v>1309</v>
      </c>
    </row>
    <row r="50" spans="2:11" ht="195" x14ac:dyDescent="0.25">
      <c r="B50" s="1750"/>
      <c r="D50" s="1786"/>
      <c r="E50" s="1747"/>
      <c r="G50" s="30" t="s">
        <v>641</v>
      </c>
      <c r="H50" s="1080">
        <f>+('RBM&amp;E-2017_S'!W$33*10%)+('RBM&amp;E-2017_S'!W$31*25%)</f>
        <v>5676.4863246566765</v>
      </c>
      <c r="I50" s="10"/>
      <c r="J50" s="10"/>
      <c r="K50" s="16" t="s">
        <v>1294</v>
      </c>
    </row>
    <row r="51" spans="2:11" x14ac:dyDescent="0.25">
      <c r="B51" s="1750"/>
      <c r="D51" s="1786"/>
      <c r="E51" s="1747"/>
      <c r="G51" s="1043" t="s">
        <v>32</v>
      </c>
      <c r="H51" s="1036">
        <v>0</v>
      </c>
      <c r="I51" s="1044"/>
      <c r="J51" s="1044"/>
      <c r="K51" s="1045"/>
    </row>
    <row r="52" spans="2:11" x14ac:dyDescent="0.25">
      <c r="B52" s="1750"/>
      <c r="D52" s="1786"/>
      <c r="E52" s="1747"/>
      <c r="G52" s="89" t="s">
        <v>33</v>
      </c>
      <c r="H52" s="132">
        <f>SUM(H53:H54)</f>
        <v>28.2</v>
      </c>
      <c r="I52" s="90"/>
      <c r="J52" s="90"/>
      <c r="K52" s="91"/>
    </row>
    <row r="53" spans="2:11" x14ac:dyDescent="0.25">
      <c r="B53" s="1750"/>
      <c r="D53" s="1786"/>
      <c r="E53" s="1747"/>
      <c r="G53" s="30" t="s">
        <v>34</v>
      </c>
      <c r="H53" s="126">
        <v>28.2</v>
      </c>
      <c r="I53" s="10"/>
      <c r="J53" s="10"/>
      <c r="K53" s="16" t="s">
        <v>1268</v>
      </c>
    </row>
    <row r="54" spans="2:11" x14ac:dyDescent="0.25">
      <c r="B54" s="1750"/>
      <c r="D54" s="1786"/>
      <c r="E54" s="1747"/>
      <c r="G54" s="30" t="s">
        <v>35</v>
      </c>
      <c r="H54" s="126">
        <v>0</v>
      </c>
      <c r="I54" s="10"/>
      <c r="J54" s="10"/>
      <c r="K54" s="16"/>
    </row>
    <row r="55" spans="2:11" ht="15.75" thickBot="1" x14ac:dyDescent="0.3">
      <c r="B55" s="1750"/>
      <c r="D55" s="1787"/>
      <c r="E55" s="1748"/>
      <c r="G55" s="1047" t="s">
        <v>36</v>
      </c>
      <c r="H55" s="1048">
        <v>642763.78523033194</v>
      </c>
      <c r="I55" s="1049"/>
      <c r="J55" s="1049"/>
      <c r="K55" s="1050" t="s">
        <v>1268</v>
      </c>
    </row>
    <row r="56" spans="2:11" ht="15" customHeight="1" x14ac:dyDescent="0.25">
      <c r="B56" s="1750"/>
      <c r="D56" s="1739">
        <v>35</v>
      </c>
      <c r="E56" s="1746" t="s">
        <v>151</v>
      </c>
      <c r="G56" s="86" t="s">
        <v>145</v>
      </c>
      <c r="H56" s="131">
        <f>SUM(H57:H58)</f>
        <v>368457.53750127146</v>
      </c>
      <c r="I56" s="87"/>
      <c r="J56" s="87"/>
      <c r="K56" s="88"/>
    </row>
    <row r="57" spans="2:11" x14ac:dyDescent="0.25">
      <c r="B57" s="1750"/>
      <c r="D57" s="1788"/>
      <c r="E57" s="1747"/>
      <c r="G57" s="30" t="s">
        <v>23</v>
      </c>
      <c r="H57" s="126">
        <f>SUM(H59,-H58)</f>
        <v>368457.53750127146</v>
      </c>
      <c r="I57" s="10"/>
      <c r="J57" s="10"/>
      <c r="K57" s="16"/>
    </row>
    <row r="58" spans="2:11" x14ac:dyDescent="0.25">
      <c r="B58" s="1750"/>
      <c r="D58" s="1788"/>
      <c r="E58" s="1747"/>
      <c r="G58" s="30" t="s">
        <v>24</v>
      </c>
      <c r="H58" s="126">
        <v>0</v>
      </c>
      <c r="I58" s="10"/>
      <c r="J58" s="10"/>
      <c r="K58" s="16"/>
    </row>
    <row r="59" spans="2:11" x14ac:dyDescent="0.25">
      <c r="B59" s="1750"/>
      <c r="D59" s="1788"/>
      <c r="E59" s="1747"/>
      <c r="G59" s="89" t="s">
        <v>146</v>
      </c>
      <c r="H59" s="132">
        <f>SUM(H60+H70)</f>
        <v>368457.53750127146</v>
      </c>
      <c r="I59" s="90"/>
      <c r="J59" s="90"/>
      <c r="K59" s="91"/>
    </row>
    <row r="60" spans="2:11" x14ac:dyDescent="0.25">
      <c r="B60" s="1750"/>
      <c r="D60" s="1788"/>
      <c r="E60" s="1747"/>
      <c r="G60" s="89" t="s">
        <v>25</v>
      </c>
      <c r="H60" s="132">
        <f>SUM(H61,H66,H69)</f>
        <v>368457.53750127146</v>
      </c>
      <c r="I60" s="90"/>
      <c r="J60" s="90"/>
      <c r="K60" s="91"/>
    </row>
    <row r="61" spans="2:11" x14ac:dyDescent="0.25">
      <c r="B61" s="1750"/>
      <c r="D61" s="1788"/>
      <c r="E61" s="1747"/>
      <c r="G61" s="89" t="s">
        <v>26</v>
      </c>
      <c r="H61" s="132">
        <f>SUM(H62:H65)</f>
        <v>368457.53750127146</v>
      </c>
      <c r="I61" s="90"/>
      <c r="J61" s="90"/>
      <c r="K61" s="91"/>
    </row>
    <row r="62" spans="2:11" x14ac:dyDescent="0.25">
      <c r="B62" s="1750"/>
      <c r="D62" s="1788"/>
      <c r="E62" s="1747"/>
      <c r="G62" s="30" t="s">
        <v>27</v>
      </c>
      <c r="H62" s="126">
        <v>0</v>
      </c>
      <c r="I62" s="10"/>
      <c r="J62" s="10"/>
      <c r="K62" s="16"/>
    </row>
    <row r="63" spans="2:11" ht="90" x14ac:dyDescent="0.25">
      <c r="B63" s="1750"/>
      <c r="D63" s="1788"/>
      <c r="E63" s="1747"/>
      <c r="G63" s="30" t="s">
        <v>28</v>
      </c>
      <c r="H63" s="747">
        <f>+(('RBM&amp;E-2017_S'!W29)*100%)</f>
        <v>154885.04470588235</v>
      </c>
      <c r="I63" s="10"/>
      <c r="J63" s="10"/>
      <c r="K63" s="16" t="s">
        <v>1311</v>
      </c>
    </row>
    <row r="64" spans="2:11" ht="75" x14ac:dyDescent="0.25">
      <c r="B64" s="1750"/>
      <c r="D64" s="1788"/>
      <c r="E64" s="1747"/>
      <c r="G64" s="30" t="s">
        <v>29</v>
      </c>
      <c r="H64" s="747">
        <f>+(('RBM&amp;E-2017_S'!W30)*100%)</f>
        <v>213572.49279538909</v>
      </c>
      <c r="I64" s="10"/>
      <c r="J64" s="10"/>
      <c r="K64" s="16" t="s">
        <v>1312</v>
      </c>
    </row>
    <row r="65" spans="2:11" x14ac:dyDescent="0.25">
      <c r="B65" s="1750"/>
      <c r="D65" s="1788"/>
      <c r="E65" s="1747"/>
      <c r="G65" s="30" t="s">
        <v>30</v>
      </c>
      <c r="H65" s="1034">
        <v>0</v>
      </c>
      <c r="I65" s="10"/>
      <c r="J65" s="10"/>
      <c r="K65" s="16"/>
    </row>
    <row r="66" spans="2:11" x14ac:dyDescent="0.25">
      <c r="B66" s="1750"/>
      <c r="D66" s="1788"/>
      <c r="E66" s="1747"/>
      <c r="G66" s="89" t="s">
        <v>31</v>
      </c>
      <c r="H66" s="1036">
        <f>SUM(H67:H68)</f>
        <v>0</v>
      </c>
      <c r="I66" s="90"/>
      <c r="J66" s="90"/>
      <c r="K66" s="91"/>
    </row>
    <row r="67" spans="2:11" x14ac:dyDescent="0.25">
      <c r="B67" s="1750"/>
      <c r="D67" s="1788"/>
      <c r="E67" s="1747"/>
      <c r="G67" s="30" t="s">
        <v>640</v>
      </c>
      <c r="H67" s="747"/>
      <c r="I67" s="10"/>
      <c r="J67" s="10"/>
      <c r="K67" s="16"/>
    </row>
    <row r="68" spans="2:11" x14ac:dyDescent="0.25">
      <c r="B68" s="1750"/>
      <c r="D68" s="1788"/>
      <c r="E68" s="1747"/>
      <c r="G68" s="30" t="s">
        <v>641</v>
      </c>
      <c r="H68" s="126"/>
      <c r="I68" s="10"/>
      <c r="J68" s="10"/>
      <c r="K68" s="16"/>
    </row>
    <row r="69" spans="2:11" x14ac:dyDescent="0.25">
      <c r="B69" s="1750"/>
      <c r="D69" s="1788"/>
      <c r="E69" s="1747"/>
      <c r="G69" s="1043" t="s">
        <v>32</v>
      </c>
      <c r="H69" s="1036">
        <v>0</v>
      </c>
      <c r="I69" s="1044"/>
      <c r="J69" s="1044"/>
      <c r="K69" s="1045"/>
    </row>
    <row r="70" spans="2:11" x14ac:dyDescent="0.25">
      <c r="B70" s="1750"/>
      <c r="D70" s="1788"/>
      <c r="E70" s="1747"/>
      <c r="G70" s="89" t="s">
        <v>33</v>
      </c>
      <c r="H70" s="132">
        <f>SUM(H71:H72)</f>
        <v>0</v>
      </c>
      <c r="I70" s="90"/>
      <c r="J70" s="90"/>
      <c r="K70" s="91"/>
    </row>
    <row r="71" spans="2:11" x14ac:dyDescent="0.25">
      <c r="B71" s="1750"/>
      <c r="D71" s="1788"/>
      <c r="E71" s="1747"/>
      <c r="G71" s="30" t="s">
        <v>34</v>
      </c>
      <c r="H71" s="126">
        <v>0</v>
      </c>
      <c r="I71" s="10"/>
      <c r="J71" s="10"/>
      <c r="K71" s="16"/>
    </row>
    <row r="72" spans="2:11" x14ac:dyDescent="0.25">
      <c r="B72" s="1750"/>
      <c r="D72" s="1788"/>
      <c r="E72" s="1747"/>
      <c r="G72" s="30" t="s">
        <v>35</v>
      </c>
      <c r="H72" s="126">
        <v>0</v>
      </c>
      <c r="I72" s="10"/>
      <c r="J72" s="10"/>
      <c r="K72" s="16"/>
    </row>
    <row r="73" spans="2:11" ht="15.75" thickBot="1" x14ac:dyDescent="0.3">
      <c r="B73" s="1750"/>
      <c r="D73" s="1789"/>
      <c r="E73" s="1748"/>
      <c r="G73" s="1047" t="s">
        <v>36</v>
      </c>
      <c r="H73" s="1048">
        <v>0</v>
      </c>
      <c r="I73" s="1049"/>
      <c r="J73" s="1049"/>
      <c r="K73" s="1050"/>
    </row>
    <row r="74" spans="2:11" ht="15" customHeight="1" x14ac:dyDescent="0.25">
      <c r="B74" s="1750"/>
      <c r="D74" s="1745" t="s">
        <v>18</v>
      </c>
      <c r="E74" s="1746" t="s">
        <v>152</v>
      </c>
      <c r="G74" s="86" t="s">
        <v>145</v>
      </c>
      <c r="H74" s="131">
        <f>SUM(H75:H76)</f>
        <v>53807.900497512441</v>
      </c>
      <c r="I74" s="87"/>
      <c r="J74" s="87"/>
      <c r="K74" s="88"/>
    </row>
    <row r="75" spans="2:11" x14ac:dyDescent="0.25">
      <c r="B75" s="1750"/>
      <c r="D75" s="1786"/>
      <c r="E75" s="1747"/>
      <c r="G75" s="30" t="s">
        <v>23</v>
      </c>
      <c r="H75" s="126">
        <v>3212.9128000000001</v>
      </c>
      <c r="I75" s="10"/>
      <c r="J75" s="10"/>
      <c r="K75" s="16" t="s">
        <v>1296</v>
      </c>
    </row>
    <row r="76" spans="2:11" ht="195" x14ac:dyDescent="0.25">
      <c r="B76" s="1750"/>
      <c r="D76" s="1786"/>
      <c r="E76" s="1747"/>
      <c r="G76" s="30" t="s">
        <v>24</v>
      </c>
      <c r="H76" s="747">
        <f>+('RBM&amp;E-2017_S'!W$35*100%)-(3212.9128)</f>
        <v>50594.987697512443</v>
      </c>
      <c r="I76" s="10"/>
      <c r="J76" s="10"/>
      <c r="K76" s="16" t="s">
        <v>1297</v>
      </c>
    </row>
    <row r="77" spans="2:11" ht="195" x14ac:dyDescent="0.25">
      <c r="B77" s="1750"/>
      <c r="D77" s="1786"/>
      <c r="E77" s="1747"/>
      <c r="G77" s="89" t="s">
        <v>146</v>
      </c>
      <c r="H77" s="132">
        <f>SUM(H78+H88)</f>
        <v>53807.900497512448</v>
      </c>
      <c r="I77" s="90"/>
      <c r="J77" s="90"/>
      <c r="K77" s="91" t="s">
        <v>1298</v>
      </c>
    </row>
    <row r="78" spans="2:11" x14ac:dyDescent="0.25">
      <c r="B78" s="1750"/>
      <c r="D78" s="1786"/>
      <c r="E78" s="1747"/>
      <c r="G78" s="89" t="s">
        <v>25</v>
      </c>
      <c r="H78" s="132">
        <f>SUM(H79,H84,H87)</f>
        <v>53807.900497512448</v>
      </c>
      <c r="I78" s="90"/>
      <c r="J78" s="90"/>
      <c r="K78" s="91"/>
    </row>
    <row r="79" spans="2:11" x14ac:dyDescent="0.25">
      <c r="B79" s="1750"/>
      <c r="D79" s="1786"/>
      <c r="E79" s="1747"/>
      <c r="G79" s="89" t="s">
        <v>26</v>
      </c>
      <c r="H79" s="132">
        <f>SUM(H80:H83)</f>
        <v>41642.371781681206</v>
      </c>
      <c r="I79" s="90"/>
      <c r="J79" s="90"/>
      <c r="K79" s="91"/>
    </row>
    <row r="80" spans="2:11" ht="30" x14ac:dyDescent="0.25">
      <c r="B80" s="1750"/>
      <c r="D80" s="1786"/>
      <c r="E80" s="1747"/>
      <c r="G80" s="30" t="s">
        <v>27</v>
      </c>
      <c r="H80" s="126">
        <v>0</v>
      </c>
      <c r="I80" s="10"/>
      <c r="J80" s="10"/>
      <c r="K80" s="16" t="s">
        <v>503</v>
      </c>
    </row>
    <row r="81" spans="2:11" ht="75" x14ac:dyDescent="0.25">
      <c r="B81" s="1750"/>
      <c r="D81" s="1786"/>
      <c r="E81" s="1747"/>
      <c r="G81" s="30" t="s">
        <v>28</v>
      </c>
      <c r="H81" s="747">
        <f>+('RBM&amp;E-2017_S'!W$35*(31092229.6/40175607.8))</f>
        <v>41642.371781681206</v>
      </c>
      <c r="I81" s="10"/>
      <c r="J81" s="10"/>
      <c r="K81" s="16" t="s">
        <v>1299</v>
      </c>
    </row>
    <row r="82" spans="2:11" x14ac:dyDescent="0.25">
      <c r="B82" s="1750"/>
      <c r="D82" s="1786"/>
      <c r="E82" s="1747"/>
      <c r="G82" s="30" t="s">
        <v>29</v>
      </c>
      <c r="H82" s="126">
        <v>0</v>
      </c>
      <c r="I82" s="10"/>
      <c r="J82" s="10"/>
      <c r="K82" s="16"/>
    </row>
    <row r="83" spans="2:11" x14ac:dyDescent="0.25">
      <c r="B83" s="1750"/>
      <c r="D83" s="1786"/>
      <c r="E83" s="1747"/>
      <c r="G83" s="30" t="s">
        <v>30</v>
      </c>
      <c r="H83" s="126">
        <v>0</v>
      </c>
      <c r="I83" s="10"/>
      <c r="J83" s="10"/>
      <c r="K83" s="16"/>
    </row>
    <row r="84" spans="2:11" ht="120" x14ac:dyDescent="0.25">
      <c r="B84" s="1750"/>
      <c r="D84" s="1786"/>
      <c r="E84" s="1747"/>
      <c r="G84" s="89" t="s">
        <v>31</v>
      </c>
      <c r="H84" s="747">
        <f>+('RBM&amp;E-2017_S'!W$35*(9083378.2/40175607.8))</f>
        <v>12165.528715831242</v>
      </c>
      <c r="I84" s="90"/>
      <c r="J84" s="90"/>
      <c r="K84" s="91" t="s">
        <v>1319</v>
      </c>
    </row>
    <row r="85" spans="2:11" x14ac:dyDescent="0.25">
      <c r="B85" s="1750"/>
      <c r="D85" s="1786"/>
      <c r="E85" s="1747"/>
      <c r="G85" s="30" t="s">
        <v>640</v>
      </c>
      <c r="H85" s="1034"/>
      <c r="I85" s="10"/>
      <c r="J85" s="10"/>
      <c r="K85" s="16" t="s">
        <v>1316</v>
      </c>
    </row>
    <row r="86" spans="2:11" x14ac:dyDescent="0.25">
      <c r="B86" s="1750"/>
      <c r="D86" s="1786"/>
      <c r="E86" s="1747"/>
      <c r="G86" s="30" t="s">
        <v>641</v>
      </c>
      <c r="H86" s="126">
        <f>SUM(H84,-H85)</f>
        <v>12165.528715831242</v>
      </c>
      <c r="I86" s="10"/>
      <c r="J86" s="10"/>
      <c r="K86" s="16" t="s">
        <v>1316</v>
      </c>
    </row>
    <row r="87" spans="2:11" x14ac:dyDescent="0.25">
      <c r="B87" s="1750"/>
      <c r="D87" s="1786"/>
      <c r="E87" s="1747"/>
      <c r="G87" s="1043" t="s">
        <v>32</v>
      </c>
      <c r="H87" s="1036">
        <v>0</v>
      </c>
      <c r="I87" s="1044"/>
      <c r="J87" s="1044"/>
      <c r="K87" s="1045"/>
    </row>
    <row r="88" spans="2:11" x14ac:dyDescent="0.25">
      <c r="B88" s="1750"/>
      <c r="D88" s="1786"/>
      <c r="E88" s="1747"/>
      <c r="G88" s="89" t="s">
        <v>33</v>
      </c>
      <c r="H88" s="132">
        <f>SUM(H89:H90)</f>
        <v>0</v>
      </c>
      <c r="I88" s="90"/>
      <c r="J88" s="90"/>
      <c r="K88" s="91"/>
    </row>
    <row r="89" spans="2:11" x14ac:dyDescent="0.25">
      <c r="B89" s="1750"/>
      <c r="D89" s="1786"/>
      <c r="E89" s="1747"/>
      <c r="G89" s="30" t="s">
        <v>34</v>
      </c>
      <c r="H89" s="126">
        <v>0</v>
      </c>
      <c r="I89" s="10"/>
      <c r="J89" s="10"/>
      <c r="K89" s="16"/>
    </row>
    <row r="90" spans="2:11" x14ac:dyDescent="0.25">
      <c r="B90" s="1750"/>
      <c r="D90" s="1786"/>
      <c r="E90" s="1747"/>
      <c r="G90" s="30" t="s">
        <v>35</v>
      </c>
      <c r="H90" s="126">
        <v>0</v>
      </c>
      <c r="I90" s="10"/>
      <c r="J90" s="10"/>
      <c r="K90" s="16"/>
    </row>
    <row r="91" spans="2:11" ht="15.75" thickBot="1" x14ac:dyDescent="0.3">
      <c r="B91" s="1750"/>
      <c r="D91" s="1787"/>
      <c r="E91" s="1748"/>
      <c r="G91" s="1047" t="s">
        <v>36</v>
      </c>
      <c r="H91" s="1048">
        <v>0</v>
      </c>
      <c r="I91" s="1049"/>
      <c r="J91" s="1049"/>
      <c r="K91" s="1050"/>
    </row>
    <row r="92" spans="2:11" ht="15" customHeight="1" x14ac:dyDescent="0.25">
      <c r="B92" s="1750"/>
      <c r="D92" s="1745"/>
      <c r="E92" s="1742" t="s">
        <v>615</v>
      </c>
      <c r="G92" s="86" t="s">
        <v>145</v>
      </c>
      <c r="H92" s="131">
        <f>SUM(H93:H94)</f>
        <v>0</v>
      </c>
      <c r="I92" s="87"/>
      <c r="J92" s="87"/>
      <c r="K92" s="88"/>
    </row>
    <row r="93" spans="2:11" x14ac:dyDescent="0.25">
      <c r="B93" s="1750"/>
      <c r="D93" s="1786"/>
      <c r="E93" s="1743"/>
      <c r="G93" s="30" t="s">
        <v>23</v>
      </c>
      <c r="H93" s="126"/>
      <c r="I93" s="10"/>
      <c r="J93" s="10"/>
      <c r="K93" s="16"/>
    </row>
    <row r="94" spans="2:11" x14ac:dyDescent="0.25">
      <c r="B94" s="1750"/>
      <c r="D94" s="1786"/>
      <c r="E94" s="1743"/>
      <c r="G94" s="30" t="s">
        <v>24</v>
      </c>
      <c r="H94" s="126"/>
      <c r="I94" s="10"/>
      <c r="J94" s="10"/>
      <c r="K94" s="16"/>
    </row>
    <row r="95" spans="2:11" x14ac:dyDescent="0.25">
      <c r="B95" s="1750"/>
      <c r="D95" s="1786"/>
      <c r="E95" s="1743"/>
      <c r="G95" s="89" t="s">
        <v>146</v>
      </c>
      <c r="H95" s="132">
        <f>SUM(H96+H106)</f>
        <v>0</v>
      </c>
      <c r="I95" s="90"/>
      <c r="J95" s="90"/>
      <c r="K95" s="91"/>
    </row>
    <row r="96" spans="2:11" x14ac:dyDescent="0.25">
      <c r="B96" s="1750"/>
      <c r="D96" s="1786"/>
      <c r="E96" s="1743"/>
      <c r="G96" s="89" t="s">
        <v>25</v>
      </c>
      <c r="H96" s="132">
        <f>SUM(H97,H102,H105)</f>
        <v>0</v>
      </c>
      <c r="I96" s="90"/>
      <c r="J96" s="90"/>
      <c r="K96" s="91"/>
    </row>
    <row r="97" spans="2:11" x14ac:dyDescent="0.25">
      <c r="B97" s="1750"/>
      <c r="D97" s="1786"/>
      <c r="E97" s="1743"/>
      <c r="G97" s="89" t="s">
        <v>26</v>
      </c>
      <c r="H97" s="132">
        <f>SUM(H98:H101)</f>
        <v>0</v>
      </c>
      <c r="I97" s="90"/>
      <c r="J97" s="90"/>
      <c r="K97" s="91"/>
    </row>
    <row r="98" spans="2:11" x14ac:dyDescent="0.25">
      <c r="B98" s="1750"/>
      <c r="D98" s="1786"/>
      <c r="E98" s="1743"/>
      <c r="G98" s="30" t="s">
        <v>27</v>
      </c>
      <c r="H98" s="126"/>
      <c r="I98" s="10"/>
      <c r="J98" s="10"/>
      <c r="K98" s="16"/>
    </row>
    <row r="99" spans="2:11" x14ac:dyDescent="0.25">
      <c r="B99" s="1750"/>
      <c r="D99" s="1786"/>
      <c r="E99" s="1743"/>
      <c r="G99" s="30" t="s">
        <v>28</v>
      </c>
      <c r="H99" s="126"/>
      <c r="I99" s="10"/>
      <c r="J99" s="10"/>
      <c r="K99" s="16"/>
    </row>
    <row r="100" spans="2:11" x14ac:dyDescent="0.25">
      <c r="B100" s="1750"/>
      <c r="D100" s="1786"/>
      <c r="E100" s="1743"/>
      <c r="G100" s="30" t="s">
        <v>29</v>
      </c>
      <c r="H100" s="126"/>
      <c r="I100" s="10"/>
      <c r="J100" s="10"/>
      <c r="K100" s="16"/>
    </row>
    <row r="101" spans="2:11" x14ac:dyDescent="0.25">
      <c r="B101" s="1750"/>
      <c r="D101" s="1786"/>
      <c r="E101" s="1743"/>
      <c r="G101" s="30" t="s">
        <v>30</v>
      </c>
      <c r="H101" s="126"/>
      <c r="I101" s="10"/>
      <c r="J101" s="10"/>
      <c r="K101" s="16"/>
    </row>
    <row r="102" spans="2:11" x14ac:dyDescent="0.25">
      <c r="B102" s="1750"/>
      <c r="D102" s="1786"/>
      <c r="E102" s="1743"/>
      <c r="G102" s="89" t="s">
        <v>31</v>
      </c>
      <c r="H102" s="1036">
        <f>SUM(H103:H104)</f>
        <v>0</v>
      </c>
      <c r="I102" s="90"/>
      <c r="J102" s="90"/>
      <c r="K102" s="91"/>
    </row>
    <row r="103" spans="2:11" x14ac:dyDescent="0.25">
      <c r="B103" s="1750"/>
      <c r="D103" s="1786"/>
      <c r="E103" s="1743"/>
      <c r="G103" s="30" t="s">
        <v>640</v>
      </c>
      <c r="H103" s="126"/>
      <c r="I103" s="10"/>
      <c r="J103" s="10"/>
      <c r="K103" s="16"/>
    </row>
    <row r="104" spans="2:11" x14ac:dyDescent="0.25">
      <c r="B104" s="1750"/>
      <c r="D104" s="1786"/>
      <c r="E104" s="1743"/>
      <c r="G104" s="30" t="s">
        <v>641</v>
      </c>
      <c r="H104" s="126"/>
      <c r="I104" s="10"/>
      <c r="J104" s="10"/>
      <c r="K104" s="16"/>
    </row>
    <row r="105" spans="2:11" x14ac:dyDescent="0.25">
      <c r="B105" s="1750"/>
      <c r="D105" s="1786"/>
      <c r="E105" s="1743"/>
      <c r="G105" s="1043" t="s">
        <v>32</v>
      </c>
      <c r="H105" s="1036"/>
      <c r="I105" s="1044"/>
      <c r="J105" s="1044"/>
      <c r="K105" s="1045"/>
    </row>
    <row r="106" spans="2:11" x14ac:dyDescent="0.25">
      <c r="B106" s="1750"/>
      <c r="D106" s="1786"/>
      <c r="E106" s="1743"/>
      <c r="G106" s="89" t="s">
        <v>33</v>
      </c>
      <c r="H106" s="132">
        <f>SUM(H107:H108)</f>
        <v>0</v>
      </c>
      <c r="I106" s="90"/>
      <c r="J106" s="90"/>
      <c r="K106" s="91"/>
    </row>
    <row r="107" spans="2:11" x14ac:dyDescent="0.25">
      <c r="B107" s="1750"/>
      <c r="D107" s="1786"/>
      <c r="E107" s="1743"/>
      <c r="G107" s="30" t="s">
        <v>34</v>
      </c>
      <c r="H107" s="126"/>
      <c r="I107" s="10"/>
      <c r="J107" s="10"/>
      <c r="K107" s="16"/>
    </row>
    <row r="108" spans="2:11" x14ac:dyDescent="0.25">
      <c r="B108" s="1750"/>
      <c r="D108" s="1786"/>
      <c r="E108" s="1743"/>
      <c r="G108" s="30" t="s">
        <v>35</v>
      </c>
      <c r="H108" s="126"/>
      <c r="I108" s="10"/>
      <c r="J108" s="10"/>
      <c r="K108" s="16"/>
    </row>
    <row r="109" spans="2:11" ht="15.75" thickBot="1" x14ac:dyDescent="0.3">
      <c r="B109" s="1750"/>
      <c r="D109" s="1787"/>
      <c r="E109" s="1744"/>
      <c r="G109" s="1047" t="s">
        <v>36</v>
      </c>
      <c r="H109" s="1048"/>
      <c r="I109" s="1049"/>
      <c r="J109" s="1049"/>
      <c r="K109" s="1050"/>
    </row>
    <row r="110" spans="2:11" ht="15" customHeight="1" x14ac:dyDescent="0.25">
      <c r="B110" s="1750"/>
      <c r="D110" s="1745"/>
      <c r="E110" s="1742" t="s">
        <v>616</v>
      </c>
      <c r="G110" s="86" t="s">
        <v>145</v>
      </c>
      <c r="H110" s="131">
        <f>SUM(H111:H112)</f>
        <v>0</v>
      </c>
      <c r="I110" s="87"/>
      <c r="J110" s="87"/>
      <c r="K110" s="88"/>
    </row>
    <row r="111" spans="2:11" x14ac:dyDescent="0.25">
      <c r="B111" s="1750"/>
      <c r="D111" s="1786"/>
      <c r="E111" s="1743"/>
      <c r="G111" s="30" t="s">
        <v>23</v>
      </c>
      <c r="H111" s="126"/>
      <c r="I111" s="10"/>
      <c r="J111" s="10"/>
      <c r="K111" s="16"/>
    </row>
    <row r="112" spans="2:11" x14ac:dyDescent="0.25">
      <c r="B112" s="1750"/>
      <c r="D112" s="1786"/>
      <c r="E112" s="1743"/>
      <c r="G112" s="30" t="s">
        <v>24</v>
      </c>
      <c r="H112" s="126"/>
      <c r="I112" s="10"/>
      <c r="J112" s="10"/>
      <c r="K112" s="16"/>
    </row>
    <row r="113" spans="2:11" x14ac:dyDescent="0.25">
      <c r="B113" s="1750"/>
      <c r="D113" s="1786"/>
      <c r="E113" s="1743"/>
      <c r="G113" s="89" t="s">
        <v>146</v>
      </c>
      <c r="H113" s="132">
        <f>SUM(H114+H124)</f>
        <v>0</v>
      </c>
      <c r="I113" s="90"/>
      <c r="J113" s="90"/>
      <c r="K113" s="91"/>
    </row>
    <row r="114" spans="2:11" x14ac:dyDescent="0.25">
      <c r="B114" s="1750"/>
      <c r="D114" s="1786"/>
      <c r="E114" s="1743"/>
      <c r="G114" s="89" t="s">
        <v>25</v>
      </c>
      <c r="H114" s="132">
        <f>SUM(H115,H120,H123)</f>
        <v>0</v>
      </c>
      <c r="I114" s="90"/>
      <c r="J114" s="90"/>
      <c r="K114" s="91"/>
    </row>
    <row r="115" spans="2:11" x14ac:dyDescent="0.25">
      <c r="B115" s="1750"/>
      <c r="D115" s="1786"/>
      <c r="E115" s="1743"/>
      <c r="G115" s="89" t="s">
        <v>26</v>
      </c>
      <c r="H115" s="132">
        <f>SUM(H116:H119)</f>
        <v>0</v>
      </c>
      <c r="I115" s="90"/>
      <c r="J115" s="90"/>
      <c r="K115" s="91"/>
    </row>
    <row r="116" spans="2:11" x14ac:dyDescent="0.25">
      <c r="B116" s="1750"/>
      <c r="D116" s="1786"/>
      <c r="E116" s="1743"/>
      <c r="G116" s="30" t="s">
        <v>27</v>
      </c>
      <c r="H116" s="126"/>
      <c r="I116" s="10"/>
      <c r="J116" s="10"/>
      <c r="K116" s="16"/>
    </row>
    <row r="117" spans="2:11" x14ac:dyDescent="0.25">
      <c r="B117" s="1750"/>
      <c r="D117" s="1786"/>
      <c r="E117" s="1743"/>
      <c r="G117" s="30" t="s">
        <v>28</v>
      </c>
      <c r="H117" s="126"/>
      <c r="I117" s="10"/>
      <c r="J117" s="10"/>
      <c r="K117" s="16"/>
    </row>
    <row r="118" spans="2:11" x14ac:dyDescent="0.25">
      <c r="B118" s="1750"/>
      <c r="D118" s="1786"/>
      <c r="E118" s="1743"/>
      <c r="G118" s="30" t="s">
        <v>29</v>
      </c>
      <c r="H118" s="126"/>
      <c r="I118" s="10"/>
      <c r="J118" s="10"/>
      <c r="K118" s="16"/>
    </row>
    <row r="119" spans="2:11" x14ac:dyDescent="0.25">
      <c r="B119" s="1750"/>
      <c r="D119" s="1786"/>
      <c r="E119" s="1743"/>
      <c r="G119" s="30" t="s">
        <v>30</v>
      </c>
      <c r="H119" s="126"/>
      <c r="I119" s="10"/>
      <c r="J119" s="10"/>
      <c r="K119" s="16"/>
    </row>
    <row r="120" spans="2:11" x14ac:dyDescent="0.25">
      <c r="B120" s="1750"/>
      <c r="D120" s="1786"/>
      <c r="E120" s="1743"/>
      <c r="G120" s="89" t="s">
        <v>31</v>
      </c>
      <c r="H120" s="1036">
        <f>SUM(H121:H122)</f>
        <v>0</v>
      </c>
      <c r="I120" s="90"/>
      <c r="J120" s="90"/>
      <c r="K120" s="91"/>
    </row>
    <row r="121" spans="2:11" x14ac:dyDescent="0.25">
      <c r="B121" s="1750"/>
      <c r="D121" s="1786"/>
      <c r="E121" s="1743"/>
      <c r="G121" s="30" t="s">
        <v>640</v>
      </c>
      <c r="H121" s="126"/>
      <c r="I121" s="10"/>
      <c r="J121" s="10"/>
      <c r="K121" s="16"/>
    </row>
    <row r="122" spans="2:11" x14ac:dyDescent="0.25">
      <c r="B122" s="1750"/>
      <c r="D122" s="1786"/>
      <c r="E122" s="1743"/>
      <c r="G122" s="30" t="s">
        <v>641</v>
      </c>
      <c r="H122" s="126"/>
      <c r="I122" s="10"/>
      <c r="J122" s="10"/>
      <c r="K122" s="16"/>
    </row>
    <row r="123" spans="2:11" x14ac:dyDescent="0.25">
      <c r="B123" s="1750"/>
      <c r="D123" s="1786"/>
      <c r="E123" s="1743"/>
      <c r="G123" s="1043" t="s">
        <v>32</v>
      </c>
      <c r="H123" s="1036"/>
      <c r="I123" s="1044"/>
      <c r="J123" s="1044"/>
      <c r="K123" s="1045"/>
    </row>
    <row r="124" spans="2:11" x14ac:dyDescent="0.25">
      <c r="B124" s="1750"/>
      <c r="D124" s="1786"/>
      <c r="E124" s="1743"/>
      <c r="G124" s="89" t="s">
        <v>33</v>
      </c>
      <c r="H124" s="132">
        <f>SUM(H125:H126)</f>
        <v>0</v>
      </c>
      <c r="I124" s="90"/>
      <c r="J124" s="90"/>
      <c r="K124" s="91"/>
    </row>
    <row r="125" spans="2:11" x14ac:dyDescent="0.25">
      <c r="B125" s="1750"/>
      <c r="D125" s="1786"/>
      <c r="E125" s="1743"/>
      <c r="G125" s="30" t="s">
        <v>34</v>
      </c>
      <c r="H125" s="126"/>
      <c r="I125" s="10"/>
      <c r="J125" s="10"/>
      <c r="K125" s="16"/>
    </row>
    <row r="126" spans="2:11" x14ac:dyDescent="0.25">
      <c r="B126" s="1750"/>
      <c r="D126" s="1786"/>
      <c r="E126" s="1743"/>
      <c r="G126" s="30" t="s">
        <v>35</v>
      </c>
      <c r="H126" s="126"/>
      <c r="I126" s="10"/>
      <c r="J126" s="10"/>
      <c r="K126" s="16"/>
    </row>
    <row r="127" spans="2:11" ht="15.75" thickBot="1" x14ac:dyDescent="0.3">
      <c r="B127" s="1750"/>
      <c r="D127" s="1787"/>
      <c r="E127" s="1744"/>
      <c r="G127" s="1047" t="s">
        <v>36</v>
      </c>
      <c r="H127" s="1048"/>
      <c r="I127" s="1049"/>
      <c r="J127" s="1049"/>
      <c r="K127" s="1050"/>
    </row>
    <row r="128" spans="2:11" ht="15" customHeight="1" x14ac:dyDescent="0.25">
      <c r="B128" s="1750"/>
      <c r="D128" s="1739"/>
      <c r="E128" s="1742" t="s">
        <v>617</v>
      </c>
      <c r="G128" s="86" t="s">
        <v>145</v>
      </c>
      <c r="H128" s="131">
        <f>SUM(H129:H130)</f>
        <v>0</v>
      </c>
      <c r="I128" s="87"/>
      <c r="J128" s="87"/>
      <c r="K128" s="88"/>
    </row>
    <row r="129" spans="2:11" x14ac:dyDescent="0.25">
      <c r="B129" s="1750"/>
      <c r="D129" s="1788"/>
      <c r="E129" s="1743"/>
      <c r="G129" s="30" t="s">
        <v>23</v>
      </c>
      <c r="H129" s="126"/>
      <c r="I129" s="10"/>
      <c r="J129" s="10"/>
      <c r="K129" s="16"/>
    </row>
    <row r="130" spans="2:11" x14ac:dyDescent="0.25">
      <c r="B130" s="1750"/>
      <c r="D130" s="1788"/>
      <c r="E130" s="1743"/>
      <c r="G130" s="30" t="s">
        <v>24</v>
      </c>
      <c r="H130" s="126">
        <v>0</v>
      </c>
      <c r="I130" s="10"/>
      <c r="J130" s="10"/>
      <c r="K130" s="16"/>
    </row>
    <row r="131" spans="2:11" x14ac:dyDescent="0.25">
      <c r="B131" s="1750"/>
      <c r="D131" s="1788"/>
      <c r="E131" s="1743"/>
      <c r="G131" s="89" t="s">
        <v>146</v>
      </c>
      <c r="H131" s="132">
        <f>SUM(H132+H142)</f>
        <v>0</v>
      </c>
      <c r="I131" s="90"/>
      <c r="J131" s="90"/>
      <c r="K131" s="91"/>
    </row>
    <row r="132" spans="2:11" x14ac:dyDescent="0.25">
      <c r="B132" s="1750"/>
      <c r="D132" s="1788"/>
      <c r="E132" s="1743"/>
      <c r="G132" s="89" t="s">
        <v>25</v>
      </c>
      <c r="H132" s="132">
        <f>SUM(H133,H138,H141)</f>
        <v>0</v>
      </c>
      <c r="I132" s="90"/>
      <c r="J132" s="90"/>
      <c r="K132" s="91"/>
    </row>
    <row r="133" spans="2:11" x14ac:dyDescent="0.25">
      <c r="B133" s="1750"/>
      <c r="D133" s="1788"/>
      <c r="E133" s="1743"/>
      <c r="G133" s="89" t="s">
        <v>26</v>
      </c>
      <c r="H133" s="132">
        <f>SUM(H134:H137)</f>
        <v>0</v>
      </c>
      <c r="I133" s="90"/>
      <c r="J133" s="90"/>
      <c r="K133" s="91"/>
    </row>
    <row r="134" spans="2:11" x14ac:dyDescent="0.25">
      <c r="B134" s="1750"/>
      <c r="D134" s="1788"/>
      <c r="E134" s="1743"/>
      <c r="G134" s="30" t="s">
        <v>27</v>
      </c>
      <c r="H134" s="126"/>
      <c r="I134" s="10"/>
      <c r="J134" s="10"/>
      <c r="K134" s="16"/>
    </row>
    <row r="135" spans="2:11" x14ac:dyDescent="0.25">
      <c r="B135" s="1750"/>
      <c r="D135" s="1788"/>
      <c r="E135" s="1743"/>
      <c r="G135" s="30" t="s">
        <v>28</v>
      </c>
      <c r="H135" s="126"/>
      <c r="I135" s="10"/>
      <c r="J135" s="10"/>
      <c r="K135" s="16"/>
    </row>
    <row r="136" spans="2:11" x14ac:dyDescent="0.25">
      <c r="B136" s="1750"/>
      <c r="D136" s="1788"/>
      <c r="E136" s="1743"/>
      <c r="G136" s="30" t="s">
        <v>29</v>
      </c>
      <c r="H136" s="126"/>
      <c r="I136" s="10"/>
      <c r="J136" s="10"/>
      <c r="K136" s="16"/>
    </row>
    <row r="137" spans="2:11" x14ac:dyDescent="0.25">
      <c r="B137" s="1750"/>
      <c r="D137" s="1788"/>
      <c r="E137" s="1743"/>
      <c r="G137" s="30" t="s">
        <v>30</v>
      </c>
      <c r="H137" s="126"/>
      <c r="I137" s="10"/>
      <c r="J137" s="10"/>
      <c r="K137" s="16"/>
    </row>
    <row r="138" spans="2:11" x14ac:dyDescent="0.25">
      <c r="B138" s="1750"/>
      <c r="D138" s="1788"/>
      <c r="E138" s="1743"/>
      <c r="G138" s="89" t="s">
        <v>31</v>
      </c>
      <c r="H138" s="1036">
        <f>SUM(H139:H140)</f>
        <v>0</v>
      </c>
      <c r="I138" s="90"/>
      <c r="J138" s="90"/>
      <c r="K138" s="91"/>
    </row>
    <row r="139" spans="2:11" x14ac:dyDescent="0.25">
      <c r="B139" s="1750"/>
      <c r="D139" s="1788"/>
      <c r="E139" s="1743"/>
      <c r="G139" s="30" t="s">
        <v>640</v>
      </c>
      <c r="H139" s="126"/>
      <c r="I139" s="10"/>
      <c r="J139" s="10"/>
      <c r="K139" s="16"/>
    </row>
    <row r="140" spans="2:11" x14ac:dyDescent="0.25">
      <c r="B140" s="1750"/>
      <c r="D140" s="1788"/>
      <c r="E140" s="1743"/>
      <c r="G140" s="30" t="s">
        <v>641</v>
      </c>
      <c r="H140" s="126"/>
      <c r="I140" s="10"/>
      <c r="J140" s="10"/>
      <c r="K140" s="16"/>
    </row>
    <row r="141" spans="2:11" x14ac:dyDescent="0.25">
      <c r="B141" s="1750"/>
      <c r="D141" s="1788"/>
      <c r="E141" s="1743"/>
      <c r="G141" s="1043" t="s">
        <v>32</v>
      </c>
      <c r="H141" s="1036">
        <v>0</v>
      </c>
      <c r="I141" s="1044"/>
      <c r="J141" s="1044"/>
      <c r="K141" s="1045"/>
    </row>
    <row r="142" spans="2:11" x14ac:dyDescent="0.25">
      <c r="B142" s="1750"/>
      <c r="D142" s="1788"/>
      <c r="E142" s="1743"/>
      <c r="G142" s="89" t="s">
        <v>33</v>
      </c>
      <c r="H142" s="132">
        <f>SUM(H143:H144)</f>
        <v>0</v>
      </c>
      <c r="I142" s="90"/>
      <c r="J142" s="90"/>
      <c r="K142" s="91"/>
    </row>
    <row r="143" spans="2:11" x14ac:dyDescent="0.25">
      <c r="B143" s="1750"/>
      <c r="D143" s="1788"/>
      <c r="E143" s="1743"/>
      <c r="G143" s="30" t="s">
        <v>34</v>
      </c>
      <c r="H143" s="126"/>
      <c r="I143" s="10"/>
      <c r="J143" s="10"/>
      <c r="K143" s="16"/>
    </row>
    <row r="144" spans="2:11" x14ac:dyDescent="0.25">
      <c r="B144" s="1750"/>
      <c r="D144" s="1788"/>
      <c r="E144" s="1743"/>
      <c r="G144" s="30" t="s">
        <v>35</v>
      </c>
      <c r="H144" s="126"/>
      <c r="I144" s="10"/>
      <c r="J144" s="10"/>
      <c r="K144" s="16"/>
    </row>
    <row r="145" spans="2:11" ht="15.75" thickBot="1" x14ac:dyDescent="0.3">
      <c r="B145" s="1750"/>
      <c r="D145" s="1789"/>
      <c r="E145" s="1744"/>
      <c r="G145" s="1047" t="s">
        <v>36</v>
      </c>
      <c r="H145" s="1048"/>
      <c r="I145" s="1049"/>
      <c r="J145" s="1049"/>
      <c r="K145" s="1050"/>
    </row>
    <row r="146" spans="2:11" ht="15" customHeight="1" x14ac:dyDescent="0.25">
      <c r="B146" s="1750"/>
      <c r="D146" s="1745" t="s">
        <v>19</v>
      </c>
      <c r="E146" s="1746" t="s">
        <v>153</v>
      </c>
      <c r="G146" s="86" t="s">
        <v>145</v>
      </c>
      <c r="H146" s="131">
        <f>SUM(H147:H148)</f>
        <v>0</v>
      </c>
      <c r="I146" s="87"/>
      <c r="J146" s="87"/>
      <c r="K146" s="88"/>
    </row>
    <row r="147" spans="2:11" x14ac:dyDescent="0.25">
      <c r="B147" s="1750"/>
      <c r="D147" s="1786"/>
      <c r="E147" s="1747"/>
      <c r="G147" s="30" t="s">
        <v>23</v>
      </c>
      <c r="H147" s="126">
        <v>0</v>
      </c>
      <c r="I147" s="10"/>
      <c r="J147" s="10"/>
      <c r="K147" s="16"/>
    </row>
    <row r="148" spans="2:11" x14ac:dyDescent="0.25">
      <c r="B148" s="1750"/>
      <c r="D148" s="1786"/>
      <c r="E148" s="1747"/>
      <c r="G148" s="30" t="s">
        <v>24</v>
      </c>
      <c r="H148" s="126">
        <v>0</v>
      </c>
      <c r="I148" s="10"/>
      <c r="J148" s="10"/>
      <c r="K148" s="16"/>
    </row>
    <row r="149" spans="2:11" x14ac:dyDescent="0.25">
      <c r="B149" s="1750"/>
      <c r="D149" s="1786"/>
      <c r="E149" s="1747"/>
      <c r="G149" s="89" t="s">
        <v>146</v>
      </c>
      <c r="H149" s="132">
        <f>SUM(H150+H160)</f>
        <v>0</v>
      </c>
      <c r="I149" s="90"/>
      <c r="J149" s="90"/>
      <c r="K149" s="91"/>
    </row>
    <row r="150" spans="2:11" x14ac:dyDescent="0.25">
      <c r="B150" s="1750"/>
      <c r="D150" s="1786"/>
      <c r="E150" s="1747"/>
      <c r="G150" s="89" t="s">
        <v>25</v>
      </c>
      <c r="H150" s="132">
        <f>SUM(H151,H156,H159)</f>
        <v>0</v>
      </c>
      <c r="I150" s="90"/>
      <c r="J150" s="90"/>
      <c r="K150" s="91"/>
    </row>
    <row r="151" spans="2:11" x14ac:dyDescent="0.25">
      <c r="B151" s="1750"/>
      <c r="D151" s="1786"/>
      <c r="E151" s="1747"/>
      <c r="G151" s="89" t="s">
        <v>26</v>
      </c>
      <c r="H151" s="132">
        <f>SUM(H152:H155)</f>
        <v>0</v>
      </c>
      <c r="I151" s="90"/>
      <c r="J151" s="90"/>
      <c r="K151" s="91"/>
    </row>
    <row r="152" spans="2:11" x14ac:dyDescent="0.25">
      <c r="B152" s="1750"/>
      <c r="D152" s="1786"/>
      <c r="E152" s="1747"/>
      <c r="G152" s="30" t="s">
        <v>27</v>
      </c>
      <c r="H152" s="126">
        <v>0</v>
      </c>
      <c r="I152" s="10"/>
      <c r="J152" s="10"/>
      <c r="K152" s="16"/>
    </row>
    <row r="153" spans="2:11" x14ac:dyDescent="0.25">
      <c r="B153" s="1750"/>
      <c r="D153" s="1786"/>
      <c r="E153" s="1747"/>
      <c r="G153" s="30" t="s">
        <v>28</v>
      </c>
      <c r="H153" s="126">
        <v>0</v>
      </c>
      <c r="I153" s="10"/>
      <c r="J153" s="10"/>
      <c r="K153" s="16"/>
    </row>
    <row r="154" spans="2:11" x14ac:dyDescent="0.25">
      <c r="B154" s="1750"/>
      <c r="D154" s="1786"/>
      <c r="E154" s="1747"/>
      <c r="G154" s="30" t="s">
        <v>29</v>
      </c>
      <c r="H154" s="126">
        <v>0</v>
      </c>
      <c r="I154" s="10"/>
      <c r="J154" s="10"/>
      <c r="K154" s="16"/>
    </row>
    <row r="155" spans="2:11" x14ac:dyDescent="0.25">
      <c r="B155" s="1750"/>
      <c r="D155" s="1786"/>
      <c r="E155" s="1747"/>
      <c r="G155" s="30" t="s">
        <v>30</v>
      </c>
      <c r="H155" s="126">
        <v>0</v>
      </c>
      <c r="I155" s="10"/>
      <c r="J155" s="10"/>
      <c r="K155" s="16"/>
    </row>
    <row r="156" spans="2:11" x14ac:dyDescent="0.25">
      <c r="B156" s="1750"/>
      <c r="D156" s="1786"/>
      <c r="E156" s="1747"/>
      <c r="G156" s="89" t="s">
        <v>31</v>
      </c>
      <c r="H156" s="1036">
        <f>SUM(H157:H158)</f>
        <v>0</v>
      </c>
      <c r="I156" s="90"/>
      <c r="J156" s="90"/>
      <c r="K156" s="91"/>
    </row>
    <row r="157" spans="2:11" x14ac:dyDescent="0.25">
      <c r="B157" s="1750"/>
      <c r="D157" s="1786"/>
      <c r="E157" s="1747"/>
      <c r="G157" s="30" t="s">
        <v>640</v>
      </c>
      <c r="H157" s="126"/>
      <c r="I157" s="10"/>
      <c r="J157" s="10"/>
      <c r="K157" s="16"/>
    </row>
    <row r="158" spans="2:11" x14ac:dyDescent="0.25">
      <c r="B158" s="1750"/>
      <c r="D158" s="1786"/>
      <c r="E158" s="1747"/>
      <c r="G158" s="30" t="s">
        <v>641</v>
      </c>
      <c r="H158" s="126"/>
      <c r="I158" s="10"/>
      <c r="J158" s="10"/>
      <c r="K158" s="16"/>
    </row>
    <row r="159" spans="2:11" x14ac:dyDescent="0.25">
      <c r="B159" s="1750"/>
      <c r="D159" s="1786"/>
      <c r="E159" s="1747"/>
      <c r="G159" s="1043" t="s">
        <v>32</v>
      </c>
      <c r="H159" s="1036">
        <v>0</v>
      </c>
      <c r="I159" s="1044"/>
      <c r="J159" s="1044"/>
      <c r="K159" s="1045"/>
    </row>
    <row r="160" spans="2:11" x14ac:dyDescent="0.25">
      <c r="B160" s="1750"/>
      <c r="D160" s="1786"/>
      <c r="E160" s="1747"/>
      <c r="G160" s="89" t="s">
        <v>33</v>
      </c>
      <c r="H160" s="132">
        <f>SUM(H161:H162)</f>
        <v>0</v>
      </c>
      <c r="I160" s="90"/>
      <c r="J160" s="90"/>
      <c r="K160" s="91"/>
    </row>
    <row r="161" spans="2:11" x14ac:dyDescent="0.25">
      <c r="B161" s="1750"/>
      <c r="D161" s="1786"/>
      <c r="E161" s="1747"/>
      <c r="G161" s="30" t="s">
        <v>34</v>
      </c>
      <c r="H161" s="126">
        <v>0</v>
      </c>
      <c r="I161" s="10"/>
      <c r="J161" s="10"/>
      <c r="K161" s="16"/>
    </row>
    <row r="162" spans="2:11" x14ac:dyDescent="0.25">
      <c r="B162" s="1750"/>
      <c r="D162" s="1786"/>
      <c r="E162" s="1747"/>
      <c r="G162" s="30" t="s">
        <v>35</v>
      </c>
      <c r="H162" s="126">
        <v>0</v>
      </c>
      <c r="I162" s="10"/>
      <c r="J162" s="10"/>
      <c r="K162" s="16"/>
    </row>
    <row r="163" spans="2:11" ht="15.75" thickBot="1" x14ac:dyDescent="0.3">
      <c r="B163" s="1750"/>
      <c r="D163" s="1787"/>
      <c r="E163" s="1748"/>
      <c r="G163" s="1047" t="s">
        <v>36</v>
      </c>
      <c r="H163" s="1048">
        <v>16672.61</v>
      </c>
      <c r="I163" s="1049"/>
      <c r="J163" s="1049"/>
      <c r="K163" s="1050" t="s">
        <v>1317</v>
      </c>
    </row>
    <row r="164" spans="2:11" ht="15" customHeight="1" x14ac:dyDescent="0.25">
      <c r="B164" s="1750"/>
      <c r="D164" s="1745"/>
      <c r="E164" s="1742" t="s">
        <v>639</v>
      </c>
      <c r="G164" s="86" t="s">
        <v>145</v>
      </c>
      <c r="H164" s="131">
        <f>SUM(H165:H166)</f>
        <v>0</v>
      </c>
      <c r="I164" s="87"/>
      <c r="J164" s="87"/>
      <c r="K164" s="88"/>
    </row>
    <row r="165" spans="2:11" x14ac:dyDescent="0.25">
      <c r="B165" s="1750"/>
      <c r="D165" s="1786"/>
      <c r="E165" s="1743"/>
      <c r="G165" s="30" t="s">
        <v>23</v>
      </c>
      <c r="H165" s="126"/>
      <c r="I165" s="10"/>
      <c r="J165" s="10"/>
      <c r="K165" s="16"/>
    </row>
    <row r="166" spans="2:11" x14ac:dyDescent="0.25">
      <c r="B166" s="1750"/>
      <c r="D166" s="1786"/>
      <c r="E166" s="1743"/>
      <c r="G166" s="30" t="s">
        <v>24</v>
      </c>
      <c r="H166" s="126"/>
      <c r="I166" s="10"/>
      <c r="J166" s="10"/>
      <c r="K166" s="16"/>
    </row>
    <row r="167" spans="2:11" x14ac:dyDescent="0.25">
      <c r="B167" s="1750"/>
      <c r="D167" s="1786"/>
      <c r="E167" s="1743"/>
      <c r="G167" s="89" t="s">
        <v>146</v>
      </c>
      <c r="H167" s="132">
        <f>SUM(H168+H178)</f>
        <v>0</v>
      </c>
      <c r="I167" s="90"/>
      <c r="J167" s="90"/>
      <c r="K167" s="91"/>
    </row>
    <row r="168" spans="2:11" x14ac:dyDescent="0.25">
      <c r="B168" s="1750"/>
      <c r="D168" s="1786"/>
      <c r="E168" s="1743"/>
      <c r="G168" s="89" t="s">
        <v>25</v>
      </c>
      <c r="H168" s="132">
        <f>SUM(H169,H174,H177)</f>
        <v>0</v>
      </c>
      <c r="I168" s="90"/>
      <c r="J168" s="90"/>
      <c r="K168" s="91"/>
    </row>
    <row r="169" spans="2:11" x14ac:dyDescent="0.25">
      <c r="B169" s="1750"/>
      <c r="D169" s="1786"/>
      <c r="E169" s="1743"/>
      <c r="G169" s="89" t="s">
        <v>26</v>
      </c>
      <c r="H169" s="132">
        <f>SUM(H170:H173)</f>
        <v>0</v>
      </c>
      <c r="I169" s="90"/>
      <c r="J169" s="90"/>
      <c r="K169" s="91"/>
    </row>
    <row r="170" spans="2:11" x14ac:dyDescent="0.25">
      <c r="B170" s="1750"/>
      <c r="D170" s="1786"/>
      <c r="E170" s="1743"/>
      <c r="G170" s="30" t="s">
        <v>27</v>
      </c>
      <c r="H170" s="126"/>
      <c r="I170" s="10"/>
      <c r="J170" s="10"/>
      <c r="K170" s="16"/>
    </row>
    <row r="171" spans="2:11" x14ac:dyDescent="0.25">
      <c r="B171" s="1750"/>
      <c r="D171" s="1786"/>
      <c r="E171" s="1743"/>
      <c r="G171" s="30" t="s">
        <v>28</v>
      </c>
      <c r="H171" s="126"/>
      <c r="I171" s="10"/>
      <c r="J171" s="10"/>
      <c r="K171" s="16"/>
    </row>
    <row r="172" spans="2:11" x14ac:dyDescent="0.25">
      <c r="B172" s="1750"/>
      <c r="D172" s="1786"/>
      <c r="E172" s="1743"/>
      <c r="G172" s="30" t="s">
        <v>29</v>
      </c>
      <c r="H172" s="126"/>
      <c r="I172" s="10"/>
      <c r="J172" s="10"/>
      <c r="K172" s="16"/>
    </row>
    <row r="173" spans="2:11" x14ac:dyDescent="0.25">
      <c r="B173" s="1750"/>
      <c r="D173" s="1786"/>
      <c r="E173" s="1743"/>
      <c r="G173" s="30" t="s">
        <v>30</v>
      </c>
      <c r="H173" s="126"/>
      <c r="I173" s="10"/>
      <c r="J173" s="10"/>
      <c r="K173" s="16"/>
    </row>
    <row r="174" spans="2:11" x14ac:dyDescent="0.25">
      <c r="B174" s="1750"/>
      <c r="D174" s="1786"/>
      <c r="E174" s="1743"/>
      <c r="G174" s="89" t="s">
        <v>31</v>
      </c>
      <c r="H174" s="1036">
        <f>SUM(H175:H176)</f>
        <v>0</v>
      </c>
      <c r="I174" s="90"/>
      <c r="J174" s="90"/>
      <c r="K174" s="91"/>
    </row>
    <row r="175" spans="2:11" x14ac:dyDescent="0.25">
      <c r="B175" s="1750"/>
      <c r="D175" s="1786"/>
      <c r="E175" s="1743"/>
      <c r="G175" s="30" t="s">
        <v>640</v>
      </c>
      <c r="H175" s="126"/>
      <c r="I175" s="10"/>
      <c r="J175" s="10"/>
      <c r="K175" s="16"/>
    </row>
    <row r="176" spans="2:11" x14ac:dyDescent="0.25">
      <c r="B176" s="1750"/>
      <c r="D176" s="1786"/>
      <c r="E176" s="1743"/>
      <c r="G176" s="30" t="s">
        <v>641</v>
      </c>
      <c r="H176" s="126"/>
      <c r="I176" s="10"/>
      <c r="J176" s="10"/>
      <c r="K176" s="16"/>
    </row>
    <row r="177" spans="2:11" x14ac:dyDescent="0.25">
      <c r="B177" s="1750"/>
      <c r="D177" s="1786"/>
      <c r="E177" s="1743"/>
      <c r="G177" s="1043" t="s">
        <v>32</v>
      </c>
      <c r="H177" s="1036"/>
      <c r="I177" s="1044"/>
      <c r="J177" s="1044"/>
      <c r="K177" s="1045"/>
    </row>
    <row r="178" spans="2:11" x14ac:dyDescent="0.25">
      <c r="B178" s="1750"/>
      <c r="D178" s="1786"/>
      <c r="E178" s="1743"/>
      <c r="G178" s="89" t="s">
        <v>33</v>
      </c>
      <c r="H178" s="132">
        <f>SUM(H179:H180)</f>
        <v>0</v>
      </c>
      <c r="I178" s="90"/>
      <c r="J178" s="90"/>
      <c r="K178" s="91"/>
    </row>
    <row r="179" spans="2:11" x14ac:dyDescent="0.25">
      <c r="B179" s="1750"/>
      <c r="D179" s="1786"/>
      <c r="E179" s="1743"/>
      <c r="G179" s="30" t="s">
        <v>34</v>
      </c>
      <c r="H179" s="126"/>
      <c r="I179" s="10"/>
      <c r="J179" s="10"/>
      <c r="K179" s="16"/>
    </row>
    <row r="180" spans="2:11" x14ac:dyDescent="0.25">
      <c r="B180" s="1750"/>
      <c r="D180" s="1786"/>
      <c r="E180" s="1743"/>
      <c r="G180" s="30" t="s">
        <v>35</v>
      </c>
      <c r="H180" s="126"/>
      <c r="I180" s="10"/>
      <c r="J180" s="10"/>
      <c r="K180" s="16"/>
    </row>
    <row r="181" spans="2:11" ht="15.75" thickBot="1" x14ac:dyDescent="0.3">
      <c r="B181" s="1750"/>
      <c r="D181" s="1787"/>
      <c r="E181" s="1744"/>
      <c r="G181" s="1047" t="s">
        <v>36</v>
      </c>
      <c r="H181" s="1048"/>
      <c r="I181" s="1049"/>
      <c r="J181" s="1049"/>
      <c r="K181" s="1050"/>
    </row>
    <row r="182" spans="2:11" ht="15" customHeight="1" x14ac:dyDescent="0.25">
      <c r="B182" s="1750"/>
      <c r="D182" s="1745" t="s">
        <v>20</v>
      </c>
      <c r="E182" s="1746" t="s">
        <v>154</v>
      </c>
      <c r="G182" s="86" t="s">
        <v>145</v>
      </c>
      <c r="H182" s="131">
        <f>SUM(H183:H184)</f>
        <v>0.06</v>
      </c>
      <c r="I182" s="87"/>
      <c r="J182" s="87"/>
      <c r="K182" s="88"/>
    </row>
    <row r="183" spans="2:11" x14ac:dyDescent="0.25">
      <c r="B183" s="1750"/>
      <c r="D183" s="1786"/>
      <c r="E183" s="1747"/>
      <c r="G183" s="30" t="s">
        <v>23</v>
      </c>
      <c r="H183" s="126">
        <v>0.06</v>
      </c>
      <c r="I183" s="10"/>
      <c r="J183" s="10"/>
      <c r="K183" s="16"/>
    </row>
    <row r="184" spans="2:11" x14ac:dyDescent="0.25">
      <c r="B184" s="1750"/>
      <c r="D184" s="1786"/>
      <c r="E184" s="1747"/>
      <c r="G184" s="30" t="s">
        <v>24</v>
      </c>
      <c r="H184" s="126">
        <v>0</v>
      </c>
      <c r="I184" s="10"/>
      <c r="J184" s="10"/>
      <c r="K184" s="16"/>
    </row>
    <row r="185" spans="2:11" x14ac:dyDescent="0.25">
      <c r="B185" s="1750"/>
      <c r="D185" s="1786"/>
      <c r="E185" s="1747"/>
      <c r="G185" s="89" t="s">
        <v>146</v>
      </c>
      <c r="H185" s="132">
        <f>SUM(H186+H196)</f>
        <v>0.06</v>
      </c>
      <c r="I185" s="90"/>
      <c r="J185" s="90"/>
      <c r="K185" s="91"/>
    </row>
    <row r="186" spans="2:11" x14ac:dyDescent="0.25">
      <c r="B186" s="1750"/>
      <c r="D186" s="1786"/>
      <c r="E186" s="1747"/>
      <c r="G186" s="89" t="s">
        <v>25</v>
      </c>
      <c r="H186" s="132">
        <f>SUM(H187,H192,H195)</f>
        <v>0</v>
      </c>
      <c r="I186" s="90"/>
      <c r="J186" s="90"/>
      <c r="K186" s="91"/>
    </row>
    <row r="187" spans="2:11" x14ac:dyDescent="0.25">
      <c r="B187" s="1750"/>
      <c r="D187" s="1786"/>
      <c r="E187" s="1747"/>
      <c r="G187" s="89" t="s">
        <v>26</v>
      </c>
      <c r="H187" s="132">
        <f>SUM(H188:H191)</f>
        <v>0</v>
      </c>
      <c r="I187" s="90"/>
      <c r="J187" s="90"/>
      <c r="K187" s="91"/>
    </row>
    <row r="188" spans="2:11" x14ac:dyDescent="0.25">
      <c r="B188" s="1750"/>
      <c r="D188" s="1786"/>
      <c r="E188" s="1747"/>
      <c r="G188" s="30" t="s">
        <v>27</v>
      </c>
      <c r="H188" s="126">
        <v>0</v>
      </c>
      <c r="I188" s="10"/>
      <c r="J188" s="10"/>
      <c r="K188" s="16"/>
    </row>
    <row r="189" spans="2:11" x14ac:dyDescent="0.25">
      <c r="B189" s="1750"/>
      <c r="D189" s="1786"/>
      <c r="E189" s="1747"/>
      <c r="G189" s="30" t="s">
        <v>28</v>
      </c>
      <c r="H189" s="126">
        <v>0</v>
      </c>
      <c r="I189" s="10"/>
      <c r="J189" s="10"/>
      <c r="K189" s="16"/>
    </row>
    <row r="190" spans="2:11" x14ac:dyDescent="0.25">
      <c r="B190" s="1750"/>
      <c r="D190" s="1786"/>
      <c r="E190" s="1747"/>
      <c r="G190" s="30" t="s">
        <v>29</v>
      </c>
      <c r="H190" s="126">
        <v>0</v>
      </c>
      <c r="I190" s="10"/>
      <c r="J190" s="10"/>
      <c r="K190" s="16"/>
    </row>
    <row r="191" spans="2:11" x14ac:dyDescent="0.25">
      <c r="B191" s="1750"/>
      <c r="D191" s="1786"/>
      <c r="E191" s="1747"/>
      <c r="G191" s="30" t="s">
        <v>30</v>
      </c>
      <c r="H191" s="126">
        <v>0</v>
      </c>
      <c r="I191" s="10"/>
      <c r="J191" s="10"/>
      <c r="K191" s="16"/>
    </row>
    <row r="192" spans="2:11" x14ac:dyDescent="0.25">
      <c r="B192" s="1750"/>
      <c r="D192" s="1786"/>
      <c r="E192" s="1747"/>
      <c r="G192" s="89" t="s">
        <v>31</v>
      </c>
      <c r="H192" s="1036">
        <f>SUM(H193:H194)</f>
        <v>0</v>
      </c>
      <c r="I192" s="90"/>
      <c r="J192" s="90"/>
      <c r="K192" s="91"/>
    </row>
    <row r="193" spans="2:11" x14ac:dyDescent="0.25">
      <c r="B193" s="1750"/>
      <c r="D193" s="1786"/>
      <c r="E193" s="1747"/>
      <c r="G193" s="30" t="s">
        <v>640</v>
      </c>
      <c r="H193" s="126"/>
      <c r="I193" s="10"/>
      <c r="J193" s="10"/>
      <c r="K193" s="16"/>
    </row>
    <row r="194" spans="2:11" x14ac:dyDescent="0.25">
      <c r="B194" s="1750"/>
      <c r="D194" s="1786"/>
      <c r="E194" s="1747"/>
      <c r="G194" s="30" t="s">
        <v>641</v>
      </c>
      <c r="H194" s="126"/>
      <c r="I194" s="10"/>
      <c r="J194" s="10"/>
      <c r="K194" s="16"/>
    </row>
    <row r="195" spans="2:11" x14ac:dyDescent="0.25">
      <c r="B195" s="1750"/>
      <c r="D195" s="1786"/>
      <c r="E195" s="1747"/>
      <c r="G195" s="1043" t="s">
        <v>32</v>
      </c>
      <c r="H195" s="1036">
        <v>0</v>
      </c>
      <c r="I195" s="1044"/>
      <c r="J195" s="1044"/>
      <c r="K195" s="1045"/>
    </row>
    <row r="196" spans="2:11" x14ac:dyDescent="0.25">
      <c r="B196" s="1750"/>
      <c r="D196" s="1786"/>
      <c r="E196" s="1747"/>
      <c r="G196" s="89" t="s">
        <v>33</v>
      </c>
      <c r="H196" s="132">
        <f>SUM(H197:H198)</f>
        <v>0.06</v>
      </c>
      <c r="I196" s="90"/>
      <c r="J196" s="90"/>
      <c r="K196" s="91"/>
    </row>
    <row r="197" spans="2:11" x14ac:dyDescent="0.25">
      <c r="B197" s="1750"/>
      <c r="D197" s="1786"/>
      <c r="E197" s="1747"/>
      <c r="G197" s="30" t="s">
        <v>34</v>
      </c>
      <c r="H197" s="126">
        <v>0.06</v>
      </c>
      <c r="I197" s="10"/>
      <c r="J197" s="10"/>
      <c r="K197" s="16"/>
    </row>
    <row r="198" spans="2:11" x14ac:dyDescent="0.25">
      <c r="B198" s="1750"/>
      <c r="D198" s="1786"/>
      <c r="E198" s="1747"/>
      <c r="G198" s="30" t="s">
        <v>35</v>
      </c>
      <c r="H198" s="126">
        <v>0</v>
      </c>
      <c r="I198" s="10"/>
      <c r="J198" s="10"/>
      <c r="K198" s="16"/>
    </row>
    <row r="199" spans="2:11" ht="15.75" thickBot="1" x14ac:dyDescent="0.3">
      <c r="B199" s="1750"/>
      <c r="D199" s="1787"/>
      <c r="E199" s="1748"/>
      <c r="G199" s="1047" t="s">
        <v>36</v>
      </c>
      <c r="H199" s="1048">
        <v>76.030545405347283</v>
      </c>
      <c r="I199" s="1049"/>
      <c r="J199" s="1049"/>
      <c r="K199" s="1050"/>
    </row>
    <row r="200" spans="2:11" ht="15" customHeight="1" x14ac:dyDescent="0.25">
      <c r="B200" s="1750"/>
      <c r="D200" s="1745"/>
      <c r="E200" s="1742" t="s">
        <v>619</v>
      </c>
      <c r="G200" s="86" t="s">
        <v>145</v>
      </c>
      <c r="H200" s="131">
        <f>SUM(H201:H202)</f>
        <v>0</v>
      </c>
      <c r="I200" s="87"/>
      <c r="J200" s="87"/>
      <c r="K200" s="88"/>
    </row>
    <row r="201" spans="2:11" x14ac:dyDescent="0.25">
      <c r="B201" s="1750"/>
      <c r="D201" s="1786"/>
      <c r="E201" s="1743"/>
      <c r="G201" s="30" t="s">
        <v>23</v>
      </c>
      <c r="H201" s="126"/>
      <c r="I201" s="10"/>
      <c r="J201" s="10"/>
      <c r="K201" s="16"/>
    </row>
    <row r="202" spans="2:11" x14ac:dyDescent="0.25">
      <c r="B202" s="1750"/>
      <c r="D202" s="1786"/>
      <c r="E202" s="1743"/>
      <c r="G202" s="30" t="s">
        <v>24</v>
      </c>
      <c r="H202" s="126"/>
      <c r="I202" s="10"/>
      <c r="J202" s="10"/>
      <c r="K202" s="16"/>
    </row>
    <row r="203" spans="2:11" x14ac:dyDescent="0.25">
      <c r="B203" s="1750"/>
      <c r="D203" s="1786"/>
      <c r="E203" s="1743"/>
      <c r="G203" s="89" t="s">
        <v>146</v>
      </c>
      <c r="H203" s="132">
        <f>SUM(H204+H214)</f>
        <v>0</v>
      </c>
      <c r="I203" s="90"/>
      <c r="J203" s="90"/>
      <c r="K203" s="91"/>
    </row>
    <row r="204" spans="2:11" x14ac:dyDescent="0.25">
      <c r="B204" s="1750"/>
      <c r="D204" s="1786"/>
      <c r="E204" s="1743"/>
      <c r="G204" s="89" t="s">
        <v>25</v>
      </c>
      <c r="H204" s="132">
        <f>SUM(H205,H210,H213)</f>
        <v>0</v>
      </c>
      <c r="I204" s="90"/>
      <c r="J204" s="90"/>
      <c r="K204" s="91"/>
    </row>
    <row r="205" spans="2:11" x14ac:dyDescent="0.25">
      <c r="B205" s="1750"/>
      <c r="D205" s="1786"/>
      <c r="E205" s="1743"/>
      <c r="G205" s="89" t="s">
        <v>26</v>
      </c>
      <c r="H205" s="132">
        <f>SUM(H206:H209)</f>
        <v>0</v>
      </c>
      <c r="I205" s="90"/>
      <c r="J205" s="90"/>
      <c r="K205" s="91"/>
    </row>
    <row r="206" spans="2:11" x14ac:dyDescent="0.25">
      <c r="B206" s="1750"/>
      <c r="D206" s="1786"/>
      <c r="E206" s="1743"/>
      <c r="G206" s="30" t="s">
        <v>27</v>
      </c>
      <c r="H206" s="126"/>
      <c r="I206" s="10"/>
      <c r="J206" s="10"/>
      <c r="K206" s="16"/>
    </row>
    <row r="207" spans="2:11" x14ac:dyDescent="0.25">
      <c r="B207" s="1750"/>
      <c r="D207" s="1786"/>
      <c r="E207" s="1743"/>
      <c r="G207" s="30" t="s">
        <v>28</v>
      </c>
      <c r="H207" s="126"/>
      <c r="I207" s="10"/>
      <c r="J207" s="10"/>
      <c r="K207" s="16"/>
    </row>
    <row r="208" spans="2:11" x14ac:dyDescent="0.25">
      <c r="B208" s="1750"/>
      <c r="D208" s="1786"/>
      <c r="E208" s="1743"/>
      <c r="G208" s="30" t="s">
        <v>29</v>
      </c>
      <c r="H208" s="126"/>
      <c r="I208" s="10"/>
      <c r="J208" s="10"/>
      <c r="K208" s="16"/>
    </row>
    <row r="209" spans="2:11" x14ac:dyDescent="0.25">
      <c r="B209" s="1750"/>
      <c r="D209" s="1786"/>
      <c r="E209" s="1743"/>
      <c r="G209" s="30" t="s">
        <v>30</v>
      </c>
      <c r="H209" s="126"/>
      <c r="I209" s="10"/>
      <c r="J209" s="10"/>
      <c r="K209" s="16"/>
    </row>
    <row r="210" spans="2:11" x14ac:dyDescent="0.25">
      <c r="B210" s="1750"/>
      <c r="D210" s="1786"/>
      <c r="E210" s="1743"/>
      <c r="G210" s="89" t="s">
        <v>31</v>
      </c>
      <c r="H210" s="1036">
        <f>SUM(H211:H212)</f>
        <v>0</v>
      </c>
      <c r="I210" s="90"/>
      <c r="J210" s="90"/>
      <c r="K210" s="91"/>
    </row>
    <row r="211" spans="2:11" x14ac:dyDescent="0.25">
      <c r="B211" s="1750"/>
      <c r="D211" s="1786"/>
      <c r="E211" s="1743"/>
      <c r="G211" s="30" t="s">
        <v>640</v>
      </c>
      <c r="H211" s="126"/>
      <c r="I211" s="10"/>
      <c r="J211" s="10"/>
      <c r="K211" s="16"/>
    </row>
    <row r="212" spans="2:11" x14ac:dyDescent="0.25">
      <c r="B212" s="1750"/>
      <c r="D212" s="1786"/>
      <c r="E212" s="1743"/>
      <c r="G212" s="30" t="s">
        <v>641</v>
      </c>
      <c r="H212" s="126"/>
      <c r="I212" s="10"/>
      <c r="J212" s="10"/>
      <c r="K212" s="16"/>
    </row>
    <row r="213" spans="2:11" x14ac:dyDescent="0.25">
      <c r="B213" s="1750"/>
      <c r="D213" s="1786"/>
      <c r="E213" s="1743"/>
      <c r="G213" s="1043" t="s">
        <v>32</v>
      </c>
      <c r="H213" s="1036"/>
      <c r="I213" s="1044"/>
      <c r="J213" s="1044"/>
      <c r="K213" s="1045"/>
    </row>
    <row r="214" spans="2:11" x14ac:dyDescent="0.25">
      <c r="B214" s="1750"/>
      <c r="D214" s="1786"/>
      <c r="E214" s="1743"/>
      <c r="G214" s="89" t="s">
        <v>33</v>
      </c>
      <c r="H214" s="132">
        <f>SUM(H215:H216)</f>
        <v>0</v>
      </c>
      <c r="I214" s="90"/>
      <c r="J214" s="90"/>
      <c r="K214" s="91"/>
    </row>
    <row r="215" spans="2:11" x14ac:dyDescent="0.25">
      <c r="B215" s="1750"/>
      <c r="D215" s="1786"/>
      <c r="E215" s="1743"/>
      <c r="G215" s="30" t="s">
        <v>34</v>
      </c>
      <c r="H215" s="126"/>
      <c r="I215" s="10"/>
      <c r="J215" s="10"/>
      <c r="K215" s="16"/>
    </row>
    <row r="216" spans="2:11" x14ac:dyDescent="0.25">
      <c r="B216" s="1750"/>
      <c r="D216" s="1786"/>
      <c r="E216" s="1743"/>
      <c r="G216" s="30" t="s">
        <v>35</v>
      </c>
      <c r="H216" s="126"/>
      <c r="I216" s="10"/>
      <c r="J216" s="10"/>
      <c r="K216" s="16"/>
    </row>
    <row r="217" spans="2:11" ht="15.75" thickBot="1" x14ac:dyDescent="0.3">
      <c r="B217" s="1750"/>
      <c r="D217" s="1787"/>
      <c r="E217" s="1744"/>
      <c r="G217" s="1047" t="s">
        <v>36</v>
      </c>
      <c r="H217" s="1048"/>
      <c r="I217" s="1049"/>
      <c r="J217" s="1049"/>
      <c r="K217" s="1050"/>
    </row>
    <row r="218" spans="2:11" ht="15" customHeight="1" x14ac:dyDescent="0.25">
      <c r="B218" s="1750"/>
      <c r="D218" s="1745"/>
      <c r="E218" s="1742" t="s">
        <v>620</v>
      </c>
      <c r="G218" s="86" t="s">
        <v>145</v>
      </c>
      <c r="H218" s="131">
        <f>SUM(H219:H220)</f>
        <v>0</v>
      </c>
      <c r="I218" s="87"/>
      <c r="J218" s="87"/>
      <c r="K218" s="88"/>
    </row>
    <row r="219" spans="2:11" x14ac:dyDescent="0.25">
      <c r="B219" s="1750"/>
      <c r="D219" s="1786"/>
      <c r="E219" s="1743"/>
      <c r="G219" s="30" t="s">
        <v>23</v>
      </c>
      <c r="H219" s="126"/>
      <c r="I219" s="10"/>
      <c r="J219" s="10"/>
      <c r="K219" s="16"/>
    </row>
    <row r="220" spans="2:11" x14ac:dyDescent="0.25">
      <c r="B220" s="1750"/>
      <c r="D220" s="1786"/>
      <c r="E220" s="1743"/>
      <c r="G220" s="30" t="s">
        <v>24</v>
      </c>
      <c r="H220" s="126"/>
      <c r="I220" s="10"/>
      <c r="J220" s="10"/>
      <c r="K220" s="16"/>
    </row>
    <row r="221" spans="2:11" x14ac:dyDescent="0.25">
      <c r="B221" s="1750"/>
      <c r="D221" s="1786"/>
      <c r="E221" s="1743"/>
      <c r="G221" s="89" t="s">
        <v>146</v>
      </c>
      <c r="H221" s="132">
        <f>SUM(H222+H232)</f>
        <v>0</v>
      </c>
      <c r="I221" s="90"/>
      <c r="J221" s="90"/>
      <c r="K221" s="91"/>
    </row>
    <row r="222" spans="2:11" x14ac:dyDescent="0.25">
      <c r="B222" s="1750"/>
      <c r="D222" s="1786"/>
      <c r="E222" s="1743"/>
      <c r="G222" s="89" t="s">
        <v>25</v>
      </c>
      <c r="H222" s="132">
        <f>SUM(H223,H228,H231)</f>
        <v>0</v>
      </c>
      <c r="I222" s="90"/>
      <c r="J222" s="90"/>
      <c r="K222" s="91"/>
    </row>
    <row r="223" spans="2:11" x14ac:dyDescent="0.25">
      <c r="B223" s="1750"/>
      <c r="D223" s="1786"/>
      <c r="E223" s="1743"/>
      <c r="G223" s="89" t="s">
        <v>26</v>
      </c>
      <c r="H223" s="132">
        <f>SUM(H224:H227)</f>
        <v>0</v>
      </c>
      <c r="I223" s="90"/>
      <c r="J223" s="90"/>
      <c r="K223" s="91"/>
    </row>
    <row r="224" spans="2:11" x14ac:dyDescent="0.25">
      <c r="B224" s="1750"/>
      <c r="D224" s="1786"/>
      <c r="E224" s="1743"/>
      <c r="G224" s="30" t="s">
        <v>27</v>
      </c>
      <c r="H224" s="126"/>
      <c r="I224" s="10"/>
      <c r="J224" s="10"/>
      <c r="K224" s="16"/>
    </row>
    <row r="225" spans="2:11" x14ac:dyDescent="0.25">
      <c r="B225" s="1750"/>
      <c r="D225" s="1786"/>
      <c r="E225" s="1743"/>
      <c r="G225" s="30" t="s">
        <v>28</v>
      </c>
      <c r="H225" s="126"/>
      <c r="I225" s="10"/>
      <c r="J225" s="10"/>
      <c r="K225" s="16"/>
    </row>
    <row r="226" spans="2:11" x14ac:dyDescent="0.25">
      <c r="B226" s="1750"/>
      <c r="D226" s="1786"/>
      <c r="E226" s="1743"/>
      <c r="G226" s="30" t="s">
        <v>29</v>
      </c>
      <c r="H226" s="126"/>
      <c r="I226" s="10"/>
      <c r="J226" s="10"/>
      <c r="K226" s="16"/>
    </row>
    <row r="227" spans="2:11" x14ac:dyDescent="0.25">
      <c r="B227" s="1750"/>
      <c r="D227" s="1786"/>
      <c r="E227" s="1743"/>
      <c r="G227" s="30" t="s">
        <v>30</v>
      </c>
      <c r="H227" s="126"/>
      <c r="I227" s="10"/>
      <c r="J227" s="10"/>
      <c r="K227" s="16"/>
    </row>
    <row r="228" spans="2:11" x14ac:dyDescent="0.25">
      <c r="B228" s="1750"/>
      <c r="D228" s="1786"/>
      <c r="E228" s="1743"/>
      <c r="G228" s="89" t="s">
        <v>31</v>
      </c>
      <c r="H228" s="1036">
        <f>SUM(H229:H230)</f>
        <v>0</v>
      </c>
      <c r="I228" s="90"/>
      <c r="J228" s="90"/>
      <c r="K228" s="91"/>
    </row>
    <row r="229" spans="2:11" x14ac:dyDescent="0.25">
      <c r="B229" s="1750"/>
      <c r="D229" s="1786"/>
      <c r="E229" s="1743"/>
      <c r="G229" s="30" t="s">
        <v>640</v>
      </c>
      <c r="H229" s="126"/>
      <c r="I229" s="10"/>
      <c r="J229" s="10"/>
      <c r="K229" s="16"/>
    </row>
    <row r="230" spans="2:11" x14ac:dyDescent="0.25">
      <c r="B230" s="1750"/>
      <c r="D230" s="1786"/>
      <c r="E230" s="1743"/>
      <c r="G230" s="30" t="s">
        <v>641</v>
      </c>
      <c r="H230" s="126"/>
      <c r="I230" s="10"/>
      <c r="J230" s="10"/>
      <c r="K230" s="16"/>
    </row>
    <row r="231" spans="2:11" x14ac:dyDescent="0.25">
      <c r="B231" s="1750"/>
      <c r="D231" s="1786"/>
      <c r="E231" s="1743"/>
      <c r="G231" s="1043" t="s">
        <v>32</v>
      </c>
      <c r="H231" s="1036"/>
      <c r="I231" s="1044"/>
      <c r="J231" s="1044"/>
      <c r="K231" s="1045"/>
    </row>
    <row r="232" spans="2:11" x14ac:dyDescent="0.25">
      <c r="B232" s="1750"/>
      <c r="D232" s="1786"/>
      <c r="E232" s="1743"/>
      <c r="G232" s="89" t="s">
        <v>33</v>
      </c>
      <c r="H232" s="132">
        <f>SUM(H233:H234)</f>
        <v>0</v>
      </c>
      <c r="I232" s="90"/>
      <c r="J232" s="90"/>
      <c r="K232" s="91"/>
    </row>
    <row r="233" spans="2:11" x14ac:dyDescent="0.25">
      <c r="B233" s="1750"/>
      <c r="D233" s="1786"/>
      <c r="E233" s="1743"/>
      <c r="G233" s="30" t="s">
        <v>34</v>
      </c>
      <c r="H233" s="126"/>
      <c r="I233" s="10"/>
      <c r="J233" s="10"/>
      <c r="K233" s="16"/>
    </row>
    <row r="234" spans="2:11" x14ac:dyDescent="0.25">
      <c r="B234" s="1750"/>
      <c r="D234" s="1786"/>
      <c r="E234" s="1743"/>
      <c r="G234" s="30" t="s">
        <v>35</v>
      </c>
      <c r="H234" s="126"/>
      <c r="I234" s="10"/>
      <c r="J234" s="10"/>
      <c r="K234" s="16"/>
    </row>
    <row r="235" spans="2:11" ht="15.75" thickBot="1" x14ac:dyDescent="0.3">
      <c r="B235" s="1750"/>
      <c r="D235" s="1787"/>
      <c r="E235" s="1744"/>
      <c r="G235" s="1047" t="s">
        <v>36</v>
      </c>
      <c r="H235" s="1048"/>
      <c r="I235" s="1049"/>
      <c r="J235" s="1049"/>
      <c r="K235" s="1050"/>
    </row>
    <row r="236" spans="2:11" ht="15" customHeight="1" x14ac:dyDescent="0.25">
      <c r="B236" s="1750"/>
      <c r="D236" s="1739"/>
      <c r="E236" s="1742" t="s">
        <v>621</v>
      </c>
      <c r="G236" s="86" t="s">
        <v>145</v>
      </c>
      <c r="H236" s="131">
        <f>SUM(H237:H238)</f>
        <v>0</v>
      </c>
      <c r="I236" s="87"/>
      <c r="J236" s="87"/>
      <c r="K236" s="88"/>
    </row>
    <row r="237" spans="2:11" x14ac:dyDescent="0.25">
      <c r="B237" s="1750"/>
      <c r="D237" s="1788"/>
      <c r="E237" s="1743"/>
      <c r="G237" s="30" t="s">
        <v>23</v>
      </c>
      <c r="H237" s="126"/>
      <c r="I237" s="10"/>
      <c r="J237" s="10"/>
      <c r="K237" s="16"/>
    </row>
    <row r="238" spans="2:11" x14ac:dyDescent="0.25">
      <c r="B238" s="1750"/>
      <c r="D238" s="1788"/>
      <c r="E238" s="1743"/>
      <c r="G238" s="30" t="s">
        <v>24</v>
      </c>
      <c r="H238" s="126"/>
      <c r="I238" s="10"/>
      <c r="J238" s="10"/>
      <c r="K238" s="16"/>
    </row>
    <row r="239" spans="2:11" x14ac:dyDescent="0.25">
      <c r="B239" s="1750"/>
      <c r="D239" s="1788"/>
      <c r="E239" s="1743"/>
      <c r="G239" s="89" t="s">
        <v>146</v>
      </c>
      <c r="H239" s="132">
        <f>SUM(H240+H250)</f>
        <v>0</v>
      </c>
      <c r="I239" s="90"/>
      <c r="J239" s="90"/>
      <c r="K239" s="91"/>
    </row>
    <row r="240" spans="2:11" x14ac:dyDescent="0.25">
      <c r="B240" s="1750"/>
      <c r="D240" s="1788"/>
      <c r="E240" s="1743"/>
      <c r="G240" s="89" t="s">
        <v>25</v>
      </c>
      <c r="H240" s="132">
        <f>SUM(H241,H246,H249)</f>
        <v>0</v>
      </c>
      <c r="I240" s="90"/>
      <c r="J240" s="90"/>
      <c r="K240" s="91"/>
    </row>
    <row r="241" spans="2:11" x14ac:dyDescent="0.25">
      <c r="B241" s="1750"/>
      <c r="D241" s="1788"/>
      <c r="E241" s="1743"/>
      <c r="G241" s="89" t="s">
        <v>26</v>
      </c>
      <c r="H241" s="132">
        <f>SUM(H242:H245)</f>
        <v>0</v>
      </c>
      <c r="I241" s="90"/>
      <c r="J241" s="90"/>
      <c r="K241" s="91"/>
    </row>
    <row r="242" spans="2:11" x14ac:dyDescent="0.25">
      <c r="B242" s="1750"/>
      <c r="D242" s="1788"/>
      <c r="E242" s="1743"/>
      <c r="G242" s="30" t="s">
        <v>27</v>
      </c>
      <c r="H242" s="126"/>
      <c r="I242" s="10"/>
      <c r="J242" s="10"/>
      <c r="K242" s="16"/>
    </row>
    <row r="243" spans="2:11" x14ac:dyDescent="0.25">
      <c r="B243" s="1750"/>
      <c r="D243" s="1788"/>
      <c r="E243" s="1743"/>
      <c r="G243" s="30" t="s">
        <v>28</v>
      </c>
      <c r="H243" s="126"/>
      <c r="I243" s="10"/>
      <c r="J243" s="10"/>
      <c r="K243" s="16"/>
    </row>
    <row r="244" spans="2:11" x14ac:dyDescent="0.25">
      <c r="B244" s="1750"/>
      <c r="D244" s="1788"/>
      <c r="E244" s="1743"/>
      <c r="G244" s="30" t="s">
        <v>29</v>
      </c>
      <c r="H244" s="126"/>
      <c r="I244" s="10"/>
      <c r="J244" s="10"/>
      <c r="K244" s="16"/>
    </row>
    <row r="245" spans="2:11" x14ac:dyDescent="0.25">
      <c r="B245" s="1750"/>
      <c r="D245" s="1788"/>
      <c r="E245" s="1743"/>
      <c r="G245" s="30" t="s">
        <v>30</v>
      </c>
      <c r="H245" s="126"/>
      <c r="I245" s="10"/>
      <c r="J245" s="10"/>
      <c r="K245" s="16"/>
    </row>
    <row r="246" spans="2:11" x14ac:dyDescent="0.25">
      <c r="B246" s="1750"/>
      <c r="D246" s="1788"/>
      <c r="E246" s="1743"/>
      <c r="G246" s="89" t="s">
        <v>31</v>
      </c>
      <c r="H246" s="1036">
        <f>SUM(H247:H248)</f>
        <v>0</v>
      </c>
      <c r="I246" s="90"/>
      <c r="J246" s="90"/>
      <c r="K246" s="91"/>
    </row>
    <row r="247" spans="2:11" x14ac:dyDescent="0.25">
      <c r="B247" s="1750"/>
      <c r="D247" s="1788"/>
      <c r="E247" s="1743"/>
      <c r="G247" s="30" t="s">
        <v>640</v>
      </c>
      <c r="H247" s="126"/>
      <c r="I247" s="10"/>
      <c r="J247" s="10"/>
      <c r="K247" s="16"/>
    </row>
    <row r="248" spans="2:11" x14ac:dyDescent="0.25">
      <c r="B248" s="1750"/>
      <c r="D248" s="1788"/>
      <c r="E248" s="1743"/>
      <c r="G248" s="30" t="s">
        <v>641</v>
      </c>
      <c r="H248" s="126"/>
      <c r="I248" s="10"/>
      <c r="J248" s="10"/>
      <c r="K248" s="16"/>
    </row>
    <row r="249" spans="2:11" x14ac:dyDescent="0.25">
      <c r="B249" s="1750"/>
      <c r="D249" s="1788"/>
      <c r="E249" s="1743"/>
      <c r="G249" s="1043" t="s">
        <v>32</v>
      </c>
      <c r="H249" s="1036"/>
      <c r="I249" s="1044"/>
      <c r="J249" s="1044"/>
      <c r="K249" s="1045"/>
    </row>
    <row r="250" spans="2:11" x14ac:dyDescent="0.25">
      <c r="B250" s="1750"/>
      <c r="D250" s="1788"/>
      <c r="E250" s="1743"/>
      <c r="G250" s="89" t="s">
        <v>33</v>
      </c>
      <c r="H250" s="132">
        <f>SUM(H251:H252)</f>
        <v>0</v>
      </c>
      <c r="I250" s="90"/>
      <c r="J250" s="90"/>
      <c r="K250" s="91"/>
    </row>
    <row r="251" spans="2:11" x14ac:dyDescent="0.25">
      <c r="B251" s="1750"/>
      <c r="D251" s="1788"/>
      <c r="E251" s="1743"/>
      <c r="G251" s="30" t="s">
        <v>34</v>
      </c>
      <c r="H251" s="126"/>
      <c r="I251" s="10"/>
      <c r="J251" s="10"/>
      <c r="K251" s="16"/>
    </row>
    <row r="252" spans="2:11" x14ac:dyDescent="0.25">
      <c r="B252" s="1750"/>
      <c r="D252" s="1788"/>
      <c r="E252" s="1743"/>
      <c r="G252" s="30" t="s">
        <v>35</v>
      </c>
      <c r="H252" s="126"/>
      <c r="I252" s="10"/>
      <c r="J252" s="10"/>
      <c r="K252" s="16"/>
    </row>
    <row r="253" spans="2:11" ht="15.75" thickBot="1" x14ac:dyDescent="0.3">
      <c r="B253" s="1750"/>
      <c r="D253" s="1789"/>
      <c r="E253" s="1744"/>
      <c r="G253" s="1047" t="s">
        <v>36</v>
      </c>
      <c r="H253" s="1048"/>
      <c r="I253" s="1049"/>
      <c r="J253" s="1049"/>
      <c r="K253" s="1050"/>
    </row>
    <row r="254" spans="2:11" ht="15" customHeight="1" x14ac:dyDescent="0.25">
      <c r="B254" s="1750"/>
      <c r="D254" s="1739"/>
      <c r="E254" s="1742" t="s">
        <v>622</v>
      </c>
      <c r="G254" s="86" t="s">
        <v>145</v>
      </c>
      <c r="H254" s="131">
        <f>SUM(H255:H256)</f>
        <v>0</v>
      </c>
      <c r="I254" s="87"/>
      <c r="J254" s="87"/>
      <c r="K254" s="88"/>
    </row>
    <row r="255" spans="2:11" x14ac:dyDescent="0.25">
      <c r="B255" s="1750"/>
      <c r="D255" s="1788"/>
      <c r="E255" s="1743"/>
      <c r="G255" s="30" t="s">
        <v>23</v>
      </c>
      <c r="H255" s="126"/>
      <c r="I255" s="10"/>
      <c r="J255" s="10"/>
      <c r="K255" s="16"/>
    </row>
    <row r="256" spans="2:11" x14ac:dyDescent="0.25">
      <c r="B256" s="1750"/>
      <c r="D256" s="1788"/>
      <c r="E256" s="1743"/>
      <c r="G256" s="30" t="s">
        <v>24</v>
      </c>
      <c r="H256" s="126"/>
      <c r="I256" s="10"/>
      <c r="J256" s="10"/>
      <c r="K256" s="16"/>
    </row>
    <row r="257" spans="2:11" x14ac:dyDescent="0.25">
      <c r="B257" s="1750"/>
      <c r="D257" s="1788"/>
      <c r="E257" s="1743"/>
      <c r="G257" s="89" t="s">
        <v>146</v>
      </c>
      <c r="H257" s="132">
        <f>SUM(H258+H268)</f>
        <v>0</v>
      </c>
      <c r="I257" s="90"/>
      <c r="J257" s="90"/>
      <c r="K257" s="91"/>
    </row>
    <row r="258" spans="2:11" x14ac:dyDescent="0.25">
      <c r="B258" s="1750"/>
      <c r="D258" s="1788"/>
      <c r="E258" s="1743"/>
      <c r="G258" s="89" t="s">
        <v>25</v>
      </c>
      <c r="H258" s="132">
        <f>SUM(H259,H264,H267)</f>
        <v>0</v>
      </c>
      <c r="I258" s="90"/>
      <c r="J258" s="90"/>
      <c r="K258" s="91"/>
    </row>
    <row r="259" spans="2:11" x14ac:dyDescent="0.25">
      <c r="B259" s="1750"/>
      <c r="D259" s="1788"/>
      <c r="E259" s="1743"/>
      <c r="G259" s="89" t="s">
        <v>26</v>
      </c>
      <c r="H259" s="132">
        <f>SUM(H260:H263)</f>
        <v>0</v>
      </c>
      <c r="I259" s="90"/>
      <c r="J259" s="90"/>
      <c r="K259" s="91"/>
    </row>
    <row r="260" spans="2:11" x14ac:dyDescent="0.25">
      <c r="B260" s="1750"/>
      <c r="D260" s="1788"/>
      <c r="E260" s="1743"/>
      <c r="G260" s="30" t="s">
        <v>27</v>
      </c>
      <c r="H260" s="126"/>
      <c r="I260" s="10"/>
      <c r="J260" s="10"/>
      <c r="K260" s="16"/>
    </row>
    <row r="261" spans="2:11" x14ac:dyDescent="0.25">
      <c r="B261" s="1750"/>
      <c r="D261" s="1788"/>
      <c r="E261" s="1743"/>
      <c r="G261" s="30" t="s">
        <v>28</v>
      </c>
      <c r="H261" s="126"/>
      <c r="I261" s="10"/>
      <c r="J261" s="10"/>
      <c r="K261" s="16"/>
    </row>
    <row r="262" spans="2:11" x14ac:dyDescent="0.25">
      <c r="B262" s="1750"/>
      <c r="D262" s="1788"/>
      <c r="E262" s="1743"/>
      <c r="G262" s="30" t="s">
        <v>29</v>
      </c>
      <c r="H262" s="126"/>
      <c r="I262" s="10"/>
      <c r="J262" s="10"/>
      <c r="K262" s="16"/>
    </row>
    <row r="263" spans="2:11" x14ac:dyDescent="0.25">
      <c r="B263" s="1750"/>
      <c r="D263" s="1788"/>
      <c r="E263" s="1743"/>
      <c r="G263" s="30" t="s">
        <v>30</v>
      </c>
      <c r="H263" s="126"/>
      <c r="I263" s="10"/>
      <c r="J263" s="10"/>
      <c r="K263" s="16"/>
    </row>
    <row r="264" spans="2:11" x14ac:dyDescent="0.25">
      <c r="B264" s="1750"/>
      <c r="D264" s="1788"/>
      <c r="E264" s="1743"/>
      <c r="G264" s="89" t="s">
        <v>31</v>
      </c>
      <c r="H264" s="1036">
        <f>SUM(H265:H266)</f>
        <v>0</v>
      </c>
      <c r="I264" s="90"/>
      <c r="J264" s="90"/>
      <c r="K264" s="91"/>
    </row>
    <row r="265" spans="2:11" x14ac:dyDescent="0.25">
      <c r="B265" s="1750"/>
      <c r="D265" s="1788"/>
      <c r="E265" s="1743"/>
      <c r="G265" s="30" t="s">
        <v>640</v>
      </c>
      <c r="H265" s="126"/>
      <c r="I265" s="10"/>
      <c r="J265" s="10"/>
      <c r="K265" s="16"/>
    </row>
    <row r="266" spans="2:11" x14ac:dyDescent="0.25">
      <c r="B266" s="1750"/>
      <c r="D266" s="1788"/>
      <c r="E266" s="1743"/>
      <c r="G266" s="30" t="s">
        <v>641</v>
      </c>
      <c r="H266" s="126"/>
      <c r="I266" s="10"/>
      <c r="J266" s="10"/>
      <c r="K266" s="16"/>
    </row>
    <row r="267" spans="2:11" x14ac:dyDescent="0.25">
      <c r="B267" s="1750"/>
      <c r="D267" s="1788"/>
      <c r="E267" s="1743"/>
      <c r="G267" s="1043" t="s">
        <v>32</v>
      </c>
      <c r="H267" s="1036"/>
      <c r="I267" s="1044"/>
      <c r="J267" s="1044"/>
      <c r="K267" s="1045"/>
    </row>
    <row r="268" spans="2:11" x14ac:dyDescent="0.25">
      <c r="B268" s="1750"/>
      <c r="D268" s="1788"/>
      <c r="E268" s="1743"/>
      <c r="G268" s="89" t="s">
        <v>33</v>
      </c>
      <c r="H268" s="132">
        <f>SUM(H269:H270)</f>
        <v>0</v>
      </c>
      <c r="I268" s="90"/>
      <c r="J268" s="90"/>
      <c r="K268" s="91"/>
    </row>
    <row r="269" spans="2:11" x14ac:dyDescent="0.25">
      <c r="B269" s="1750"/>
      <c r="D269" s="1788"/>
      <c r="E269" s="1743"/>
      <c r="G269" s="30" t="s">
        <v>34</v>
      </c>
      <c r="H269" s="126"/>
      <c r="I269" s="10"/>
      <c r="J269" s="10"/>
      <c r="K269" s="16"/>
    </row>
    <row r="270" spans="2:11" x14ac:dyDescent="0.25">
      <c r="B270" s="1750"/>
      <c r="D270" s="1788"/>
      <c r="E270" s="1743"/>
      <c r="G270" s="30" t="s">
        <v>35</v>
      </c>
      <c r="H270" s="126"/>
      <c r="I270" s="10"/>
      <c r="J270" s="10"/>
      <c r="K270" s="16"/>
    </row>
    <row r="271" spans="2:11" ht="15.75" thickBot="1" x14ac:dyDescent="0.3">
      <c r="B271" s="1750"/>
      <c r="D271" s="1789"/>
      <c r="E271" s="1744"/>
      <c r="G271" s="1047" t="s">
        <v>36</v>
      </c>
      <c r="H271" s="1048"/>
      <c r="I271" s="1049"/>
      <c r="J271" s="1049"/>
      <c r="K271" s="1050"/>
    </row>
    <row r="272" spans="2:11" ht="15" customHeight="1" x14ac:dyDescent="0.25">
      <c r="B272" s="1750"/>
      <c r="D272" s="1739">
        <v>85</v>
      </c>
      <c r="E272" s="1746" t="s">
        <v>155</v>
      </c>
      <c r="G272" s="86" t="s">
        <v>145</v>
      </c>
      <c r="H272" s="131">
        <f>SUM(H273:H274)</f>
        <v>133.11539999999999</v>
      </c>
      <c r="I272" s="87"/>
      <c r="J272" s="87"/>
      <c r="K272" s="88"/>
    </row>
    <row r="273" spans="2:11" x14ac:dyDescent="0.25">
      <c r="B273" s="1750"/>
      <c r="D273" s="1788"/>
      <c r="E273" s="1747"/>
      <c r="G273" s="30" t="s">
        <v>23</v>
      </c>
      <c r="H273" s="126">
        <v>133.11539999999999</v>
      </c>
      <c r="I273" s="10"/>
      <c r="J273" s="10"/>
      <c r="K273" s="16"/>
    </row>
    <row r="274" spans="2:11" x14ac:dyDescent="0.25">
      <c r="B274" s="1750"/>
      <c r="D274" s="1788"/>
      <c r="E274" s="1747"/>
      <c r="G274" s="30" t="s">
        <v>24</v>
      </c>
      <c r="H274" s="126">
        <v>0</v>
      </c>
      <c r="I274" s="10"/>
      <c r="J274" s="10"/>
      <c r="K274" s="16"/>
    </row>
    <row r="275" spans="2:11" x14ac:dyDescent="0.25">
      <c r="B275" s="1750"/>
      <c r="D275" s="1788"/>
      <c r="E275" s="1747"/>
      <c r="G275" s="89" t="s">
        <v>146</v>
      </c>
      <c r="H275" s="132">
        <f>SUM(H276+H286)</f>
        <v>133.11539999999999</v>
      </c>
      <c r="I275" s="90"/>
      <c r="J275" s="90"/>
      <c r="K275" s="91"/>
    </row>
    <row r="276" spans="2:11" x14ac:dyDescent="0.25">
      <c r="B276" s="1750"/>
      <c r="D276" s="1788"/>
      <c r="E276" s="1747"/>
      <c r="G276" s="89" t="s">
        <v>25</v>
      </c>
      <c r="H276" s="132">
        <f>SUM(H277,H282,H285)</f>
        <v>133.11539999999999</v>
      </c>
      <c r="I276" s="90"/>
      <c r="J276" s="90"/>
      <c r="K276" s="91"/>
    </row>
    <row r="277" spans="2:11" x14ac:dyDescent="0.25">
      <c r="B277" s="1750"/>
      <c r="D277" s="1788"/>
      <c r="E277" s="1747"/>
      <c r="G277" s="89" t="s">
        <v>26</v>
      </c>
      <c r="H277" s="132">
        <f>SUM(H278:H281)</f>
        <v>0</v>
      </c>
      <c r="I277" s="90"/>
      <c r="J277" s="90"/>
      <c r="K277" s="91"/>
    </row>
    <row r="278" spans="2:11" x14ac:dyDescent="0.25">
      <c r="B278" s="1750"/>
      <c r="D278" s="1788"/>
      <c r="E278" s="1747"/>
      <c r="G278" s="30" t="s">
        <v>27</v>
      </c>
      <c r="H278" s="126">
        <v>0</v>
      </c>
      <c r="I278" s="10"/>
      <c r="J278" s="10"/>
      <c r="K278" s="16"/>
    </row>
    <row r="279" spans="2:11" x14ac:dyDescent="0.25">
      <c r="B279" s="1750"/>
      <c r="D279" s="1788"/>
      <c r="E279" s="1747"/>
      <c r="G279" s="30" t="s">
        <v>28</v>
      </c>
      <c r="H279" s="126">
        <v>0</v>
      </c>
      <c r="I279" s="10"/>
      <c r="J279" s="10"/>
      <c r="K279" s="16"/>
    </row>
    <row r="280" spans="2:11" x14ac:dyDescent="0.25">
      <c r="B280" s="1750"/>
      <c r="D280" s="1788"/>
      <c r="E280" s="1747"/>
      <c r="G280" s="30" t="s">
        <v>29</v>
      </c>
      <c r="H280" s="126">
        <v>0</v>
      </c>
      <c r="I280" s="10"/>
      <c r="J280" s="10"/>
      <c r="K280" s="16"/>
    </row>
    <row r="281" spans="2:11" x14ac:dyDescent="0.25">
      <c r="B281" s="1750"/>
      <c r="D281" s="1788"/>
      <c r="E281" s="1747"/>
      <c r="G281" s="30" t="s">
        <v>30</v>
      </c>
      <c r="H281" s="126">
        <v>0</v>
      </c>
      <c r="I281" s="10"/>
      <c r="J281" s="10"/>
      <c r="K281" s="16"/>
    </row>
    <row r="282" spans="2:11" x14ac:dyDescent="0.25">
      <c r="B282" s="1750"/>
      <c r="D282" s="1788"/>
      <c r="E282" s="1747"/>
      <c r="G282" s="89" t="s">
        <v>31</v>
      </c>
      <c r="H282" s="132">
        <v>133.11539999999999</v>
      </c>
      <c r="I282" s="90"/>
      <c r="J282" s="90"/>
      <c r="K282" s="91" t="s">
        <v>1305</v>
      </c>
    </row>
    <row r="283" spans="2:11" x14ac:dyDescent="0.25">
      <c r="B283" s="1750"/>
      <c r="D283" s="1788"/>
      <c r="E283" s="1747"/>
      <c r="G283" s="30" t="s">
        <v>640</v>
      </c>
      <c r="H283" s="126">
        <f>H282*95%</f>
        <v>126.45962999999999</v>
      </c>
      <c r="I283" s="10"/>
      <c r="J283" s="10"/>
      <c r="K283" s="16"/>
    </row>
    <row r="284" spans="2:11" x14ac:dyDescent="0.25">
      <c r="B284" s="1750"/>
      <c r="D284" s="1788"/>
      <c r="E284" s="1747"/>
      <c r="G284" s="30" t="s">
        <v>641</v>
      </c>
      <c r="H284" s="126">
        <f>H282*5%</f>
        <v>6.6557700000000004</v>
      </c>
      <c r="I284" s="10"/>
      <c r="J284" s="10"/>
      <c r="K284" s="16"/>
    </row>
    <row r="285" spans="2:11" x14ac:dyDescent="0.25">
      <c r="B285" s="1750"/>
      <c r="D285" s="1788"/>
      <c r="E285" s="1747"/>
      <c r="G285" s="1043" t="s">
        <v>32</v>
      </c>
      <c r="H285" s="1036">
        <v>0</v>
      </c>
      <c r="I285" s="1044"/>
      <c r="J285" s="1044"/>
      <c r="K285" s="1045"/>
    </row>
    <row r="286" spans="2:11" x14ac:dyDescent="0.25">
      <c r="B286" s="1750"/>
      <c r="D286" s="1788"/>
      <c r="E286" s="1747"/>
      <c r="G286" s="89" t="s">
        <v>33</v>
      </c>
      <c r="H286" s="132">
        <f>SUM(H287:H288)</f>
        <v>0</v>
      </c>
      <c r="I286" s="90"/>
      <c r="J286" s="90"/>
      <c r="K286" s="91"/>
    </row>
    <row r="287" spans="2:11" x14ac:dyDescent="0.25">
      <c r="B287" s="1750"/>
      <c r="D287" s="1788"/>
      <c r="E287" s="1747"/>
      <c r="G287" s="30" t="s">
        <v>34</v>
      </c>
      <c r="H287" s="126">
        <v>0</v>
      </c>
      <c r="I287" s="10"/>
      <c r="J287" s="10"/>
      <c r="K287" s="16"/>
    </row>
    <row r="288" spans="2:11" x14ac:dyDescent="0.25">
      <c r="B288" s="1750"/>
      <c r="D288" s="1788"/>
      <c r="E288" s="1747"/>
      <c r="G288" s="30" t="s">
        <v>35</v>
      </c>
      <c r="H288" s="126">
        <v>0</v>
      </c>
      <c r="I288" s="10"/>
      <c r="J288" s="10"/>
      <c r="K288" s="16"/>
    </row>
    <row r="289" spans="2:11" ht="15.75" thickBot="1" x14ac:dyDescent="0.3">
      <c r="B289" s="1750"/>
      <c r="D289" s="1789"/>
      <c r="E289" s="1748"/>
      <c r="G289" s="1047" t="s">
        <v>36</v>
      </c>
      <c r="H289" s="1048">
        <v>224372.33</v>
      </c>
      <c r="I289" s="1049"/>
      <c r="J289" s="1049"/>
      <c r="K289" s="1050" t="s">
        <v>1268</v>
      </c>
    </row>
    <row r="290" spans="2:11" ht="15" customHeight="1" x14ac:dyDescent="0.25">
      <c r="B290" s="1750"/>
      <c r="D290" s="1745" t="s">
        <v>21</v>
      </c>
      <c r="E290" s="1746" t="s">
        <v>156</v>
      </c>
      <c r="G290" s="86" t="s">
        <v>145</v>
      </c>
      <c r="H290" s="131">
        <f>SUM(H291:H292)</f>
        <v>588.7795155737706</v>
      </c>
      <c r="I290" s="87"/>
      <c r="J290" s="87"/>
      <c r="K290" s="88"/>
    </row>
    <row r="291" spans="2:11" x14ac:dyDescent="0.25">
      <c r="B291" s="1750"/>
      <c r="D291" s="1786"/>
      <c r="E291" s="1747"/>
      <c r="G291" s="30" t="s">
        <v>23</v>
      </c>
      <c r="H291" s="126">
        <v>588.7795155737706</v>
      </c>
      <c r="I291" s="10"/>
      <c r="J291" s="10"/>
      <c r="K291" s="16"/>
    </row>
    <row r="292" spans="2:11" x14ac:dyDescent="0.25">
      <c r="B292" s="1750"/>
      <c r="D292" s="1786"/>
      <c r="E292" s="1747"/>
      <c r="G292" s="30" t="s">
        <v>24</v>
      </c>
      <c r="H292" s="126">
        <v>0</v>
      </c>
      <c r="I292" s="10"/>
      <c r="J292" s="10"/>
      <c r="K292" s="16"/>
    </row>
    <row r="293" spans="2:11" x14ac:dyDescent="0.25">
      <c r="B293" s="1750"/>
      <c r="D293" s="1786"/>
      <c r="E293" s="1747"/>
      <c r="G293" s="89" t="s">
        <v>146</v>
      </c>
      <c r="H293" s="132">
        <f>SUM(H294+H304)</f>
        <v>588.7795155737706</v>
      </c>
      <c r="I293" s="90"/>
      <c r="J293" s="90"/>
      <c r="K293" s="91"/>
    </row>
    <row r="294" spans="2:11" x14ac:dyDescent="0.25">
      <c r="B294" s="1750"/>
      <c r="D294" s="1786"/>
      <c r="E294" s="1747"/>
      <c r="G294" s="89" t="s">
        <v>25</v>
      </c>
      <c r="H294" s="132">
        <f>SUM(H295,H300,H303)</f>
        <v>90.790815573770487</v>
      </c>
      <c r="I294" s="90"/>
      <c r="J294" s="90"/>
      <c r="K294" s="91"/>
    </row>
    <row r="295" spans="2:11" x14ac:dyDescent="0.25">
      <c r="B295" s="1750"/>
      <c r="D295" s="1786"/>
      <c r="E295" s="1747"/>
      <c r="G295" s="89" t="s">
        <v>26</v>
      </c>
      <c r="H295" s="132">
        <f>SUM(H296:H299)</f>
        <v>0</v>
      </c>
      <c r="I295" s="90"/>
      <c r="J295" s="90"/>
      <c r="K295" s="91"/>
    </row>
    <row r="296" spans="2:11" x14ac:dyDescent="0.25">
      <c r="B296" s="1750"/>
      <c r="D296" s="1786"/>
      <c r="E296" s="1747"/>
      <c r="G296" s="30" t="s">
        <v>27</v>
      </c>
      <c r="H296" s="126">
        <v>0</v>
      </c>
      <c r="I296" s="10"/>
      <c r="J296" s="10"/>
      <c r="K296" s="16"/>
    </row>
    <row r="297" spans="2:11" x14ac:dyDescent="0.25">
      <c r="B297" s="1750"/>
      <c r="D297" s="1786"/>
      <c r="E297" s="1747"/>
      <c r="G297" s="30" t="s">
        <v>28</v>
      </c>
      <c r="H297" s="126">
        <v>0</v>
      </c>
      <c r="I297" s="10"/>
      <c r="J297" s="10"/>
      <c r="K297" s="16"/>
    </row>
    <row r="298" spans="2:11" x14ac:dyDescent="0.25">
      <c r="B298" s="1750"/>
      <c r="D298" s="1786"/>
      <c r="E298" s="1747"/>
      <c r="G298" s="30" t="s">
        <v>29</v>
      </c>
      <c r="H298" s="126">
        <v>0</v>
      </c>
      <c r="I298" s="10"/>
      <c r="J298" s="10"/>
      <c r="K298" s="16"/>
    </row>
    <row r="299" spans="2:11" x14ac:dyDescent="0.25">
      <c r="B299" s="1750"/>
      <c r="D299" s="1786"/>
      <c r="E299" s="1747"/>
      <c r="G299" s="30" t="s">
        <v>30</v>
      </c>
      <c r="H299" s="126">
        <v>0</v>
      </c>
      <c r="I299" s="10"/>
      <c r="J299" s="10"/>
      <c r="K299" s="16"/>
    </row>
    <row r="300" spans="2:11" x14ac:dyDescent="0.25">
      <c r="B300" s="1750"/>
      <c r="D300" s="1786"/>
      <c r="E300" s="1747"/>
      <c r="G300" s="89" t="s">
        <v>31</v>
      </c>
      <c r="H300" s="132">
        <v>90.790815573770487</v>
      </c>
      <c r="I300" s="90"/>
      <c r="J300" s="90"/>
      <c r="K300" s="91" t="s">
        <v>1306</v>
      </c>
    </row>
    <row r="301" spans="2:11" x14ac:dyDescent="0.25">
      <c r="B301" s="1750"/>
      <c r="D301" s="1786"/>
      <c r="E301" s="1747"/>
      <c r="G301" s="30" t="s">
        <v>640</v>
      </c>
      <c r="H301" s="126">
        <f>H300*20%</f>
        <v>18.1581631147541</v>
      </c>
      <c r="I301" s="10"/>
      <c r="J301" s="10"/>
      <c r="K301" s="16"/>
    </row>
    <row r="302" spans="2:11" x14ac:dyDescent="0.25">
      <c r="B302" s="1750"/>
      <c r="D302" s="1786"/>
      <c r="E302" s="1747"/>
      <c r="G302" s="30" t="s">
        <v>641</v>
      </c>
      <c r="H302" s="126">
        <f>H300*80%</f>
        <v>72.632652459016398</v>
      </c>
      <c r="I302" s="10"/>
      <c r="J302" s="10"/>
      <c r="K302" s="16"/>
    </row>
    <row r="303" spans="2:11" x14ac:dyDescent="0.25">
      <c r="B303" s="1750"/>
      <c r="D303" s="1786"/>
      <c r="E303" s="1747"/>
      <c r="G303" s="1043" t="s">
        <v>32</v>
      </c>
      <c r="H303" s="1036">
        <v>0</v>
      </c>
      <c r="I303" s="1044"/>
      <c r="J303" s="1044"/>
      <c r="K303" s="1045"/>
    </row>
    <row r="304" spans="2:11" x14ac:dyDescent="0.25">
      <c r="B304" s="1750"/>
      <c r="D304" s="1786"/>
      <c r="E304" s="1747"/>
      <c r="G304" s="89" t="s">
        <v>33</v>
      </c>
      <c r="H304" s="132">
        <f>SUM(H305:H306)</f>
        <v>497.98870000000005</v>
      </c>
      <c r="I304" s="90"/>
      <c r="J304" s="90"/>
      <c r="K304" s="91"/>
    </row>
    <row r="305" spans="2:11" x14ac:dyDescent="0.25">
      <c r="B305" s="1750"/>
      <c r="D305" s="1786"/>
      <c r="E305" s="1747"/>
      <c r="G305" s="30" t="s">
        <v>34</v>
      </c>
      <c r="H305" s="126">
        <v>497.98870000000005</v>
      </c>
      <c r="I305" s="10"/>
      <c r="J305" s="10"/>
      <c r="K305" s="16" t="s">
        <v>1268</v>
      </c>
    </row>
    <row r="306" spans="2:11" x14ac:dyDescent="0.25">
      <c r="B306" s="1750"/>
      <c r="D306" s="1786"/>
      <c r="E306" s="1747"/>
      <c r="G306" s="30" t="s">
        <v>35</v>
      </c>
      <c r="H306" s="126">
        <v>0</v>
      </c>
      <c r="I306" s="10"/>
      <c r="J306" s="10"/>
      <c r="K306" s="16"/>
    </row>
    <row r="307" spans="2:11" ht="15.75" thickBot="1" x14ac:dyDescent="0.3">
      <c r="B307" s="1750"/>
      <c r="D307" s="1787"/>
      <c r="E307" s="1748"/>
      <c r="G307" s="1047" t="s">
        <v>36</v>
      </c>
      <c r="H307" s="1048">
        <v>3720.9427500000002</v>
      </c>
      <c r="I307" s="1049"/>
      <c r="J307" s="1049"/>
      <c r="K307" s="1050" t="s">
        <v>1268</v>
      </c>
    </row>
    <row r="308" spans="2:11" ht="15" customHeight="1" x14ac:dyDescent="0.25">
      <c r="B308" s="1750"/>
      <c r="D308" s="1739"/>
      <c r="E308" s="1742" t="s">
        <v>623</v>
      </c>
      <c r="G308" s="86" t="s">
        <v>145</v>
      </c>
      <c r="H308" s="131">
        <f>SUM(H309:H310)</f>
        <v>0</v>
      </c>
      <c r="I308" s="87"/>
      <c r="J308" s="87"/>
      <c r="K308" s="88"/>
    </row>
    <row r="309" spans="2:11" x14ac:dyDescent="0.25">
      <c r="B309" s="1750"/>
      <c r="D309" s="1788"/>
      <c r="E309" s="1743"/>
      <c r="G309" s="30" t="s">
        <v>23</v>
      </c>
      <c r="H309" s="126"/>
      <c r="I309" s="10"/>
      <c r="J309" s="10"/>
      <c r="K309" s="16"/>
    </row>
    <row r="310" spans="2:11" x14ac:dyDescent="0.25">
      <c r="B310" s="1750"/>
      <c r="D310" s="1788"/>
      <c r="E310" s="1743"/>
      <c r="G310" s="30" t="s">
        <v>24</v>
      </c>
      <c r="H310" s="126"/>
      <c r="I310" s="10"/>
      <c r="J310" s="10"/>
      <c r="K310" s="16"/>
    </row>
    <row r="311" spans="2:11" x14ac:dyDescent="0.25">
      <c r="B311" s="1750"/>
      <c r="D311" s="1788"/>
      <c r="E311" s="1743"/>
      <c r="G311" s="89" t="s">
        <v>146</v>
      </c>
      <c r="H311" s="132">
        <f>SUM(H312+H322)</f>
        <v>0</v>
      </c>
      <c r="I311" s="90"/>
      <c r="J311" s="90"/>
      <c r="K311" s="91"/>
    </row>
    <row r="312" spans="2:11" x14ac:dyDescent="0.25">
      <c r="B312" s="1750"/>
      <c r="D312" s="1788"/>
      <c r="E312" s="1743"/>
      <c r="G312" s="89" t="s">
        <v>25</v>
      </c>
      <c r="H312" s="132">
        <f>SUM(H313,H318,H321)</f>
        <v>0</v>
      </c>
      <c r="I312" s="90"/>
      <c r="J312" s="90"/>
      <c r="K312" s="91"/>
    </row>
    <row r="313" spans="2:11" x14ac:dyDescent="0.25">
      <c r="B313" s="1750"/>
      <c r="D313" s="1788"/>
      <c r="E313" s="1743"/>
      <c r="G313" s="89" t="s">
        <v>26</v>
      </c>
      <c r="H313" s="132">
        <f>SUM(H314:H317)</f>
        <v>0</v>
      </c>
      <c r="I313" s="90"/>
      <c r="J313" s="90"/>
      <c r="K313" s="91"/>
    </row>
    <row r="314" spans="2:11" x14ac:dyDescent="0.25">
      <c r="B314" s="1750"/>
      <c r="D314" s="1788"/>
      <c r="E314" s="1743"/>
      <c r="G314" s="30" t="s">
        <v>27</v>
      </c>
      <c r="H314" s="126"/>
      <c r="I314" s="10"/>
      <c r="J314" s="10"/>
      <c r="K314" s="16"/>
    </row>
    <row r="315" spans="2:11" x14ac:dyDescent="0.25">
      <c r="B315" s="1750"/>
      <c r="D315" s="1788"/>
      <c r="E315" s="1743"/>
      <c r="G315" s="30" t="s">
        <v>28</v>
      </c>
      <c r="H315" s="126"/>
      <c r="I315" s="10"/>
      <c r="J315" s="10"/>
      <c r="K315" s="16"/>
    </row>
    <row r="316" spans="2:11" x14ac:dyDescent="0.25">
      <c r="B316" s="1750"/>
      <c r="D316" s="1788"/>
      <c r="E316" s="1743"/>
      <c r="G316" s="30" t="s">
        <v>29</v>
      </c>
      <c r="H316" s="126"/>
      <c r="I316" s="10"/>
      <c r="J316" s="10"/>
      <c r="K316" s="16"/>
    </row>
    <row r="317" spans="2:11" x14ac:dyDescent="0.25">
      <c r="B317" s="1750"/>
      <c r="D317" s="1788"/>
      <c r="E317" s="1743"/>
      <c r="G317" s="30" t="s">
        <v>30</v>
      </c>
      <c r="H317" s="126"/>
      <c r="I317" s="10"/>
      <c r="J317" s="10"/>
      <c r="K317" s="16"/>
    </row>
    <row r="318" spans="2:11" x14ac:dyDescent="0.25">
      <c r="B318" s="1750"/>
      <c r="D318" s="1788"/>
      <c r="E318" s="1743"/>
      <c r="G318" s="89" t="s">
        <v>31</v>
      </c>
      <c r="H318" s="1036">
        <f>SUM(H319:H320)</f>
        <v>0</v>
      </c>
      <c r="I318" s="90"/>
      <c r="J318" s="90"/>
      <c r="K318" s="91"/>
    </row>
    <row r="319" spans="2:11" x14ac:dyDescent="0.25">
      <c r="B319" s="1750"/>
      <c r="D319" s="1788"/>
      <c r="E319" s="1743"/>
      <c r="G319" s="30" t="s">
        <v>640</v>
      </c>
      <c r="H319" s="126"/>
      <c r="I319" s="10"/>
      <c r="J319" s="10"/>
      <c r="K319" s="16"/>
    </row>
    <row r="320" spans="2:11" x14ac:dyDescent="0.25">
      <c r="B320" s="1750"/>
      <c r="D320" s="1788"/>
      <c r="E320" s="1743"/>
      <c r="G320" s="30" t="s">
        <v>641</v>
      </c>
      <c r="H320" s="126"/>
      <c r="I320" s="10"/>
      <c r="J320" s="10"/>
      <c r="K320" s="16"/>
    </row>
    <row r="321" spans="2:11" x14ac:dyDescent="0.25">
      <c r="B321" s="1750"/>
      <c r="D321" s="1788"/>
      <c r="E321" s="1743"/>
      <c r="G321" s="1043" t="s">
        <v>32</v>
      </c>
      <c r="H321" s="1036"/>
      <c r="I321" s="1044"/>
      <c r="J321" s="1044"/>
      <c r="K321" s="1045"/>
    </row>
    <row r="322" spans="2:11" x14ac:dyDescent="0.25">
      <c r="B322" s="1750"/>
      <c r="D322" s="1788"/>
      <c r="E322" s="1743"/>
      <c r="G322" s="89" t="s">
        <v>33</v>
      </c>
      <c r="H322" s="132">
        <f>SUM(H323:H324)</f>
        <v>0</v>
      </c>
      <c r="I322" s="90"/>
      <c r="J322" s="90"/>
      <c r="K322" s="91"/>
    </row>
    <row r="323" spans="2:11" x14ac:dyDescent="0.25">
      <c r="B323" s="1750"/>
      <c r="D323" s="1788"/>
      <c r="E323" s="1743"/>
      <c r="G323" s="30" t="s">
        <v>34</v>
      </c>
      <c r="H323" s="126"/>
      <c r="I323" s="10"/>
      <c r="J323" s="10"/>
      <c r="K323" s="16"/>
    </row>
    <row r="324" spans="2:11" x14ac:dyDescent="0.25">
      <c r="B324" s="1750"/>
      <c r="D324" s="1788"/>
      <c r="E324" s="1743"/>
      <c r="G324" s="30" t="s">
        <v>35</v>
      </c>
      <c r="H324" s="126"/>
      <c r="I324" s="10"/>
      <c r="J324" s="10"/>
      <c r="K324" s="16"/>
    </row>
    <row r="325" spans="2:11" ht="15.75" thickBot="1" x14ac:dyDescent="0.3">
      <c r="B325" s="1750"/>
      <c r="D325" s="1789"/>
      <c r="E325" s="1744"/>
      <c r="G325" s="1047" t="s">
        <v>36</v>
      </c>
      <c r="H325" s="1048"/>
      <c r="I325" s="1049"/>
      <c r="J325" s="1049"/>
      <c r="K325" s="1050"/>
    </row>
    <row r="326" spans="2:11" ht="15" customHeight="1" x14ac:dyDescent="0.25">
      <c r="B326" s="1750"/>
      <c r="D326" s="1745" t="s">
        <v>22</v>
      </c>
      <c r="E326" s="1746" t="s">
        <v>157</v>
      </c>
      <c r="G326" s="86" t="s">
        <v>145</v>
      </c>
      <c r="H326" s="131">
        <f>SUM(H327:H328)</f>
        <v>11.709600000000002</v>
      </c>
      <c r="I326" s="87"/>
      <c r="J326" s="87"/>
      <c r="K326" s="88"/>
    </row>
    <row r="327" spans="2:11" x14ac:dyDescent="0.25">
      <c r="B327" s="1750"/>
      <c r="D327" s="1786"/>
      <c r="E327" s="1747"/>
      <c r="G327" s="30" t="s">
        <v>23</v>
      </c>
      <c r="H327" s="126">
        <v>11.709600000000002</v>
      </c>
      <c r="I327" s="10"/>
      <c r="J327" s="10"/>
      <c r="K327" s="16"/>
    </row>
    <row r="328" spans="2:11" x14ac:dyDescent="0.25">
      <c r="B328" s="1750"/>
      <c r="D328" s="1786"/>
      <c r="E328" s="1747"/>
      <c r="G328" s="30" t="s">
        <v>24</v>
      </c>
      <c r="H328" s="126">
        <v>0</v>
      </c>
      <c r="I328" s="10"/>
      <c r="J328" s="10"/>
      <c r="K328" s="16"/>
    </row>
    <row r="329" spans="2:11" x14ac:dyDescent="0.25">
      <c r="B329" s="1750"/>
      <c r="D329" s="1786"/>
      <c r="E329" s="1747"/>
      <c r="G329" s="89" t="s">
        <v>146</v>
      </c>
      <c r="H329" s="132">
        <f>SUM(H330+H340)</f>
        <v>11.709600000000002</v>
      </c>
      <c r="I329" s="90"/>
      <c r="J329" s="90"/>
      <c r="K329" s="91"/>
    </row>
    <row r="330" spans="2:11" x14ac:dyDescent="0.25">
      <c r="B330" s="1750"/>
      <c r="D330" s="1786"/>
      <c r="E330" s="1747"/>
      <c r="G330" s="89" t="s">
        <v>25</v>
      </c>
      <c r="H330" s="132">
        <f>SUM(H331,H336,H339)</f>
        <v>2.0736000000000003</v>
      </c>
      <c r="I330" s="90"/>
      <c r="J330" s="90"/>
      <c r="K330" s="91"/>
    </row>
    <row r="331" spans="2:11" x14ac:dyDescent="0.25">
      <c r="B331" s="1750"/>
      <c r="D331" s="1786"/>
      <c r="E331" s="1747"/>
      <c r="G331" s="89" t="s">
        <v>26</v>
      </c>
      <c r="H331" s="132">
        <f>SUM(H332:H335)</f>
        <v>2.0736000000000003</v>
      </c>
      <c r="I331" s="90"/>
      <c r="J331" s="90"/>
      <c r="K331" s="91"/>
    </row>
    <row r="332" spans="2:11" x14ac:dyDescent="0.25">
      <c r="B332" s="1750"/>
      <c r="D332" s="1786"/>
      <c r="E332" s="1747"/>
      <c r="G332" s="30" t="s">
        <v>27</v>
      </c>
      <c r="H332" s="126">
        <v>0</v>
      </c>
      <c r="I332" s="10"/>
      <c r="J332" s="10"/>
      <c r="K332" s="16"/>
    </row>
    <row r="333" spans="2:11" x14ac:dyDescent="0.25">
      <c r="B333" s="1750"/>
      <c r="D333" s="1786"/>
      <c r="E333" s="1747"/>
      <c r="G333" s="30" t="s">
        <v>28</v>
      </c>
      <c r="H333" s="126">
        <v>2.0736000000000003</v>
      </c>
      <c r="I333" s="10"/>
      <c r="J333" s="10"/>
      <c r="K333" s="16"/>
    </row>
    <row r="334" spans="2:11" x14ac:dyDescent="0.25">
      <c r="B334" s="1750"/>
      <c r="D334" s="1786"/>
      <c r="E334" s="1747"/>
      <c r="G334" s="30" t="s">
        <v>29</v>
      </c>
      <c r="H334" s="126">
        <v>0</v>
      </c>
      <c r="I334" s="10"/>
      <c r="J334" s="10"/>
      <c r="K334" s="16"/>
    </row>
    <row r="335" spans="2:11" x14ac:dyDescent="0.25">
      <c r="B335" s="1750"/>
      <c r="D335" s="1786"/>
      <c r="E335" s="1747"/>
      <c r="G335" s="30" t="s">
        <v>30</v>
      </c>
      <c r="H335" s="126">
        <v>0</v>
      </c>
      <c r="I335" s="10"/>
      <c r="J335" s="10"/>
      <c r="K335" s="16"/>
    </row>
    <row r="336" spans="2:11" x14ac:dyDescent="0.25">
      <c r="B336" s="1750"/>
      <c r="D336" s="1786"/>
      <c r="E336" s="1747"/>
      <c r="G336" s="89" t="s">
        <v>31</v>
      </c>
      <c r="H336" s="1036">
        <f>SUM(H337:H338)</f>
        <v>0</v>
      </c>
      <c r="I336" s="90"/>
      <c r="J336" s="90"/>
      <c r="K336" s="91"/>
    </row>
    <row r="337" spans="2:11" x14ac:dyDescent="0.25">
      <c r="B337" s="1750"/>
      <c r="D337" s="1786"/>
      <c r="E337" s="1747"/>
      <c r="G337" s="30" t="s">
        <v>640</v>
      </c>
      <c r="H337" s="126"/>
      <c r="I337" s="10"/>
      <c r="J337" s="10"/>
      <c r="K337" s="16"/>
    </row>
    <row r="338" spans="2:11" x14ac:dyDescent="0.25">
      <c r="B338" s="1750"/>
      <c r="D338" s="1786"/>
      <c r="E338" s="1747"/>
      <c r="G338" s="30" t="s">
        <v>641</v>
      </c>
      <c r="H338" s="126"/>
      <c r="I338" s="10"/>
      <c r="J338" s="10"/>
      <c r="K338" s="16"/>
    </row>
    <row r="339" spans="2:11" x14ac:dyDescent="0.25">
      <c r="B339" s="1750"/>
      <c r="D339" s="1786"/>
      <c r="E339" s="1747"/>
      <c r="G339" s="1043" t="s">
        <v>32</v>
      </c>
      <c r="H339" s="1036">
        <v>0</v>
      </c>
      <c r="I339" s="1044"/>
      <c r="J339" s="1044"/>
      <c r="K339" s="1045"/>
    </row>
    <row r="340" spans="2:11" x14ac:dyDescent="0.25">
      <c r="B340" s="1750"/>
      <c r="D340" s="1786"/>
      <c r="E340" s="1747"/>
      <c r="G340" s="89" t="s">
        <v>33</v>
      </c>
      <c r="H340" s="132">
        <f>SUM(H341:H342)</f>
        <v>9.636000000000001</v>
      </c>
      <c r="I340" s="90"/>
      <c r="J340" s="90"/>
      <c r="K340" s="91"/>
    </row>
    <row r="341" spans="2:11" x14ac:dyDescent="0.25">
      <c r="B341" s="1750"/>
      <c r="D341" s="1786"/>
      <c r="E341" s="1747"/>
      <c r="G341" s="30" t="s">
        <v>34</v>
      </c>
      <c r="H341" s="126">
        <v>9.636000000000001</v>
      </c>
      <c r="I341" s="10"/>
      <c r="J341" s="10"/>
      <c r="K341" s="16"/>
    </row>
    <row r="342" spans="2:11" x14ac:dyDescent="0.25">
      <c r="B342" s="1750"/>
      <c r="D342" s="1786"/>
      <c r="E342" s="1747"/>
      <c r="G342" s="30" t="s">
        <v>35</v>
      </c>
      <c r="H342" s="126">
        <v>0</v>
      </c>
      <c r="I342" s="10"/>
      <c r="J342" s="10"/>
      <c r="K342" s="16"/>
    </row>
    <row r="343" spans="2:11" ht="15.75" thickBot="1" x14ac:dyDescent="0.3">
      <c r="B343" s="1750"/>
      <c r="D343" s="1787"/>
      <c r="E343" s="1748"/>
      <c r="G343" s="1047" t="s">
        <v>36</v>
      </c>
      <c r="H343" s="1048">
        <v>131.69367175295594</v>
      </c>
      <c r="I343" s="1049"/>
      <c r="J343" s="1049"/>
      <c r="K343" s="1050" t="s">
        <v>1268</v>
      </c>
    </row>
    <row r="344" spans="2:11" ht="15" customHeight="1" x14ac:dyDescent="0.25">
      <c r="B344" s="1750"/>
      <c r="D344" s="1739"/>
      <c r="E344" s="1742" t="s">
        <v>624</v>
      </c>
      <c r="G344" s="86" t="s">
        <v>145</v>
      </c>
      <c r="H344" s="131">
        <f>SUM(H345:H346)</f>
        <v>0</v>
      </c>
      <c r="I344" s="87"/>
      <c r="J344" s="87"/>
      <c r="K344" s="88"/>
    </row>
    <row r="345" spans="2:11" x14ac:dyDescent="0.25">
      <c r="B345" s="1750"/>
      <c r="D345" s="1788"/>
      <c r="E345" s="1743"/>
      <c r="G345" s="30" t="s">
        <v>23</v>
      </c>
      <c r="H345" s="126"/>
      <c r="I345" s="10"/>
      <c r="J345" s="10"/>
      <c r="K345" s="16"/>
    </row>
    <row r="346" spans="2:11" x14ac:dyDescent="0.25">
      <c r="B346" s="1750"/>
      <c r="D346" s="1788"/>
      <c r="E346" s="1743"/>
      <c r="G346" s="30" t="s">
        <v>24</v>
      </c>
      <c r="H346" s="126"/>
      <c r="I346" s="10"/>
      <c r="J346" s="10"/>
      <c r="K346" s="16"/>
    </row>
    <row r="347" spans="2:11" x14ac:dyDescent="0.25">
      <c r="B347" s="1750"/>
      <c r="D347" s="1788"/>
      <c r="E347" s="1743"/>
      <c r="G347" s="89" t="s">
        <v>146</v>
      </c>
      <c r="H347" s="132">
        <f>SUM(H348+H358)</f>
        <v>0</v>
      </c>
      <c r="I347" s="90"/>
      <c r="J347" s="90"/>
      <c r="K347" s="91"/>
    </row>
    <row r="348" spans="2:11" x14ac:dyDescent="0.25">
      <c r="B348" s="1750"/>
      <c r="D348" s="1788"/>
      <c r="E348" s="1743"/>
      <c r="G348" s="89" t="s">
        <v>25</v>
      </c>
      <c r="H348" s="132">
        <f>SUM(H349,H354,H357)</f>
        <v>0</v>
      </c>
      <c r="I348" s="90"/>
      <c r="J348" s="90"/>
      <c r="K348" s="91"/>
    </row>
    <row r="349" spans="2:11" x14ac:dyDescent="0.25">
      <c r="B349" s="1750"/>
      <c r="D349" s="1788"/>
      <c r="E349" s="1743"/>
      <c r="G349" s="89" t="s">
        <v>26</v>
      </c>
      <c r="H349" s="132">
        <f>SUM(H350:H353)</f>
        <v>0</v>
      </c>
      <c r="I349" s="90"/>
      <c r="J349" s="90"/>
      <c r="K349" s="91"/>
    </row>
    <row r="350" spans="2:11" x14ac:dyDescent="0.25">
      <c r="B350" s="1750"/>
      <c r="D350" s="1788"/>
      <c r="E350" s="1743"/>
      <c r="G350" s="30" t="s">
        <v>27</v>
      </c>
      <c r="H350" s="126"/>
      <c r="I350" s="10"/>
      <c r="J350" s="10"/>
      <c r="K350" s="16"/>
    </row>
    <row r="351" spans="2:11" x14ac:dyDescent="0.25">
      <c r="B351" s="1750"/>
      <c r="D351" s="1788"/>
      <c r="E351" s="1743"/>
      <c r="G351" s="30" t="s">
        <v>28</v>
      </c>
      <c r="H351" s="126"/>
      <c r="I351" s="10"/>
      <c r="J351" s="10"/>
      <c r="K351" s="16"/>
    </row>
    <row r="352" spans="2:11" x14ac:dyDescent="0.25">
      <c r="B352" s="1750"/>
      <c r="D352" s="1788"/>
      <c r="E352" s="1743"/>
      <c r="G352" s="30" t="s">
        <v>29</v>
      </c>
      <c r="H352" s="126"/>
      <c r="I352" s="10"/>
      <c r="J352" s="10"/>
      <c r="K352" s="16"/>
    </row>
    <row r="353" spans="2:11" x14ac:dyDescent="0.25">
      <c r="B353" s="1750"/>
      <c r="D353" s="1788"/>
      <c r="E353" s="1743"/>
      <c r="G353" s="30" t="s">
        <v>30</v>
      </c>
      <c r="H353" s="126"/>
      <c r="I353" s="10"/>
      <c r="J353" s="10"/>
      <c r="K353" s="16"/>
    </row>
    <row r="354" spans="2:11" x14ac:dyDescent="0.25">
      <c r="B354" s="1750"/>
      <c r="D354" s="1788"/>
      <c r="E354" s="1743"/>
      <c r="G354" s="89" t="s">
        <v>31</v>
      </c>
      <c r="H354" s="1036">
        <f>SUM(H355:H356)</f>
        <v>0</v>
      </c>
      <c r="I354" s="90"/>
      <c r="J354" s="90"/>
      <c r="K354" s="91"/>
    </row>
    <row r="355" spans="2:11" x14ac:dyDescent="0.25">
      <c r="B355" s="1750"/>
      <c r="D355" s="1788"/>
      <c r="E355" s="1743"/>
      <c r="G355" s="30" t="s">
        <v>640</v>
      </c>
      <c r="H355" s="126"/>
      <c r="I355" s="10"/>
      <c r="J355" s="10"/>
      <c r="K355" s="16"/>
    </row>
    <row r="356" spans="2:11" x14ac:dyDescent="0.25">
      <c r="B356" s="1750"/>
      <c r="D356" s="1788"/>
      <c r="E356" s="1743"/>
      <c r="G356" s="30" t="s">
        <v>641</v>
      </c>
      <c r="H356" s="126"/>
      <c r="I356" s="10"/>
      <c r="J356" s="10"/>
      <c r="K356" s="16"/>
    </row>
    <row r="357" spans="2:11" x14ac:dyDescent="0.25">
      <c r="B357" s="1750"/>
      <c r="D357" s="1788"/>
      <c r="E357" s="1743"/>
      <c r="G357" s="1043" t="s">
        <v>32</v>
      </c>
      <c r="H357" s="1036"/>
      <c r="I357" s="1044"/>
      <c r="J357" s="1044"/>
      <c r="K357" s="1045"/>
    </row>
    <row r="358" spans="2:11" x14ac:dyDescent="0.25">
      <c r="B358" s="1750"/>
      <c r="D358" s="1788"/>
      <c r="E358" s="1743"/>
      <c r="G358" s="89" t="s">
        <v>33</v>
      </c>
      <c r="H358" s="132">
        <f>SUM(H359:H360)</f>
        <v>0</v>
      </c>
      <c r="I358" s="90"/>
      <c r="J358" s="90"/>
      <c r="K358" s="91"/>
    </row>
    <row r="359" spans="2:11" x14ac:dyDescent="0.25">
      <c r="B359" s="1750"/>
      <c r="D359" s="1788"/>
      <c r="E359" s="1743"/>
      <c r="G359" s="30" t="s">
        <v>34</v>
      </c>
      <c r="H359" s="126"/>
      <c r="I359" s="10"/>
      <c r="J359" s="10"/>
      <c r="K359" s="16"/>
    </row>
    <row r="360" spans="2:11" x14ac:dyDescent="0.25">
      <c r="B360" s="1750"/>
      <c r="D360" s="1788"/>
      <c r="E360" s="1743"/>
      <c r="G360" s="30" t="s">
        <v>35</v>
      </c>
      <c r="H360" s="126"/>
      <c r="I360" s="10"/>
      <c r="J360" s="10"/>
      <c r="K360" s="16"/>
    </row>
    <row r="361" spans="2:11" ht="15.75" thickBot="1" x14ac:dyDescent="0.3">
      <c r="B361" s="1750"/>
      <c r="D361" s="1789"/>
      <c r="E361" s="1744"/>
      <c r="G361" s="1047" t="s">
        <v>36</v>
      </c>
      <c r="H361" s="1048"/>
      <c r="I361" s="1049"/>
      <c r="J361" s="1049"/>
      <c r="K361" s="1050"/>
    </row>
    <row r="362" spans="2:11" ht="5.25" customHeight="1" x14ac:dyDescent="0.25">
      <c r="B362" s="1750"/>
      <c r="D362" s="95"/>
      <c r="E362" s="93"/>
      <c r="G362" s="94"/>
      <c r="H362" s="133"/>
      <c r="I362" s="94"/>
      <c r="J362" s="94"/>
      <c r="K362" s="85"/>
    </row>
    <row r="363" spans="2:11" x14ac:dyDescent="0.25">
      <c r="B363" s="1750"/>
      <c r="C363" s="92"/>
      <c r="D363" s="96"/>
      <c r="E363" s="92"/>
      <c r="F363" s="92"/>
      <c r="G363" s="92"/>
      <c r="H363" s="134"/>
      <c r="I363" s="92"/>
      <c r="J363" s="92"/>
      <c r="K363" s="92"/>
    </row>
    <row r="364" spans="2:11" ht="5.25" customHeight="1" thickBot="1" x14ac:dyDescent="0.3">
      <c r="B364" s="1750"/>
      <c r="D364" s="97"/>
      <c r="H364" s="4"/>
    </row>
    <row r="365" spans="2:11" ht="15" customHeight="1" x14ac:dyDescent="0.25">
      <c r="B365" s="1750"/>
      <c r="D365" s="1739">
        <v>98</v>
      </c>
      <c r="E365" s="1746" t="s">
        <v>158</v>
      </c>
      <c r="G365" s="86" t="s">
        <v>145</v>
      </c>
      <c r="H365" s="131">
        <f>H368</f>
        <v>41034.76146704804</v>
      </c>
      <c r="I365" s="87"/>
      <c r="J365" s="87"/>
      <c r="K365" s="88"/>
    </row>
    <row r="366" spans="2:11" x14ac:dyDescent="0.25">
      <c r="B366" s="1750"/>
      <c r="D366" s="1788"/>
      <c r="E366" s="1747"/>
      <c r="G366" s="30" t="s">
        <v>23</v>
      </c>
      <c r="H366" s="126">
        <f>SUM(H365,-H367)</f>
        <v>41034.76146704804</v>
      </c>
      <c r="I366" s="10"/>
      <c r="J366" s="10"/>
      <c r="K366" s="16"/>
    </row>
    <row r="367" spans="2:11" x14ac:dyDescent="0.25">
      <c r="B367" s="1750"/>
      <c r="D367" s="1788"/>
      <c r="E367" s="1747"/>
      <c r="G367" s="30" t="s">
        <v>24</v>
      </c>
      <c r="H367" s="126"/>
      <c r="I367" s="10"/>
      <c r="J367" s="10"/>
      <c r="K367" s="16"/>
    </row>
    <row r="368" spans="2:11" x14ac:dyDescent="0.25">
      <c r="B368" s="1750"/>
      <c r="D368" s="1788"/>
      <c r="E368" s="1747"/>
      <c r="G368" s="89" t="s">
        <v>146</v>
      </c>
      <c r="H368" s="132">
        <f>SUM(H369+H379)</f>
        <v>41034.76146704804</v>
      </c>
      <c r="I368" s="90"/>
      <c r="J368" s="90"/>
      <c r="K368" s="91"/>
    </row>
    <row r="369" spans="2:11" x14ac:dyDescent="0.25">
      <c r="B369" s="1750"/>
      <c r="D369" s="1788"/>
      <c r="E369" s="1747"/>
      <c r="G369" s="89" t="s">
        <v>25</v>
      </c>
      <c r="H369" s="132">
        <f>SUM(H370,H375,H378)</f>
        <v>40484.76146704804</v>
      </c>
      <c r="I369" s="90"/>
      <c r="J369" s="90"/>
      <c r="K369" s="91"/>
    </row>
    <row r="370" spans="2:11" x14ac:dyDescent="0.25">
      <c r="B370" s="1750"/>
      <c r="D370" s="1788"/>
      <c r="E370" s="1747"/>
      <c r="G370" s="89" t="s">
        <v>26</v>
      </c>
      <c r="H370" s="132">
        <f>SUM(H371:H374)</f>
        <v>11301.61393034826</v>
      </c>
      <c r="I370" s="90"/>
      <c r="J370" s="90"/>
      <c r="K370" s="91"/>
    </row>
    <row r="371" spans="2:11" x14ac:dyDescent="0.25">
      <c r="B371" s="1750"/>
      <c r="D371" s="1788"/>
      <c r="E371" s="1747"/>
      <c r="G371" s="30" t="s">
        <v>27</v>
      </c>
      <c r="H371" s="126">
        <v>5040</v>
      </c>
      <c r="I371" s="10"/>
      <c r="J371" s="10"/>
      <c r="K371" s="16"/>
    </row>
    <row r="372" spans="2:11" x14ac:dyDescent="0.25">
      <c r="B372" s="1750"/>
      <c r="D372" s="1788"/>
      <c r="E372" s="1747"/>
      <c r="G372" s="30" t="s">
        <v>28</v>
      </c>
      <c r="H372" s="126">
        <v>5116</v>
      </c>
      <c r="I372" s="10"/>
      <c r="J372" s="10"/>
      <c r="K372" s="16"/>
    </row>
    <row r="373" spans="2:11" x14ac:dyDescent="0.25">
      <c r="B373" s="1750"/>
      <c r="D373" s="1788"/>
      <c r="E373" s="1747"/>
      <c r="G373" s="30" t="s">
        <v>29</v>
      </c>
      <c r="H373" s="747">
        <f>+('RBM&amp;E-2017_S'!W$34*40%)</f>
        <v>11.613930348258709</v>
      </c>
      <c r="I373" s="10"/>
      <c r="J373" s="10"/>
      <c r="K373" s="16"/>
    </row>
    <row r="374" spans="2:11" x14ac:dyDescent="0.25">
      <c r="B374" s="1750"/>
      <c r="D374" s="1788"/>
      <c r="E374" s="1747"/>
      <c r="G374" s="30" t="s">
        <v>30</v>
      </c>
      <c r="H374" s="126">
        <v>1134</v>
      </c>
      <c r="I374" s="10"/>
      <c r="J374" s="10"/>
      <c r="K374" s="16"/>
    </row>
    <row r="375" spans="2:11" x14ac:dyDescent="0.25">
      <c r="B375" s="1750"/>
      <c r="D375" s="1788"/>
      <c r="E375" s="1747"/>
      <c r="G375" s="89" t="s">
        <v>31</v>
      </c>
      <c r="H375" s="132">
        <f>SUM(H376:H377)</f>
        <v>29183.147536699777</v>
      </c>
      <c r="I375" s="90"/>
      <c r="J375" s="90"/>
      <c r="K375" s="91" t="s">
        <v>1304</v>
      </c>
    </row>
    <row r="376" spans="2:11" ht="120" x14ac:dyDescent="0.25">
      <c r="B376" s="1750"/>
      <c r="D376" s="1788"/>
      <c r="E376" s="1747"/>
      <c r="G376" s="30" t="s">
        <v>640</v>
      </c>
      <c r="H376" s="747">
        <f>+('RBM&amp;E-2017_S'!W$27*70%)</f>
        <v>3882.8036421176503</v>
      </c>
      <c r="I376" s="10"/>
      <c r="J376" s="10"/>
      <c r="K376" s="16" t="s">
        <v>1089</v>
      </c>
    </row>
    <row r="377" spans="2:11" ht="120" x14ac:dyDescent="0.25">
      <c r="B377" s="1750"/>
      <c r="D377" s="1788"/>
      <c r="E377" s="1747"/>
      <c r="G377" s="30" t="s">
        <v>641</v>
      </c>
      <c r="H377" s="747">
        <f>+('RBM&amp;E-2017_S'!W$33*65%)</f>
        <v>25300.343894582125</v>
      </c>
      <c r="I377" s="10"/>
      <c r="J377" s="10"/>
      <c r="K377" s="16" t="s">
        <v>1089</v>
      </c>
    </row>
    <row r="378" spans="2:11" ht="30" x14ac:dyDescent="0.25">
      <c r="B378" s="1750"/>
      <c r="D378" s="1788"/>
      <c r="E378" s="1747"/>
      <c r="G378" s="1043" t="s">
        <v>32</v>
      </c>
      <c r="H378" s="1034"/>
      <c r="I378" s="1044"/>
      <c r="J378" s="1044"/>
      <c r="K378" s="1045" t="s">
        <v>1314</v>
      </c>
    </row>
    <row r="379" spans="2:11" x14ac:dyDescent="0.25">
      <c r="B379" s="1750"/>
      <c r="D379" s="1788"/>
      <c r="E379" s="1747"/>
      <c r="G379" s="89" t="s">
        <v>33</v>
      </c>
      <c r="H379" s="132">
        <f>SUM(H380:H381)</f>
        <v>550</v>
      </c>
      <c r="I379" s="90"/>
      <c r="J379" s="90"/>
      <c r="K379" s="91"/>
    </row>
    <row r="380" spans="2:11" x14ac:dyDescent="0.25">
      <c r="B380" s="1750"/>
      <c r="D380" s="1788"/>
      <c r="E380" s="1747"/>
      <c r="G380" s="30" t="s">
        <v>34</v>
      </c>
      <c r="H380" s="126">
        <v>550</v>
      </c>
      <c r="I380" s="10"/>
      <c r="J380" s="10"/>
      <c r="K380" s="16" t="s">
        <v>1268</v>
      </c>
    </row>
    <row r="381" spans="2:11" x14ac:dyDescent="0.25">
      <c r="B381" s="1750"/>
      <c r="D381" s="1788"/>
      <c r="E381" s="1747"/>
      <c r="G381" s="30" t="s">
        <v>35</v>
      </c>
      <c r="H381" s="126"/>
      <c r="I381" s="10"/>
      <c r="J381" s="10"/>
      <c r="K381" s="16"/>
    </row>
    <row r="382" spans="2:11" ht="15.75" thickBot="1" x14ac:dyDescent="0.3">
      <c r="B382" s="1750"/>
      <c r="D382" s="1789"/>
      <c r="E382" s="1748"/>
      <c r="G382" s="1047" t="s">
        <v>36</v>
      </c>
      <c r="H382" s="1048">
        <v>176061</v>
      </c>
      <c r="I382" s="1049"/>
      <c r="J382" s="1049"/>
      <c r="K382" s="1050" t="s">
        <v>1268</v>
      </c>
    </row>
    <row r="383" spans="2:11" ht="15" customHeight="1" x14ac:dyDescent="0.25">
      <c r="B383" s="1750"/>
      <c r="D383" s="1739">
        <v>99</v>
      </c>
      <c r="E383" s="1746" t="s">
        <v>159</v>
      </c>
      <c r="G383" s="86" t="s">
        <v>145</v>
      </c>
      <c r="H383" s="131">
        <f>SUM(H384:H385)</f>
        <v>0</v>
      </c>
      <c r="I383" s="87"/>
      <c r="J383" s="87"/>
      <c r="K383" s="88"/>
    </row>
    <row r="384" spans="2:11" x14ac:dyDescent="0.25">
      <c r="B384" s="1750"/>
      <c r="D384" s="1788"/>
      <c r="E384" s="1747"/>
      <c r="G384" s="30" t="s">
        <v>23</v>
      </c>
      <c r="H384" s="126"/>
      <c r="I384" s="10"/>
      <c r="J384" s="10"/>
      <c r="K384" s="16"/>
    </row>
    <row r="385" spans="2:11" x14ac:dyDescent="0.25">
      <c r="B385" s="1750"/>
      <c r="D385" s="1788"/>
      <c r="E385" s="1747"/>
      <c r="G385" s="30" t="s">
        <v>24</v>
      </c>
      <c r="H385" s="126"/>
      <c r="I385" s="10"/>
      <c r="J385" s="10"/>
      <c r="K385" s="16"/>
    </row>
    <row r="386" spans="2:11" x14ac:dyDescent="0.25">
      <c r="B386" s="1750"/>
      <c r="D386" s="1788"/>
      <c r="E386" s="1747"/>
      <c r="G386" s="89" t="s">
        <v>146</v>
      </c>
      <c r="H386" s="132">
        <f>SUM(H387+H397)</f>
        <v>0</v>
      </c>
      <c r="I386" s="90"/>
      <c r="J386" s="90"/>
      <c r="K386" s="91"/>
    </row>
    <row r="387" spans="2:11" x14ac:dyDescent="0.25">
      <c r="B387" s="1750"/>
      <c r="D387" s="1788"/>
      <c r="E387" s="1747"/>
      <c r="G387" s="89" t="s">
        <v>25</v>
      </c>
      <c r="H387" s="132">
        <f>SUM(H388,H393,H396)</f>
        <v>0</v>
      </c>
      <c r="I387" s="90"/>
      <c r="J387" s="90"/>
      <c r="K387" s="91"/>
    </row>
    <row r="388" spans="2:11" x14ac:dyDescent="0.25">
      <c r="B388" s="1750"/>
      <c r="D388" s="1788"/>
      <c r="E388" s="1747"/>
      <c r="G388" s="89" t="s">
        <v>26</v>
      </c>
      <c r="H388" s="132">
        <f>SUM(H389:H392)</f>
        <v>0</v>
      </c>
      <c r="I388" s="90"/>
      <c r="J388" s="90"/>
      <c r="K388" s="91"/>
    </row>
    <row r="389" spans="2:11" x14ac:dyDescent="0.25">
      <c r="B389" s="1750"/>
      <c r="D389" s="1788"/>
      <c r="E389" s="1747"/>
      <c r="G389" s="30" t="s">
        <v>27</v>
      </c>
      <c r="H389" s="126"/>
      <c r="I389" s="10"/>
      <c r="J389" s="10"/>
      <c r="K389" s="16"/>
    </row>
    <row r="390" spans="2:11" x14ac:dyDescent="0.25">
      <c r="B390" s="1750"/>
      <c r="D390" s="1788"/>
      <c r="E390" s="1747"/>
      <c r="G390" s="30" t="s">
        <v>28</v>
      </c>
      <c r="H390" s="126"/>
      <c r="I390" s="10"/>
      <c r="J390" s="10"/>
      <c r="K390" s="16"/>
    </row>
    <row r="391" spans="2:11" x14ac:dyDescent="0.25">
      <c r="B391" s="1750"/>
      <c r="D391" s="1788"/>
      <c r="E391" s="1747"/>
      <c r="G391" s="30" t="s">
        <v>29</v>
      </c>
      <c r="H391" s="126"/>
      <c r="I391" s="10"/>
      <c r="J391" s="10"/>
      <c r="K391" s="16"/>
    </row>
    <row r="392" spans="2:11" x14ac:dyDescent="0.25">
      <c r="B392" s="1750"/>
      <c r="D392" s="1788"/>
      <c r="E392" s="1747"/>
      <c r="G392" s="30" t="s">
        <v>30</v>
      </c>
      <c r="H392" s="126"/>
      <c r="I392" s="10"/>
      <c r="J392" s="10"/>
      <c r="K392" s="16"/>
    </row>
    <row r="393" spans="2:11" x14ac:dyDescent="0.25">
      <c r="B393" s="1750"/>
      <c r="D393" s="1788"/>
      <c r="E393" s="1747"/>
      <c r="G393" s="89" t="s">
        <v>31</v>
      </c>
      <c r="H393" s="132"/>
      <c r="I393" s="90"/>
      <c r="J393" s="90"/>
      <c r="K393" s="91"/>
    </row>
    <row r="394" spans="2:11" x14ac:dyDescent="0.25">
      <c r="B394" s="1750"/>
      <c r="D394" s="1788"/>
      <c r="E394" s="1747"/>
      <c r="G394" s="30" t="s">
        <v>640</v>
      </c>
      <c r="H394" s="126"/>
      <c r="I394" s="10"/>
      <c r="J394" s="10"/>
      <c r="K394" s="16"/>
    </row>
    <row r="395" spans="2:11" x14ac:dyDescent="0.25">
      <c r="B395" s="1750"/>
      <c r="D395" s="1788"/>
      <c r="E395" s="1747"/>
      <c r="G395" s="30" t="s">
        <v>641</v>
      </c>
      <c r="H395" s="126"/>
      <c r="I395" s="10"/>
      <c r="J395" s="10"/>
      <c r="K395" s="16"/>
    </row>
    <row r="396" spans="2:11" x14ac:dyDescent="0.25">
      <c r="B396" s="1750"/>
      <c r="D396" s="1788"/>
      <c r="E396" s="1747"/>
      <c r="G396" s="1043" t="s">
        <v>32</v>
      </c>
      <c r="H396" s="1036"/>
      <c r="I396" s="1044"/>
      <c r="J396" s="1044"/>
      <c r="K396" s="1045"/>
    </row>
    <row r="397" spans="2:11" x14ac:dyDescent="0.25">
      <c r="B397" s="1750"/>
      <c r="D397" s="1788"/>
      <c r="E397" s="1747"/>
      <c r="G397" s="89" t="s">
        <v>33</v>
      </c>
      <c r="H397" s="132">
        <f>SUM(H398:H399)</f>
        <v>0</v>
      </c>
      <c r="I397" s="90"/>
      <c r="J397" s="90"/>
      <c r="K397" s="91"/>
    </row>
    <row r="398" spans="2:11" x14ac:dyDescent="0.25">
      <c r="B398" s="1750"/>
      <c r="D398" s="1788"/>
      <c r="E398" s="1747"/>
      <c r="G398" s="30" t="s">
        <v>34</v>
      </c>
      <c r="H398" s="126"/>
      <c r="I398" s="10"/>
      <c r="J398" s="10"/>
      <c r="K398" s="16"/>
    </row>
    <row r="399" spans="2:11" x14ac:dyDescent="0.25">
      <c r="B399" s="1750"/>
      <c r="D399" s="1788"/>
      <c r="E399" s="1747"/>
      <c r="G399" s="30" t="s">
        <v>35</v>
      </c>
      <c r="H399" s="126"/>
      <c r="I399" s="10"/>
      <c r="J399" s="10"/>
      <c r="K399" s="16"/>
    </row>
    <row r="400" spans="2:11" ht="15.75" thickBot="1" x14ac:dyDescent="0.3">
      <c r="B400" s="1751"/>
      <c r="D400" s="1789"/>
      <c r="E400" s="1748"/>
      <c r="G400" s="1047" t="s">
        <v>36</v>
      </c>
      <c r="H400" s="1048">
        <v>6514.5680899999998</v>
      </c>
      <c r="I400" s="1049"/>
      <c r="J400" s="1049"/>
      <c r="K400" s="1050" t="s">
        <v>1268</v>
      </c>
    </row>
    <row r="401" spans="1:11" x14ac:dyDescent="0.25">
      <c r="H401" s="4"/>
    </row>
    <row r="402" spans="1:11" ht="38.25" customHeight="1" x14ac:dyDescent="0.25">
      <c r="A402" s="83"/>
      <c r="B402" s="83"/>
      <c r="C402" s="83"/>
      <c r="D402" s="83"/>
      <c r="E402" s="83"/>
      <c r="F402" s="83"/>
      <c r="G402" s="83"/>
      <c r="H402" s="135"/>
      <c r="I402" s="83"/>
      <c r="J402" s="83"/>
      <c r="K402" s="83"/>
    </row>
    <row r="403" spans="1:11" ht="15.75" thickBot="1" x14ac:dyDescent="0.3">
      <c r="H403" s="4"/>
    </row>
    <row r="404" spans="1:11" ht="45.75" thickBot="1" x14ac:dyDescent="0.3">
      <c r="B404" s="98"/>
      <c r="D404" s="14" t="s">
        <v>147</v>
      </c>
      <c r="E404" s="84" t="s">
        <v>12</v>
      </c>
      <c r="G404" s="28" t="s">
        <v>133</v>
      </c>
      <c r="H404" s="136" t="s">
        <v>75</v>
      </c>
      <c r="I404" s="12" t="s">
        <v>134</v>
      </c>
      <c r="J404" s="12" t="s">
        <v>135</v>
      </c>
      <c r="K404" s="13" t="s">
        <v>76</v>
      </c>
    </row>
    <row r="405" spans="1:11" ht="15" customHeight="1" x14ac:dyDescent="0.25">
      <c r="B405" s="1749" t="s">
        <v>38</v>
      </c>
      <c r="D405" s="1745" t="s">
        <v>15</v>
      </c>
      <c r="E405" s="1746" t="s">
        <v>148</v>
      </c>
      <c r="G405" s="86" t="s">
        <v>39</v>
      </c>
      <c r="H405" s="131">
        <f>SUM(H406:H407)</f>
        <v>0</v>
      </c>
      <c r="I405" s="87"/>
      <c r="J405" s="87"/>
      <c r="K405" s="88"/>
    </row>
    <row r="406" spans="1:11" x14ac:dyDescent="0.25">
      <c r="B406" s="1750"/>
      <c r="D406" s="1786"/>
      <c r="E406" s="1747"/>
      <c r="G406" s="30" t="s">
        <v>40</v>
      </c>
      <c r="H406" s="126"/>
      <c r="I406" s="10"/>
      <c r="J406" s="10"/>
      <c r="K406" s="16"/>
    </row>
    <row r="407" spans="1:11" x14ac:dyDescent="0.25">
      <c r="B407" s="1750"/>
      <c r="D407" s="1786"/>
      <c r="E407" s="1747"/>
      <c r="G407" s="30" t="s">
        <v>41</v>
      </c>
      <c r="H407" s="126"/>
      <c r="I407" s="10"/>
      <c r="J407" s="10"/>
      <c r="K407" s="16"/>
    </row>
    <row r="408" spans="1:11" x14ac:dyDescent="0.25">
      <c r="B408" s="1750"/>
      <c r="D408" s="1786"/>
      <c r="E408" s="1747"/>
      <c r="G408" s="89" t="s">
        <v>161</v>
      </c>
      <c r="H408" s="132">
        <f>SUM(H409,H413)</f>
        <v>1557982.4711064098</v>
      </c>
      <c r="I408" s="90"/>
      <c r="J408" s="90"/>
      <c r="K408" s="91"/>
    </row>
    <row r="409" spans="1:11" x14ac:dyDescent="0.25">
      <c r="B409" s="1750"/>
      <c r="D409" s="1786"/>
      <c r="E409" s="1747"/>
      <c r="G409" s="89" t="s">
        <v>43</v>
      </c>
      <c r="H409" s="132">
        <f>SUM(H410:H412)</f>
        <v>1557982.4711064098</v>
      </c>
      <c r="I409" s="90"/>
      <c r="J409" s="90"/>
      <c r="K409" s="91"/>
    </row>
    <row r="410" spans="1:11" x14ac:dyDescent="0.25">
      <c r="B410" s="1750"/>
      <c r="D410" s="1786"/>
      <c r="E410" s="1747"/>
      <c r="G410" s="30" t="s">
        <v>44</v>
      </c>
      <c r="H410" s="437">
        <f>91372.372775+(H3*0.05)</f>
        <v>783701.7719407049</v>
      </c>
      <c r="I410" s="10"/>
      <c r="J410" s="10"/>
      <c r="K410" s="16"/>
    </row>
    <row r="411" spans="1:11" x14ac:dyDescent="0.25">
      <c r="B411" s="1750"/>
      <c r="D411" s="1786"/>
      <c r="E411" s="1747"/>
      <c r="G411" s="30" t="s">
        <v>45</v>
      </c>
      <c r="H411" s="126">
        <v>81951.3</v>
      </c>
      <c r="I411" s="10"/>
      <c r="J411" s="10"/>
      <c r="K411" s="16"/>
    </row>
    <row r="412" spans="1:11" x14ac:dyDescent="0.25">
      <c r="B412" s="1750"/>
      <c r="D412" s="1786"/>
      <c r="E412" s="1747"/>
      <c r="G412" s="30" t="s">
        <v>46</v>
      </c>
      <c r="H412" s="438">
        <f>H3*0.05</f>
        <v>692329.39916570485</v>
      </c>
      <c r="I412" s="10"/>
      <c r="J412" s="10"/>
      <c r="K412" s="16"/>
    </row>
    <row r="413" spans="1:11" ht="15.75" thickBot="1" x14ac:dyDescent="0.3">
      <c r="B413" s="1750"/>
      <c r="D413" s="1787"/>
      <c r="E413" s="1748"/>
      <c r="G413" s="31" t="s">
        <v>47</v>
      </c>
      <c r="H413" s="127"/>
      <c r="I413" s="15"/>
      <c r="J413" s="15"/>
      <c r="K413" s="17"/>
    </row>
    <row r="414" spans="1:11" ht="15" customHeight="1" x14ac:dyDescent="0.25">
      <c r="B414" s="1750"/>
      <c r="D414" s="1745" t="s">
        <v>16</v>
      </c>
      <c r="E414" s="1746" t="s">
        <v>149</v>
      </c>
      <c r="G414" s="86" t="s">
        <v>39</v>
      </c>
      <c r="H414" s="131">
        <f>SUM(H415:H416)</f>
        <v>21327.358756755948</v>
      </c>
      <c r="I414" s="87"/>
      <c r="J414" s="87"/>
      <c r="K414" s="88"/>
    </row>
    <row r="415" spans="1:11" x14ac:dyDescent="0.25">
      <c r="B415" s="1750"/>
      <c r="D415" s="1786"/>
      <c r="E415" s="1747"/>
      <c r="G415" s="30" t="s">
        <v>40</v>
      </c>
      <c r="H415" s="126">
        <f>H20*95%</f>
        <v>21327.358756755948</v>
      </c>
      <c r="I415" s="10"/>
      <c r="J415" s="10"/>
      <c r="K415" s="16"/>
    </row>
    <row r="416" spans="1:11" x14ac:dyDescent="0.25">
      <c r="B416" s="1750"/>
      <c r="D416" s="1786"/>
      <c r="E416" s="1747"/>
      <c r="G416" s="30" t="s">
        <v>41</v>
      </c>
      <c r="H416" s="126"/>
      <c r="I416" s="10"/>
      <c r="J416" s="10"/>
      <c r="K416" s="16"/>
    </row>
    <row r="417" spans="2:11" x14ac:dyDescent="0.25">
      <c r="B417" s="1750"/>
      <c r="D417" s="1786"/>
      <c r="E417" s="1747"/>
      <c r="G417" s="89" t="s">
        <v>161</v>
      </c>
      <c r="H417" s="132">
        <f>SUM(H418,H422)</f>
        <v>54.219910499999997</v>
      </c>
      <c r="I417" s="90"/>
      <c r="J417" s="90"/>
      <c r="K417" s="91"/>
    </row>
    <row r="418" spans="2:11" x14ac:dyDescent="0.25">
      <c r="B418" s="1750"/>
      <c r="D418" s="1786"/>
      <c r="E418" s="1747"/>
      <c r="G418" s="89" t="s">
        <v>43</v>
      </c>
      <c r="H418" s="132">
        <f>SUM(H419:H421)</f>
        <v>54.219910499999997</v>
      </c>
      <c r="I418" s="90"/>
      <c r="J418" s="90"/>
      <c r="K418" s="91"/>
    </row>
    <row r="419" spans="2:11" x14ac:dyDescent="0.25">
      <c r="B419" s="1750"/>
      <c r="D419" s="1786"/>
      <c r="E419" s="1747"/>
      <c r="G419" s="30" t="s">
        <v>44</v>
      </c>
      <c r="H419" s="126">
        <f>H30*2%</f>
        <v>1.2757626</v>
      </c>
      <c r="I419" s="10"/>
      <c r="J419" s="10"/>
      <c r="K419" s="16"/>
    </row>
    <row r="420" spans="2:11" x14ac:dyDescent="0.25">
      <c r="B420" s="1750"/>
      <c r="D420" s="1786"/>
      <c r="E420" s="1747"/>
      <c r="G420" s="30" t="s">
        <v>45</v>
      </c>
      <c r="H420" s="126">
        <f>H30*3%</f>
        <v>1.9136439000000001</v>
      </c>
      <c r="I420" s="10"/>
      <c r="J420" s="10"/>
      <c r="K420" s="16"/>
    </row>
    <row r="421" spans="2:11" x14ac:dyDescent="0.25">
      <c r="B421" s="1750"/>
      <c r="D421" s="1786"/>
      <c r="E421" s="1747"/>
      <c r="G421" s="30" t="s">
        <v>46</v>
      </c>
      <c r="H421" s="126">
        <v>51.030504000000001</v>
      </c>
      <c r="I421" s="10"/>
      <c r="J421" s="10"/>
      <c r="K421" s="16"/>
    </row>
    <row r="422" spans="2:11" ht="15.75" thickBot="1" x14ac:dyDescent="0.3">
      <c r="B422" s="1750"/>
      <c r="D422" s="1787"/>
      <c r="E422" s="1748"/>
      <c r="G422" s="31" t="s">
        <v>47</v>
      </c>
      <c r="H422" s="127"/>
      <c r="I422" s="15"/>
      <c r="J422" s="15"/>
      <c r="K422" s="17"/>
    </row>
    <row r="423" spans="2:11" ht="15" customHeight="1" x14ac:dyDescent="0.25">
      <c r="B423" s="1750"/>
      <c r="D423" s="1745" t="s">
        <v>160</v>
      </c>
      <c r="E423" s="1746" t="s">
        <v>150</v>
      </c>
      <c r="G423" s="86" t="s">
        <v>39</v>
      </c>
      <c r="H423" s="131">
        <f>SUM(H424:H425)</f>
        <v>816.87563283886971</v>
      </c>
      <c r="I423" s="87"/>
      <c r="J423" s="87"/>
      <c r="K423" s="88"/>
    </row>
    <row r="424" spans="2:11" x14ac:dyDescent="0.25">
      <c r="B424" s="1750"/>
      <c r="D424" s="1786"/>
      <c r="E424" s="1747"/>
      <c r="G424" s="30" t="s">
        <v>40</v>
      </c>
      <c r="H424" s="126">
        <v>346.29059499999994</v>
      </c>
      <c r="I424" s="10"/>
      <c r="J424" s="10"/>
      <c r="K424" s="16"/>
    </row>
    <row r="425" spans="2:11" x14ac:dyDescent="0.25">
      <c r="B425" s="1750"/>
      <c r="D425" s="1786"/>
      <c r="E425" s="1747"/>
      <c r="G425" s="30" t="s">
        <v>41</v>
      </c>
      <c r="H425" s="126">
        <v>470.58503783886977</v>
      </c>
      <c r="I425" s="10"/>
      <c r="J425" s="10"/>
      <c r="K425" s="16"/>
    </row>
    <row r="426" spans="2:11" x14ac:dyDescent="0.25">
      <c r="B426" s="1750"/>
      <c r="D426" s="1786"/>
      <c r="E426" s="1747"/>
      <c r="G426" s="89" t="s">
        <v>161</v>
      </c>
      <c r="H426" s="132">
        <f>SUM(H427,H431)</f>
        <v>514699.26072578516</v>
      </c>
      <c r="I426" s="90"/>
      <c r="J426" s="90"/>
      <c r="K426" s="91"/>
    </row>
    <row r="427" spans="2:11" x14ac:dyDescent="0.25">
      <c r="B427" s="1750"/>
      <c r="D427" s="1786"/>
      <c r="E427" s="1747"/>
      <c r="G427" s="89" t="s">
        <v>43</v>
      </c>
      <c r="H427" s="132">
        <f>SUM(H428:H430)</f>
        <v>514699.26072578516</v>
      </c>
      <c r="I427" s="90"/>
      <c r="J427" s="90"/>
      <c r="K427" s="91"/>
    </row>
    <row r="428" spans="2:11" x14ac:dyDescent="0.25">
      <c r="B428" s="1750"/>
      <c r="D428" s="1786"/>
      <c r="E428" s="1747"/>
      <c r="G428" s="30" t="s">
        <v>44</v>
      </c>
      <c r="H428" s="126">
        <v>514526.072852212</v>
      </c>
      <c r="I428" s="10"/>
      <c r="J428" s="10"/>
      <c r="K428" s="16"/>
    </row>
    <row r="429" spans="2:11" x14ac:dyDescent="0.25">
      <c r="B429" s="1750"/>
      <c r="D429" s="1786"/>
      <c r="E429" s="1747"/>
      <c r="G429" s="30" t="s">
        <v>45</v>
      </c>
      <c r="H429" s="126">
        <v>166.95464286320001</v>
      </c>
      <c r="I429" s="10"/>
      <c r="J429" s="10"/>
      <c r="K429" s="16"/>
    </row>
    <row r="430" spans="2:11" x14ac:dyDescent="0.25">
      <c r="B430" s="1750"/>
      <c r="D430" s="1786"/>
      <c r="E430" s="1747"/>
      <c r="G430" s="30" t="s">
        <v>46</v>
      </c>
      <c r="H430" s="126">
        <v>6.23323071</v>
      </c>
      <c r="I430" s="10"/>
      <c r="J430" s="10"/>
      <c r="K430" s="16"/>
    </row>
    <row r="431" spans="2:11" ht="15.75" thickBot="1" x14ac:dyDescent="0.3">
      <c r="B431" s="1750"/>
      <c r="D431" s="1787"/>
      <c r="E431" s="1748"/>
      <c r="G431" s="31" t="s">
        <v>47</v>
      </c>
      <c r="H431" s="127"/>
      <c r="I431" s="15"/>
      <c r="J431" s="15"/>
      <c r="K431" s="17"/>
    </row>
    <row r="432" spans="2:11" ht="15" customHeight="1" x14ac:dyDescent="0.25">
      <c r="B432" s="1750"/>
      <c r="D432" s="1739">
        <v>35</v>
      </c>
      <c r="E432" s="1746" t="s">
        <v>151</v>
      </c>
      <c r="G432" s="86" t="s">
        <v>39</v>
      </c>
      <c r="H432" s="131">
        <f>SUM(H433:H434)</f>
        <v>0</v>
      </c>
      <c r="I432" s="87"/>
      <c r="J432" s="87"/>
      <c r="K432" s="88"/>
    </row>
    <row r="433" spans="2:11" x14ac:dyDescent="0.25">
      <c r="B433" s="1750"/>
      <c r="D433" s="1788"/>
      <c r="E433" s="1747"/>
      <c r="G433" s="30" t="s">
        <v>40</v>
      </c>
      <c r="H433" s="126"/>
      <c r="I433" s="10"/>
      <c r="J433" s="10"/>
      <c r="K433" s="16"/>
    </row>
    <row r="434" spans="2:11" x14ac:dyDescent="0.25">
      <c r="B434" s="1750"/>
      <c r="D434" s="1788"/>
      <c r="E434" s="1747"/>
      <c r="G434" s="30" t="s">
        <v>41</v>
      </c>
      <c r="H434" s="126"/>
      <c r="I434" s="10"/>
      <c r="J434" s="10"/>
      <c r="K434" s="16"/>
    </row>
    <row r="435" spans="2:11" x14ac:dyDescent="0.25">
      <c r="B435" s="1750"/>
      <c r="D435" s="1788"/>
      <c r="E435" s="1747"/>
      <c r="G435" s="89" t="s">
        <v>161</v>
      </c>
      <c r="H435" s="132">
        <f>SUM(H436,H440)</f>
        <v>350034.66062620789</v>
      </c>
      <c r="I435" s="90"/>
      <c r="J435" s="90"/>
      <c r="K435" s="91"/>
    </row>
    <row r="436" spans="2:11" x14ac:dyDescent="0.25">
      <c r="B436" s="1750"/>
      <c r="D436" s="1788"/>
      <c r="E436" s="1747"/>
      <c r="G436" s="89" t="s">
        <v>43</v>
      </c>
      <c r="H436" s="132">
        <f>SUM(H437:H439)</f>
        <v>350034.66062620789</v>
      </c>
      <c r="I436" s="90"/>
      <c r="J436" s="90"/>
      <c r="K436" s="91"/>
    </row>
    <row r="437" spans="2:11" x14ac:dyDescent="0.25">
      <c r="B437" s="1750"/>
      <c r="D437" s="1788"/>
      <c r="E437" s="1747"/>
      <c r="G437" s="30" t="s">
        <v>44</v>
      </c>
      <c r="H437" s="1034">
        <f>SUM(H61)*95%</f>
        <v>350034.66062620789</v>
      </c>
      <c r="I437" s="10"/>
      <c r="J437" s="10"/>
      <c r="K437" s="16" t="s">
        <v>1523</v>
      </c>
    </row>
    <row r="438" spans="2:11" x14ac:dyDescent="0.25">
      <c r="B438" s="1750"/>
      <c r="D438" s="1788"/>
      <c r="E438" s="1747"/>
      <c r="G438" s="30" t="s">
        <v>45</v>
      </c>
      <c r="H438" s="126"/>
      <c r="I438" s="10"/>
      <c r="J438" s="10"/>
      <c r="K438" s="16"/>
    </row>
    <row r="439" spans="2:11" x14ac:dyDescent="0.25">
      <c r="B439" s="1750"/>
      <c r="D439" s="1788"/>
      <c r="E439" s="1747"/>
      <c r="G439" s="30" t="s">
        <v>46</v>
      </c>
      <c r="H439" s="126"/>
      <c r="I439" s="10"/>
      <c r="J439" s="10"/>
      <c r="K439" s="16"/>
    </row>
    <row r="440" spans="2:11" ht="15.75" thickBot="1" x14ac:dyDescent="0.3">
      <c r="B440" s="1750"/>
      <c r="D440" s="1789"/>
      <c r="E440" s="1748"/>
      <c r="G440" s="31" t="s">
        <v>47</v>
      </c>
      <c r="H440" s="127"/>
      <c r="I440" s="15"/>
      <c r="J440" s="15"/>
      <c r="K440" s="17"/>
    </row>
    <row r="441" spans="2:11" ht="15" customHeight="1" x14ac:dyDescent="0.25">
      <c r="B441" s="1750"/>
      <c r="D441" s="1745" t="s">
        <v>18</v>
      </c>
      <c r="E441" s="1746" t="s">
        <v>152</v>
      </c>
      <c r="G441" s="86" t="s">
        <v>39</v>
      </c>
      <c r="H441" s="131">
        <f>SUM(H442:H443)</f>
        <v>0</v>
      </c>
      <c r="I441" s="87"/>
      <c r="J441" s="87"/>
      <c r="K441" s="88"/>
    </row>
    <row r="442" spans="2:11" x14ac:dyDescent="0.25">
      <c r="B442" s="1750"/>
      <c r="D442" s="1786"/>
      <c r="E442" s="1747"/>
      <c r="G442" s="30" t="s">
        <v>40</v>
      </c>
      <c r="H442" s="126"/>
      <c r="I442" s="10"/>
      <c r="J442" s="10"/>
      <c r="K442" s="16"/>
    </row>
    <row r="443" spans="2:11" x14ac:dyDescent="0.25">
      <c r="B443" s="1750"/>
      <c r="D443" s="1786"/>
      <c r="E443" s="1747"/>
      <c r="G443" s="30" t="s">
        <v>41</v>
      </c>
      <c r="H443" s="126"/>
      <c r="I443" s="10"/>
      <c r="J443" s="10"/>
      <c r="K443" s="16"/>
    </row>
    <row r="444" spans="2:11" x14ac:dyDescent="0.25">
      <c r="B444" s="1750"/>
      <c r="D444" s="1786"/>
      <c r="E444" s="1747"/>
      <c r="G444" s="89" t="s">
        <v>161</v>
      </c>
      <c r="H444" s="132">
        <f>SUM(H445,H449)</f>
        <v>2570.3302400000002</v>
      </c>
      <c r="I444" s="90"/>
      <c r="J444" s="90"/>
      <c r="K444" s="91"/>
    </row>
    <row r="445" spans="2:11" x14ac:dyDescent="0.25">
      <c r="B445" s="1750"/>
      <c r="D445" s="1786"/>
      <c r="E445" s="1747"/>
      <c r="G445" s="89" t="s">
        <v>43</v>
      </c>
      <c r="H445" s="132">
        <f>SUM(H446:H448)</f>
        <v>2570.3302400000002</v>
      </c>
      <c r="I445" s="90"/>
      <c r="J445" s="90"/>
      <c r="K445" s="91"/>
    </row>
    <row r="446" spans="2:11" x14ac:dyDescent="0.25">
      <c r="B446" s="1750"/>
      <c r="D446" s="1786"/>
      <c r="E446" s="1747"/>
      <c r="G446" s="30" t="s">
        <v>44</v>
      </c>
      <c r="H446" s="126">
        <v>2570.3302400000002</v>
      </c>
      <c r="I446" s="10"/>
      <c r="J446" s="10"/>
      <c r="K446" s="16"/>
    </row>
    <row r="447" spans="2:11" x14ac:dyDescent="0.25">
      <c r="B447" s="1750"/>
      <c r="D447" s="1786"/>
      <c r="E447" s="1747"/>
      <c r="G447" s="30" t="s">
        <v>45</v>
      </c>
      <c r="H447" s="126"/>
      <c r="I447" s="10"/>
      <c r="J447" s="10"/>
      <c r="K447" s="16"/>
    </row>
    <row r="448" spans="2:11" x14ac:dyDescent="0.25">
      <c r="B448" s="1750"/>
      <c r="D448" s="1786"/>
      <c r="E448" s="1747"/>
      <c r="G448" s="30" t="s">
        <v>46</v>
      </c>
      <c r="H448" s="126"/>
      <c r="I448" s="10"/>
      <c r="J448" s="10"/>
      <c r="K448" s="16"/>
    </row>
    <row r="449" spans="2:11" ht="15.75" thickBot="1" x14ac:dyDescent="0.3">
      <c r="B449" s="1750"/>
      <c r="D449" s="1787"/>
      <c r="E449" s="1748"/>
      <c r="G449" s="31" t="s">
        <v>47</v>
      </c>
      <c r="H449" s="127"/>
      <c r="I449" s="15"/>
      <c r="J449" s="15"/>
      <c r="K449" s="17"/>
    </row>
    <row r="450" spans="2:11" ht="15" customHeight="1" x14ac:dyDescent="0.25">
      <c r="B450" s="1750"/>
      <c r="D450" s="1745"/>
      <c r="E450" s="1742" t="s">
        <v>643</v>
      </c>
      <c r="G450" s="86" t="s">
        <v>39</v>
      </c>
      <c r="H450" s="131">
        <f>SUM(H451:H452)</f>
        <v>0</v>
      </c>
      <c r="I450" s="87"/>
      <c r="J450" s="87"/>
      <c r="K450" s="88"/>
    </row>
    <row r="451" spans="2:11" x14ac:dyDescent="0.25">
      <c r="B451" s="1750"/>
      <c r="D451" s="1786"/>
      <c r="E451" s="1743"/>
      <c r="G451" s="30" t="s">
        <v>40</v>
      </c>
      <c r="H451" s="126"/>
      <c r="I451" s="10"/>
      <c r="J451" s="10"/>
      <c r="K451" s="16"/>
    </row>
    <row r="452" spans="2:11" x14ac:dyDescent="0.25">
      <c r="B452" s="1750"/>
      <c r="D452" s="1786"/>
      <c r="E452" s="1743"/>
      <c r="G452" s="30" t="s">
        <v>41</v>
      </c>
      <c r="H452" s="126"/>
      <c r="I452" s="10"/>
      <c r="J452" s="10"/>
      <c r="K452" s="16"/>
    </row>
    <row r="453" spans="2:11" x14ac:dyDescent="0.25">
      <c r="B453" s="1750"/>
      <c r="D453" s="1786"/>
      <c r="E453" s="1743"/>
      <c r="G453" s="89" t="s">
        <v>161</v>
      </c>
      <c r="H453" s="132">
        <f>SUM(H454,H458)</f>
        <v>0</v>
      </c>
      <c r="I453" s="90"/>
      <c r="J453" s="90"/>
      <c r="K453" s="91"/>
    </row>
    <row r="454" spans="2:11" x14ac:dyDescent="0.25">
      <c r="B454" s="1750"/>
      <c r="D454" s="1786"/>
      <c r="E454" s="1743"/>
      <c r="G454" s="89" t="s">
        <v>43</v>
      </c>
      <c r="H454" s="132">
        <f>SUM(H455:H457)</f>
        <v>0</v>
      </c>
      <c r="I454" s="90"/>
      <c r="J454" s="90"/>
      <c r="K454" s="91"/>
    </row>
    <row r="455" spans="2:11" x14ac:dyDescent="0.25">
      <c r="B455" s="1750"/>
      <c r="D455" s="1786"/>
      <c r="E455" s="1743"/>
      <c r="G455" s="30" t="s">
        <v>44</v>
      </c>
      <c r="H455" s="126"/>
      <c r="I455" s="10"/>
      <c r="J455" s="10"/>
      <c r="K455" s="16"/>
    </row>
    <row r="456" spans="2:11" x14ac:dyDescent="0.25">
      <c r="B456" s="1750"/>
      <c r="D456" s="1786"/>
      <c r="E456" s="1743"/>
      <c r="G456" s="30" t="s">
        <v>45</v>
      </c>
      <c r="H456" s="126"/>
      <c r="I456" s="10"/>
      <c r="J456" s="10"/>
      <c r="K456" s="16"/>
    </row>
    <row r="457" spans="2:11" x14ac:dyDescent="0.25">
      <c r="B457" s="1750"/>
      <c r="D457" s="1786"/>
      <c r="E457" s="1743"/>
      <c r="G457" s="30" t="s">
        <v>46</v>
      </c>
      <c r="H457" s="126"/>
      <c r="I457" s="10"/>
      <c r="J457" s="10"/>
      <c r="K457" s="16"/>
    </row>
    <row r="458" spans="2:11" ht="15.75" thickBot="1" x14ac:dyDescent="0.3">
      <c r="B458" s="1750"/>
      <c r="D458" s="1787"/>
      <c r="E458" s="1744"/>
      <c r="G458" s="31" t="s">
        <v>47</v>
      </c>
      <c r="H458" s="127"/>
      <c r="I458" s="15"/>
      <c r="J458" s="15"/>
      <c r="K458" s="17"/>
    </row>
    <row r="459" spans="2:11" ht="15" customHeight="1" x14ac:dyDescent="0.25">
      <c r="B459" s="1750"/>
      <c r="D459" s="1745"/>
      <c r="E459" s="1742" t="s">
        <v>644</v>
      </c>
      <c r="G459" s="86" t="s">
        <v>39</v>
      </c>
      <c r="H459" s="131">
        <f>SUM(H460:H461)</f>
        <v>0</v>
      </c>
      <c r="I459" s="87"/>
      <c r="J459" s="87"/>
      <c r="K459" s="88"/>
    </row>
    <row r="460" spans="2:11" x14ac:dyDescent="0.25">
      <c r="B460" s="1750"/>
      <c r="D460" s="1786"/>
      <c r="E460" s="1743"/>
      <c r="G460" s="30" t="s">
        <v>40</v>
      </c>
      <c r="H460" s="126"/>
      <c r="I460" s="10"/>
      <c r="J460" s="10"/>
      <c r="K460" s="16"/>
    </row>
    <row r="461" spans="2:11" x14ac:dyDescent="0.25">
      <c r="B461" s="1750"/>
      <c r="D461" s="1786"/>
      <c r="E461" s="1743"/>
      <c r="G461" s="30" t="s">
        <v>41</v>
      </c>
      <c r="H461" s="126"/>
      <c r="I461" s="10"/>
      <c r="J461" s="10"/>
      <c r="K461" s="16"/>
    </row>
    <row r="462" spans="2:11" x14ac:dyDescent="0.25">
      <c r="B462" s="1750"/>
      <c r="D462" s="1786"/>
      <c r="E462" s="1743"/>
      <c r="G462" s="89" t="s">
        <v>161</v>
      </c>
      <c r="H462" s="132">
        <f>SUM(H463,H467)</f>
        <v>0</v>
      </c>
      <c r="I462" s="90"/>
      <c r="J462" s="90"/>
      <c r="K462" s="91"/>
    </row>
    <row r="463" spans="2:11" x14ac:dyDescent="0.25">
      <c r="B463" s="1750"/>
      <c r="D463" s="1786"/>
      <c r="E463" s="1743"/>
      <c r="G463" s="89" t="s">
        <v>43</v>
      </c>
      <c r="H463" s="132">
        <f>SUM(H464:H466)</f>
        <v>0</v>
      </c>
      <c r="I463" s="90"/>
      <c r="J463" s="90"/>
      <c r="K463" s="91"/>
    </row>
    <row r="464" spans="2:11" x14ac:dyDescent="0.25">
      <c r="B464" s="1750"/>
      <c r="D464" s="1786"/>
      <c r="E464" s="1743"/>
      <c r="G464" s="30" t="s">
        <v>44</v>
      </c>
      <c r="H464" s="126"/>
      <c r="I464" s="10"/>
      <c r="J464" s="10"/>
      <c r="K464" s="16"/>
    </row>
    <row r="465" spans="2:11" x14ac:dyDescent="0.25">
      <c r="B465" s="1750"/>
      <c r="D465" s="1786"/>
      <c r="E465" s="1743"/>
      <c r="G465" s="30" t="s">
        <v>45</v>
      </c>
      <c r="H465" s="126"/>
      <c r="I465" s="10"/>
      <c r="J465" s="10"/>
      <c r="K465" s="16"/>
    </row>
    <row r="466" spans="2:11" x14ac:dyDescent="0.25">
      <c r="B466" s="1750"/>
      <c r="D466" s="1786"/>
      <c r="E466" s="1743"/>
      <c r="G466" s="30" t="s">
        <v>46</v>
      </c>
      <c r="H466" s="126"/>
      <c r="I466" s="10"/>
      <c r="J466" s="10"/>
      <c r="K466" s="16"/>
    </row>
    <row r="467" spans="2:11" ht="15.75" thickBot="1" x14ac:dyDescent="0.3">
      <c r="B467" s="1750"/>
      <c r="D467" s="1787"/>
      <c r="E467" s="1744"/>
      <c r="G467" s="31" t="s">
        <v>47</v>
      </c>
      <c r="H467" s="127"/>
      <c r="I467" s="15"/>
      <c r="J467" s="15"/>
      <c r="K467" s="17"/>
    </row>
    <row r="468" spans="2:11" ht="15" customHeight="1" x14ac:dyDescent="0.25">
      <c r="B468" s="1750"/>
      <c r="D468" s="1745"/>
      <c r="E468" s="1742" t="s">
        <v>645</v>
      </c>
      <c r="G468" s="86" t="s">
        <v>39</v>
      </c>
      <c r="H468" s="131">
        <f>SUM(H469:H470)</f>
        <v>0</v>
      </c>
      <c r="I468" s="87"/>
      <c r="J468" s="87"/>
      <c r="K468" s="88"/>
    </row>
    <row r="469" spans="2:11" x14ac:dyDescent="0.25">
      <c r="B469" s="1750"/>
      <c r="D469" s="1786"/>
      <c r="E469" s="1743"/>
      <c r="G469" s="30" t="s">
        <v>40</v>
      </c>
      <c r="H469" s="126"/>
      <c r="I469" s="10"/>
      <c r="J469" s="10"/>
      <c r="K469" s="16"/>
    </row>
    <row r="470" spans="2:11" x14ac:dyDescent="0.25">
      <c r="B470" s="1750"/>
      <c r="D470" s="1786"/>
      <c r="E470" s="1743"/>
      <c r="G470" s="30" t="s">
        <v>41</v>
      </c>
      <c r="H470" s="126"/>
      <c r="I470" s="10"/>
      <c r="J470" s="10"/>
      <c r="K470" s="16"/>
    </row>
    <row r="471" spans="2:11" x14ac:dyDescent="0.25">
      <c r="B471" s="1750"/>
      <c r="D471" s="1786"/>
      <c r="E471" s="1743"/>
      <c r="G471" s="89" t="s">
        <v>161</v>
      </c>
      <c r="H471" s="132">
        <f>SUM(H472,H476)</f>
        <v>0</v>
      </c>
      <c r="I471" s="90"/>
      <c r="J471" s="90"/>
      <c r="K471" s="91"/>
    </row>
    <row r="472" spans="2:11" x14ac:dyDescent="0.25">
      <c r="B472" s="1750"/>
      <c r="D472" s="1786"/>
      <c r="E472" s="1743"/>
      <c r="G472" s="89" t="s">
        <v>43</v>
      </c>
      <c r="H472" s="132">
        <f>SUM(H473:H475)</f>
        <v>0</v>
      </c>
      <c r="I472" s="90"/>
      <c r="J472" s="90"/>
      <c r="K472" s="91"/>
    </row>
    <row r="473" spans="2:11" x14ac:dyDescent="0.25">
      <c r="B473" s="1750"/>
      <c r="D473" s="1786"/>
      <c r="E473" s="1743"/>
      <c r="G473" s="30" t="s">
        <v>44</v>
      </c>
      <c r="H473" s="126"/>
      <c r="I473" s="10"/>
      <c r="J473" s="10"/>
      <c r="K473" s="16"/>
    </row>
    <row r="474" spans="2:11" x14ac:dyDescent="0.25">
      <c r="B474" s="1750"/>
      <c r="D474" s="1786"/>
      <c r="E474" s="1743"/>
      <c r="G474" s="30" t="s">
        <v>45</v>
      </c>
      <c r="H474" s="126"/>
      <c r="I474" s="10"/>
      <c r="J474" s="10"/>
      <c r="K474" s="16"/>
    </row>
    <row r="475" spans="2:11" x14ac:dyDescent="0.25">
      <c r="B475" s="1750"/>
      <c r="D475" s="1786"/>
      <c r="E475" s="1743"/>
      <c r="G475" s="30" t="s">
        <v>46</v>
      </c>
      <c r="H475" s="126"/>
      <c r="I475" s="10"/>
      <c r="J475" s="10"/>
      <c r="K475" s="16"/>
    </row>
    <row r="476" spans="2:11" ht="15.75" thickBot="1" x14ac:dyDescent="0.3">
      <c r="B476" s="1750"/>
      <c r="D476" s="1787"/>
      <c r="E476" s="1744"/>
      <c r="G476" s="31" t="s">
        <v>47</v>
      </c>
      <c r="H476" s="127"/>
      <c r="I476" s="15"/>
      <c r="J476" s="15"/>
      <c r="K476" s="17"/>
    </row>
    <row r="477" spans="2:11" ht="15" customHeight="1" x14ac:dyDescent="0.25">
      <c r="B477" s="1750"/>
      <c r="D477" s="1745" t="s">
        <v>19</v>
      </c>
      <c r="E477" s="1746" t="s">
        <v>153</v>
      </c>
      <c r="G477" s="86" t="s">
        <v>39</v>
      </c>
      <c r="H477" s="131">
        <f>SUM(H478:H479)</f>
        <v>12671.183667903779</v>
      </c>
      <c r="I477" s="87"/>
      <c r="J477" s="87"/>
      <c r="K477" s="88"/>
    </row>
    <row r="478" spans="2:11" x14ac:dyDescent="0.25">
      <c r="B478" s="1750"/>
      <c r="D478" s="1786"/>
      <c r="E478" s="1747"/>
      <c r="G478" s="30" t="s">
        <v>40</v>
      </c>
      <c r="H478" s="126">
        <v>12671.183667903779</v>
      </c>
      <c r="I478" s="10"/>
      <c r="J478" s="10"/>
      <c r="K478" s="16"/>
    </row>
    <row r="479" spans="2:11" x14ac:dyDescent="0.25">
      <c r="B479" s="1750"/>
      <c r="D479" s="1786"/>
      <c r="E479" s="1747"/>
      <c r="G479" s="30" t="s">
        <v>41</v>
      </c>
      <c r="H479" s="126"/>
      <c r="I479" s="10"/>
      <c r="J479" s="10"/>
      <c r="K479" s="16"/>
    </row>
    <row r="480" spans="2:11" x14ac:dyDescent="0.25">
      <c r="B480" s="1750"/>
      <c r="D480" s="1786"/>
      <c r="E480" s="1747"/>
      <c r="G480" s="89" t="s">
        <v>161</v>
      </c>
      <c r="H480" s="132">
        <f>SUM(H481,H485)</f>
        <v>301.01142363711335</v>
      </c>
      <c r="I480" s="90"/>
      <c r="J480" s="90"/>
      <c r="K480" s="91"/>
    </row>
    <row r="481" spans="2:11" x14ac:dyDescent="0.25">
      <c r="B481" s="1750"/>
      <c r="D481" s="1786"/>
      <c r="E481" s="1747"/>
      <c r="G481" s="89" t="s">
        <v>43</v>
      </c>
      <c r="H481" s="132">
        <f>SUM(H482:H484)</f>
        <v>301.01142363711335</v>
      </c>
      <c r="I481" s="90"/>
      <c r="J481" s="90"/>
      <c r="K481" s="91"/>
    </row>
    <row r="482" spans="2:11" x14ac:dyDescent="0.25">
      <c r="B482" s="1750"/>
      <c r="D482" s="1786"/>
      <c r="E482" s="1747"/>
      <c r="G482" s="30" t="s">
        <v>44</v>
      </c>
      <c r="H482" s="126">
        <v>159.09130227903779</v>
      </c>
      <c r="I482" s="10"/>
      <c r="J482" s="10"/>
      <c r="K482" s="16"/>
    </row>
    <row r="483" spans="2:11" x14ac:dyDescent="0.25">
      <c r="B483" s="1750"/>
      <c r="D483" s="1786"/>
      <c r="E483" s="1747"/>
      <c r="G483" s="30" t="s">
        <v>45</v>
      </c>
      <c r="H483" s="126"/>
      <c r="I483" s="10"/>
      <c r="J483" s="10"/>
      <c r="K483" s="16"/>
    </row>
    <row r="484" spans="2:11" x14ac:dyDescent="0.25">
      <c r="B484" s="1750"/>
      <c r="D484" s="1786"/>
      <c r="E484" s="1747"/>
      <c r="G484" s="30" t="s">
        <v>46</v>
      </c>
      <c r="H484" s="126">
        <v>141.92012135807559</v>
      </c>
      <c r="I484" s="10"/>
      <c r="J484" s="10"/>
      <c r="K484" s="16"/>
    </row>
    <row r="485" spans="2:11" ht="15.75" thickBot="1" x14ac:dyDescent="0.3">
      <c r="B485" s="1750"/>
      <c r="D485" s="1787"/>
      <c r="E485" s="1748"/>
      <c r="G485" s="31" t="s">
        <v>47</v>
      </c>
      <c r="H485" s="127"/>
      <c r="I485" s="15"/>
      <c r="J485" s="15"/>
      <c r="K485" s="17"/>
    </row>
    <row r="486" spans="2:11" ht="15" customHeight="1" x14ac:dyDescent="0.25">
      <c r="B486" s="1750"/>
      <c r="D486" s="1745"/>
      <c r="E486" s="1742" t="s">
        <v>646</v>
      </c>
      <c r="G486" s="86" t="s">
        <v>39</v>
      </c>
      <c r="H486" s="131">
        <f>SUM(H487:H488)</f>
        <v>0</v>
      </c>
      <c r="I486" s="87"/>
      <c r="J486" s="87"/>
      <c r="K486" s="88"/>
    </row>
    <row r="487" spans="2:11" x14ac:dyDescent="0.25">
      <c r="B487" s="1750"/>
      <c r="D487" s="1786"/>
      <c r="E487" s="1743"/>
      <c r="G487" s="30" t="s">
        <v>40</v>
      </c>
      <c r="H487" s="126"/>
      <c r="I487" s="10"/>
      <c r="J487" s="10"/>
      <c r="K487" s="16"/>
    </row>
    <row r="488" spans="2:11" x14ac:dyDescent="0.25">
      <c r="B488" s="1750"/>
      <c r="D488" s="1786"/>
      <c r="E488" s="1743"/>
      <c r="G488" s="30" t="s">
        <v>41</v>
      </c>
      <c r="H488" s="126"/>
      <c r="I488" s="10"/>
      <c r="J488" s="10"/>
      <c r="K488" s="16"/>
    </row>
    <row r="489" spans="2:11" x14ac:dyDescent="0.25">
      <c r="B489" s="1750"/>
      <c r="D489" s="1786"/>
      <c r="E489" s="1743"/>
      <c r="G489" s="89" t="s">
        <v>161</v>
      </c>
      <c r="H489" s="132">
        <f>SUM(H490,H494)</f>
        <v>0</v>
      </c>
      <c r="I489" s="90"/>
      <c r="J489" s="90"/>
      <c r="K489" s="91"/>
    </row>
    <row r="490" spans="2:11" x14ac:dyDescent="0.25">
      <c r="B490" s="1750"/>
      <c r="D490" s="1786"/>
      <c r="E490" s="1743"/>
      <c r="G490" s="89" t="s">
        <v>43</v>
      </c>
      <c r="H490" s="132">
        <f>SUM(H491:H493)</f>
        <v>0</v>
      </c>
      <c r="I490" s="90"/>
      <c r="J490" s="90"/>
      <c r="K490" s="91"/>
    </row>
    <row r="491" spans="2:11" x14ac:dyDescent="0.25">
      <c r="B491" s="1750"/>
      <c r="D491" s="1786"/>
      <c r="E491" s="1743"/>
      <c r="G491" s="30" t="s">
        <v>44</v>
      </c>
      <c r="H491" s="126"/>
      <c r="I491" s="10"/>
      <c r="J491" s="10"/>
      <c r="K491" s="16"/>
    </row>
    <row r="492" spans="2:11" x14ac:dyDescent="0.25">
      <c r="B492" s="1750"/>
      <c r="D492" s="1786"/>
      <c r="E492" s="1743"/>
      <c r="G492" s="30" t="s">
        <v>45</v>
      </c>
      <c r="H492" s="126"/>
      <c r="I492" s="10"/>
      <c r="J492" s="10"/>
      <c r="K492" s="16"/>
    </row>
    <row r="493" spans="2:11" x14ac:dyDescent="0.25">
      <c r="B493" s="1750"/>
      <c r="D493" s="1786"/>
      <c r="E493" s="1743"/>
      <c r="G493" s="30" t="s">
        <v>46</v>
      </c>
      <c r="H493" s="126"/>
      <c r="I493" s="10"/>
      <c r="J493" s="10"/>
      <c r="K493" s="16"/>
    </row>
    <row r="494" spans="2:11" ht="15.75" thickBot="1" x14ac:dyDescent="0.3">
      <c r="B494" s="1750"/>
      <c r="D494" s="1787"/>
      <c r="E494" s="1744"/>
      <c r="G494" s="31" t="s">
        <v>47</v>
      </c>
      <c r="H494" s="127"/>
      <c r="I494" s="15"/>
      <c r="J494" s="15"/>
      <c r="K494" s="17"/>
    </row>
    <row r="495" spans="2:11" ht="15" customHeight="1" x14ac:dyDescent="0.25">
      <c r="B495" s="1750"/>
      <c r="D495" s="1745" t="s">
        <v>20</v>
      </c>
      <c r="E495" s="1746" t="s">
        <v>154</v>
      </c>
      <c r="G495" s="86" t="s">
        <v>39</v>
      </c>
      <c r="H495" s="131">
        <f>SUM(H496:H497)</f>
        <v>5.6106036082474233</v>
      </c>
      <c r="I495" s="87"/>
      <c r="J495" s="87"/>
      <c r="K495" s="88"/>
    </row>
    <row r="496" spans="2:11" x14ac:dyDescent="0.25">
      <c r="B496" s="1750"/>
      <c r="D496" s="1786"/>
      <c r="E496" s="1747"/>
      <c r="G496" s="30" t="s">
        <v>40</v>
      </c>
      <c r="H496" s="126">
        <v>2.3110416666666667</v>
      </c>
      <c r="I496" s="10"/>
      <c r="J496" s="10"/>
      <c r="K496" s="16"/>
    </row>
    <row r="497" spans="2:11" x14ac:dyDescent="0.25">
      <c r="B497" s="1750"/>
      <c r="D497" s="1786"/>
      <c r="E497" s="1747"/>
      <c r="G497" s="30" t="s">
        <v>41</v>
      </c>
      <c r="H497" s="126">
        <v>3.2995619415807562</v>
      </c>
      <c r="I497" s="10"/>
      <c r="J497" s="10"/>
      <c r="K497" s="16"/>
    </row>
    <row r="498" spans="2:11" x14ac:dyDescent="0.25">
      <c r="B498" s="1750"/>
      <c r="D498" s="1786"/>
      <c r="E498" s="1747"/>
      <c r="G498" s="89" t="s">
        <v>161</v>
      </c>
      <c r="H498" s="132">
        <f>SUM(H499,H503)</f>
        <v>56.868619657611163</v>
      </c>
      <c r="I498" s="90"/>
      <c r="J498" s="90"/>
      <c r="K498" s="91"/>
    </row>
    <row r="499" spans="2:11" x14ac:dyDescent="0.25">
      <c r="B499" s="1750"/>
      <c r="D499" s="1786"/>
      <c r="E499" s="1747"/>
      <c r="G499" s="89" t="s">
        <v>43</v>
      </c>
      <c r="H499" s="132">
        <f>SUM(H500:H502)</f>
        <v>56.868619657611163</v>
      </c>
      <c r="I499" s="90"/>
      <c r="J499" s="90"/>
      <c r="K499" s="91"/>
    </row>
    <row r="500" spans="2:11" x14ac:dyDescent="0.25">
      <c r="B500" s="1750"/>
      <c r="D500" s="1786"/>
      <c r="E500" s="1747"/>
      <c r="G500" s="30" t="s">
        <v>44</v>
      </c>
      <c r="H500" s="126">
        <v>46.976258591065296</v>
      </c>
      <c r="I500" s="10"/>
      <c r="J500" s="10"/>
      <c r="K500" s="16"/>
    </row>
    <row r="501" spans="2:11" x14ac:dyDescent="0.25">
      <c r="B501" s="1750"/>
      <c r="D501" s="1786"/>
      <c r="E501" s="1747"/>
      <c r="G501" s="30" t="s">
        <v>45</v>
      </c>
      <c r="H501" s="126">
        <v>4.7351202749140899</v>
      </c>
      <c r="I501" s="10"/>
      <c r="J501" s="10"/>
      <c r="K501" s="16"/>
    </row>
    <row r="502" spans="2:11" x14ac:dyDescent="0.25">
      <c r="B502" s="1750"/>
      <c r="D502" s="1786"/>
      <c r="E502" s="1747"/>
      <c r="G502" s="30" t="s">
        <v>46</v>
      </c>
      <c r="H502" s="126">
        <v>5.1572407916317804</v>
      </c>
      <c r="I502" s="10"/>
      <c r="J502" s="10"/>
      <c r="K502" s="16"/>
    </row>
    <row r="503" spans="2:11" ht="15.75" thickBot="1" x14ac:dyDescent="0.3">
      <c r="B503" s="1750"/>
      <c r="D503" s="1787"/>
      <c r="E503" s="1748"/>
      <c r="G503" s="31" t="s">
        <v>47</v>
      </c>
      <c r="H503" s="127"/>
      <c r="I503" s="15"/>
      <c r="J503" s="15"/>
      <c r="K503" s="17"/>
    </row>
    <row r="504" spans="2:11" ht="15" customHeight="1" x14ac:dyDescent="0.25">
      <c r="B504" s="1750"/>
      <c r="D504" s="1745"/>
      <c r="E504" s="1742" t="s">
        <v>647</v>
      </c>
      <c r="G504" s="86" t="s">
        <v>39</v>
      </c>
      <c r="H504" s="131">
        <f>SUM(H505:H506)</f>
        <v>0</v>
      </c>
      <c r="I504" s="87"/>
      <c r="J504" s="87"/>
      <c r="K504" s="88"/>
    </row>
    <row r="505" spans="2:11" x14ac:dyDescent="0.25">
      <c r="B505" s="1750"/>
      <c r="D505" s="1786"/>
      <c r="E505" s="1743"/>
      <c r="G505" s="30" t="s">
        <v>40</v>
      </c>
      <c r="H505" s="126"/>
      <c r="I505" s="10"/>
      <c r="J505" s="10"/>
      <c r="K505" s="16"/>
    </row>
    <row r="506" spans="2:11" x14ac:dyDescent="0.25">
      <c r="B506" s="1750"/>
      <c r="D506" s="1786"/>
      <c r="E506" s="1743"/>
      <c r="G506" s="30" t="s">
        <v>41</v>
      </c>
      <c r="H506" s="126"/>
      <c r="I506" s="10"/>
      <c r="J506" s="10"/>
      <c r="K506" s="16"/>
    </row>
    <row r="507" spans="2:11" x14ac:dyDescent="0.25">
      <c r="B507" s="1750"/>
      <c r="D507" s="1786"/>
      <c r="E507" s="1743"/>
      <c r="G507" s="89" t="s">
        <v>161</v>
      </c>
      <c r="H507" s="132">
        <f>SUM(H508,H512)</f>
        <v>0</v>
      </c>
      <c r="I507" s="90"/>
      <c r="J507" s="90"/>
      <c r="K507" s="91"/>
    </row>
    <row r="508" spans="2:11" x14ac:dyDescent="0.25">
      <c r="B508" s="1750"/>
      <c r="D508" s="1786"/>
      <c r="E508" s="1743"/>
      <c r="G508" s="89" t="s">
        <v>43</v>
      </c>
      <c r="H508" s="132">
        <f>SUM(H509:H511)</f>
        <v>0</v>
      </c>
      <c r="I508" s="90"/>
      <c r="J508" s="90"/>
      <c r="K508" s="91"/>
    </row>
    <row r="509" spans="2:11" x14ac:dyDescent="0.25">
      <c r="B509" s="1750"/>
      <c r="D509" s="1786"/>
      <c r="E509" s="1743"/>
      <c r="G509" s="30" t="s">
        <v>44</v>
      </c>
      <c r="H509" s="126"/>
      <c r="I509" s="10"/>
      <c r="J509" s="10"/>
      <c r="K509" s="16"/>
    </row>
    <row r="510" spans="2:11" x14ac:dyDescent="0.25">
      <c r="B510" s="1750"/>
      <c r="D510" s="1786"/>
      <c r="E510" s="1743"/>
      <c r="G510" s="30" t="s">
        <v>45</v>
      </c>
      <c r="H510" s="126"/>
      <c r="I510" s="10"/>
      <c r="J510" s="10"/>
      <c r="K510" s="16"/>
    </row>
    <row r="511" spans="2:11" x14ac:dyDescent="0.25">
      <c r="B511" s="1750"/>
      <c r="D511" s="1786"/>
      <c r="E511" s="1743"/>
      <c r="G511" s="30" t="s">
        <v>46</v>
      </c>
      <c r="H511" s="126"/>
      <c r="I511" s="10"/>
      <c r="J511" s="10"/>
      <c r="K511" s="16"/>
    </row>
    <row r="512" spans="2:11" ht="15.75" thickBot="1" x14ac:dyDescent="0.3">
      <c r="B512" s="1750"/>
      <c r="D512" s="1787"/>
      <c r="E512" s="1744"/>
      <c r="G512" s="31" t="s">
        <v>47</v>
      </c>
      <c r="H512" s="127"/>
      <c r="I512" s="15"/>
      <c r="J512" s="15"/>
      <c r="K512" s="17"/>
    </row>
    <row r="513" spans="2:11" ht="15" customHeight="1" x14ac:dyDescent="0.25">
      <c r="B513" s="1750"/>
      <c r="D513" s="1745"/>
      <c r="E513" s="1742" t="s">
        <v>648</v>
      </c>
      <c r="G513" s="86" t="s">
        <v>39</v>
      </c>
      <c r="H513" s="131">
        <f>SUM(H514:H515)</f>
        <v>0</v>
      </c>
      <c r="I513" s="87"/>
      <c r="J513" s="87"/>
      <c r="K513" s="88"/>
    </row>
    <row r="514" spans="2:11" x14ac:dyDescent="0.25">
      <c r="B514" s="1750"/>
      <c r="D514" s="1786"/>
      <c r="E514" s="1743"/>
      <c r="G514" s="30" t="s">
        <v>40</v>
      </c>
      <c r="H514" s="126"/>
      <c r="I514" s="10"/>
      <c r="J514" s="10"/>
      <c r="K514" s="16"/>
    </row>
    <row r="515" spans="2:11" x14ac:dyDescent="0.25">
      <c r="B515" s="1750"/>
      <c r="D515" s="1786"/>
      <c r="E515" s="1743"/>
      <c r="G515" s="30" t="s">
        <v>41</v>
      </c>
      <c r="H515" s="126"/>
      <c r="I515" s="10"/>
      <c r="J515" s="10"/>
      <c r="K515" s="16"/>
    </row>
    <row r="516" spans="2:11" x14ac:dyDescent="0.25">
      <c r="B516" s="1750"/>
      <c r="D516" s="1786"/>
      <c r="E516" s="1743"/>
      <c r="G516" s="89" t="s">
        <v>161</v>
      </c>
      <c r="H516" s="132">
        <f>SUM(H517,H521)</f>
        <v>0</v>
      </c>
      <c r="I516" s="90"/>
      <c r="J516" s="90"/>
      <c r="K516" s="91"/>
    </row>
    <row r="517" spans="2:11" x14ac:dyDescent="0.25">
      <c r="B517" s="1750"/>
      <c r="D517" s="1786"/>
      <c r="E517" s="1743"/>
      <c r="G517" s="89" t="s">
        <v>43</v>
      </c>
      <c r="H517" s="132">
        <f>SUM(H518:H520)</f>
        <v>0</v>
      </c>
      <c r="I517" s="90"/>
      <c r="J517" s="90"/>
      <c r="K517" s="91"/>
    </row>
    <row r="518" spans="2:11" x14ac:dyDescent="0.25">
      <c r="B518" s="1750"/>
      <c r="D518" s="1786"/>
      <c r="E518" s="1743"/>
      <c r="G518" s="30" t="s">
        <v>44</v>
      </c>
      <c r="H518" s="126"/>
      <c r="I518" s="10"/>
      <c r="J518" s="10"/>
      <c r="K518" s="16"/>
    </row>
    <row r="519" spans="2:11" x14ac:dyDescent="0.25">
      <c r="B519" s="1750"/>
      <c r="D519" s="1786"/>
      <c r="E519" s="1743"/>
      <c r="G519" s="30" t="s">
        <v>45</v>
      </c>
      <c r="H519" s="126"/>
      <c r="I519" s="10"/>
      <c r="J519" s="10"/>
      <c r="K519" s="16"/>
    </row>
    <row r="520" spans="2:11" x14ac:dyDescent="0.25">
      <c r="B520" s="1750"/>
      <c r="D520" s="1786"/>
      <c r="E520" s="1743"/>
      <c r="G520" s="30" t="s">
        <v>46</v>
      </c>
      <c r="H520" s="126"/>
      <c r="I520" s="10"/>
      <c r="J520" s="10"/>
      <c r="K520" s="16"/>
    </row>
    <row r="521" spans="2:11" ht="15.75" thickBot="1" x14ac:dyDescent="0.3">
      <c r="B521" s="1750"/>
      <c r="D521" s="1787"/>
      <c r="E521" s="1744"/>
      <c r="G521" s="31" t="s">
        <v>47</v>
      </c>
      <c r="H521" s="127"/>
      <c r="I521" s="15"/>
      <c r="J521" s="15"/>
      <c r="K521" s="17"/>
    </row>
    <row r="522" spans="2:11" ht="15" customHeight="1" x14ac:dyDescent="0.25">
      <c r="B522" s="1750"/>
      <c r="D522" s="1745"/>
      <c r="E522" s="1742" t="s">
        <v>621</v>
      </c>
      <c r="G522" s="86" t="s">
        <v>39</v>
      </c>
      <c r="H522" s="131">
        <f>SUM(H523:H524)</f>
        <v>0</v>
      </c>
      <c r="I522" s="87"/>
      <c r="J522" s="87"/>
      <c r="K522" s="88"/>
    </row>
    <row r="523" spans="2:11" x14ac:dyDescent="0.25">
      <c r="B523" s="1750"/>
      <c r="D523" s="1786"/>
      <c r="E523" s="1743"/>
      <c r="G523" s="30" t="s">
        <v>40</v>
      </c>
      <c r="H523" s="126"/>
      <c r="I523" s="10"/>
      <c r="J523" s="10"/>
      <c r="K523" s="16"/>
    </row>
    <row r="524" spans="2:11" x14ac:dyDescent="0.25">
      <c r="B524" s="1750"/>
      <c r="D524" s="1786"/>
      <c r="E524" s="1743"/>
      <c r="G524" s="30" t="s">
        <v>41</v>
      </c>
      <c r="H524" s="126"/>
      <c r="I524" s="10"/>
      <c r="J524" s="10"/>
      <c r="K524" s="16"/>
    </row>
    <row r="525" spans="2:11" x14ac:dyDescent="0.25">
      <c r="B525" s="1750"/>
      <c r="D525" s="1786"/>
      <c r="E525" s="1743"/>
      <c r="G525" s="89" t="s">
        <v>161</v>
      </c>
      <c r="H525" s="132">
        <f>SUM(H526,H530)</f>
        <v>0</v>
      </c>
      <c r="I525" s="90"/>
      <c r="J525" s="90"/>
      <c r="K525" s="91"/>
    </row>
    <row r="526" spans="2:11" x14ac:dyDescent="0.25">
      <c r="B526" s="1750"/>
      <c r="D526" s="1786"/>
      <c r="E526" s="1743"/>
      <c r="G526" s="89" t="s">
        <v>43</v>
      </c>
      <c r="H526" s="132">
        <f>SUM(H527:H529)</f>
        <v>0</v>
      </c>
      <c r="I526" s="90"/>
      <c r="J526" s="90"/>
      <c r="K526" s="91"/>
    </row>
    <row r="527" spans="2:11" x14ac:dyDescent="0.25">
      <c r="B527" s="1750"/>
      <c r="D527" s="1786"/>
      <c r="E527" s="1743"/>
      <c r="G527" s="30" t="s">
        <v>44</v>
      </c>
      <c r="H527" s="126"/>
      <c r="I527" s="10"/>
      <c r="J527" s="10"/>
      <c r="K527" s="16"/>
    </row>
    <row r="528" spans="2:11" x14ac:dyDescent="0.25">
      <c r="B528" s="1750"/>
      <c r="D528" s="1786"/>
      <c r="E528" s="1743"/>
      <c r="G528" s="30" t="s">
        <v>45</v>
      </c>
      <c r="H528" s="126"/>
      <c r="I528" s="10"/>
      <c r="J528" s="10"/>
      <c r="K528" s="16"/>
    </row>
    <row r="529" spans="2:11" x14ac:dyDescent="0.25">
      <c r="B529" s="1750"/>
      <c r="D529" s="1786"/>
      <c r="E529" s="1743"/>
      <c r="G529" s="30" t="s">
        <v>46</v>
      </c>
      <c r="H529" s="126"/>
      <c r="I529" s="10"/>
      <c r="J529" s="10"/>
      <c r="K529" s="16"/>
    </row>
    <row r="530" spans="2:11" ht="15.75" thickBot="1" x14ac:dyDescent="0.3">
      <c r="B530" s="1750"/>
      <c r="D530" s="1787"/>
      <c r="E530" s="1744"/>
      <c r="G530" s="31" t="s">
        <v>47</v>
      </c>
      <c r="H530" s="127"/>
      <c r="I530" s="15"/>
      <c r="J530" s="15"/>
      <c r="K530" s="17"/>
    </row>
    <row r="531" spans="2:11" ht="15" customHeight="1" x14ac:dyDescent="0.25">
      <c r="B531" s="1750"/>
      <c r="D531" s="1745"/>
      <c r="E531" s="1742" t="s">
        <v>649</v>
      </c>
      <c r="G531" s="86" t="s">
        <v>39</v>
      </c>
      <c r="H531" s="131">
        <f>SUM(H532:H533)</f>
        <v>0</v>
      </c>
      <c r="I531" s="87"/>
      <c r="J531" s="87"/>
      <c r="K531" s="88"/>
    </row>
    <row r="532" spans="2:11" x14ac:dyDescent="0.25">
      <c r="B532" s="1750"/>
      <c r="D532" s="1786"/>
      <c r="E532" s="1743"/>
      <c r="G532" s="30" t="s">
        <v>40</v>
      </c>
      <c r="H532" s="126"/>
      <c r="I532" s="10"/>
      <c r="J532" s="10"/>
      <c r="K532" s="16"/>
    </row>
    <row r="533" spans="2:11" x14ac:dyDescent="0.25">
      <c r="B533" s="1750"/>
      <c r="D533" s="1786"/>
      <c r="E533" s="1743"/>
      <c r="G533" s="30" t="s">
        <v>41</v>
      </c>
      <c r="H533" s="126"/>
      <c r="I533" s="10"/>
      <c r="J533" s="10"/>
      <c r="K533" s="16"/>
    </row>
    <row r="534" spans="2:11" x14ac:dyDescent="0.25">
      <c r="B534" s="1750"/>
      <c r="D534" s="1786"/>
      <c r="E534" s="1743"/>
      <c r="G534" s="89" t="s">
        <v>161</v>
      </c>
      <c r="H534" s="132">
        <f>SUM(H535,H539)</f>
        <v>0</v>
      </c>
      <c r="I534" s="90"/>
      <c r="J534" s="90"/>
      <c r="K534" s="91"/>
    </row>
    <row r="535" spans="2:11" x14ac:dyDescent="0.25">
      <c r="B535" s="1750"/>
      <c r="D535" s="1786"/>
      <c r="E535" s="1743"/>
      <c r="G535" s="89" t="s">
        <v>43</v>
      </c>
      <c r="H535" s="132">
        <f>SUM(H536:H538)</f>
        <v>0</v>
      </c>
      <c r="I535" s="90"/>
      <c r="J535" s="90"/>
      <c r="K535" s="91"/>
    </row>
    <row r="536" spans="2:11" x14ac:dyDescent="0.25">
      <c r="B536" s="1750"/>
      <c r="D536" s="1786"/>
      <c r="E536" s="1743"/>
      <c r="G536" s="30" t="s">
        <v>44</v>
      </c>
      <c r="H536" s="126"/>
      <c r="I536" s="10"/>
      <c r="J536" s="10"/>
      <c r="K536" s="16"/>
    </row>
    <row r="537" spans="2:11" x14ac:dyDescent="0.25">
      <c r="B537" s="1750"/>
      <c r="D537" s="1786"/>
      <c r="E537" s="1743"/>
      <c r="G537" s="30" t="s">
        <v>45</v>
      </c>
      <c r="H537" s="126"/>
      <c r="I537" s="10"/>
      <c r="J537" s="10"/>
      <c r="K537" s="16"/>
    </row>
    <row r="538" spans="2:11" x14ac:dyDescent="0.25">
      <c r="B538" s="1750"/>
      <c r="D538" s="1786"/>
      <c r="E538" s="1743"/>
      <c r="G538" s="30" t="s">
        <v>46</v>
      </c>
      <c r="H538" s="126"/>
      <c r="I538" s="10"/>
      <c r="J538" s="10"/>
      <c r="K538" s="16"/>
    </row>
    <row r="539" spans="2:11" ht="15.75" thickBot="1" x14ac:dyDescent="0.3">
      <c r="B539" s="1750"/>
      <c r="D539" s="1787"/>
      <c r="E539" s="1744"/>
      <c r="G539" s="31" t="s">
        <v>47</v>
      </c>
      <c r="H539" s="127"/>
      <c r="I539" s="15"/>
      <c r="J539" s="15"/>
      <c r="K539" s="17"/>
    </row>
    <row r="540" spans="2:11" ht="15" customHeight="1" x14ac:dyDescent="0.25">
      <c r="B540" s="1750"/>
      <c r="D540" s="1739">
        <v>85</v>
      </c>
      <c r="E540" s="1746" t="s">
        <v>155</v>
      </c>
      <c r="G540" s="86" t="s">
        <v>39</v>
      </c>
      <c r="H540" s="131">
        <f>SUM(H541:H542)</f>
        <v>0</v>
      </c>
      <c r="I540" s="87"/>
      <c r="J540" s="87"/>
      <c r="K540" s="88"/>
    </row>
    <row r="541" spans="2:11" x14ac:dyDescent="0.25">
      <c r="B541" s="1750"/>
      <c r="D541" s="1788"/>
      <c r="E541" s="1747"/>
      <c r="G541" s="30" t="s">
        <v>40</v>
      </c>
      <c r="H541" s="126"/>
      <c r="I541" s="10"/>
      <c r="J541" s="10"/>
      <c r="K541" s="16"/>
    </row>
    <row r="542" spans="2:11" x14ac:dyDescent="0.25">
      <c r="B542" s="1750"/>
      <c r="D542" s="1788"/>
      <c r="E542" s="1747"/>
      <c r="G542" s="30" t="s">
        <v>41</v>
      </c>
      <c r="H542" s="126"/>
      <c r="I542" s="10"/>
      <c r="J542" s="10"/>
      <c r="K542" s="16"/>
    </row>
    <row r="543" spans="2:11" x14ac:dyDescent="0.25">
      <c r="B543" s="1750"/>
      <c r="D543" s="1788"/>
      <c r="E543" s="1747"/>
      <c r="G543" s="89" t="s">
        <v>161</v>
      </c>
      <c r="H543" s="132">
        <f>SUM(H544,H548)</f>
        <v>179497.86400000003</v>
      </c>
      <c r="I543" s="90"/>
      <c r="J543" s="90"/>
      <c r="K543" s="91"/>
    </row>
    <row r="544" spans="2:11" x14ac:dyDescent="0.25">
      <c r="B544" s="1750"/>
      <c r="D544" s="1788"/>
      <c r="E544" s="1747"/>
      <c r="G544" s="89" t="s">
        <v>43</v>
      </c>
      <c r="H544" s="132">
        <f>SUM(H545:H547)</f>
        <v>179497.86400000003</v>
      </c>
      <c r="I544" s="90"/>
      <c r="J544" s="90"/>
      <c r="K544" s="91"/>
    </row>
    <row r="545" spans="2:11" x14ac:dyDescent="0.25">
      <c r="B545" s="1750"/>
      <c r="D545" s="1788"/>
      <c r="E545" s="1747"/>
      <c r="G545" s="30" t="s">
        <v>44</v>
      </c>
      <c r="H545" s="126">
        <v>44209.770400000001</v>
      </c>
      <c r="I545" s="10"/>
      <c r="J545" s="10"/>
      <c r="K545" s="16"/>
    </row>
    <row r="546" spans="2:11" x14ac:dyDescent="0.25">
      <c r="B546" s="1750"/>
      <c r="D546" s="1788"/>
      <c r="E546" s="1747"/>
      <c r="G546" s="30" t="s">
        <v>45</v>
      </c>
      <c r="H546" s="126">
        <v>135288.09360000002</v>
      </c>
      <c r="I546" s="10"/>
      <c r="J546" s="10"/>
      <c r="K546" s="16"/>
    </row>
    <row r="547" spans="2:11" x14ac:dyDescent="0.25">
      <c r="B547" s="1750"/>
      <c r="D547" s="1788"/>
      <c r="E547" s="1747"/>
      <c r="G547" s="30" t="s">
        <v>46</v>
      </c>
      <c r="H547" s="126"/>
      <c r="I547" s="10"/>
      <c r="J547" s="10"/>
      <c r="K547" s="16"/>
    </row>
    <row r="548" spans="2:11" ht="15.75" thickBot="1" x14ac:dyDescent="0.3">
      <c r="B548" s="1750"/>
      <c r="D548" s="1789"/>
      <c r="E548" s="1748"/>
      <c r="G548" s="31" t="s">
        <v>47</v>
      </c>
      <c r="H548" s="127"/>
      <c r="I548" s="15"/>
      <c r="J548" s="15"/>
      <c r="K548" s="17"/>
    </row>
    <row r="549" spans="2:11" ht="15" customHeight="1" x14ac:dyDescent="0.25">
      <c r="B549" s="1750"/>
      <c r="D549" s="1745" t="s">
        <v>21</v>
      </c>
      <c r="E549" s="1746" t="s">
        <v>156</v>
      </c>
      <c r="G549" s="86" t="s">
        <v>39</v>
      </c>
      <c r="H549" s="131">
        <f>SUM(H550:H551)</f>
        <v>0</v>
      </c>
      <c r="I549" s="87"/>
      <c r="J549" s="87"/>
      <c r="K549" s="88"/>
    </row>
    <row r="550" spans="2:11" x14ac:dyDescent="0.25">
      <c r="B550" s="1750"/>
      <c r="D550" s="1786"/>
      <c r="E550" s="1747"/>
      <c r="G550" s="30" t="s">
        <v>40</v>
      </c>
      <c r="H550" s="126"/>
      <c r="I550" s="10"/>
      <c r="J550" s="10"/>
      <c r="K550" s="16"/>
    </row>
    <row r="551" spans="2:11" x14ac:dyDescent="0.25">
      <c r="B551" s="1750"/>
      <c r="D551" s="1786"/>
      <c r="E551" s="1747"/>
      <c r="G551" s="30" t="s">
        <v>41</v>
      </c>
      <c r="H551" s="126"/>
      <c r="I551" s="10"/>
      <c r="J551" s="10"/>
      <c r="K551" s="16"/>
    </row>
    <row r="552" spans="2:11" x14ac:dyDescent="0.25">
      <c r="B552" s="1750"/>
      <c r="D552" s="1786"/>
      <c r="E552" s="1747"/>
      <c r="G552" s="89" t="s">
        <v>161</v>
      </c>
      <c r="H552" s="132">
        <f>SUM(H553,H557)</f>
        <v>3447.7778158871602</v>
      </c>
      <c r="I552" s="90"/>
      <c r="J552" s="90"/>
      <c r="K552" s="91"/>
    </row>
    <row r="553" spans="2:11" x14ac:dyDescent="0.25">
      <c r="B553" s="1750"/>
      <c r="D553" s="1786"/>
      <c r="E553" s="1747"/>
      <c r="G553" s="89" t="s">
        <v>43</v>
      </c>
      <c r="H553" s="132">
        <f>SUM(H554:H556)</f>
        <v>3447.7778158871602</v>
      </c>
      <c r="I553" s="90"/>
      <c r="J553" s="90"/>
      <c r="K553" s="91"/>
    </row>
    <row r="554" spans="2:11" x14ac:dyDescent="0.25">
      <c r="B554" s="1750"/>
      <c r="D554" s="1786"/>
      <c r="E554" s="1747"/>
      <c r="G554" s="30" t="s">
        <v>44</v>
      </c>
      <c r="H554" s="126"/>
      <c r="I554" s="10"/>
      <c r="J554" s="10"/>
      <c r="K554" s="16"/>
    </row>
    <row r="555" spans="2:11" x14ac:dyDescent="0.25">
      <c r="B555" s="1750"/>
      <c r="D555" s="1786"/>
      <c r="E555" s="1747"/>
      <c r="G555" s="30" t="s">
        <v>45</v>
      </c>
      <c r="H555" s="126">
        <v>3201.047978608482</v>
      </c>
      <c r="I555" s="10"/>
      <c r="J555" s="10"/>
      <c r="K555" s="16"/>
    </row>
    <row r="556" spans="2:11" x14ac:dyDescent="0.25">
      <c r="B556" s="1750"/>
      <c r="D556" s="1786"/>
      <c r="E556" s="1747"/>
      <c r="G556" s="30" t="s">
        <v>46</v>
      </c>
      <c r="H556" s="126">
        <v>246.72983727867833</v>
      </c>
      <c r="I556" s="10"/>
      <c r="J556" s="10"/>
      <c r="K556" s="16"/>
    </row>
    <row r="557" spans="2:11" ht="15.75" thickBot="1" x14ac:dyDescent="0.3">
      <c r="B557" s="1750"/>
      <c r="D557" s="1787"/>
      <c r="E557" s="1748"/>
      <c r="G557" s="31" t="s">
        <v>47</v>
      </c>
      <c r="H557" s="127"/>
      <c r="I557" s="15"/>
      <c r="J557" s="15"/>
      <c r="K557" s="17"/>
    </row>
    <row r="558" spans="2:11" ht="15" customHeight="1" x14ac:dyDescent="0.25">
      <c r="B558" s="1750"/>
      <c r="D558" s="1745"/>
      <c r="E558" s="1742" t="s">
        <v>623</v>
      </c>
      <c r="G558" s="86" t="s">
        <v>39</v>
      </c>
      <c r="H558" s="131">
        <f>SUM(H559:H560)</f>
        <v>0</v>
      </c>
      <c r="I558" s="87"/>
      <c r="J558" s="87"/>
      <c r="K558" s="88"/>
    </row>
    <row r="559" spans="2:11" x14ac:dyDescent="0.25">
      <c r="B559" s="1750"/>
      <c r="D559" s="1786"/>
      <c r="E559" s="1743"/>
      <c r="G559" s="30" t="s">
        <v>40</v>
      </c>
      <c r="H559" s="126"/>
      <c r="I559" s="10"/>
      <c r="J559" s="10"/>
      <c r="K559" s="16"/>
    </row>
    <row r="560" spans="2:11" x14ac:dyDescent="0.25">
      <c r="B560" s="1750"/>
      <c r="D560" s="1786"/>
      <c r="E560" s="1743"/>
      <c r="G560" s="30" t="s">
        <v>41</v>
      </c>
      <c r="H560" s="126"/>
      <c r="I560" s="10"/>
      <c r="J560" s="10"/>
      <c r="K560" s="16"/>
    </row>
    <row r="561" spans="2:11" x14ac:dyDescent="0.25">
      <c r="B561" s="1750"/>
      <c r="D561" s="1786"/>
      <c r="E561" s="1743"/>
      <c r="G561" s="89" t="s">
        <v>161</v>
      </c>
      <c r="H561" s="132">
        <f>SUM(H562,H566)</f>
        <v>0</v>
      </c>
      <c r="I561" s="90"/>
      <c r="J561" s="90"/>
      <c r="K561" s="91"/>
    </row>
    <row r="562" spans="2:11" x14ac:dyDescent="0.25">
      <c r="B562" s="1750"/>
      <c r="D562" s="1786"/>
      <c r="E562" s="1743"/>
      <c r="G562" s="89" t="s">
        <v>43</v>
      </c>
      <c r="H562" s="132">
        <f>SUM(H563:H565)</f>
        <v>0</v>
      </c>
      <c r="I562" s="90"/>
      <c r="J562" s="90"/>
      <c r="K562" s="91"/>
    </row>
    <row r="563" spans="2:11" x14ac:dyDescent="0.25">
      <c r="B563" s="1750"/>
      <c r="D563" s="1786"/>
      <c r="E563" s="1743"/>
      <c r="G563" s="30" t="s">
        <v>44</v>
      </c>
      <c r="H563" s="126"/>
      <c r="I563" s="10"/>
      <c r="J563" s="10"/>
      <c r="K563" s="16"/>
    </row>
    <row r="564" spans="2:11" x14ac:dyDescent="0.25">
      <c r="B564" s="1750"/>
      <c r="D564" s="1786"/>
      <c r="E564" s="1743"/>
      <c r="G564" s="30" t="s">
        <v>45</v>
      </c>
      <c r="H564" s="126"/>
      <c r="I564" s="10"/>
      <c r="J564" s="10"/>
      <c r="K564" s="16"/>
    </row>
    <row r="565" spans="2:11" x14ac:dyDescent="0.25">
      <c r="B565" s="1750"/>
      <c r="D565" s="1786"/>
      <c r="E565" s="1743"/>
      <c r="G565" s="30" t="s">
        <v>46</v>
      </c>
      <c r="H565" s="126"/>
      <c r="I565" s="10"/>
      <c r="J565" s="10"/>
      <c r="K565" s="16"/>
    </row>
    <row r="566" spans="2:11" ht="15.75" thickBot="1" x14ac:dyDescent="0.3">
      <c r="B566" s="1750"/>
      <c r="D566" s="1787"/>
      <c r="E566" s="1744"/>
      <c r="G566" s="31" t="s">
        <v>47</v>
      </c>
      <c r="H566" s="127"/>
      <c r="I566" s="15"/>
      <c r="J566" s="15"/>
      <c r="K566" s="17"/>
    </row>
    <row r="567" spans="2:11" ht="15" customHeight="1" x14ac:dyDescent="0.25">
      <c r="B567" s="1750"/>
      <c r="D567" s="1745" t="s">
        <v>22</v>
      </c>
      <c r="E567" s="1746" t="s">
        <v>157</v>
      </c>
      <c r="G567" s="86" t="s">
        <v>39</v>
      </c>
      <c r="H567" s="131">
        <f>SUM(H568:H569)</f>
        <v>0</v>
      </c>
      <c r="I567" s="87"/>
      <c r="J567" s="87"/>
      <c r="K567" s="88"/>
    </row>
    <row r="568" spans="2:11" x14ac:dyDescent="0.25">
      <c r="B568" s="1750"/>
      <c r="D568" s="1786"/>
      <c r="E568" s="1747"/>
      <c r="G568" s="30" t="s">
        <v>40</v>
      </c>
      <c r="H568" s="126"/>
      <c r="I568" s="10"/>
      <c r="J568" s="10"/>
      <c r="K568" s="16"/>
    </row>
    <row r="569" spans="2:11" x14ac:dyDescent="0.25">
      <c r="B569" s="1750"/>
      <c r="D569" s="1786"/>
      <c r="E569" s="1747"/>
      <c r="G569" s="30" t="s">
        <v>41</v>
      </c>
      <c r="H569" s="126"/>
      <c r="I569" s="10"/>
      <c r="J569" s="10"/>
      <c r="K569" s="16"/>
    </row>
    <row r="570" spans="2:11" x14ac:dyDescent="0.25">
      <c r="B570" s="1750"/>
      <c r="D570" s="1786"/>
      <c r="E570" s="1747"/>
      <c r="G570" s="89" t="s">
        <v>161</v>
      </c>
      <c r="H570" s="132">
        <f>SUM(H571,H575)</f>
        <v>10.714873014735879</v>
      </c>
      <c r="I570" s="90"/>
      <c r="J570" s="90"/>
      <c r="K570" s="91"/>
    </row>
    <row r="571" spans="2:11" x14ac:dyDescent="0.25">
      <c r="B571" s="1750"/>
      <c r="D571" s="1786"/>
      <c r="E571" s="1747"/>
      <c r="G571" s="89" t="s">
        <v>43</v>
      </c>
      <c r="H571" s="132">
        <f>SUM(H572:H574)</f>
        <v>10.714873014735879</v>
      </c>
      <c r="I571" s="90"/>
      <c r="J571" s="90"/>
      <c r="K571" s="91"/>
    </row>
    <row r="572" spans="2:11" x14ac:dyDescent="0.25">
      <c r="B572" s="1750"/>
      <c r="D572" s="1786"/>
      <c r="E572" s="1747"/>
      <c r="G572" s="30" t="s">
        <v>44</v>
      </c>
      <c r="H572" s="126">
        <v>1.1818737127147767</v>
      </c>
      <c r="I572" s="10"/>
      <c r="J572" s="10"/>
      <c r="K572" s="16"/>
    </row>
    <row r="573" spans="2:11" x14ac:dyDescent="0.25">
      <c r="B573" s="1750"/>
      <c r="D573" s="1786"/>
      <c r="E573" s="1747"/>
      <c r="G573" s="30" t="s">
        <v>45</v>
      </c>
      <c r="H573" s="126">
        <v>9.3718228896499678</v>
      </c>
      <c r="I573" s="10"/>
      <c r="J573" s="10"/>
      <c r="K573" s="16"/>
    </row>
    <row r="574" spans="2:11" x14ac:dyDescent="0.25">
      <c r="B574" s="1750"/>
      <c r="D574" s="1786"/>
      <c r="E574" s="1747"/>
      <c r="G574" s="30" t="s">
        <v>46</v>
      </c>
      <c r="H574" s="126">
        <v>0.16117641237113403</v>
      </c>
      <c r="I574" s="10"/>
      <c r="J574" s="10"/>
      <c r="K574" s="16"/>
    </row>
    <row r="575" spans="2:11" ht="15.75" thickBot="1" x14ac:dyDescent="0.3">
      <c r="B575" s="1750"/>
      <c r="D575" s="1787"/>
      <c r="E575" s="1748"/>
      <c r="G575" s="31" t="s">
        <v>47</v>
      </c>
      <c r="H575" s="127"/>
      <c r="I575" s="15"/>
      <c r="J575" s="15"/>
      <c r="K575" s="17"/>
    </row>
    <row r="576" spans="2:11" ht="15" customHeight="1" x14ac:dyDescent="0.25">
      <c r="B576" s="1750"/>
      <c r="D576" s="1745"/>
      <c r="E576" s="1742" t="s">
        <v>650</v>
      </c>
      <c r="G576" s="86" t="s">
        <v>39</v>
      </c>
      <c r="H576" s="131">
        <f>SUM(H577:H578)</f>
        <v>0</v>
      </c>
      <c r="I576" s="87"/>
      <c r="J576" s="87"/>
      <c r="K576" s="88"/>
    </row>
    <row r="577" spans="2:11" x14ac:dyDescent="0.25">
      <c r="B577" s="1750"/>
      <c r="D577" s="1786"/>
      <c r="E577" s="1743"/>
      <c r="G577" s="30" t="s">
        <v>40</v>
      </c>
      <c r="H577" s="126"/>
      <c r="I577" s="10"/>
      <c r="J577" s="10"/>
      <c r="K577" s="16"/>
    </row>
    <row r="578" spans="2:11" x14ac:dyDescent="0.25">
      <c r="B578" s="1750"/>
      <c r="D578" s="1786"/>
      <c r="E578" s="1743"/>
      <c r="G578" s="30" t="s">
        <v>41</v>
      </c>
      <c r="H578" s="126"/>
      <c r="I578" s="10"/>
      <c r="J578" s="10"/>
      <c r="K578" s="16"/>
    </row>
    <row r="579" spans="2:11" x14ac:dyDescent="0.25">
      <c r="B579" s="1750"/>
      <c r="D579" s="1786"/>
      <c r="E579" s="1743"/>
      <c r="G579" s="89" t="s">
        <v>161</v>
      </c>
      <c r="H579" s="132">
        <f>SUM(H580,H584)</f>
        <v>0</v>
      </c>
      <c r="I579" s="90"/>
      <c r="J579" s="90"/>
      <c r="K579" s="91"/>
    </row>
    <row r="580" spans="2:11" x14ac:dyDescent="0.25">
      <c r="B580" s="1750"/>
      <c r="D580" s="1786"/>
      <c r="E580" s="1743"/>
      <c r="G580" s="89" t="s">
        <v>43</v>
      </c>
      <c r="H580" s="132">
        <f>SUM(H581:H583)</f>
        <v>0</v>
      </c>
      <c r="I580" s="90"/>
      <c r="J580" s="90"/>
      <c r="K580" s="91"/>
    </row>
    <row r="581" spans="2:11" x14ac:dyDescent="0.25">
      <c r="B581" s="1750"/>
      <c r="D581" s="1786"/>
      <c r="E581" s="1743"/>
      <c r="G581" s="30" t="s">
        <v>44</v>
      </c>
      <c r="H581" s="126"/>
      <c r="I581" s="10"/>
      <c r="J581" s="10"/>
      <c r="K581" s="16"/>
    </row>
    <row r="582" spans="2:11" x14ac:dyDescent="0.25">
      <c r="B582" s="1750"/>
      <c r="D582" s="1786"/>
      <c r="E582" s="1743"/>
      <c r="G582" s="30" t="s">
        <v>45</v>
      </c>
      <c r="H582" s="126"/>
      <c r="I582" s="10"/>
      <c r="J582" s="10"/>
      <c r="K582" s="16"/>
    </row>
    <row r="583" spans="2:11" x14ac:dyDescent="0.25">
      <c r="B583" s="1750"/>
      <c r="D583" s="1786"/>
      <c r="E583" s="1743"/>
      <c r="G583" s="30" t="s">
        <v>46</v>
      </c>
      <c r="H583" s="126"/>
      <c r="I583" s="10"/>
      <c r="J583" s="10"/>
      <c r="K583" s="16"/>
    </row>
    <row r="584" spans="2:11" ht="15.75" thickBot="1" x14ac:dyDescent="0.3">
      <c r="B584" s="1750"/>
      <c r="D584" s="1787"/>
      <c r="E584" s="1744"/>
      <c r="G584" s="31" t="s">
        <v>47</v>
      </c>
      <c r="H584" s="127"/>
      <c r="I584" s="15"/>
      <c r="J584" s="15"/>
      <c r="K584" s="17"/>
    </row>
    <row r="585" spans="2:11" x14ac:dyDescent="0.25">
      <c r="B585" s="1750"/>
      <c r="D585" s="95"/>
      <c r="E585" s="93"/>
      <c r="G585" s="94"/>
      <c r="H585" s="133"/>
      <c r="I585" s="94"/>
      <c r="J585" s="94"/>
      <c r="K585" s="85"/>
    </row>
    <row r="586" spans="2:11" x14ac:dyDescent="0.25">
      <c r="B586" s="1750"/>
      <c r="C586" s="92"/>
      <c r="D586" s="96"/>
      <c r="E586" s="92"/>
      <c r="F586" s="92"/>
      <c r="G586" s="92"/>
      <c r="H586" s="134"/>
      <c r="I586" s="92"/>
      <c r="J586" s="92"/>
      <c r="K586" s="92"/>
    </row>
    <row r="587" spans="2:11" ht="15.75" thickBot="1" x14ac:dyDescent="0.3">
      <c r="B587" s="1750"/>
      <c r="D587" s="97"/>
      <c r="H587" s="4"/>
    </row>
    <row r="588" spans="2:11" ht="15" customHeight="1" x14ac:dyDescent="0.25">
      <c r="B588" s="1750"/>
      <c r="D588" s="1739">
        <v>98</v>
      </c>
      <c r="E588" s="1746" t="s">
        <v>158</v>
      </c>
      <c r="G588" s="86" t="s">
        <v>39</v>
      </c>
      <c r="H588" s="131">
        <f>SUM(H589:H590)</f>
        <v>0</v>
      </c>
      <c r="I588" s="87"/>
      <c r="J588" s="87"/>
      <c r="K588" s="88"/>
    </row>
    <row r="589" spans="2:11" x14ac:dyDescent="0.25">
      <c r="B589" s="1750"/>
      <c r="D589" s="1788"/>
      <c r="E589" s="1747"/>
      <c r="G589" s="30" t="s">
        <v>40</v>
      </c>
      <c r="H589" s="126"/>
      <c r="I589" s="10"/>
      <c r="J589" s="10"/>
      <c r="K589" s="16"/>
    </row>
    <row r="590" spans="2:11" x14ac:dyDescent="0.25">
      <c r="B590" s="1750"/>
      <c r="D590" s="1788"/>
      <c r="E590" s="1747"/>
      <c r="G590" s="30" t="s">
        <v>41</v>
      </c>
      <c r="H590" s="126"/>
      <c r="I590" s="10"/>
      <c r="J590" s="10"/>
      <c r="K590" s="16"/>
    </row>
    <row r="591" spans="2:11" x14ac:dyDescent="0.25">
      <c r="B591" s="1750"/>
      <c r="D591" s="1788"/>
      <c r="E591" s="1747"/>
      <c r="G591" s="89" t="s">
        <v>161</v>
      </c>
      <c r="H591" s="132">
        <f>SUM(H592,H596)</f>
        <v>82781</v>
      </c>
      <c r="I591" s="90"/>
      <c r="J591" s="90"/>
      <c r="K591" s="91"/>
    </row>
    <row r="592" spans="2:11" x14ac:dyDescent="0.25">
      <c r="B592" s="1750"/>
      <c r="D592" s="1788"/>
      <c r="E592" s="1747"/>
      <c r="G592" s="89" t="s">
        <v>43</v>
      </c>
      <c r="H592" s="132">
        <f>SUM(H593:H595)</f>
        <v>72433</v>
      </c>
      <c r="I592" s="90"/>
      <c r="J592" s="90"/>
      <c r="K592" s="91"/>
    </row>
    <row r="593" spans="2:11" x14ac:dyDescent="0.25">
      <c r="B593" s="1750"/>
      <c r="D593" s="1788"/>
      <c r="E593" s="1747"/>
      <c r="G593" s="30" t="s">
        <v>44</v>
      </c>
      <c r="H593" s="126">
        <v>41390</v>
      </c>
      <c r="I593" s="10"/>
      <c r="J593" s="10"/>
      <c r="K593" s="16"/>
    </row>
    <row r="594" spans="2:11" x14ac:dyDescent="0.25">
      <c r="B594" s="1750"/>
      <c r="D594" s="1788"/>
      <c r="E594" s="1747"/>
      <c r="G594" s="30" t="s">
        <v>45</v>
      </c>
      <c r="H594" s="126">
        <v>20695</v>
      </c>
      <c r="I594" s="10"/>
      <c r="J594" s="10"/>
      <c r="K594" s="16"/>
    </row>
    <row r="595" spans="2:11" x14ac:dyDescent="0.25">
      <c r="B595" s="1750"/>
      <c r="D595" s="1788"/>
      <c r="E595" s="1747"/>
      <c r="G595" s="30" t="s">
        <v>46</v>
      </c>
      <c r="H595" s="126">
        <v>10348</v>
      </c>
      <c r="I595" s="10"/>
      <c r="J595" s="10"/>
      <c r="K595" s="16"/>
    </row>
    <row r="596" spans="2:11" ht="15.75" thickBot="1" x14ac:dyDescent="0.3">
      <c r="B596" s="1750"/>
      <c r="D596" s="1789"/>
      <c r="E596" s="1748"/>
      <c r="G596" s="31" t="s">
        <v>47</v>
      </c>
      <c r="H596" s="127">
        <v>10348</v>
      </c>
      <c r="I596" s="15"/>
      <c r="J596" s="15"/>
      <c r="K596" s="17"/>
    </row>
    <row r="597" spans="2:11" ht="15" customHeight="1" x14ac:dyDescent="0.25">
      <c r="B597" s="1750"/>
      <c r="D597" s="1739">
        <v>99</v>
      </c>
      <c r="E597" s="1746" t="s">
        <v>159</v>
      </c>
      <c r="G597" s="86" t="s">
        <v>39</v>
      </c>
      <c r="H597" s="131">
        <f>SUM(H598:H599)</f>
        <v>0</v>
      </c>
      <c r="I597" s="87"/>
      <c r="J597" s="87"/>
      <c r="K597" s="88"/>
    </row>
    <row r="598" spans="2:11" x14ac:dyDescent="0.25">
      <c r="B598" s="1750"/>
      <c r="D598" s="1788"/>
      <c r="E598" s="1747"/>
      <c r="G598" s="30" t="s">
        <v>40</v>
      </c>
      <c r="H598" s="126"/>
      <c r="I598" s="10"/>
      <c r="J598" s="10"/>
      <c r="K598" s="16"/>
    </row>
    <row r="599" spans="2:11" x14ac:dyDescent="0.25">
      <c r="B599" s="1750"/>
      <c r="D599" s="1788"/>
      <c r="E599" s="1747"/>
      <c r="G599" s="30" t="s">
        <v>41</v>
      </c>
      <c r="H599" s="126"/>
      <c r="I599" s="10"/>
      <c r="J599" s="10"/>
      <c r="K599" s="16"/>
    </row>
    <row r="600" spans="2:11" x14ac:dyDescent="0.25">
      <c r="B600" s="1750"/>
      <c r="D600" s="1788"/>
      <c r="E600" s="1747"/>
      <c r="G600" s="89" t="s">
        <v>161</v>
      </c>
      <c r="H600" s="132">
        <f>SUM(H601,H605)</f>
        <v>5211.6544753063881</v>
      </c>
      <c r="I600" s="90"/>
      <c r="J600" s="90"/>
      <c r="K600" s="91"/>
    </row>
    <row r="601" spans="2:11" x14ac:dyDescent="0.25">
      <c r="B601" s="1750"/>
      <c r="D601" s="1788"/>
      <c r="E601" s="1747"/>
      <c r="G601" s="89" t="s">
        <v>43</v>
      </c>
      <c r="H601" s="132">
        <f>SUM(H602:H604)</f>
        <v>5211.6544753063881</v>
      </c>
      <c r="I601" s="90"/>
      <c r="J601" s="90"/>
      <c r="K601" s="91"/>
    </row>
    <row r="602" spans="2:11" x14ac:dyDescent="0.25">
      <c r="B602" s="1750"/>
      <c r="D602" s="1788"/>
      <c r="E602" s="1747"/>
      <c r="G602" s="30" t="s">
        <v>44</v>
      </c>
      <c r="H602" s="126">
        <v>4688.7652799999996</v>
      </c>
      <c r="I602" s="10"/>
      <c r="J602" s="10"/>
      <c r="K602" s="16"/>
    </row>
    <row r="603" spans="2:11" x14ac:dyDescent="0.25">
      <c r="B603" s="1750"/>
      <c r="D603" s="1788"/>
      <c r="E603" s="1747"/>
      <c r="G603" s="30" t="s">
        <v>45</v>
      </c>
      <c r="H603" s="126">
        <v>522.8891953063885</v>
      </c>
      <c r="I603" s="10"/>
      <c r="J603" s="10"/>
      <c r="K603" s="16"/>
    </row>
    <row r="604" spans="2:11" x14ac:dyDescent="0.25">
      <c r="B604" s="1750"/>
      <c r="D604" s="1788"/>
      <c r="E604" s="1747"/>
      <c r="G604" s="30" t="s">
        <v>46</v>
      </c>
      <c r="H604" s="126"/>
      <c r="I604" s="10"/>
      <c r="J604" s="10"/>
      <c r="K604" s="16"/>
    </row>
    <row r="605" spans="2:11" ht="15.75" thickBot="1" x14ac:dyDescent="0.3">
      <c r="B605" s="1751"/>
      <c r="D605" s="1789"/>
      <c r="E605" s="1748"/>
      <c r="G605" s="31" t="s">
        <v>47</v>
      </c>
      <c r="H605" s="127"/>
      <c r="I605" s="15"/>
      <c r="J605" s="15"/>
      <c r="K605" s="17"/>
    </row>
  </sheetData>
  <mergeCells count="90">
    <mergeCell ref="E597:E605"/>
    <mergeCell ref="D540:D548"/>
    <mergeCell ref="E540:E548"/>
    <mergeCell ref="D549:D557"/>
    <mergeCell ref="E549:E557"/>
    <mergeCell ref="D567:D575"/>
    <mergeCell ref="D597:D605"/>
    <mergeCell ref="D576:D584"/>
    <mergeCell ref="B405:B605"/>
    <mergeCell ref="D405:D413"/>
    <mergeCell ref="E405:E413"/>
    <mergeCell ref="D414:D422"/>
    <mergeCell ref="E414:E422"/>
    <mergeCell ref="D423:D431"/>
    <mergeCell ref="E423:E431"/>
    <mergeCell ref="D432:D440"/>
    <mergeCell ref="E432:E440"/>
    <mergeCell ref="D441:D449"/>
    <mergeCell ref="E495:E503"/>
    <mergeCell ref="D531:D539"/>
    <mergeCell ref="E531:E539"/>
    <mergeCell ref="E567:E575"/>
    <mergeCell ref="D558:D566"/>
    <mergeCell ref="E558:E566"/>
    <mergeCell ref="E504:E512"/>
    <mergeCell ref="E513:E521"/>
    <mergeCell ref="D522:D530"/>
    <mergeCell ref="E522:E530"/>
    <mergeCell ref="D495:D503"/>
    <mergeCell ref="E441:E449"/>
    <mergeCell ref="D477:D485"/>
    <mergeCell ref="E477:E485"/>
    <mergeCell ref="D588:D596"/>
    <mergeCell ref="E588:E596"/>
    <mergeCell ref="E468:E476"/>
    <mergeCell ref="D486:D494"/>
    <mergeCell ref="E486:E494"/>
    <mergeCell ref="D450:D458"/>
    <mergeCell ref="E450:E458"/>
    <mergeCell ref="D513:D521"/>
    <mergeCell ref="D459:D467"/>
    <mergeCell ref="E459:E467"/>
    <mergeCell ref="D468:D476"/>
    <mergeCell ref="E576:E584"/>
    <mergeCell ref="D504:D512"/>
    <mergeCell ref="E56:E73"/>
    <mergeCell ref="D74:D91"/>
    <mergeCell ref="D272:D289"/>
    <mergeCell ref="E272:E289"/>
    <mergeCell ref="D365:D382"/>
    <mergeCell ref="E365:E382"/>
    <mergeCell ref="D344:D361"/>
    <mergeCell ref="E344:E361"/>
    <mergeCell ref="E128:E145"/>
    <mergeCell ref="E164:E181"/>
    <mergeCell ref="E110:E127"/>
    <mergeCell ref="D128:D145"/>
    <mergeCell ref="D164:D181"/>
    <mergeCell ref="E290:E307"/>
    <mergeCell ref="D326:D343"/>
    <mergeCell ref="E326:E343"/>
    <mergeCell ref="B2:B400"/>
    <mergeCell ref="D2:D19"/>
    <mergeCell ref="E2:E19"/>
    <mergeCell ref="D20:D37"/>
    <mergeCell ref="E20:E37"/>
    <mergeCell ref="D38:D55"/>
    <mergeCell ref="E38:E55"/>
    <mergeCell ref="E74:E91"/>
    <mergeCell ref="D56:D73"/>
    <mergeCell ref="D146:D163"/>
    <mergeCell ref="E146:E163"/>
    <mergeCell ref="D182:D199"/>
    <mergeCell ref="E182:E199"/>
    <mergeCell ref="D92:D109"/>
    <mergeCell ref="E92:E109"/>
    <mergeCell ref="D110:D127"/>
    <mergeCell ref="D290:D307"/>
    <mergeCell ref="D308:D325"/>
    <mergeCell ref="E308:E325"/>
    <mergeCell ref="D383:D400"/>
    <mergeCell ref="D200:D217"/>
    <mergeCell ref="E200:E217"/>
    <mergeCell ref="D218:D235"/>
    <mergeCell ref="E218:E235"/>
    <mergeCell ref="D236:D253"/>
    <mergeCell ref="E236:E253"/>
    <mergeCell ref="E383:E400"/>
    <mergeCell ref="D254:D271"/>
    <mergeCell ref="E254:E271"/>
  </mergeCells>
  <hyperlinks>
    <hyperlink ref="H9" location="'RBM&amp;E-2017_S'!W30" display="'RBM&amp;E-2017_S'!W30"/>
    <hyperlink ref="H10" location="'RBM&amp;E-2017_S'!W30" display="'RBM&amp;E-2017_S'!W30"/>
    <hyperlink ref="H8" location="'RBM&amp;E-2017_S'!W30" display="'RBM&amp;E-2017_S'!W30"/>
    <hyperlink ref="H11" location="'RBM&amp;E-2017_S'!W30" display="'RBM&amp;E-2017_S'!W30"/>
    <hyperlink ref="H377" location="'RBM&amp;E-2017_S'!W33" display="'RBM&amp;E-2017_S'!W33"/>
    <hyperlink ref="H14" location="'RBM&amp;E-2017_S'!T33" display="'RBM&amp;E-2017_S'!T33"/>
    <hyperlink ref="H63" location="'RBM&amp;E-2017_S'!W29" display="'RBM&amp;E-2017_S'!W29"/>
    <hyperlink ref="H45" location="'RBM&amp;E-2017_S'!W28" display="'RBM&amp;E-2017_S'!W28"/>
    <hyperlink ref="H376" location="'RBM&amp;E-2017_S'!W27" display="'RBM&amp;E-2017_S'!W27"/>
    <hyperlink ref="H49" location="'RBM&amp;E-2017_S'!W28" display="'RBM&amp;E-2017_S'!W28"/>
    <hyperlink ref="H50" location="'RBM&amp;E-2017_S'!W33" display="'RBM&amp;E-2017_S'!W33"/>
    <hyperlink ref="H373" location="'RBM&amp;E-2017_S'!W34" display="'RBM&amp;E-2017_S'!W34"/>
    <hyperlink ref="H27" location="'RBM&amp;E-2017_S'!W32" display="'RBM&amp;E-2017_S'!W32"/>
    <hyperlink ref="H64" location="'RBM&amp;E-2017_S'!W30" display="'RBM&amp;E-2017_S'!W30"/>
    <hyperlink ref="H47" location="'RBM&amp;E-2017_S'!W31" display="'RBM&amp;E-2017_S'!W31"/>
    <hyperlink ref="H76" location="'RBM&amp;E-2017_S'!W35" display="'RBM&amp;E-2017_S'!W35"/>
    <hyperlink ref="H81" location="'RBM&amp;E-2017_S'!W35" display="'RBM&amp;E-2017_S'!W35"/>
    <hyperlink ref="H84" location="'RBM&amp;E-2017_S'!W35" display="'RBM&amp;E-2017_S'!W35"/>
    <hyperlink ref="H15" location="'GW&amp;SOILW_2012'!AF20" display="'GW&amp;SOILW_2012'!AF20"/>
  </hyperlinks>
  <pageMargins left="0.51181102362204722" right="0.51181102362204722" top="0.74803149606299213" bottom="0.74803149606299213" header="0.31496062992125984" footer="0.31496062992125984"/>
  <pageSetup paperSize="9" scale="10" orientation="landscape" r:id="rId1"/>
  <headerFooter>
    <oddHeader>&amp;L&amp;F    &amp;&amp;&amp;A&amp;C&amp;D&amp;RPage &amp;P of &amp;N</oddHeader>
  </headerFooter>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AC50"/>
  <sheetViews>
    <sheetView zoomScale="110" zoomScaleNormal="110" workbookViewId="0">
      <pane xSplit="2" ySplit="5" topLeftCell="C12" activePane="bottomRight" state="frozen"/>
      <selection activeCell="K27" sqref="K27"/>
      <selection pane="topRight" activeCell="K27" sqref="K27"/>
      <selection pane="bottomLeft" activeCell="K27" sqref="K27"/>
      <selection pane="bottomRight" activeCell="E23" sqref="E23"/>
    </sheetView>
  </sheetViews>
  <sheetFormatPr defaultRowHeight="12.75" x14ac:dyDescent="0.2"/>
  <cols>
    <col min="1" max="1" width="7.140625" style="1" customWidth="1"/>
    <col min="2" max="2" width="24.5703125" style="1" customWidth="1"/>
    <col min="3" max="3" width="10.28515625" style="1" bestFit="1" customWidth="1"/>
    <col min="4" max="4" width="9.28515625" style="1" bestFit="1" customWidth="1"/>
    <col min="5" max="5" width="9.85546875" style="1" bestFit="1" customWidth="1"/>
    <col min="6" max="6" width="11.140625" style="1" bestFit="1" customWidth="1"/>
    <col min="7" max="7" width="7.7109375" style="1" bestFit="1" customWidth="1"/>
    <col min="8" max="8" width="7.7109375" style="1" hidden="1" customWidth="1"/>
    <col min="9" max="9" width="8.140625" style="1" hidden="1" customWidth="1"/>
    <col min="10" max="10" width="7.42578125" style="1" hidden="1" customWidth="1"/>
    <col min="11" max="11" width="6.85546875" style="1" customWidth="1"/>
    <col min="12" max="12" width="6.85546875" style="1" hidden="1" customWidth="1"/>
    <col min="13" max="13" width="9.28515625" style="1" bestFit="1" customWidth="1"/>
    <col min="14" max="15" width="8.42578125" style="1" hidden="1" customWidth="1"/>
    <col min="16" max="16" width="8.7109375" style="1" hidden="1" customWidth="1"/>
    <col min="17" max="17" width="8.5703125" style="1" hidden="1" customWidth="1"/>
    <col min="18" max="18" width="7.42578125" style="1" bestFit="1" customWidth="1"/>
    <col min="19" max="19" width="6.5703125" style="1" bestFit="1" customWidth="1"/>
    <col min="20" max="20" width="6.85546875" style="1" hidden="1" customWidth="1"/>
    <col min="21" max="21" width="9.28515625" style="1" customWidth="1"/>
    <col min="22" max="22" width="15.140625" style="1" hidden="1" customWidth="1"/>
    <col min="23" max="23" width="8.5703125" style="1" bestFit="1" customWidth="1"/>
    <col min="24" max="24" width="8.7109375" style="1" bestFit="1" customWidth="1"/>
    <col min="25" max="25" width="11" style="1" customWidth="1"/>
    <col min="26" max="26" width="5.85546875" style="1" customWidth="1"/>
    <col min="27" max="27" width="8.5703125" style="1" customWidth="1"/>
    <col min="28" max="28" width="4.7109375" style="1" customWidth="1"/>
    <col min="29" max="16384" width="9.140625" style="1"/>
  </cols>
  <sheetData>
    <row r="1" spans="1:29" ht="12.75" customHeight="1" x14ac:dyDescent="0.2">
      <c r="B1" s="1497" t="s">
        <v>1678</v>
      </c>
      <c r="C1" s="1756" t="s">
        <v>1677</v>
      </c>
      <c r="D1" s="1756"/>
      <c r="E1" s="1756"/>
      <c r="F1" s="1756"/>
      <c r="G1" s="1756"/>
      <c r="H1" s="1756"/>
      <c r="I1" s="1756"/>
      <c r="J1" s="1756"/>
      <c r="K1" s="1756"/>
      <c r="L1" s="1756"/>
      <c r="M1" s="1756"/>
      <c r="N1" s="1756"/>
      <c r="O1" s="1756"/>
      <c r="P1" s="1756"/>
      <c r="Q1" s="1756"/>
      <c r="R1" s="1756"/>
      <c r="S1" s="1756"/>
      <c r="T1" s="1756"/>
      <c r="U1" s="1756"/>
      <c r="V1" s="1756"/>
      <c r="W1" s="1756"/>
      <c r="X1" s="1756"/>
      <c r="Y1" s="1756"/>
      <c r="Z1" s="1756"/>
      <c r="AA1" s="1756"/>
      <c r="AB1" s="1497"/>
    </row>
    <row r="2" spans="1:29" ht="12.75" customHeight="1" x14ac:dyDescent="0.2">
      <c r="A2" s="1498"/>
      <c r="B2" s="1499">
        <v>2015</v>
      </c>
      <c r="C2" s="1757" t="s">
        <v>577</v>
      </c>
      <c r="D2" s="1757"/>
      <c r="E2" s="1757"/>
      <c r="F2" s="1757"/>
      <c r="G2" s="1757"/>
      <c r="H2" s="1757"/>
      <c r="I2" s="1757"/>
      <c r="J2" s="1757"/>
      <c r="K2" s="1757"/>
      <c r="L2" s="1757"/>
      <c r="M2" s="1757"/>
      <c r="N2" s="1757"/>
      <c r="O2" s="1757"/>
      <c r="P2" s="1757"/>
      <c r="Q2" s="1757"/>
      <c r="R2" s="1757"/>
      <c r="S2" s="1757"/>
      <c r="T2" s="1757"/>
      <c r="U2" s="1757"/>
      <c r="V2" s="1757"/>
      <c r="W2" s="1757"/>
      <c r="X2" s="1757"/>
      <c r="Y2" s="1757"/>
      <c r="Z2" s="1757"/>
      <c r="AA2" s="1757"/>
      <c r="AB2" s="1496"/>
    </row>
    <row r="3" spans="1:29" ht="12.75" customHeight="1" x14ac:dyDescent="0.2">
      <c r="A3" s="1752" t="s">
        <v>578</v>
      </c>
      <c r="B3" s="1753"/>
      <c r="C3" s="1758" t="s">
        <v>12</v>
      </c>
      <c r="D3" s="1759"/>
      <c r="E3" s="1759"/>
      <c r="F3" s="1759"/>
      <c r="G3" s="1759"/>
      <c r="H3" s="1759"/>
      <c r="I3" s="1759"/>
      <c r="J3" s="1759"/>
      <c r="K3" s="1759"/>
      <c r="L3" s="1759"/>
      <c r="M3" s="1759"/>
      <c r="N3" s="1759"/>
      <c r="O3" s="1759"/>
      <c r="P3" s="1759"/>
      <c r="Q3" s="1759"/>
      <c r="R3" s="1759"/>
      <c r="S3" s="1759"/>
      <c r="T3" s="1759"/>
      <c r="U3" s="1759"/>
      <c r="V3" s="306"/>
      <c r="W3" s="1760" t="s">
        <v>1276</v>
      </c>
      <c r="X3" s="99"/>
      <c r="Y3" s="1761" t="s">
        <v>2</v>
      </c>
      <c r="Z3" s="1761" t="s">
        <v>13</v>
      </c>
      <c r="AA3" s="1761" t="s">
        <v>14</v>
      </c>
      <c r="AB3" s="70"/>
    </row>
    <row r="4" spans="1:29" ht="50.25" x14ac:dyDescent="0.2">
      <c r="A4" s="1754"/>
      <c r="B4" s="1755"/>
      <c r="C4" s="71" t="s">
        <v>6</v>
      </c>
      <c r="D4" s="71" t="s">
        <v>7</v>
      </c>
      <c r="E4" s="71" t="s">
        <v>8</v>
      </c>
      <c r="F4" s="71" t="s">
        <v>9</v>
      </c>
      <c r="G4" s="71" t="s">
        <v>137</v>
      </c>
      <c r="H4" s="373" t="s">
        <v>615</v>
      </c>
      <c r="I4" s="373" t="s">
        <v>616</v>
      </c>
      <c r="J4" s="373" t="s">
        <v>617</v>
      </c>
      <c r="K4" s="71" t="s">
        <v>0</v>
      </c>
      <c r="L4" s="373" t="s">
        <v>618</v>
      </c>
      <c r="M4" s="71" t="s">
        <v>138</v>
      </c>
      <c r="N4" s="373" t="s">
        <v>619</v>
      </c>
      <c r="O4" s="373" t="s">
        <v>620</v>
      </c>
      <c r="P4" s="373" t="s">
        <v>621</v>
      </c>
      <c r="Q4" s="373" t="s">
        <v>622</v>
      </c>
      <c r="R4" s="71" t="s">
        <v>1</v>
      </c>
      <c r="S4" s="71" t="s">
        <v>10</v>
      </c>
      <c r="T4" s="374" t="s">
        <v>623</v>
      </c>
      <c r="U4" s="72" t="s">
        <v>139</v>
      </c>
      <c r="V4" s="374" t="s">
        <v>624</v>
      </c>
      <c r="W4" s="1760"/>
      <c r="X4" s="73" t="s">
        <v>642</v>
      </c>
      <c r="Y4" s="1761"/>
      <c r="Z4" s="1761"/>
      <c r="AA4" s="1761"/>
      <c r="AB4" s="74"/>
    </row>
    <row r="5" spans="1:29" ht="12.75" customHeight="1" x14ac:dyDescent="0.2">
      <c r="A5" s="750"/>
      <c r="B5" s="749" t="s">
        <v>1081</v>
      </c>
      <c r="C5" s="146" t="s">
        <v>15</v>
      </c>
      <c r="D5" s="146" t="s">
        <v>16</v>
      </c>
      <c r="E5" s="146" t="s">
        <v>17</v>
      </c>
      <c r="F5" s="147">
        <v>35</v>
      </c>
      <c r="G5" s="146" t="s">
        <v>18</v>
      </c>
      <c r="H5" s="146"/>
      <c r="I5" s="146"/>
      <c r="J5" s="146"/>
      <c r="K5" s="146" t="s">
        <v>19</v>
      </c>
      <c r="L5" s="146"/>
      <c r="M5" s="146" t="s">
        <v>20</v>
      </c>
      <c r="N5" s="146"/>
      <c r="O5" s="146"/>
      <c r="P5" s="146"/>
      <c r="Q5" s="146"/>
      <c r="R5" s="147">
        <v>85</v>
      </c>
      <c r="S5" s="146" t="s">
        <v>21</v>
      </c>
      <c r="T5" s="146"/>
      <c r="U5" s="146" t="s">
        <v>22</v>
      </c>
      <c r="V5" s="146"/>
      <c r="W5" s="165" t="s">
        <v>3</v>
      </c>
      <c r="X5" s="100">
        <v>98</v>
      </c>
      <c r="Y5" s="148">
        <v>99</v>
      </c>
      <c r="Z5" s="100"/>
      <c r="AA5" s="73"/>
      <c r="AB5" s="74"/>
    </row>
    <row r="6" spans="1:29" x14ac:dyDescent="0.2">
      <c r="A6" s="1762" t="s">
        <v>4</v>
      </c>
      <c r="B6" s="377" t="s">
        <v>140</v>
      </c>
      <c r="C6" s="170">
        <f>'PSUT_Data&amp;Method_2015'!H2</f>
        <v>13846587.983314097</v>
      </c>
      <c r="D6" s="174">
        <f>'PSUT_Data&amp;Method_2015'!H20</f>
        <v>22449.851322900999</v>
      </c>
      <c r="E6" s="174">
        <f>'PSUT_Data&amp;Method_2015'!H38</f>
        <v>24551.455500526612</v>
      </c>
      <c r="F6" s="174">
        <f>'PSUT_Data&amp;Method_2015'!H56</f>
        <v>368457.53750127146</v>
      </c>
      <c r="G6" s="174">
        <f>'PSUT_Data&amp;Method_2015'!H74</f>
        <v>53807.900497512441</v>
      </c>
      <c r="H6" s="174">
        <f>'PSUT_Data&amp;Method_2015'!H92</f>
        <v>0</v>
      </c>
      <c r="I6" s="174">
        <f>'PSUT_Data&amp;Method_2015'!H110</f>
        <v>0</v>
      </c>
      <c r="J6" s="174">
        <f>'PSUT_Data&amp;Method_2015'!H128</f>
        <v>0</v>
      </c>
      <c r="K6" s="174">
        <f>'PSUT_Data&amp;Method_2015'!H146</f>
        <v>0</v>
      </c>
      <c r="L6" s="174">
        <f>'PSUT_Data&amp;Method_2015'!H164</f>
        <v>0</v>
      </c>
      <c r="M6" s="174">
        <f>'PSUT_Data&amp;Method_2015'!H182</f>
        <v>0.06</v>
      </c>
      <c r="N6" s="174">
        <f>'PSUT_Data&amp;Method_2015'!H200</f>
        <v>0</v>
      </c>
      <c r="O6" s="174">
        <f>'PSUT_Data&amp;Method_2015'!H218</f>
        <v>0</v>
      </c>
      <c r="P6" s="174">
        <f>'PSUT_Data&amp;Method_2015'!H236</f>
        <v>0</v>
      </c>
      <c r="Q6" s="174">
        <f>'PSUT_Data&amp;Method_2015'!H254</f>
        <v>0</v>
      </c>
      <c r="R6" s="174">
        <f>'PSUT_Data&amp;Method_2015'!H272</f>
        <v>133.11539999999999</v>
      </c>
      <c r="S6" s="174">
        <f>'PSUT_Data&amp;Method_2015'!H290</f>
        <v>588.7795155737706</v>
      </c>
      <c r="T6" s="174">
        <f>'PSUT_Data&amp;Method_2015'!H308</f>
        <v>0</v>
      </c>
      <c r="U6" s="174">
        <f>'PSUT_Data&amp;Method_2015'!H326</f>
        <v>11.709600000000002</v>
      </c>
      <c r="V6" s="174">
        <f>'PSUT_Data&amp;Method_2015'!H344</f>
        <v>0</v>
      </c>
      <c r="W6" s="155">
        <f>SUM(C6:V6)</f>
        <v>14316588.392651882</v>
      </c>
      <c r="X6" s="174">
        <f>'PSUT_Data&amp;Method_2015'!H365</f>
        <v>41034.76146704804</v>
      </c>
      <c r="Y6" s="174">
        <f>'PSUT_Data&amp;Method_2015'!H383</f>
        <v>0</v>
      </c>
      <c r="Z6" s="160"/>
      <c r="AA6" s="158">
        <f>W6+X6+Y6</f>
        <v>14357623.154118931</v>
      </c>
      <c r="AB6" s="74"/>
    </row>
    <row r="7" spans="1:29" ht="12" customHeight="1" x14ac:dyDescent="0.2">
      <c r="A7" s="1763"/>
      <c r="B7" s="154" t="s">
        <v>23</v>
      </c>
      <c r="C7" s="167">
        <f>'PSUT_Data&amp;Method_2015'!H3</f>
        <v>13846587.983314097</v>
      </c>
      <c r="D7" s="171">
        <f>'PSUT_Data&amp;Method_2015'!H21</f>
        <v>22449.851322900999</v>
      </c>
      <c r="E7" s="171">
        <f>'PSUT_Data&amp;Method_2015'!H39</f>
        <v>24465.680500526611</v>
      </c>
      <c r="F7" s="171">
        <f>'PSUT_Data&amp;Method_2015'!H57</f>
        <v>368457.53750127146</v>
      </c>
      <c r="G7" s="171">
        <f>'PSUT_Data&amp;Method_2015'!H75</f>
        <v>3212.9128000000001</v>
      </c>
      <c r="H7" s="171">
        <f>'PSUT_Data&amp;Method_2015'!H93</f>
        <v>0</v>
      </c>
      <c r="I7" s="171">
        <f>'PSUT_Data&amp;Method_2015'!H111</f>
        <v>0</v>
      </c>
      <c r="J7" s="171">
        <f>'PSUT_Data&amp;Method_2015'!H129</f>
        <v>0</v>
      </c>
      <c r="K7" s="171">
        <f>'PSUT_Data&amp;Method_2015'!H147</f>
        <v>0</v>
      </c>
      <c r="L7" s="171">
        <f>'PSUT_Data&amp;Method_2015'!H165</f>
        <v>0</v>
      </c>
      <c r="M7" s="171">
        <f>'PSUT_Data&amp;Method_2015'!H183</f>
        <v>0.06</v>
      </c>
      <c r="N7" s="171">
        <f>'PSUT_Data&amp;Method_2015'!H201</f>
        <v>0</v>
      </c>
      <c r="O7" s="171">
        <f>'PSUT_Data&amp;Method_2015'!H219</f>
        <v>0</v>
      </c>
      <c r="P7" s="171">
        <f>'PSUT_Data&amp;Method_2015'!H237</f>
        <v>0</v>
      </c>
      <c r="Q7" s="171">
        <f>'PSUT_Data&amp;Method_2015'!H255</f>
        <v>0</v>
      </c>
      <c r="R7" s="171">
        <f>'PSUT_Data&amp;Method_2015'!H273</f>
        <v>133.11539999999999</v>
      </c>
      <c r="S7" s="171">
        <f>'PSUT_Data&amp;Method_2015'!H291</f>
        <v>588.7795155737706</v>
      </c>
      <c r="T7" s="171">
        <f>'PSUT_Data&amp;Method_2015'!H309</f>
        <v>0</v>
      </c>
      <c r="U7" s="171">
        <f>'PSUT_Data&amp;Method_2015'!H327</f>
        <v>11.709600000000002</v>
      </c>
      <c r="V7" s="171">
        <f>'PSUT_Data&amp;Method_2015'!H345</f>
        <v>0</v>
      </c>
      <c r="W7" s="142">
        <f t="shared" ref="W7:W23" si="0">SUM(C7:V7)</f>
        <v>14265907.629954368</v>
      </c>
      <c r="X7" s="171">
        <f>'PSUT_Data&amp;Method_2015'!H366</f>
        <v>41034.76146704804</v>
      </c>
      <c r="Y7" s="171">
        <f>'PSUT_Data&amp;Method_2015'!H384</f>
        <v>0</v>
      </c>
      <c r="Z7" s="76"/>
      <c r="AA7" s="143">
        <f t="shared" ref="AA7:AA23" si="1">W7+X7+Y7</f>
        <v>14306942.391421417</v>
      </c>
      <c r="AB7" s="74"/>
      <c r="AC7" s="75"/>
    </row>
    <row r="8" spans="1:29" ht="12" customHeight="1" x14ac:dyDescent="0.2">
      <c r="A8" s="1763"/>
      <c r="B8" s="150" t="s">
        <v>24</v>
      </c>
      <c r="C8" s="168">
        <f>'PSUT_Data&amp;Method_2015'!H4</f>
        <v>0</v>
      </c>
      <c r="D8" s="172">
        <f>'PSUT_Data&amp;Method_2015'!H22</f>
        <v>0</v>
      </c>
      <c r="E8" s="172">
        <f>'PSUT_Data&amp;Method_2015'!H40</f>
        <v>85.774999999999991</v>
      </c>
      <c r="F8" s="172">
        <f>'PSUT_Data&amp;Method_2015'!H58</f>
        <v>0</v>
      </c>
      <c r="G8" s="172">
        <f>'PSUT_Data&amp;Method_2015'!H76</f>
        <v>50594.987697512443</v>
      </c>
      <c r="H8" s="172">
        <f>'PSUT_Data&amp;Method_2015'!H94</f>
        <v>0</v>
      </c>
      <c r="I8" s="172">
        <f>'PSUT_Data&amp;Method_2015'!H112</f>
        <v>0</v>
      </c>
      <c r="J8" s="172">
        <f>'PSUT_Data&amp;Method_2015'!H130</f>
        <v>0</v>
      </c>
      <c r="K8" s="172">
        <f>'PSUT_Data&amp;Method_2015'!H148</f>
        <v>0</v>
      </c>
      <c r="L8" s="172">
        <f>'PSUT_Data&amp;Method_2015'!H166</f>
        <v>0</v>
      </c>
      <c r="M8" s="172">
        <f>'PSUT_Data&amp;Method_2015'!H184</f>
        <v>0</v>
      </c>
      <c r="N8" s="172">
        <f>'PSUT_Data&amp;Method_2015'!H202</f>
        <v>0</v>
      </c>
      <c r="O8" s="172">
        <f>'PSUT_Data&amp;Method_2015'!H220</f>
        <v>0</v>
      </c>
      <c r="P8" s="172">
        <f>'PSUT_Data&amp;Method_2015'!H238</f>
        <v>0</v>
      </c>
      <c r="Q8" s="172">
        <f>'PSUT_Data&amp;Method_2015'!H256</f>
        <v>0</v>
      </c>
      <c r="R8" s="172">
        <f>'PSUT_Data&amp;Method_2015'!H274</f>
        <v>0</v>
      </c>
      <c r="S8" s="172">
        <f>'PSUT_Data&amp;Method_2015'!H292</f>
        <v>0</v>
      </c>
      <c r="T8" s="172">
        <f>'PSUT_Data&amp;Method_2015'!H310</f>
        <v>0</v>
      </c>
      <c r="U8" s="172">
        <f>'PSUT_Data&amp;Method_2015'!H328</f>
        <v>0</v>
      </c>
      <c r="V8" s="172">
        <f>'PSUT_Data&amp;Method_2015'!H346</f>
        <v>0</v>
      </c>
      <c r="W8" s="149">
        <f t="shared" si="0"/>
        <v>50680.762697512444</v>
      </c>
      <c r="X8" s="172">
        <f>'PSUT_Data&amp;Method_2015'!H367</f>
        <v>0</v>
      </c>
      <c r="Y8" s="172">
        <f>'PSUT_Data&amp;Method_2015'!H385</f>
        <v>0</v>
      </c>
      <c r="Z8" s="76"/>
      <c r="AA8" s="143">
        <f t="shared" si="1"/>
        <v>50680.762697512444</v>
      </c>
      <c r="AB8" s="74"/>
      <c r="AC8" s="75"/>
    </row>
    <row r="9" spans="1:29" ht="12" customHeight="1" x14ac:dyDescent="0.2">
      <c r="A9" s="1763"/>
      <c r="B9" s="377" t="s">
        <v>141</v>
      </c>
      <c r="C9" s="170">
        <f>'PSUT_Data&amp;Method_2015'!H5</f>
        <v>13846587.983314097</v>
      </c>
      <c r="D9" s="174">
        <f>'PSUT_Data&amp;Method_2015'!H23</f>
        <v>22449.851322900999</v>
      </c>
      <c r="E9" s="174">
        <f>'PSUT_Data&amp;Method_2015'!H41</f>
        <v>24551.455500526612</v>
      </c>
      <c r="F9" s="174">
        <f>'PSUT_Data&amp;Method_2015'!H59</f>
        <v>368457.53750127146</v>
      </c>
      <c r="G9" s="174">
        <f>'PSUT_Data&amp;Method_2015'!H77</f>
        <v>53807.900497512448</v>
      </c>
      <c r="H9" s="174">
        <f>'PSUT_Data&amp;Method_2015'!H95</f>
        <v>0</v>
      </c>
      <c r="I9" s="174">
        <f>'PSUT_Data&amp;Method_2015'!H113</f>
        <v>0</v>
      </c>
      <c r="J9" s="174">
        <f>'PSUT_Data&amp;Method_2015'!H131</f>
        <v>0</v>
      </c>
      <c r="K9" s="174">
        <f>'PSUT_Data&amp;Method_2015'!H149</f>
        <v>0</v>
      </c>
      <c r="L9" s="174">
        <f>'PSUT_Data&amp;Method_2015'!H167</f>
        <v>0</v>
      </c>
      <c r="M9" s="174">
        <f>'PSUT_Data&amp;Method_2015'!H185</f>
        <v>0.06</v>
      </c>
      <c r="N9" s="174">
        <f>'PSUT_Data&amp;Method_2015'!H203</f>
        <v>0</v>
      </c>
      <c r="O9" s="174">
        <f>'PSUT_Data&amp;Method_2015'!H221</f>
        <v>0</v>
      </c>
      <c r="P9" s="174">
        <f>'PSUT_Data&amp;Method_2015'!H239</f>
        <v>0</v>
      </c>
      <c r="Q9" s="174">
        <f>'PSUT_Data&amp;Method_2015'!H257</f>
        <v>0</v>
      </c>
      <c r="R9" s="174">
        <f>'PSUT_Data&amp;Method_2015'!H275</f>
        <v>133.11539999999999</v>
      </c>
      <c r="S9" s="174">
        <f>'PSUT_Data&amp;Method_2015'!H293</f>
        <v>588.7795155737706</v>
      </c>
      <c r="T9" s="174">
        <f>'PSUT_Data&amp;Method_2015'!H311</f>
        <v>0</v>
      </c>
      <c r="U9" s="174">
        <f>'PSUT_Data&amp;Method_2015'!H329</f>
        <v>11.709600000000002</v>
      </c>
      <c r="V9" s="174">
        <f>'PSUT_Data&amp;Method_2015'!H347</f>
        <v>0</v>
      </c>
      <c r="W9" s="155">
        <f t="shared" si="0"/>
        <v>14316588.392651882</v>
      </c>
      <c r="X9" s="174">
        <f>'PSUT_Data&amp;Method_2015'!H368</f>
        <v>41034.76146704804</v>
      </c>
      <c r="Y9" s="174">
        <f>'PSUT_Data&amp;Method_2015'!H386</f>
        <v>0</v>
      </c>
      <c r="Z9" s="76"/>
      <c r="AA9" s="158">
        <f t="shared" si="1"/>
        <v>14357623.154118931</v>
      </c>
      <c r="AB9" s="74"/>
      <c r="AC9" s="75"/>
    </row>
    <row r="10" spans="1:29" ht="12" customHeight="1" x14ac:dyDescent="0.2">
      <c r="A10" s="1763"/>
      <c r="B10" s="378" t="s">
        <v>25</v>
      </c>
      <c r="C10" s="169">
        <f>'PSUT_Data&amp;Method_2015'!H6</f>
        <v>13845780.983314097</v>
      </c>
      <c r="D10" s="173">
        <f>'PSUT_Data&amp;Method_2015'!H24</f>
        <v>1090.051322901</v>
      </c>
      <c r="E10" s="173">
        <f>'PSUT_Data&amp;Method_2015'!H42</f>
        <v>24523.255500526611</v>
      </c>
      <c r="F10" s="173">
        <f>'PSUT_Data&amp;Method_2015'!H60</f>
        <v>368457.53750127146</v>
      </c>
      <c r="G10" s="173">
        <f>'PSUT_Data&amp;Method_2015'!H78</f>
        <v>53807.900497512448</v>
      </c>
      <c r="H10" s="173">
        <f>'PSUT_Data&amp;Method_2015'!H96</f>
        <v>0</v>
      </c>
      <c r="I10" s="173">
        <f>'PSUT_Data&amp;Method_2015'!H114</f>
        <v>0</v>
      </c>
      <c r="J10" s="173">
        <f>'PSUT_Data&amp;Method_2015'!H132</f>
        <v>0</v>
      </c>
      <c r="K10" s="173">
        <f>'PSUT_Data&amp;Method_2015'!H150</f>
        <v>0</v>
      </c>
      <c r="L10" s="173">
        <f>'PSUT_Data&amp;Method_2015'!H168</f>
        <v>0</v>
      </c>
      <c r="M10" s="173">
        <f>'PSUT_Data&amp;Method_2015'!H186</f>
        <v>0</v>
      </c>
      <c r="N10" s="173">
        <f>'PSUT_Data&amp;Method_2015'!H204</f>
        <v>0</v>
      </c>
      <c r="O10" s="173">
        <f>'PSUT_Data&amp;Method_2015'!H222</f>
        <v>0</v>
      </c>
      <c r="P10" s="173">
        <f>'PSUT_Data&amp;Method_2015'!H240</f>
        <v>0</v>
      </c>
      <c r="Q10" s="173">
        <f>'PSUT_Data&amp;Method_2015'!H258</f>
        <v>0</v>
      </c>
      <c r="R10" s="173">
        <f>'PSUT_Data&amp;Method_2015'!H276</f>
        <v>133.11539999999999</v>
      </c>
      <c r="S10" s="173">
        <f>'PSUT_Data&amp;Method_2015'!H294</f>
        <v>90.790815573770487</v>
      </c>
      <c r="T10" s="173">
        <f>'PSUT_Data&amp;Method_2015'!H312</f>
        <v>0</v>
      </c>
      <c r="U10" s="173">
        <f>'PSUT_Data&amp;Method_2015'!H330</f>
        <v>2.0736000000000003</v>
      </c>
      <c r="V10" s="173">
        <f>'PSUT_Data&amp;Method_2015'!H348</f>
        <v>0</v>
      </c>
      <c r="W10" s="82">
        <f t="shared" si="0"/>
        <v>14293885.707951883</v>
      </c>
      <c r="X10" s="173">
        <f>'PSUT_Data&amp;Method_2015'!H369</f>
        <v>40484.76146704804</v>
      </c>
      <c r="Y10" s="173">
        <f>'PSUT_Data&amp;Method_2015'!H387</f>
        <v>0</v>
      </c>
      <c r="Z10" s="76"/>
      <c r="AA10" s="158">
        <f t="shared" si="1"/>
        <v>14334370.469418932</v>
      </c>
      <c r="AB10" s="74"/>
      <c r="AC10" s="75"/>
    </row>
    <row r="11" spans="1:29" ht="12" customHeight="1" x14ac:dyDescent="0.2">
      <c r="A11" s="1763"/>
      <c r="B11" s="379" t="s">
        <v>26</v>
      </c>
      <c r="C11" s="170">
        <f>'PSUT_Data&amp;Method_2015'!H7</f>
        <v>213589.91369091149</v>
      </c>
      <c r="D11" s="174">
        <f>'PSUT_Data&amp;Method_2015'!H25</f>
        <v>1026.2631929010001</v>
      </c>
      <c r="E11" s="174">
        <f>'PSUT_Data&amp;Method_2015'!H43</f>
        <v>15398.58474661503</v>
      </c>
      <c r="F11" s="174">
        <f>'PSUT_Data&amp;Method_2015'!H61</f>
        <v>368457.53750127146</v>
      </c>
      <c r="G11" s="174">
        <f>'PSUT_Data&amp;Method_2015'!H79</f>
        <v>41642.371781681206</v>
      </c>
      <c r="H11" s="174">
        <f>'PSUT_Data&amp;Method_2015'!H97</f>
        <v>0</v>
      </c>
      <c r="I11" s="174">
        <f>'PSUT_Data&amp;Method_2015'!H115</f>
        <v>0</v>
      </c>
      <c r="J11" s="174">
        <f>'PSUT_Data&amp;Method_2015'!H133</f>
        <v>0</v>
      </c>
      <c r="K11" s="174">
        <f>'PSUT_Data&amp;Method_2015'!H151</f>
        <v>0</v>
      </c>
      <c r="L11" s="174">
        <f>'PSUT_Data&amp;Method_2015'!H169</f>
        <v>0</v>
      </c>
      <c r="M11" s="174">
        <f>'PSUT_Data&amp;Method_2015'!H187</f>
        <v>0</v>
      </c>
      <c r="N11" s="174">
        <f>'PSUT_Data&amp;Method_2015'!H205</f>
        <v>0</v>
      </c>
      <c r="O11" s="174">
        <f>'PSUT_Data&amp;Method_2015'!H223</f>
        <v>0</v>
      </c>
      <c r="P11" s="174">
        <f>'PSUT_Data&amp;Method_2015'!H241</f>
        <v>0</v>
      </c>
      <c r="Q11" s="174">
        <f>'PSUT_Data&amp;Method_2015'!H259</f>
        <v>0</v>
      </c>
      <c r="R11" s="174">
        <f>'PSUT_Data&amp;Method_2015'!H277</f>
        <v>0</v>
      </c>
      <c r="S11" s="174">
        <f>'PSUT_Data&amp;Method_2015'!H295</f>
        <v>0</v>
      </c>
      <c r="T11" s="174">
        <f>'PSUT_Data&amp;Method_2015'!H313</f>
        <v>0</v>
      </c>
      <c r="U11" s="174">
        <f>'PSUT_Data&amp;Method_2015'!H331</f>
        <v>2.0736000000000003</v>
      </c>
      <c r="V11" s="174">
        <f>'PSUT_Data&amp;Method_2015'!H349</f>
        <v>0</v>
      </c>
      <c r="W11" s="138">
        <f t="shared" si="0"/>
        <v>640116.74451338022</v>
      </c>
      <c r="X11" s="174">
        <f>'PSUT_Data&amp;Method_2015'!H370</f>
        <v>11301.61393034826</v>
      </c>
      <c r="Y11" s="174">
        <f>'PSUT_Data&amp;Method_2015'!H388</f>
        <v>0</v>
      </c>
      <c r="Z11" s="76"/>
      <c r="AA11" s="143">
        <f t="shared" si="1"/>
        <v>651418.35844372853</v>
      </c>
      <c r="AB11" s="74"/>
      <c r="AC11" s="75"/>
    </row>
    <row r="12" spans="1:29" ht="12" customHeight="1" x14ac:dyDescent="0.2">
      <c r="A12" s="1763"/>
      <c r="B12" s="152" t="s">
        <v>27</v>
      </c>
      <c r="C12" s="167">
        <f>'PSUT_Data&amp;Method_2015'!H8</f>
        <v>14950.074495677238</v>
      </c>
      <c r="D12" s="171">
        <f>'PSUT_Data&amp;Method_2015'!H26</f>
        <v>0</v>
      </c>
      <c r="E12" s="171">
        <f>'PSUT_Data&amp;Method_2015'!H44</f>
        <v>0</v>
      </c>
      <c r="F12" s="171">
        <f>'PSUT_Data&amp;Method_2015'!H62</f>
        <v>0</v>
      </c>
      <c r="G12" s="171">
        <f>'PSUT_Data&amp;Method_2015'!H80</f>
        <v>0</v>
      </c>
      <c r="H12" s="171">
        <f>'PSUT_Data&amp;Method_2015'!H98</f>
        <v>0</v>
      </c>
      <c r="I12" s="171">
        <f>'PSUT_Data&amp;Method_2015'!H116</f>
        <v>0</v>
      </c>
      <c r="J12" s="171">
        <f>'PSUT_Data&amp;Method_2015'!H134</f>
        <v>0</v>
      </c>
      <c r="K12" s="171">
        <f>'PSUT_Data&amp;Method_2015'!H152</f>
        <v>0</v>
      </c>
      <c r="L12" s="171">
        <f>'PSUT_Data&amp;Method_2015'!H170</f>
        <v>0</v>
      </c>
      <c r="M12" s="171">
        <f>'PSUT_Data&amp;Method_2015'!H188</f>
        <v>0</v>
      </c>
      <c r="N12" s="171">
        <f>'PSUT_Data&amp;Method_2015'!H206</f>
        <v>0</v>
      </c>
      <c r="O12" s="171">
        <f>'PSUT_Data&amp;Method_2015'!H224</f>
        <v>0</v>
      </c>
      <c r="P12" s="171">
        <f>'PSUT_Data&amp;Method_2015'!H242</f>
        <v>0</v>
      </c>
      <c r="Q12" s="171">
        <f>'PSUT_Data&amp;Method_2015'!H260</f>
        <v>0</v>
      </c>
      <c r="R12" s="171">
        <f>'PSUT_Data&amp;Method_2015'!H278</f>
        <v>0</v>
      </c>
      <c r="S12" s="171">
        <f>'PSUT_Data&amp;Method_2015'!H296</f>
        <v>0</v>
      </c>
      <c r="T12" s="171">
        <f>'PSUT_Data&amp;Method_2015'!H314</f>
        <v>0</v>
      </c>
      <c r="U12" s="171">
        <f>'PSUT_Data&amp;Method_2015'!H332</f>
        <v>0</v>
      </c>
      <c r="V12" s="171">
        <f>'PSUT_Data&amp;Method_2015'!H350</f>
        <v>0</v>
      </c>
      <c r="W12" s="142">
        <f t="shared" si="0"/>
        <v>14950.074495677238</v>
      </c>
      <c r="X12" s="171">
        <f>'PSUT_Data&amp;Method_2015'!H371</f>
        <v>5040</v>
      </c>
      <c r="Y12" s="171">
        <f>'PSUT_Data&amp;Method_2015'!H389</f>
        <v>0</v>
      </c>
      <c r="Z12" s="76"/>
      <c r="AA12" s="143">
        <f t="shared" si="1"/>
        <v>19990.07449567724</v>
      </c>
      <c r="AB12" s="74"/>
      <c r="AC12" s="75"/>
    </row>
    <row r="13" spans="1:29" ht="12" customHeight="1" x14ac:dyDescent="0.2">
      <c r="A13" s="1763"/>
      <c r="B13" s="144" t="s">
        <v>28</v>
      </c>
      <c r="C13" s="169">
        <f>'PSUT_Data&amp;Method_2015'!H9</f>
        <v>123872.04582132566</v>
      </c>
      <c r="D13" s="173">
        <f>'PSUT_Data&amp;Method_2015'!H27</f>
        <v>1026.2631929010001</v>
      </c>
      <c r="E13" s="173">
        <f>'PSUT_Data&amp;Method_2015'!H45</f>
        <v>11830.333295634638</v>
      </c>
      <c r="F13" s="173">
        <f>'PSUT_Data&amp;Method_2015'!H63</f>
        <v>154885.04470588235</v>
      </c>
      <c r="G13" s="173">
        <f>'PSUT_Data&amp;Method_2015'!H81</f>
        <v>41642.371781681206</v>
      </c>
      <c r="H13" s="173">
        <f>'PSUT_Data&amp;Method_2015'!H99</f>
        <v>0</v>
      </c>
      <c r="I13" s="173">
        <f>'PSUT_Data&amp;Method_2015'!H117</f>
        <v>0</v>
      </c>
      <c r="J13" s="173">
        <f>'PSUT_Data&amp;Method_2015'!H135</f>
        <v>0</v>
      </c>
      <c r="K13" s="173">
        <f>'PSUT_Data&amp;Method_2015'!H153</f>
        <v>0</v>
      </c>
      <c r="L13" s="173">
        <f>'PSUT_Data&amp;Method_2015'!H171</f>
        <v>0</v>
      </c>
      <c r="M13" s="173">
        <f>'PSUT_Data&amp;Method_2015'!H189</f>
        <v>0</v>
      </c>
      <c r="N13" s="173">
        <f>'PSUT_Data&amp;Method_2015'!H207</f>
        <v>0</v>
      </c>
      <c r="O13" s="173">
        <f>'PSUT_Data&amp;Method_2015'!H225</f>
        <v>0</v>
      </c>
      <c r="P13" s="173">
        <f>'PSUT_Data&amp;Method_2015'!H243</f>
        <v>0</v>
      </c>
      <c r="Q13" s="173">
        <f>'PSUT_Data&amp;Method_2015'!H261</f>
        <v>0</v>
      </c>
      <c r="R13" s="173">
        <f>'PSUT_Data&amp;Method_2015'!H279</f>
        <v>0</v>
      </c>
      <c r="S13" s="173">
        <f>'PSUT_Data&amp;Method_2015'!H297</f>
        <v>0</v>
      </c>
      <c r="T13" s="173">
        <f>'PSUT_Data&amp;Method_2015'!H315</f>
        <v>0</v>
      </c>
      <c r="U13" s="173">
        <f>'PSUT_Data&amp;Method_2015'!H333</f>
        <v>2.0736000000000003</v>
      </c>
      <c r="V13" s="173">
        <f>'PSUT_Data&amp;Method_2015'!H351</f>
        <v>0</v>
      </c>
      <c r="W13" s="140">
        <f t="shared" si="0"/>
        <v>333258.13239742484</v>
      </c>
      <c r="X13" s="173">
        <f>'PSUT_Data&amp;Method_2015'!H372</f>
        <v>5116</v>
      </c>
      <c r="Y13" s="173">
        <f>'PSUT_Data&amp;Method_2015'!H390</f>
        <v>0</v>
      </c>
      <c r="Z13" s="76"/>
      <c r="AA13" s="143">
        <f t="shared" si="1"/>
        <v>338374.13239742484</v>
      </c>
      <c r="AB13" s="74"/>
      <c r="AC13" s="75"/>
    </row>
    <row r="14" spans="1:29" ht="12" customHeight="1" x14ac:dyDescent="0.2">
      <c r="A14" s="1763"/>
      <c r="B14" s="144" t="s">
        <v>29</v>
      </c>
      <c r="C14" s="169">
        <f>'PSUT_Data&amp;Method_2015'!H10</f>
        <v>53410.544094369659</v>
      </c>
      <c r="D14" s="173">
        <f>'PSUT_Data&amp;Method_2015'!H28</f>
        <v>0</v>
      </c>
      <c r="E14" s="173">
        <f>'PSUT_Data&amp;Method_2015'!H46</f>
        <v>0</v>
      </c>
      <c r="F14" s="173">
        <f>'PSUT_Data&amp;Method_2015'!H64</f>
        <v>213572.49279538909</v>
      </c>
      <c r="G14" s="173">
        <f>'PSUT_Data&amp;Method_2015'!H82</f>
        <v>0</v>
      </c>
      <c r="H14" s="173">
        <f>'PSUT_Data&amp;Method_2015'!H100</f>
        <v>0</v>
      </c>
      <c r="I14" s="173">
        <f>'PSUT_Data&amp;Method_2015'!H118</f>
        <v>0</v>
      </c>
      <c r="J14" s="173">
        <f>'PSUT_Data&amp;Method_2015'!H136</f>
        <v>0</v>
      </c>
      <c r="K14" s="173">
        <f>'PSUT_Data&amp;Method_2015'!H154</f>
        <v>0</v>
      </c>
      <c r="L14" s="173">
        <f>'PSUT_Data&amp;Method_2015'!H172</f>
        <v>0</v>
      </c>
      <c r="M14" s="173">
        <f>'PSUT_Data&amp;Method_2015'!H190</f>
        <v>0</v>
      </c>
      <c r="N14" s="173">
        <f>'PSUT_Data&amp;Method_2015'!H208</f>
        <v>0</v>
      </c>
      <c r="O14" s="173">
        <f>'PSUT_Data&amp;Method_2015'!H226</f>
        <v>0</v>
      </c>
      <c r="P14" s="173">
        <f>'PSUT_Data&amp;Method_2015'!H244</f>
        <v>0</v>
      </c>
      <c r="Q14" s="173">
        <f>'PSUT_Data&amp;Method_2015'!H262</f>
        <v>0</v>
      </c>
      <c r="R14" s="173">
        <f>'PSUT_Data&amp;Method_2015'!H280</f>
        <v>0</v>
      </c>
      <c r="S14" s="173">
        <f>'PSUT_Data&amp;Method_2015'!H298</f>
        <v>0</v>
      </c>
      <c r="T14" s="173">
        <f>'PSUT_Data&amp;Method_2015'!H316</f>
        <v>0</v>
      </c>
      <c r="U14" s="173">
        <f>'PSUT_Data&amp;Method_2015'!H334</f>
        <v>0</v>
      </c>
      <c r="V14" s="173">
        <f>'PSUT_Data&amp;Method_2015'!H352</f>
        <v>0</v>
      </c>
      <c r="W14" s="140">
        <f t="shared" si="0"/>
        <v>266983.03688975878</v>
      </c>
      <c r="X14" s="173">
        <f>'PSUT_Data&amp;Method_2015'!H373</f>
        <v>11.613930348258709</v>
      </c>
      <c r="Y14" s="173">
        <f>'PSUT_Data&amp;Method_2015'!H391</f>
        <v>0</v>
      </c>
      <c r="Z14" s="76"/>
      <c r="AA14" s="143">
        <f t="shared" si="1"/>
        <v>266994.65082010702</v>
      </c>
      <c r="AB14" s="74"/>
      <c r="AC14" s="75"/>
    </row>
    <row r="15" spans="1:29" ht="24" customHeight="1" x14ac:dyDescent="0.2">
      <c r="A15" s="1763"/>
      <c r="B15" s="145" t="s">
        <v>30</v>
      </c>
      <c r="C15" s="168">
        <f>'PSUT_Data&amp;Method_2015'!H11</f>
        <v>21357.249279538912</v>
      </c>
      <c r="D15" s="172">
        <f>'PSUT_Data&amp;Method_2015'!H29</f>
        <v>0</v>
      </c>
      <c r="E15" s="172">
        <f>'PSUT_Data&amp;Method_2015'!H47</f>
        <v>3568.2514509803923</v>
      </c>
      <c r="F15" s="172">
        <f>'PSUT_Data&amp;Method_2015'!H65</f>
        <v>0</v>
      </c>
      <c r="G15" s="172">
        <f>'PSUT_Data&amp;Method_2015'!H83</f>
        <v>0</v>
      </c>
      <c r="H15" s="172">
        <f>'PSUT_Data&amp;Method_2015'!H101</f>
        <v>0</v>
      </c>
      <c r="I15" s="172">
        <f>'PSUT_Data&amp;Method_2015'!H119</f>
        <v>0</v>
      </c>
      <c r="J15" s="172">
        <f>'PSUT_Data&amp;Method_2015'!H137</f>
        <v>0</v>
      </c>
      <c r="K15" s="172">
        <f>'PSUT_Data&amp;Method_2015'!H155</f>
        <v>0</v>
      </c>
      <c r="L15" s="172">
        <f>'PSUT_Data&amp;Method_2015'!H173</f>
        <v>0</v>
      </c>
      <c r="M15" s="172">
        <f>'PSUT_Data&amp;Method_2015'!H191</f>
        <v>0</v>
      </c>
      <c r="N15" s="172">
        <f>'PSUT_Data&amp;Method_2015'!H209</f>
        <v>0</v>
      </c>
      <c r="O15" s="172">
        <f>'PSUT_Data&amp;Method_2015'!H227</f>
        <v>0</v>
      </c>
      <c r="P15" s="172">
        <f>'PSUT_Data&amp;Method_2015'!H245</f>
        <v>0</v>
      </c>
      <c r="Q15" s="172">
        <f>'PSUT_Data&amp;Method_2015'!H263</f>
        <v>0</v>
      </c>
      <c r="R15" s="172">
        <f>'PSUT_Data&amp;Method_2015'!H281</f>
        <v>0</v>
      </c>
      <c r="S15" s="172">
        <f>'PSUT_Data&amp;Method_2015'!H299</f>
        <v>0</v>
      </c>
      <c r="T15" s="172">
        <f>'PSUT_Data&amp;Method_2015'!H317</f>
        <v>0</v>
      </c>
      <c r="U15" s="172">
        <f>'PSUT_Data&amp;Method_2015'!H335</f>
        <v>0</v>
      </c>
      <c r="V15" s="172">
        <f>'PSUT_Data&amp;Method_2015'!H353</f>
        <v>0</v>
      </c>
      <c r="W15" s="149">
        <f t="shared" si="0"/>
        <v>24925.500730519303</v>
      </c>
      <c r="X15" s="172">
        <f>'PSUT_Data&amp;Method_2015'!H374</f>
        <v>1134</v>
      </c>
      <c r="Y15" s="172">
        <f>'PSUT_Data&amp;Method_2015'!H392</f>
        <v>0</v>
      </c>
      <c r="Z15" s="76"/>
      <c r="AA15" s="143">
        <f t="shared" si="1"/>
        <v>26059.500730519303</v>
      </c>
      <c r="AB15" s="74"/>
      <c r="AC15" s="75"/>
    </row>
    <row r="16" spans="1:29" ht="12" customHeight="1" x14ac:dyDescent="0.2">
      <c r="A16" s="1763"/>
      <c r="B16" s="379" t="s">
        <v>31</v>
      </c>
      <c r="C16" s="170">
        <f>'PSUT_Data&amp;Method_2015'!H12</f>
        <v>13974.251190416202</v>
      </c>
      <c r="D16" s="174">
        <f>'PSUT_Data&amp;Method_2015'!H30</f>
        <v>63.788130000000002</v>
      </c>
      <c r="E16" s="174">
        <f>'PSUT_Data&amp;Method_2015'!H48</f>
        <v>9124.6707539115796</v>
      </c>
      <c r="F16" s="174">
        <f>'PSUT_Data&amp;Method_2015'!H66</f>
        <v>0</v>
      </c>
      <c r="G16" s="174">
        <f>'PSUT_Data&amp;Method_2015'!H84</f>
        <v>12165.528715831242</v>
      </c>
      <c r="H16" s="174">
        <f>'PSUT_Data&amp;Method_2015'!H102</f>
        <v>0</v>
      </c>
      <c r="I16" s="174">
        <f>'PSUT_Data&amp;Method_2015'!H120</f>
        <v>0</v>
      </c>
      <c r="J16" s="174">
        <f>'PSUT_Data&amp;Method_2015'!H138</f>
        <v>0</v>
      </c>
      <c r="K16" s="174">
        <f>'PSUT_Data&amp;Method_2015'!H156</f>
        <v>0</v>
      </c>
      <c r="L16" s="174">
        <f>'PSUT_Data&amp;Method_2015'!H174</f>
        <v>0</v>
      </c>
      <c r="M16" s="174">
        <f>'PSUT_Data&amp;Method_2015'!H192</f>
        <v>0</v>
      </c>
      <c r="N16" s="174">
        <f>'PSUT_Data&amp;Method_2015'!H210</f>
        <v>0</v>
      </c>
      <c r="O16" s="174">
        <f>'PSUT_Data&amp;Method_2015'!H228</f>
        <v>0</v>
      </c>
      <c r="P16" s="174">
        <f>'PSUT_Data&amp;Method_2015'!H246</f>
        <v>0</v>
      </c>
      <c r="Q16" s="174">
        <f>'PSUT_Data&amp;Method_2015'!H264</f>
        <v>0</v>
      </c>
      <c r="R16" s="174">
        <f>'PSUT_Data&amp;Method_2015'!H282</f>
        <v>133.11539999999999</v>
      </c>
      <c r="S16" s="174">
        <f>'PSUT_Data&amp;Method_2015'!H300</f>
        <v>90.790815573770487</v>
      </c>
      <c r="T16" s="174">
        <f>'PSUT_Data&amp;Method_2015'!H318</f>
        <v>0</v>
      </c>
      <c r="U16" s="174">
        <f>'PSUT_Data&amp;Method_2015'!H336</f>
        <v>0</v>
      </c>
      <c r="V16" s="174">
        <f>'PSUT_Data&amp;Method_2015'!H354</f>
        <v>0</v>
      </c>
      <c r="W16" s="138">
        <f t="shared" si="0"/>
        <v>35552.145005732797</v>
      </c>
      <c r="X16" s="174">
        <f>'PSUT_Data&amp;Method_2015'!H375</f>
        <v>29183.147536699777</v>
      </c>
      <c r="Y16" s="174">
        <f>'PSUT_Data&amp;Method_2015'!H393</f>
        <v>0</v>
      </c>
      <c r="Z16" s="76"/>
      <c r="AA16" s="143">
        <f t="shared" si="1"/>
        <v>64735.292542432573</v>
      </c>
      <c r="AB16" s="74"/>
      <c r="AC16" s="75"/>
    </row>
    <row r="17" spans="1:29" ht="12" customHeight="1" x14ac:dyDescent="0.2">
      <c r="A17" s="1763"/>
      <c r="B17" s="144" t="s">
        <v>461</v>
      </c>
      <c r="C17" s="382">
        <f>'PSUT_Data&amp;Method_2015'!H13</f>
        <v>4243.3496924999999</v>
      </c>
      <c r="D17" s="173">
        <f>'PSUT_Data&amp;Method_2015'!H31</f>
        <v>0</v>
      </c>
      <c r="E17" s="173">
        <f>'PSUT_Data&amp;Method_2015'!H49</f>
        <v>3448.1844292549031</v>
      </c>
      <c r="F17" s="173">
        <f>'PSUT_Data&amp;Method_2015'!H67</f>
        <v>0</v>
      </c>
      <c r="G17" s="173">
        <f>'PSUT_Data&amp;Method_2015'!H85</f>
        <v>0</v>
      </c>
      <c r="H17" s="1638">
        <f>'PSUT_Data&amp;Method_2015'!H103</f>
        <v>0</v>
      </c>
      <c r="I17" s="1638">
        <f>'PSUT_Data&amp;Method_2015'!H121</f>
        <v>0</v>
      </c>
      <c r="J17" s="1638">
        <f>'PSUT_Data&amp;Method_2015'!H139</f>
        <v>0</v>
      </c>
      <c r="K17" s="173">
        <f>'PSUT_Data&amp;Method_2015'!H157</f>
        <v>0</v>
      </c>
      <c r="L17" s="1638">
        <f>'PSUT_Data&amp;Method_2015'!H175</f>
        <v>0</v>
      </c>
      <c r="M17" s="173">
        <f>'PSUT_Data&amp;Method_2015'!H193</f>
        <v>0</v>
      </c>
      <c r="N17" s="1638">
        <f>'PSUT_Data&amp;Method_2015'!H211</f>
        <v>0</v>
      </c>
      <c r="O17" s="1638">
        <f>'PSUT_Data&amp;Method_2015'!H229</f>
        <v>0</v>
      </c>
      <c r="P17" s="1638">
        <f>'PSUT_Data&amp;Method_2015'!H247</f>
        <v>0</v>
      </c>
      <c r="Q17" s="1638">
        <f>'PSUT_Data&amp;Method_2015'!H265</f>
        <v>0</v>
      </c>
      <c r="R17" s="173">
        <f>'PSUT_Data&amp;Method_2015'!H283</f>
        <v>126.45962999999999</v>
      </c>
      <c r="S17" s="173">
        <f>'PSUT_Data&amp;Method_2015'!H301</f>
        <v>18.1581631147541</v>
      </c>
      <c r="T17" s="173">
        <f>'PSUT_Data&amp;Method_2015'!H319</f>
        <v>0</v>
      </c>
      <c r="U17" s="173">
        <f>'PSUT_Data&amp;Method_2015'!H337</f>
        <v>0</v>
      </c>
      <c r="V17" s="173">
        <f>'PSUT_Data&amp;Method_2015'!H355</f>
        <v>0</v>
      </c>
      <c r="W17" s="140">
        <f t="shared" si="0"/>
        <v>7836.151914869657</v>
      </c>
      <c r="X17" s="173">
        <f>'PSUT_Data&amp;Method_2015'!H376</f>
        <v>3882.8036421176503</v>
      </c>
      <c r="Y17" s="173">
        <f>'PSUT_Data&amp;Method_2015'!H394</f>
        <v>0</v>
      </c>
      <c r="Z17" s="76"/>
      <c r="AA17" s="143"/>
      <c r="AB17" s="74"/>
      <c r="AC17" s="75"/>
    </row>
    <row r="18" spans="1:29" ht="12" customHeight="1" x14ac:dyDescent="0.2">
      <c r="A18" s="1763"/>
      <c r="B18" s="144" t="s">
        <v>462</v>
      </c>
      <c r="C18" s="382">
        <f>'PSUT_Data&amp;Method_2015'!H14</f>
        <v>9730.9014979162021</v>
      </c>
      <c r="D18" s="173">
        <f>'PSUT_Data&amp;Method_2015'!H32</f>
        <v>63.788130000000002</v>
      </c>
      <c r="E18" s="173">
        <f>'PSUT_Data&amp;Method_2015'!H50</f>
        <v>5676.4863246566765</v>
      </c>
      <c r="F18" s="173">
        <f>'PSUT_Data&amp;Method_2015'!H68</f>
        <v>0</v>
      </c>
      <c r="G18" s="173">
        <f>'PSUT_Data&amp;Method_2015'!H86</f>
        <v>12165.528715831242</v>
      </c>
      <c r="H18" s="1638">
        <f>'PSUT_Data&amp;Method_2015'!H104</f>
        <v>0</v>
      </c>
      <c r="I18" s="1638">
        <f>'PSUT_Data&amp;Method_2015'!H122</f>
        <v>0</v>
      </c>
      <c r="J18" s="1638">
        <f>'PSUT_Data&amp;Method_2015'!H140</f>
        <v>0</v>
      </c>
      <c r="K18" s="173">
        <f>'PSUT_Data&amp;Method_2015'!H158</f>
        <v>0</v>
      </c>
      <c r="L18" s="1638">
        <f>'PSUT_Data&amp;Method_2015'!H176</f>
        <v>0</v>
      </c>
      <c r="M18" s="173">
        <f>'PSUT_Data&amp;Method_2015'!H194</f>
        <v>0</v>
      </c>
      <c r="N18" s="1638">
        <f>'PSUT_Data&amp;Method_2015'!H212</f>
        <v>0</v>
      </c>
      <c r="O18" s="1638">
        <f>'PSUT_Data&amp;Method_2015'!H230</f>
        <v>0</v>
      </c>
      <c r="P18" s="1638">
        <f>'PSUT_Data&amp;Method_2015'!H248</f>
        <v>0</v>
      </c>
      <c r="Q18" s="1638">
        <f>'PSUT_Data&amp;Method_2015'!H266</f>
        <v>0</v>
      </c>
      <c r="R18" s="173">
        <f>'PSUT_Data&amp;Method_2015'!H284</f>
        <v>6.6557700000000004</v>
      </c>
      <c r="S18" s="173">
        <f>'PSUT_Data&amp;Method_2015'!H302</f>
        <v>72.632652459016398</v>
      </c>
      <c r="T18" s="173">
        <f>'PSUT_Data&amp;Method_2015'!H320</f>
        <v>0</v>
      </c>
      <c r="U18" s="173">
        <f>'PSUT_Data&amp;Method_2015'!H338</f>
        <v>0</v>
      </c>
      <c r="V18" s="173">
        <f>'PSUT_Data&amp;Method_2015'!H356</f>
        <v>0</v>
      </c>
      <c r="W18" s="140">
        <f t="shared" si="0"/>
        <v>27715.993090863136</v>
      </c>
      <c r="X18" s="173">
        <f>'PSUT_Data&amp;Method_2015'!H377</f>
        <v>25300.343894582125</v>
      </c>
      <c r="Y18" s="173">
        <f>'PSUT_Data&amp;Method_2015'!H395</f>
        <v>0</v>
      </c>
      <c r="Z18" s="76"/>
      <c r="AA18" s="143"/>
      <c r="AB18" s="74"/>
      <c r="AC18" s="75"/>
    </row>
    <row r="19" spans="1:29" ht="12" customHeight="1" x14ac:dyDescent="0.2">
      <c r="A19" s="1763"/>
      <c r="B19" s="156" t="s">
        <v>32</v>
      </c>
      <c r="C19" s="170">
        <f>'PSUT_Data&amp;Method_2015'!H15</f>
        <v>13618216.818432769</v>
      </c>
      <c r="D19" s="174">
        <f>'PSUT_Data&amp;Method_2015'!H33</f>
        <v>0</v>
      </c>
      <c r="E19" s="174">
        <f>'PSUT_Data&amp;Method_2015'!H51</f>
        <v>0</v>
      </c>
      <c r="F19" s="174">
        <f>'PSUT_Data&amp;Method_2015'!H69</f>
        <v>0</v>
      </c>
      <c r="G19" s="174">
        <f>'PSUT_Data&amp;Method_2015'!H87</f>
        <v>0</v>
      </c>
      <c r="H19" s="174">
        <f>'PSUT_Data&amp;Method_2015'!H105</f>
        <v>0</v>
      </c>
      <c r="I19" s="174">
        <f>'PSUT_Data&amp;Method_2015'!H123</f>
        <v>0</v>
      </c>
      <c r="J19" s="174">
        <f>'PSUT_Data&amp;Method_2015'!H141</f>
        <v>0</v>
      </c>
      <c r="K19" s="174">
        <f>'PSUT_Data&amp;Method_2015'!H159</f>
        <v>0</v>
      </c>
      <c r="L19" s="174">
        <f>'PSUT_Data&amp;Method_2015'!H177</f>
        <v>0</v>
      </c>
      <c r="M19" s="174">
        <f>'PSUT_Data&amp;Method_2015'!H195</f>
        <v>0</v>
      </c>
      <c r="N19" s="174">
        <f>'PSUT_Data&amp;Method_2015'!H213</f>
        <v>0</v>
      </c>
      <c r="O19" s="174">
        <f>'PSUT_Data&amp;Method_2015'!H231</f>
        <v>0</v>
      </c>
      <c r="P19" s="174">
        <f>'PSUT_Data&amp;Method_2015'!H249</f>
        <v>0</v>
      </c>
      <c r="Q19" s="174">
        <f>'PSUT_Data&amp;Method_2015'!H267</f>
        <v>0</v>
      </c>
      <c r="R19" s="174">
        <f>'PSUT_Data&amp;Method_2015'!H285</f>
        <v>0</v>
      </c>
      <c r="S19" s="174">
        <f>'PSUT_Data&amp;Method_2015'!H303</f>
        <v>0</v>
      </c>
      <c r="T19" s="174">
        <f>'PSUT_Data&amp;Method_2015'!H321</f>
        <v>0</v>
      </c>
      <c r="U19" s="174">
        <f>'PSUT_Data&amp;Method_2015'!H339</f>
        <v>0</v>
      </c>
      <c r="V19" s="174">
        <f>'PSUT_Data&amp;Method_2015'!H357</f>
        <v>0</v>
      </c>
      <c r="W19" s="138">
        <f t="shared" si="0"/>
        <v>13618216.818432769</v>
      </c>
      <c r="X19" s="174">
        <f>'PSUT_Data&amp;Method_2015'!H378</f>
        <v>0</v>
      </c>
      <c r="Y19" s="174">
        <f>'PSUT_Data&amp;Method_2015'!H396</f>
        <v>0</v>
      </c>
      <c r="Z19" s="76"/>
      <c r="AA19" s="143">
        <f t="shared" si="1"/>
        <v>13618216.818432769</v>
      </c>
      <c r="AB19" s="74"/>
      <c r="AC19" s="75"/>
    </row>
    <row r="20" spans="1:29" ht="12" customHeight="1" x14ac:dyDescent="0.2">
      <c r="A20" s="1763"/>
      <c r="B20" s="380" t="s">
        <v>33</v>
      </c>
      <c r="C20" s="167">
        <f>'PSUT_Data&amp;Method_2015'!H16</f>
        <v>807</v>
      </c>
      <c r="D20" s="171">
        <f>'PSUT_Data&amp;Method_2015'!H34</f>
        <v>21359.8</v>
      </c>
      <c r="E20" s="171">
        <f>'PSUT_Data&amp;Method_2015'!H52</f>
        <v>28.2</v>
      </c>
      <c r="F20" s="171">
        <f>'PSUT_Data&amp;Method_2015'!H70</f>
        <v>0</v>
      </c>
      <c r="G20" s="171">
        <f>'PSUT_Data&amp;Method_2015'!H88</f>
        <v>0</v>
      </c>
      <c r="H20" s="171">
        <f>'PSUT_Data&amp;Method_2015'!H106</f>
        <v>0</v>
      </c>
      <c r="I20" s="171">
        <f>'PSUT_Data&amp;Method_2015'!H124</f>
        <v>0</v>
      </c>
      <c r="J20" s="171">
        <f>'PSUT_Data&amp;Method_2015'!H142</f>
        <v>0</v>
      </c>
      <c r="K20" s="171">
        <f>'PSUT_Data&amp;Method_2015'!H160</f>
        <v>0</v>
      </c>
      <c r="L20" s="171">
        <f>'PSUT_Data&amp;Method_2015'!H178</f>
        <v>0</v>
      </c>
      <c r="M20" s="171">
        <f>'PSUT_Data&amp;Method_2015'!H196</f>
        <v>0.06</v>
      </c>
      <c r="N20" s="171">
        <f>'PSUT_Data&amp;Method_2015'!H214</f>
        <v>0</v>
      </c>
      <c r="O20" s="171">
        <f>'PSUT_Data&amp;Method_2015'!H232</f>
        <v>0</v>
      </c>
      <c r="P20" s="171">
        <f>'PSUT_Data&amp;Method_2015'!H250</f>
        <v>0</v>
      </c>
      <c r="Q20" s="171">
        <f>'PSUT_Data&amp;Method_2015'!H268</f>
        <v>0</v>
      </c>
      <c r="R20" s="171">
        <f>'PSUT_Data&amp;Method_2015'!H286</f>
        <v>0</v>
      </c>
      <c r="S20" s="171">
        <f>'PSUT_Data&amp;Method_2015'!H304</f>
        <v>497.98870000000005</v>
      </c>
      <c r="T20" s="171">
        <f>'PSUT_Data&amp;Method_2015'!H322</f>
        <v>0</v>
      </c>
      <c r="U20" s="171">
        <f>'PSUT_Data&amp;Method_2015'!H340</f>
        <v>9.636000000000001</v>
      </c>
      <c r="V20" s="171">
        <f>'PSUT_Data&amp;Method_2015'!H358</f>
        <v>0</v>
      </c>
      <c r="W20" s="155">
        <f t="shared" si="0"/>
        <v>22702.684700000002</v>
      </c>
      <c r="X20" s="171">
        <f>'PSUT_Data&amp;Method_2015'!H379</f>
        <v>550</v>
      </c>
      <c r="Y20" s="171">
        <f>'PSUT_Data&amp;Method_2015'!H397</f>
        <v>0</v>
      </c>
      <c r="Z20" s="76"/>
      <c r="AA20" s="158">
        <f t="shared" si="1"/>
        <v>23252.684700000002</v>
      </c>
      <c r="AB20" s="74"/>
      <c r="AC20" s="75"/>
    </row>
    <row r="21" spans="1:29" ht="22.5" customHeight="1" x14ac:dyDescent="0.2">
      <c r="A21" s="1763"/>
      <c r="B21" s="152" t="s">
        <v>34</v>
      </c>
      <c r="C21" s="167">
        <f>'PSUT_Data&amp;Method_2015'!H17</f>
        <v>807</v>
      </c>
      <c r="D21" s="171">
        <f>'PSUT_Data&amp;Method_2015'!H35</f>
        <v>21359.8</v>
      </c>
      <c r="E21" s="171">
        <f>'PSUT_Data&amp;Method_2015'!H53</f>
        <v>28.2</v>
      </c>
      <c r="F21" s="171">
        <f>'PSUT_Data&amp;Method_2015'!H71</f>
        <v>0</v>
      </c>
      <c r="G21" s="171">
        <f>'PSUT_Data&amp;Method_2015'!H89</f>
        <v>0</v>
      </c>
      <c r="H21" s="171">
        <f>'PSUT_Data&amp;Method_2015'!H107</f>
        <v>0</v>
      </c>
      <c r="I21" s="171">
        <f>'PSUT_Data&amp;Method_2015'!H125</f>
        <v>0</v>
      </c>
      <c r="J21" s="171">
        <f>'PSUT_Data&amp;Method_2015'!H143</f>
        <v>0</v>
      </c>
      <c r="K21" s="171">
        <f>'PSUT_Data&amp;Method_2015'!H161</f>
        <v>0</v>
      </c>
      <c r="L21" s="171">
        <f>'PSUT_Data&amp;Method_2015'!H179</f>
        <v>0</v>
      </c>
      <c r="M21" s="171">
        <f>'PSUT_Data&amp;Method_2015'!H197</f>
        <v>0.06</v>
      </c>
      <c r="N21" s="171">
        <f>'PSUT_Data&amp;Method_2015'!H215</f>
        <v>0</v>
      </c>
      <c r="O21" s="171">
        <f>'PSUT_Data&amp;Method_2015'!H233</f>
        <v>0</v>
      </c>
      <c r="P21" s="171">
        <f>'PSUT_Data&amp;Method_2015'!H251</f>
        <v>0</v>
      </c>
      <c r="Q21" s="171">
        <f>'PSUT_Data&amp;Method_2015'!H269</f>
        <v>0</v>
      </c>
      <c r="R21" s="171">
        <f>'PSUT_Data&amp;Method_2015'!H287</f>
        <v>0</v>
      </c>
      <c r="S21" s="171">
        <f>'PSUT_Data&amp;Method_2015'!H305</f>
        <v>497.98870000000005</v>
      </c>
      <c r="T21" s="171">
        <f>'PSUT_Data&amp;Method_2015'!H323</f>
        <v>0</v>
      </c>
      <c r="U21" s="171">
        <f>'PSUT_Data&amp;Method_2015'!H341</f>
        <v>9.636000000000001</v>
      </c>
      <c r="V21" s="171">
        <f>'PSUT_Data&amp;Method_2015'!H359</f>
        <v>0</v>
      </c>
      <c r="W21" s="142">
        <f t="shared" si="0"/>
        <v>22702.684700000002</v>
      </c>
      <c r="X21" s="171">
        <f>'PSUT_Data&amp;Method_2015'!H380</f>
        <v>550</v>
      </c>
      <c r="Y21" s="171">
        <f>'PSUT_Data&amp;Method_2015'!H398</f>
        <v>0</v>
      </c>
      <c r="Z21" s="76"/>
      <c r="AA21" s="143">
        <f t="shared" si="1"/>
        <v>23252.684700000002</v>
      </c>
      <c r="AB21" s="74"/>
    </row>
    <row r="22" spans="1:29" ht="12" customHeight="1" x14ac:dyDescent="0.2">
      <c r="A22" s="1764"/>
      <c r="B22" s="145" t="s">
        <v>35</v>
      </c>
      <c r="C22" s="168">
        <f>'PSUT_Data&amp;Method_2015'!H18</f>
        <v>0</v>
      </c>
      <c r="D22" s="172">
        <f>'PSUT_Data&amp;Method_2015'!H36</f>
        <v>0</v>
      </c>
      <c r="E22" s="172">
        <f>'PSUT_Data&amp;Method_2015'!H54</f>
        <v>0</v>
      </c>
      <c r="F22" s="172">
        <f>'PSUT_Data&amp;Method_2015'!H72</f>
        <v>0</v>
      </c>
      <c r="G22" s="172">
        <f>'PSUT_Data&amp;Method_2015'!H90</f>
        <v>0</v>
      </c>
      <c r="H22" s="172">
        <f>'PSUT_Data&amp;Method_2015'!H108</f>
        <v>0</v>
      </c>
      <c r="I22" s="172">
        <f>'PSUT_Data&amp;Method_2015'!H126</f>
        <v>0</v>
      </c>
      <c r="J22" s="172">
        <f>'PSUT_Data&amp;Method_2015'!H144</f>
        <v>0</v>
      </c>
      <c r="K22" s="172">
        <f>'PSUT_Data&amp;Method_2015'!H162</f>
        <v>0</v>
      </c>
      <c r="L22" s="172">
        <f>'PSUT_Data&amp;Method_2015'!H180</f>
        <v>0</v>
      </c>
      <c r="M22" s="172">
        <f>'PSUT_Data&amp;Method_2015'!H198</f>
        <v>0</v>
      </c>
      <c r="N22" s="172">
        <f>'PSUT_Data&amp;Method_2015'!H216</f>
        <v>0</v>
      </c>
      <c r="O22" s="172">
        <f>'PSUT_Data&amp;Method_2015'!H234</f>
        <v>0</v>
      </c>
      <c r="P22" s="172">
        <f>'PSUT_Data&amp;Method_2015'!H252</f>
        <v>0</v>
      </c>
      <c r="Q22" s="172">
        <f>'PSUT_Data&amp;Method_2015'!H270</f>
        <v>0</v>
      </c>
      <c r="R22" s="172">
        <f>'PSUT_Data&amp;Method_2015'!H288</f>
        <v>0</v>
      </c>
      <c r="S22" s="172">
        <f>'PSUT_Data&amp;Method_2015'!H306</f>
        <v>0</v>
      </c>
      <c r="T22" s="172">
        <f>'PSUT_Data&amp;Method_2015'!H324</f>
        <v>0</v>
      </c>
      <c r="U22" s="172">
        <f>'PSUT_Data&amp;Method_2015'!H342</f>
        <v>0</v>
      </c>
      <c r="V22" s="172">
        <f>'PSUT_Data&amp;Method_2015'!H360</f>
        <v>0</v>
      </c>
      <c r="W22" s="149">
        <f t="shared" si="0"/>
        <v>0</v>
      </c>
      <c r="X22" s="172">
        <f>'PSUT_Data&amp;Method_2015'!H381</f>
        <v>0</v>
      </c>
      <c r="Y22" s="172">
        <f>'PSUT_Data&amp;Method_2015'!H399</f>
        <v>0</v>
      </c>
      <c r="Z22" s="76"/>
      <c r="AA22" s="143">
        <f t="shared" si="1"/>
        <v>0</v>
      </c>
      <c r="AB22" s="74"/>
    </row>
    <row r="23" spans="1:29" ht="24.75" customHeight="1" x14ac:dyDescent="0.2">
      <c r="A23" s="77" t="s">
        <v>5</v>
      </c>
      <c r="B23" s="78" t="s">
        <v>36</v>
      </c>
      <c r="C23" s="169">
        <f>'PSUT_Data&amp;Method_2015'!H19</f>
        <v>90250</v>
      </c>
      <c r="D23" s="172">
        <f>'PSUT_Data&amp;Method_2015'!H37</f>
        <v>0</v>
      </c>
      <c r="E23" s="172">
        <f>'PSUT_Data&amp;Method_2015'!H55</f>
        <v>642763.78523033194</v>
      </c>
      <c r="F23" s="172">
        <f>'PSUT_Data&amp;Method_2015'!H73</f>
        <v>0</v>
      </c>
      <c r="G23" s="172">
        <f>'PSUT_Data&amp;Method_2015'!H91</f>
        <v>0</v>
      </c>
      <c r="H23" s="172">
        <f>'PSUT_Data&amp;Method_2015'!H109</f>
        <v>0</v>
      </c>
      <c r="I23" s="172">
        <f>'PSUT_Data&amp;Method_2015'!H127</f>
        <v>0</v>
      </c>
      <c r="J23" s="172">
        <f>'PSUT_Data&amp;Method_2015'!H145</f>
        <v>0</v>
      </c>
      <c r="K23" s="172">
        <f>'PSUT_Data&amp;Method_2015'!H163</f>
        <v>16672.61</v>
      </c>
      <c r="L23" s="172">
        <f>'PSUT_Data&amp;Method_2015'!H181</f>
        <v>0</v>
      </c>
      <c r="M23" s="172">
        <f>'PSUT_Data&amp;Method_2015'!H199</f>
        <v>76.030545405347283</v>
      </c>
      <c r="N23" s="172">
        <f>'PSUT_Data&amp;Method_2015'!H217</f>
        <v>0</v>
      </c>
      <c r="O23" s="172">
        <f>'PSUT_Data&amp;Method_2015'!H235</f>
        <v>0</v>
      </c>
      <c r="P23" s="172">
        <f>'PSUT_Data&amp;Method_2015'!H253</f>
        <v>0</v>
      </c>
      <c r="Q23" s="172">
        <f>'PSUT_Data&amp;Method_2015'!H271</f>
        <v>0</v>
      </c>
      <c r="R23" s="172">
        <f>'PSUT_Data&amp;Method_2015'!H289</f>
        <v>224372.33</v>
      </c>
      <c r="S23" s="172">
        <f>'PSUT_Data&amp;Method_2015'!H307</f>
        <v>3720.9427500000002</v>
      </c>
      <c r="T23" s="172">
        <f>'PSUT_Data&amp;Method_2015'!H325</f>
        <v>0</v>
      </c>
      <c r="U23" s="172">
        <f>'PSUT_Data&amp;Method_2015'!H343</f>
        <v>131.69367175295594</v>
      </c>
      <c r="V23" s="172">
        <f>'PSUT_Data&amp;Method_2015'!H361</f>
        <v>0</v>
      </c>
      <c r="W23" s="82">
        <f t="shared" si="0"/>
        <v>977987.3921974902</v>
      </c>
      <c r="X23" s="172">
        <f>'PSUT_Data&amp;Method_2015'!H382</f>
        <v>176061</v>
      </c>
      <c r="Y23" s="172">
        <f>'PSUT_Data&amp;Method_2015'!H400</f>
        <v>6514.5680899999998</v>
      </c>
      <c r="Z23" s="163"/>
      <c r="AA23" s="158">
        <f t="shared" si="1"/>
        <v>1160562.9602874902</v>
      </c>
      <c r="AB23" s="74"/>
    </row>
    <row r="24" spans="1:29" ht="12" customHeight="1" x14ac:dyDescent="0.2">
      <c r="A24" s="1774" t="s">
        <v>142</v>
      </c>
      <c r="B24" s="1775"/>
      <c r="C24" s="137">
        <f>SUM(C6,C23)</f>
        <v>13936837.983314097</v>
      </c>
      <c r="D24" s="137">
        <f t="shared" ref="D24:V24" si="2">SUM(D6,D23)</f>
        <v>22449.851322900999</v>
      </c>
      <c r="E24" s="137">
        <f t="shared" si="2"/>
        <v>667315.24073085852</v>
      </c>
      <c r="F24" s="137">
        <f t="shared" si="2"/>
        <v>368457.53750127146</v>
      </c>
      <c r="G24" s="137">
        <f>SUM(G6,G23)</f>
        <v>53807.900497512441</v>
      </c>
      <c r="H24" s="137">
        <f>SUM(H6,H23)</f>
        <v>0</v>
      </c>
      <c r="I24" s="137">
        <f t="shared" si="2"/>
        <v>0</v>
      </c>
      <c r="J24" s="137">
        <f t="shared" si="2"/>
        <v>0</v>
      </c>
      <c r="K24" s="137">
        <f t="shared" si="2"/>
        <v>16672.61</v>
      </c>
      <c r="L24" s="137">
        <f t="shared" si="2"/>
        <v>0</v>
      </c>
      <c r="M24" s="137">
        <f t="shared" si="2"/>
        <v>76.090545405347285</v>
      </c>
      <c r="N24" s="137">
        <f t="shared" si="2"/>
        <v>0</v>
      </c>
      <c r="O24" s="137">
        <f>SUM(O6,O23)</f>
        <v>0</v>
      </c>
      <c r="P24" s="137">
        <f t="shared" si="2"/>
        <v>0</v>
      </c>
      <c r="Q24" s="137">
        <f t="shared" si="2"/>
        <v>0</v>
      </c>
      <c r="R24" s="137">
        <f t="shared" si="2"/>
        <v>224505.4454</v>
      </c>
      <c r="S24" s="137">
        <f t="shared" si="2"/>
        <v>4309.7222655737705</v>
      </c>
      <c r="T24" s="137">
        <f t="shared" si="2"/>
        <v>0</v>
      </c>
      <c r="U24" s="137">
        <f t="shared" si="2"/>
        <v>143.40327175295593</v>
      </c>
      <c r="V24" s="137">
        <f t="shared" si="2"/>
        <v>0</v>
      </c>
      <c r="W24" s="137">
        <f>SUM(C24:V24)</f>
        <v>15294575.784849372</v>
      </c>
      <c r="X24" s="137">
        <f>SUM(X6,X23)</f>
        <v>217095.76146704803</v>
      </c>
      <c r="Y24" s="137">
        <f>SUM(Y6,Y23)</f>
        <v>6514.5680899999998</v>
      </c>
      <c r="Z24" s="164"/>
      <c r="AA24" s="157">
        <f>W24+X24+Y24</f>
        <v>15518186.11440642</v>
      </c>
      <c r="AB24" s="74"/>
    </row>
    <row r="25" spans="1:29" customFormat="1" ht="5.25" customHeight="1" x14ac:dyDescent="0.25"/>
    <row r="26" spans="1:29" ht="22.5" customHeight="1" x14ac:dyDescent="0.2">
      <c r="A26" s="1776" t="s">
        <v>37</v>
      </c>
      <c r="B26" s="1776"/>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row>
    <row r="27" spans="1:29" ht="22.5" customHeight="1" x14ac:dyDescent="0.2">
      <c r="A27" s="1777" t="s">
        <v>143</v>
      </c>
      <c r="B27" s="1778"/>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row>
    <row r="28" spans="1:29" ht="31.5" customHeight="1" x14ac:dyDescent="0.2">
      <c r="A28" s="1779" t="s">
        <v>144</v>
      </c>
      <c r="B28" s="1779"/>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row>
    <row r="29" spans="1:29" customFormat="1" ht="14.25" customHeight="1" x14ac:dyDescent="0.25">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row>
    <row r="30" spans="1:29" x14ac:dyDescent="0.2">
      <c r="A30" s="1756" t="s">
        <v>38</v>
      </c>
      <c r="B30" s="1756"/>
      <c r="C30" s="1756"/>
      <c r="D30" s="1756"/>
      <c r="E30" s="1756"/>
      <c r="F30" s="1756"/>
      <c r="G30" s="1756"/>
      <c r="H30" s="1756"/>
      <c r="I30" s="1756"/>
      <c r="J30" s="1756"/>
      <c r="K30" s="1756"/>
      <c r="L30" s="1756"/>
      <c r="M30" s="1756"/>
      <c r="N30" s="1756"/>
      <c r="O30" s="1756"/>
      <c r="P30" s="1756"/>
      <c r="Q30" s="1756"/>
      <c r="R30" s="1756"/>
      <c r="S30" s="1756"/>
      <c r="T30" s="1756"/>
      <c r="U30" s="1756"/>
      <c r="V30" s="1756"/>
      <c r="W30" s="1756"/>
      <c r="X30" s="1756"/>
      <c r="Y30" s="1756"/>
      <c r="Z30" s="1756"/>
      <c r="AA30" s="1756"/>
      <c r="AB30" s="1756"/>
    </row>
    <row r="31" spans="1:29" x14ac:dyDescent="0.2">
      <c r="A31" s="1757" t="s">
        <v>577</v>
      </c>
      <c r="B31" s="1757"/>
      <c r="C31" s="1757"/>
      <c r="D31" s="1757"/>
      <c r="E31" s="1757"/>
      <c r="F31" s="1757"/>
      <c r="G31" s="1757"/>
      <c r="H31" s="1757"/>
      <c r="I31" s="1757"/>
      <c r="J31" s="1757"/>
      <c r="K31" s="1757"/>
      <c r="L31" s="1757"/>
      <c r="M31" s="1757"/>
      <c r="N31" s="1757"/>
      <c r="O31" s="1757"/>
      <c r="P31" s="1757"/>
      <c r="Q31" s="1757"/>
      <c r="R31" s="1757"/>
      <c r="S31" s="1757"/>
      <c r="T31" s="1757"/>
      <c r="U31" s="1757"/>
      <c r="V31" s="1757"/>
      <c r="W31" s="1757"/>
      <c r="X31" s="1757"/>
      <c r="Y31" s="1757"/>
      <c r="Z31" s="1757"/>
      <c r="AA31" s="1757"/>
      <c r="AB31" s="70"/>
    </row>
    <row r="32" spans="1:29" x14ac:dyDescent="0.2">
      <c r="A32" s="1752" t="s">
        <v>578</v>
      </c>
      <c r="B32" s="1765"/>
      <c r="C32" s="1769" t="s">
        <v>12</v>
      </c>
      <c r="D32" s="1770"/>
      <c r="E32" s="1770"/>
      <c r="F32" s="1770"/>
      <c r="G32" s="1770"/>
      <c r="H32" s="1770"/>
      <c r="I32" s="1770"/>
      <c r="J32" s="1770"/>
      <c r="K32" s="1770"/>
      <c r="L32" s="1770"/>
      <c r="M32" s="1770"/>
      <c r="N32" s="1770"/>
      <c r="O32" s="1770"/>
      <c r="P32" s="1770"/>
      <c r="Q32" s="1770"/>
      <c r="R32" s="1770"/>
      <c r="S32" s="1770"/>
      <c r="T32" s="1770"/>
      <c r="U32" s="1770"/>
      <c r="V32" s="1770"/>
      <c r="W32" s="1770"/>
      <c r="X32" s="1761" t="s">
        <v>642</v>
      </c>
      <c r="Y32" s="1771" t="s">
        <v>2</v>
      </c>
      <c r="Z32" s="1761" t="s">
        <v>13</v>
      </c>
      <c r="AA32" s="1773" t="s">
        <v>14</v>
      </c>
      <c r="AB32" s="79"/>
    </row>
    <row r="33" spans="1:28" ht="77.25" customHeight="1" x14ac:dyDescent="0.2">
      <c r="A33" s="1766"/>
      <c r="B33" s="1767"/>
      <c r="C33" s="71" t="s">
        <v>6</v>
      </c>
      <c r="D33" s="71" t="s">
        <v>7</v>
      </c>
      <c r="E33" s="71" t="s">
        <v>8</v>
      </c>
      <c r="F33" s="71" t="s">
        <v>9</v>
      </c>
      <c r="G33" s="71" t="s">
        <v>137</v>
      </c>
      <c r="H33" s="373" t="s">
        <v>615</v>
      </c>
      <c r="I33" s="373" t="s">
        <v>616</v>
      </c>
      <c r="J33" s="373" t="s">
        <v>617</v>
      </c>
      <c r="K33" s="71" t="s">
        <v>0</v>
      </c>
      <c r="L33" s="373" t="s">
        <v>618</v>
      </c>
      <c r="M33" s="71" t="s">
        <v>138</v>
      </c>
      <c r="N33" s="373" t="s">
        <v>619</v>
      </c>
      <c r="O33" s="373" t="s">
        <v>620</v>
      </c>
      <c r="P33" s="373" t="s">
        <v>621</v>
      </c>
      <c r="Q33" s="373" t="s">
        <v>622</v>
      </c>
      <c r="R33" s="71" t="s">
        <v>1</v>
      </c>
      <c r="S33" s="71" t="s">
        <v>10</v>
      </c>
      <c r="T33" s="373" t="s">
        <v>623</v>
      </c>
      <c r="U33" s="71" t="s">
        <v>139</v>
      </c>
      <c r="V33" s="374" t="s">
        <v>624</v>
      </c>
      <c r="W33" s="141"/>
      <c r="X33" s="1761"/>
      <c r="Y33" s="1772"/>
      <c r="Z33" s="1761"/>
      <c r="AA33" s="1773"/>
      <c r="AB33" s="74"/>
    </row>
    <row r="34" spans="1:28" x14ac:dyDescent="0.2">
      <c r="A34" s="1768"/>
      <c r="B34" s="1767"/>
      <c r="C34" s="146" t="s">
        <v>15</v>
      </c>
      <c r="D34" s="147" t="s">
        <v>16</v>
      </c>
      <c r="E34" s="147" t="s">
        <v>17</v>
      </c>
      <c r="F34" s="147">
        <v>35</v>
      </c>
      <c r="G34" s="147" t="s">
        <v>18</v>
      </c>
      <c r="H34" s="147"/>
      <c r="I34" s="147"/>
      <c r="J34" s="147"/>
      <c r="K34" s="147" t="s">
        <v>19</v>
      </c>
      <c r="L34" s="147"/>
      <c r="M34" s="147" t="s">
        <v>20</v>
      </c>
      <c r="N34" s="147"/>
      <c r="O34" s="147"/>
      <c r="P34" s="147"/>
      <c r="Q34" s="147"/>
      <c r="R34" s="147">
        <v>85</v>
      </c>
      <c r="S34" s="147" t="s">
        <v>21</v>
      </c>
      <c r="T34" s="147"/>
      <c r="U34" s="147" t="s">
        <v>22</v>
      </c>
      <c r="V34" s="147"/>
      <c r="W34" s="166" t="s">
        <v>3</v>
      </c>
      <c r="X34" s="100">
        <v>98</v>
      </c>
      <c r="Y34" s="148">
        <v>99</v>
      </c>
      <c r="Z34" s="100"/>
      <c r="AA34" s="101"/>
      <c r="AB34" s="74"/>
    </row>
    <row r="35" spans="1:28" ht="21.75" customHeight="1" x14ac:dyDescent="0.2">
      <c r="A35" s="1780" t="s">
        <v>5</v>
      </c>
      <c r="B35" s="377" t="s">
        <v>39</v>
      </c>
      <c r="C35" s="174">
        <f>'PSUT_Data&amp;Method_2015'!H405</f>
        <v>0</v>
      </c>
      <c r="D35" s="174">
        <f>'PSUT_Data&amp;Method_2015'!H414</f>
        <v>21327.358756755948</v>
      </c>
      <c r="E35" s="174">
        <f>'PSUT_Data&amp;Method_2015'!H423</f>
        <v>816.87563283886971</v>
      </c>
      <c r="F35" s="174">
        <f>'PSUT_Data&amp;Method_2015'!H432</f>
        <v>0</v>
      </c>
      <c r="G35" s="174">
        <f>'PSUT_Data&amp;Method_2015'!H441</f>
        <v>0</v>
      </c>
      <c r="H35" s="174">
        <f>'PSUT_Data&amp;Method_2015'!H450</f>
        <v>0</v>
      </c>
      <c r="I35" s="174">
        <f>'PSUT_Data&amp;Method_2015'!H459</f>
        <v>0</v>
      </c>
      <c r="J35" s="174">
        <f>'PSUT_Data&amp;Method_2015'!H468</f>
        <v>0</v>
      </c>
      <c r="K35" s="174">
        <f>'PSUT_Data&amp;Method_2015'!H477</f>
        <v>12671.183667903779</v>
      </c>
      <c r="L35" s="174">
        <f>'PSUT_Data&amp;Method_2015'!H486</f>
        <v>0</v>
      </c>
      <c r="M35" s="174">
        <f>'PSUT_Data&amp;Method_2015'!H495</f>
        <v>5.6106036082474233</v>
      </c>
      <c r="N35" s="174">
        <f>'PSUT_Data&amp;Method_2015'!H504</f>
        <v>0</v>
      </c>
      <c r="O35" s="174">
        <f>'PSUT_Data&amp;Method_2015'!H513</f>
        <v>0</v>
      </c>
      <c r="P35" s="174">
        <f>'PSUT_Data&amp;Method_2015'!H522</f>
        <v>0</v>
      </c>
      <c r="Q35" s="174">
        <f>'PSUT_Data&amp;Method_2015'!H531</f>
        <v>0</v>
      </c>
      <c r="R35" s="174">
        <f>'PSUT_Data&amp;Method_2015'!H540</f>
        <v>0</v>
      </c>
      <c r="S35" s="174">
        <f>'PSUT_Data&amp;Method_2015'!H549</f>
        <v>0</v>
      </c>
      <c r="T35" s="174">
        <f>'PSUT_Data&amp;Method_2015'!H558</f>
        <v>0</v>
      </c>
      <c r="U35" s="174">
        <f>'PSUT_Data&amp;Method_2015'!H567</f>
        <v>0</v>
      </c>
      <c r="V35" s="174">
        <f>'PSUT_Data&amp;Method_2015'!H576</f>
        <v>0</v>
      </c>
      <c r="W35" s="138">
        <f t="shared" ref="W35:W43" si="3">SUM(C35:V35)</f>
        <v>34821.028661106844</v>
      </c>
      <c r="X35" s="174">
        <f>'PSUT_Data&amp;Method_2015'!H588</f>
        <v>0</v>
      </c>
      <c r="Y35" s="174">
        <f>'PSUT_Data&amp;Method_2015'!H597</f>
        <v>0</v>
      </c>
      <c r="Z35" s="162"/>
      <c r="AA35" s="376">
        <f t="shared" ref="AA35:AA41" si="4">W35+X35+Y35</f>
        <v>34821.028661106844</v>
      </c>
      <c r="AB35" s="74"/>
    </row>
    <row r="36" spans="1:28" ht="12" customHeight="1" x14ac:dyDescent="0.2">
      <c r="A36" s="1781"/>
      <c r="B36" s="375" t="s">
        <v>40</v>
      </c>
      <c r="C36" s="173">
        <f>'PSUT_Data&amp;Method_2015'!H406</f>
        <v>0</v>
      </c>
      <c r="D36" s="173">
        <f>'PSUT_Data&amp;Method_2015'!H415</f>
        <v>21327.358756755948</v>
      </c>
      <c r="E36" s="173">
        <f>'PSUT_Data&amp;Method_2015'!H424</f>
        <v>346.29059499999994</v>
      </c>
      <c r="F36" s="173">
        <f>'PSUT_Data&amp;Method_2015'!H433</f>
        <v>0</v>
      </c>
      <c r="G36" s="173">
        <f>'PSUT_Data&amp;Method_2015'!H442</f>
        <v>0</v>
      </c>
      <c r="H36" s="173">
        <f>'PSUT_Data&amp;Method_2015'!H451</f>
        <v>0</v>
      </c>
      <c r="I36" s="173">
        <f>'PSUT_Data&amp;Method_2015'!H460</f>
        <v>0</v>
      </c>
      <c r="J36" s="173">
        <f>'PSUT_Data&amp;Method_2015'!H469</f>
        <v>0</v>
      </c>
      <c r="K36" s="173">
        <f>'PSUT_Data&amp;Method_2015'!H478</f>
        <v>12671.183667903779</v>
      </c>
      <c r="L36" s="173">
        <f>'PSUT_Data&amp;Method_2015'!H487</f>
        <v>0</v>
      </c>
      <c r="M36" s="173">
        <f>'PSUT_Data&amp;Method_2015'!H496</f>
        <v>2.3110416666666667</v>
      </c>
      <c r="N36" s="173">
        <f>'PSUT_Data&amp;Method_2015'!H505</f>
        <v>0</v>
      </c>
      <c r="O36" s="173">
        <f>'PSUT_Data&amp;Method_2015'!H514</f>
        <v>0</v>
      </c>
      <c r="P36" s="173">
        <f>'PSUT_Data&amp;Method_2015'!H523</f>
        <v>0</v>
      </c>
      <c r="Q36" s="173">
        <f>'PSUT_Data&amp;Method_2015'!H532</f>
        <v>0</v>
      </c>
      <c r="R36" s="173">
        <f>'PSUT_Data&amp;Method_2015'!H541</f>
        <v>0</v>
      </c>
      <c r="S36" s="173">
        <f>'PSUT_Data&amp;Method_2015'!H550</f>
        <v>0</v>
      </c>
      <c r="T36" s="173">
        <f>'PSUT_Data&amp;Method_2015'!H559</f>
        <v>0</v>
      </c>
      <c r="U36" s="173">
        <f>'PSUT_Data&amp;Method_2015'!H568</f>
        <v>0</v>
      </c>
      <c r="V36" s="173">
        <f>'PSUT_Data&amp;Method_2015'!H577</f>
        <v>0</v>
      </c>
      <c r="W36" s="140">
        <f t="shared" si="3"/>
        <v>34347.144061326391</v>
      </c>
      <c r="X36" s="173">
        <f>'PSUT_Data&amp;Method_2015'!H589</f>
        <v>0</v>
      </c>
      <c r="Y36" s="173">
        <f>'PSUT_Data&amp;Method_2015'!H598</f>
        <v>0</v>
      </c>
      <c r="Z36" s="163"/>
      <c r="AA36" s="158">
        <f t="shared" si="4"/>
        <v>34347.144061326391</v>
      </c>
      <c r="AB36" s="74"/>
    </row>
    <row r="37" spans="1:28" ht="12" customHeight="1" x14ac:dyDescent="0.2">
      <c r="A37" s="1782"/>
      <c r="B37" s="375" t="s">
        <v>41</v>
      </c>
      <c r="C37" s="173">
        <f>'PSUT_Data&amp;Method_2015'!H407</f>
        <v>0</v>
      </c>
      <c r="D37" s="173">
        <f>'PSUT_Data&amp;Method_2015'!H416</f>
        <v>0</v>
      </c>
      <c r="E37" s="173">
        <f>'PSUT_Data&amp;Method_2015'!H425</f>
        <v>470.58503783886977</v>
      </c>
      <c r="F37" s="173">
        <f>'PSUT_Data&amp;Method_2015'!H434</f>
        <v>0</v>
      </c>
      <c r="G37" s="173">
        <f>'PSUT_Data&amp;Method_2015'!H443</f>
        <v>0</v>
      </c>
      <c r="H37" s="173">
        <f>'PSUT_Data&amp;Method_2015'!H452</f>
        <v>0</v>
      </c>
      <c r="I37" s="173">
        <f>'PSUT_Data&amp;Method_2015'!H461</f>
        <v>0</v>
      </c>
      <c r="J37" s="173">
        <f>'PSUT_Data&amp;Method_2015'!H470</f>
        <v>0</v>
      </c>
      <c r="K37" s="173">
        <f>'PSUT_Data&amp;Method_2015'!H479</f>
        <v>0</v>
      </c>
      <c r="L37" s="173">
        <f>'PSUT_Data&amp;Method_2015'!H488</f>
        <v>0</v>
      </c>
      <c r="M37" s="173">
        <f>'PSUT_Data&amp;Method_2015'!H497</f>
        <v>3.2995619415807562</v>
      </c>
      <c r="N37" s="173">
        <f>'PSUT_Data&amp;Method_2015'!H506</f>
        <v>0</v>
      </c>
      <c r="O37" s="173">
        <f>'PSUT_Data&amp;Method_2015'!H515</f>
        <v>0</v>
      </c>
      <c r="P37" s="173">
        <f>'PSUT_Data&amp;Method_2015'!H524</f>
        <v>0</v>
      </c>
      <c r="Q37" s="173">
        <f>'PSUT_Data&amp;Method_2015'!H533</f>
        <v>0</v>
      </c>
      <c r="R37" s="173">
        <f>'PSUT_Data&amp;Method_2015'!H542</f>
        <v>0</v>
      </c>
      <c r="S37" s="173">
        <f>'PSUT_Data&amp;Method_2015'!H551</f>
        <v>0</v>
      </c>
      <c r="T37" s="173">
        <f>'PSUT_Data&amp;Method_2015'!H560</f>
        <v>0</v>
      </c>
      <c r="U37" s="173">
        <f>'PSUT_Data&amp;Method_2015'!H569</f>
        <v>0</v>
      </c>
      <c r="V37" s="173">
        <f>'PSUT_Data&amp;Method_2015'!H578</f>
        <v>0</v>
      </c>
      <c r="W37" s="140">
        <f t="shared" si="3"/>
        <v>473.88459978045051</v>
      </c>
      <c r="X37" s="173">
        <f>'PSUT_Data&amp;Method_2015'!H590</f>
        <v>0</v>
      </c>
      <c r="Y37" s="173">
        <f>'PSUT_Data&amp;Method_2015'!H599</f>
        <v>0</v>
      </c>
      <c r="Z37" s="163"/>
      <c r="AA37" s="158">
        <f t="shared" si="4"/>
        <v>473.88459978045051</v>
      </c>
      <c r="AB37" s="74"/>
    </row>
    <row r="38" spans="1:28" ht="12" customHeight="1" x14ac:dyDescent="0.2">
      <c r="A38" s="1781" t="s">
        <v>42</v>
      </c>
      <c r="B38" s="377" t="s">
        <v>162</v>
      </c>
      <c r="C38" s="174">
        <f>'PSUT_Data&amp;Method_2015'!H408</f>
        <v>1557982.4711064098</v>
      </c>
      <c r="D38" s="174">
        <f>'PSUT_Data&amp;Method_2015'!H417</f>
        <v>54.219910499999997</v>
      </c>
      <c r="E38" s="174">
        <f>'PSUT_Data&amp;Method_2015'!H426</f>
        <v>514699.26072578516</v>
      </c>
      <c r="F38" s="174">
        <f>'PSUT_Data&amp;Method_2015'!H435</f>
        <v>350034.66062620789</v>
      </c>
      <c r="G38" s="174">
        <f>'PSUT_Data&amp;Method_2015'!H444</f>
        <v>2570.3302400000002</v>
      </c>
      <c r="H38" s="174">
        <f>'PSUT_Data&amp;Method_2015'!H453</f>
        <v>0</v>
      </c>
      <c r="I38" s="174">
        <f>'PSUT_Data&amp;Method_2015'!H462</f>
        <v>0</v>
      </c>
      <c r="J38" s="174">
        <f>'PSUT_Data&amp;Method_2015'!H471</f>
        <v>0</v>
      </c>
      <c r="K38" s="174">
        <f>'PSUT_Data&amp;Method_2015'!H480</f>
        <v>301.01142363711335</v>
      </c>
      <c r="L38" s="174">
        <f>'PSUT_Data&amp;Method_2015'!H489</f>
        <v>0</v>
      </c>
      <c r="M38" s="174">
        <f>'PSUT_Data&amp;Method_2015'!H498</f>
        <v>56.868619657611163</v>
      </c>
      <c r="N38" s="174">
        <f>'PSUT_Data&amp;Method_2015'!H507</f>
        <v>0</v>
      </c>
      <c r="O38" s="174">
        <f>'PSUT_Data&amp;Method_2015'!H516</f>
        <v>0</v>
      </c>
      <c r="P38" s="174">
        <f>'PSUT_Data&amp;Method_2015'!H525</f>
        <v>0</v>
      </c>
      <c r="Q38" s="174">
        <f>'PSUT_Data&amp;Method_2015'!H534</f>
        <v>0</v>
      </c>
      <c r="R38" s="174">
        <f>'PSUT_Data&amp;Method_2015'!H543</f>
        <v>179497.86400000003</v>
      </c>
      <c r="S38" s="174">
        <f>'PSUT_Data&amp;Method_2015'!H552</f>
        <v>3447.7778158871602</v>
      </c>
      <c r="T38" s="174">
        <f>'PSUT_Data&amp;Method_2015'!H561</f>
        <v>0</v>
      </c>
      <c r="U38" s="174">
        <f>'PSUT_Data&amp;Method_2015'!H570</f>
        <v>10.714873014735879</v>
      </c>
      <c r="V38" s="174">
        <f>'PSUT_Data&amp;Method_2015'!H579</f>
        <v>0</v>
      </c>
      <c r="W38" s="138">
        <f t="shared" si="3"/>
        <v>2608655.1793411002</v>
      </c>
      <c r="X38" s="174">
        <f>'PSUT_Data&amp;Method_2015'!H591</f>
        <v>82781</v>
      </c>
      <c r="Y38" s="174">
        <f>'PSUT_Data&amp;Method_2015'!H600</f>
        <v>5211.6544753063881</v>
      </c>
      <c r="Z38" s="76"/>
      <c r="AA38" s="157">
        <f t="shared" si="4"/>
        <v>2696647.8338164063</v>
      </c>
      <c r="AB38" s="74"/>
    </row>
    <row r="39" spans="1:28" ht="12" customHeight="1" x14ac:dyDescent="0.2">
      <c r="A39" s="1781"/>
      <c r="B39" s="381" t="s">
        <v>43</v>
      </c>
      <c r="C39" s="174">
        <f>'PSUT_Data&amp;Method_2015'!H409</f>
        <v>1557982.4711064098</v>
      </c>
      <c r="D39" s="174">
        <f>'PSUT_Data&amp;Method_2015'!H418</f>
        <v>54.219910499999997</v>
      </c>
      <c r="E39" s="174">
        <f>'PSUT_Data&amp;Method_2015'!H427</f>
        <v>514699.26072578516</v>
      </c>
      <c r="F39" s="174">
        <f>'PSUT_Data&amp;Method_2015'!H436</f>
        <v>350034.66062620789</v>
      </c>
      <c r="G39" s="174">
        <f>'PSUT_Data&amp;Method_2015'!H445</f>
        <v>2570.3302400000002</v>
      </c>
      <c r="H39" s="174">
        <f>'PSUT_Data&amp;Method_2015'!H454</f>
        <v>0</v>
      </c>
      <c r="I39" s="174">
        <f>'PSUT_Data&amp;Method_2015'!H463</f>
        <v>0</v>
      </c>
      <c r="J39" s="174">
        <f>'PSUT_Data&amp;Method_2015'!H472</f>
        <v>0</v>
      </c>
      <c r="K39" s="174">
        <f>'PSUT_Data&amp;Method_2015'!H481</f>
        <v>301.01142363711335</v>
      </c>
      <c r="L39" s="174">
        <f>'PSUT_Data&amp;Method_2015'!H490</f>
        <v>0</v>
      </c>
      <c r="M39" s="174">
        <f>'PSUT_Data&amp;Method_2015'!H499</f>
        <v>56.868619657611163</v>
      </c>
      <c r="N39" s="174">
        <f>'PSUT_Data&amp;Method_2015'!H508</f>
        <v>0</v>
      </c>
      <c r="O39" s="174">
        <f>'PSUT_Data&amp;Method_2015'!H517</f>
        <v>0</v>
      </c>
      <c r="P39" s="174">
        <f>'PSUT_Data&amp;Method_2015'!H526</f>
        <v>0</v>
      </c>
      <c r="Q39" s="174">
        <f>'PSUT_Data&amp;Method_2015'!H535</f>
        <v>0</v>
      </c>
      <c r="R39" s="174">
        <f>'PSUT_Data&amp;Method_2015'!H544</f>
        <v>179497.86400000003</v>
      </c>
      <c r="S39" s="174">
        <f>'PSUT_Data&amp;Method_2015'!H553</f>
        <v>3447.7778158871602</v>
      </c>
      <c r="T39" s="174">
        <f>'PSUT_Data&amp;Method_2015'!H562</f>
        <v>0</v>
      </c>
      <c r="U39" s="174">
        <f>'PSUT_Data&amp;Method_2015'!H571</f>
        <v>10.714873014735879</v>
      </c>
      <c r="V39" s="174">
        <f>'PSUT_Data&amp;Method_2015'!H580</f>
        <v>0</v>
      </c>
      <c r="W39" s="138">
        <f t="shared" si="3"/>
        <v>2608655.1793411002</v>
      </c>
      <c r="X39" s="174">
        <f>'PSUT_Data&amp;Method_2015'!H592</f>
        <v>72433</v>
      </c>
      <c r="Y39" s="174">
        <f>'PSUT_Data&amp;Method_2015'!H601</f>
        <v>5211.6544753063881</v>
      </c>
      <c r="Z39" s="76"/>
      <c r="AA39" s="157">
        <f t="shared" si="4"/>
        <v>2686299.8338164063</v>
      </c>
      <c r="AB39" s="74"/>
    </row>
    <row r="40" spans="1:28" ht="12" customHeight="1" x14ac:dyDescent="0.2">
      <c r="A40" s="1781"/>
      <c r="B40" s="144" t="s">
        <v>44</v>
      </c>
      <c r="C40" s="173">
        <f>'PSUT_Data&amp;Method_2015'!H410</f>
        <v>783701.7719407049</v>
      </c>
      <c r="D40" s="173">
        <f>'PSUT_Data&amp;Method_2015'!H419</f>
        <v>1.2757626</v>
      </c>
      <c r="E40" s="173">
        <f>'PSUT_Data&amp;Method_2015'!H428</f>
        <v>514526.072852212</v>
      </c>
      <c r="F40" s="173">
        <f>'PSUT_Data&amp;Method_2015'!H437</f>
        <v>350034.66062620789</v>
      </c>
      <c r="G40" s="173">
        <f>'PSUT_Data&amp;Method_2015'!H446</f>
        <v>2570.3302400000002</v>
      </c>
      <c r="H40" s="173">
        <f>'PSUT_Data&amp;Method_2015'!H455</f>
        <v>0</v>
      </c>
      <c r="I40" s="173">
        <f>'PSUT_Data&amp;Method_2015'!H464</f>
        <v>0</v>
      </c>
      <c r="J40" s="173">
        <f>'PSUT_Data&amp;Method_2015'!H473</f>
        <v>0</v>
      </c>
      <c r="K40" s="173">
        <f>'PSUT_Data&amp;Method_2015'!H482</f>
        <v>159.09130227903779</v>
      </c>
      <c r="L40" s="173">
        <f>'PSUT_Data&amp;Method_2015'!H491</f>
        <v>0</v>
      </c>
      <c r="M40" s="173">
        <f>'PSUT_Data&amp;Method_2015'!H500</f>
        <v>46.976258591065296</v>
      </c>
      <c r="N40" s="173">
        <f>'PSUT_Data&amp;Method_2015'!H509</f>
        <v>0</v>
      </c>
      <c r="O40" s="173">
        <f>'PSUT_Data&amp;Method_2015'!H518</f>
        <v>0</v>
      </c>
      <c r="P40" s="173">
        <f>'PSUT_Data&amp;Method_2015'!H527</f>
        <v>0</v>
      </c>
      <c r="Q40" s="173">
        <f>'PSUT_Data&amp;Method_2015'!H536</f>
        <v>0</v>
      </c>
      <c r="R40" s="173">
        <f>'PSUT_Data&amp;Method_2015'!H545</f>
        <v>44209.770400000001</v>
      </c>
      <c r="S40" s="173">
        <f>'PSUT_Data&amp;Method_2015'!H554</f>
        <v>0</v>
      </c>
      <c r="T40" s="173">
        <f>'PSUT_Data&amp;Method_2015'!H563</f>
        <v>0</v>
      </c>
      <c r="U40" s="173">
        <f>'PSUT_Data&amp;Method_2015'!H572</f>
        <v>1.1818737127147767</v>
      </c>
      <c r="V40" s="173">
        <f>'PSUT_Data&amp;Method_2015'!H581</f>
        <v>0</v>
      </c>
      <c r="W40" s="140">
        <f t="shared" si="3"/>
        <v>1695251.1312563077</v>
      </c>
      <c r="X40" s="173">
        <f>'PSUT_Data&amp;Method_2015'!H593</f>
        <v>41390</v>
      </c>
      <c r="Y40" s="173">
        <f>'PSUT_Data&amp;Method_2015'!H602</f>
        <v>4688.7652799999996</v>
      </c>
      <c r="Z40" s="76"/>
      <c r="AA40" s="158">
        <f t="shared" si="4"/>
        <v>1741329.8965363076</v>
      </c>
      <c r="AB40" s="74"/>
    </row>
    <row r="41" spans="1:28" ht="12" customHeight="1" x14ac:dyDescent="0.2">
      <c r="A41" s="1781"/>
      <c r="B41" s="144" t="s">
        <v>45</v>
      </c>
      <c r="C41" s="173">
        <f>'PSUT_Data&amp;Method_2015'!H411</f>
        <v>81951.3</v>
      </c>
      <c r="D41" s="173">
        <f>'PSUT_Data&amp;Method_2015'!H420</f>
        <v>1.9136439000000001</v>
      </c>
      <c r="E41" s="173">
        <f>'PSUT_Data&amp;Method_2015'!H429</f>
        <v>166.95464286320001</v>
      </c>
      <c r="F41" s="173">
        <f>'PSUT_Data&amp;Method_2015'!H438</f>
        <v>0</v>
      </c>
      <c r="G41" s="173">
        <f>'PSUT_Data&amp;Method_2015'!H447</f>
        <v>0</v>
      </c>
      <c r="H41" s="173">
        <f>'PSUT_Data&amp;Method_2015'!H456</f>
        <v>0</v>
      </c>
      <c r="I41" s="173">
        <f>'PSUT_Data&amp;Method_2015'!H465</f>
        <v>0</v>
      </c>
      <c r="J41" s="173">
        <f>'PSUT_Data&amp;Method_2015'!H474</f>
        <v>0</v>
      </c>
      <c r="K41" s="173">
        <f>'PSUT_Data&amp;Method_2015'!H483</f>
        <v>0</v>
      </c>
      <c r="L41" s="173">
        <f>'PSUT_Data&amp;Method_2015'!H492</f>
        <v>0</v>
      </c>
      <c r="M41" s="173">
        <f>'PSUT_Data&amp;Method_2015'!H501</f>
        <v>4.7351202749140899</v>
      </c>
      <c r="N41" s="173">
        <f>'PSUT_Data&amp;Method_2015'!H510</f>
        <v>0</v>
      </c>
      <c r="O41" s="173">
        <f>'PSUT_Data&amp;Method_2015'!H519</f>
        <v>0</v>
      </c>
      <c r="P41" s="173">
        <f>'PSUT_Data&amp;Method_2015'!H528</f>
        <v>0</v>
      </c>
      <c r="Q41" s="173">
        <f>'PSUT_Data&amp;Method_2015'!H537</f>
        <v>0</v>
      </c>
      <c r="R41" s="173">
        <f>'PSUT_Data&amp;Method_2015'!H546</f>
        <v>135288.09360000002</v>
      </c>
      <c r="S41" s="173">
        <f>'PSUT_Data&amp;Method_2015'!H555</f>
        <v>3201.047978608482</v>
      </c>
      <c r="T41" s="173">
        <f>'PSUT_Data&amp;Method_2015'!H564</f>
        <v>0</v>
      </c>
      <c r="U41" s="173">
        <f>'PSUT_Data&amp;Method_2015'!H573</f>
        <v>9.3718228896499678</v>
      </c>
      <c r="V41" s="173">
        <f>'PSUT_Data&amp;Method_2015'!H582</f>
        <v>0</v>
      </c>
      <c r="W41" s="140">
        <f t="shared" si="3"/>
        <v>220623.41680853631</v>
      </c>
      <c r="X41" s="173">
        <f>'PSUT_Data&amp;Method_2015'!H594</f>
        <v>20695</v>
      </c>
      <c r="Y41" s="173">
        <f>'PSUT_Data&amp;Method_2015'!H603</f>
        <v>522.8891953063885</v>
      </c>
      <c r="Z41" s="76"/>
      <c r="AA41" s="158">
        <f t="shared" si="4"/>
        <v>241841.30600384271</v>
      </c>
      <c r="AB41" s="74"/>
    </row>
    <row r="42" spans="1:28" ht="12" customHeight="1" x14ac:dyDescent="0.2">
      <c r="A42" s="1781"/>
      <c r="B42" s="144" t="s">
        <v>46</v>
      </c>
      <c r="C42" s="173">
        <f>'PSUT_Data&amp;Method_2015'!H412</f>
        <v>692329.39916570485</v>
      </c>
      <c r="D42" s="173">
        <f>'PSUT_Data&amp;Method_2015'!H421</f>
        <v>51.030504000000001</v>
      </c>
      <c r="E42" s="173">
        <f>'PSUT_Data&amp;Method_2015'!H430</f>
        <v>6.23323071</v>
      </c>
      <c r="F42" s="173">
        <f>'PSUT_Data&amp;Method_2015'!H439</f>
        <v>0</v>
      </c>
      <c r="G42" s="173">
        <f>'PSUT_Data&amp;Method_2015'!H448</f>
        <v>0</v>
      </c>
      <c r="H42" s="173">
        <f>'PSUT_Data&amp;Method_2015'!H457</f>
        <v>0</v>
      </c>
      <c r="I42" s="173">
        <f>'PSUT_Data&amp;Method_2015'!H466</f>
        <v>0</v>
      </c>
      <c r="J42" s="173">
        <f>'PSUT_Data&amp;Method_2015'!H475</f>
        <v>0</v>
      </c>
      <c r="K42" s="173">
        <f>'PSUT_Data&amp;Method_2015'!H484</f>
        <v>141.92012135807559</v>
      </c>
      <c r="L42" s="173">
        <f>'PSUT_Data&amp;Method_2015'!H493</f>
        <v>0</v>
      </c>
      <c r="M42" s="173">
        <f>'PSUT_Data&amp;Method_2015'!H502</f>
        <v>5.1572407916317804</v>
      </c>
      <c r="N42" s="173">
        <f>'PSUT_Data&amp;Method_2015'!H511</f>
        <v>0</v>
      </c>
      <c r="O42" s="173">
        <f>'PSUT_Data&amp;Method_2015'!H520</f>
        <v>0</v>
      </c>
      <c r="P42" s="173">
        <f>'PSUT_Data&amp;Method_2015'!H529</f>
        <v>0</v>
      </c>
      <c r="Q42" s="173">
        <f>'PSUT_Data&amp;Method_2015'!H538</f>
        <v>0</v>
      </c>
      <c r="R42" s="173">
        <f>'PSUT_Data&amp;Method_2015'!H547</f>
        <v>0</v>
      </c>
      <c r="S42" s="173">
        <f>'PSUT_Data&amp;Method_2015'!H556</f>
        <v>246.72983727867833</v>
      </c>
      <c r="T42" s="173">
        <f>'PSUT_Data&amp;Method_2015'!H565</f>
        <v>0</v>
      </c>
      <c r="U42" s="173">
        <f>'PSUT_Data&amp;Method_2015'!H574</f>
        <v>0.16117641237113403</v>
      </c>
      <c r="V42" s="173">
        <f>'PSUT_Data&amp;Method_2015'!H583</f>
        <v>0</v>
      </c>
      <c r="W42" s="140">
        <f t="shared" si="3"/>
        <v>692780.63127625571</v>
      </c>
      <c r="X42" s="173">
        <f>'PSUT_Data&amp;Method_2015'!H595</f>
        <v>10348</v>
      </c>
      <c r="Y42" s="173">
        <f>'PSUT_Data&amp;Method_2015'!H604</f>
        <v>0</v>
      </c>
      <c r="Z42" s="76"/>
      <c r="AA42" s="158">
        <f>W42+X42+Y42</f>
        <v>703128.63127625571</v>
      </c>
      <c r="AB42" s="74"/>
    </row>
    <row r="43" spans="1:28" ht="12" customHeight="1" x14ac:dyDescent="0.2">
      <c r="A43" s="1782"/>
      <c r="B43" s="153" t="s">
        <v>47</v>
      </c>
      <c r="C43" s="174">
        <f>'PSUT_Data&amp;Method_2015'!H413</f>
        <v>0</v>
      </c>
      <c r="D43" s="174">
        <f>'PSUT_Data&amp;Method_2015'!H422</f>
        <v>0</v>
      </c>
      <c r="E43" s="174">
        <f>'PSUT_Data&amp;Method_2015'!H431</f>
        <v>0</v>
      </c>
      <c r="F43" s="174">
        <f>'PSUT_Data&amp;Method_2015'!H440</f>
        <v>0</v>
      </c>
      <c r="G43" s="174">
        <f>'PSUT_Data&amp;Method_2015'!H449</f>
        <v>0</v>
      </c>
      <c r="H43" s="174">
        <f>'PSUT_Data&amp;Method_2015'!H458</f>
        <v>0</v>
      </c>
      <c r="I43" s="174">
        <f>'PSUT_Data&amp;Method_2015'!H467</f>
        <v>0</v>
      </c>
      <c r="J43" s="174">
        <f>'PSUT_Data&amp;Method_2015'!H476</f>
        <v>0</v>
      </c>
      <c r="K43" s="174">
        <f>'PSUT_Data&amp;Method_2015'!H485</f>
        <v>0</v>
      </c>
      <c r="L43" s="174">
        <f>'PSUT_Data&amp;Method_2015'!H494</f>
        <v>0</v>
      </c>
      <c r="M43" s="174">
        <f>'PSUT_Data&amp;Method_2015'!H503</f>
        <v>0</v>
      </c>
      <c r="N43" s="174">
        <f>'PSUT_Data&amp;Method_2015'!H512</f>
        <v>0</v>
      </c>
      <c r="O43" s="174">
        <f>'PSUT_Data&amp;Method_2015'!H521</f>
        <v>0</v>
      </c>
      <c r="P43" s="174">
        <f>'PSUT_Data&amp;Method_2015'!H530</f>
        <v>0</v>
      </c>
      <c r="Q43" s="174">
        <f>'PSUT_Data&amp;Method_2015'!H539</f>
        <v>0</v>
      </c>
      <c r="R43" s="174">
        <f>'PSUT_Data&amp;Method_2015'!H548</f>
        <v>0</v>
      </c>
      <c r="S43" s="174">
        <f>'PSUT_Data&amp;Method_2015'!H557</f>
        <v>0</v>
      </c>
      <c r="T43" s="174">
        <f>'PSUT_Data&amp;Method_2015'!H566</f>
        <v>0</v>
      </c>
      <c r="U43" s="174">
        <f>'PSUT_Data&amp;Method_2015'!H575</f>
        <v>0</v>
      </c>
      <c r="V43" s="174">
        <f>'PSUT_Data&amp;Method_2015'!H584</f>
        <v>0</v>
      </c>
      <c r="W43" s="138">
        <f t="shared" si="3"/>
        <v>0</v>
      </c>
      <c r="X43" s="174">
        <f>'PSUT_Data&amp;Method_2015'!H596</f>
        <v>10348</v>
      </c>
      <c r="Y43" s="174">
        <f>'PSUT_Data&amp;Method_2015'!H605</f>
        <v>0</v>
      </c>
      <c r="Z43" s="76"/>
      <c r="AA43" s="157">
        <f>W43+X43+Y43</f>
        <v>10348</v>
      </c>
      <c r="AB43" s="74"/>
    </row>
    <row r="44" spans="1:28" ht="12" customHeight="1" x14ac:dyDescent="0.2">
      <c r="A44" s="1783" t="s">
        <v>163</v>
      </c>
      <c r="B44" s="1784"/>
      <c r="C44" s="151">
        <f t="shared" ref="C44:V44" si="5">SUM(C35,C38)</f>
        <v>1557982.4711064098</v>
      </c>
      <c r="D44" s="151">
        <f t="shared" si="5"/>
        <v>21381.578667255948</v>
      </c>
      <c r="E44" s="151">
        <f t="shared" si="5"/>
        <v>515516.13635862403</v>
      </c>
      <c r="F44" s="151">
        <f t="shared" si="5"/>
        <v>350034.66062620789</v>
      </c>
      <c r="G44" s="151">
        <f t="shared" si="5"/>
        <v>2570.3302400000002</v>
      </c>
      <c r="H44" s="151">
        <f t="shared" si="5"/>
        <v>0</v>
      </c>
      <c r="I44" s="151">
        <f t="shared" si="5"/>
        <v>0</v>
      </c>
      <c r="J44" s="151">
        <f t="shared" si="5"/>
        <v>0</v>
      </c>
      <c r="K44" s="151">
        <f t="shared" si="5"/>
        <v>12972.195091540892</v>
      </c>
      <c r="L44" s="151">
        <f t="shared" si="5"/>
        <v>0</v>
      </c>
      <c r="M44" s="151">
        <f t="shared" si="5"/>
        <v>62.479223265858586</v>
      </c>
      <c r="N44" s="151">
        <f t="shared" si="5"/>
        <v>0</v>
      </c>
      <c r="O44" s="151">
        <f t="shared" si="5"/>
        <v>0</v>
      </c>
      <c r="P44" s="151">
        <f t="shared" si="5"/>
        <v>0</v>
      </c>
      <c r="Q44" s="151">
        <f t="shared" si="5"/>
        <v>0</v>
      </c>
      <c r="R44" s="151">
        <f t="shared" si="5"/>
        <v>179497.86400000003</v>
      </c>
      <c r="S44" s="151">
        <f t="shared" si="5"/>
        <v>3447.7778158871602</v>
      </c>
      <c r="T44" s="151">
        <f t="shared" si="5"/>
        <v>0</v>
      </c>
      <c r="U44" s="151">
        <f t="shared" si="5"/>
        <v>10.714873014735879</v>
      </c>
      <c r="V44" s="151">
        <f t="shared" si="5"/>
        <v>0</v>
      </c>
      <c r="W44" s="151">
        <f>SUM(C44:V44)</f>
        <v>2643476.2080022069</v>
      </c>
      <c r="X44" s="151">
        <f>SUM(X35,X38)</f>
        <v>82781</v>
      </c>
      <c r="Y44" s="151">
        <f>SUM(Y35,Y38)</f>
        <v>5211.6544753063881</v>
      </c>
      <c r="Z44" s="76"/>
      <c r="AA44" s="159">
        <f>W44+X44+Y44</f>
        <v>2731468.862477513</v>
      </c>
      <c r="AB44" s="74"/>
    </row>
    <row r="45" spans="1:28" ht="12" customHeight="1" x14ac:dyDescent="0.2">
      <c r="A45" s="1785" t="s">
        <v>164</v>
      </c>
      <c r="B45" s="1785"/>
      <c r="C45" s="139">
        <f t="shared" ref="C45:V45" si="6">SUM(C24-C44)</f>
        <v>12378855.512207687</v>
      </c>
      <c r="D45" s="139">
        <f t="shared" si="6"/>
        <v>1068.2726556450507</v>
      </c>
      <c r="E45" s="139">
        <f t="shared" si="6"/>
        <v>151799.10437223449</v>
      </c>
      <c r="F45" s="139">
        <f t="shared" si="6"/>
        <v>18422.876875063579</v>
      </c>
      <c r="G45" s="139">
        <f t="shared" si="6"/>
        <v>51237.570257512438</v>
      </c>
      <c r="H45" s="139">
        <f t="shared" si="6"/>
        <v>0</v>
      </c>
      <c r="I45" s="139">
        <f t="shared" si="6"/>
        <v>0</v>
      </c>
      <c r="J45" s="139">
        <f t="shared" si="6"/>
        <v>0</v>
      </c>
      <c r="K45" s="139">
        <f t="shared" si="6"/>
        <v>3700.4149084591081</v>
      </c>
      <c r="L45" s="139">
        <f t="shared" si="6"/>
        <v>0</v>
      </c>
      <c r="M45" s="139">
        <f t="shared" si="6"/>
        <v>13.611322139488699</v>
      </c>
      <c r="N45" s="139">
        <f t="shared" si="6"/>
        <v>0</v>
      </c>
      <c r="O45" s="139">
        <f t="shared" si="6"/>
        <v>0</v>
      </c>
      <c r="P45" s="139">
        <f t="shared" si="6"/>
        <v>0</v>
      </c>
      <c r="Q45" s="139">
        <f t="shared" si="6"/>
        <v>0</v>
      </c>
      <c r="R45" s="139">
        <f t="shared" si="6"/>
        <v>45007.581399999966</v>
      </c>
      <c r="S45" s="139">
        <f t="shared" si="6"/>
        <v>861.94444968661037</v>
      </c>
      <c r="T45" s="139">
        <f t="shared" si="6"/>
        <v>0</v>
      </c>
      <c r="U45" s="139">
        <f t="shared" si="6"/>
        <v>132.68839873822006</v>
      </c>
      <c r="V45" s="139">
        <f t="shared" si="6"/>
        <v>0</v>
      </c>
      <c r="W45" s="151">
        <f>SUM(C45:V45)</f>
        <v>12651099.576847168</v>
      </c>
      <c r="X45" s="139">
        <f>SUM(X24-X44)</f>
        <v>134314.76146704803</v>
      </c>
      <c r="Y45" s="139">
        <f>SUM(Y24-Y44)</f>
        <v>1302.9136146936116</v>
      </c>
      <c r="Z45" s="161"/>
      <c r="AA45" s="157">
        <f>W45+X45+Y45</f>
        <v>12786717.251928911</v>
      </c>
      <c r="AB45" s="74"/>
    </row>
    <row r="46" spans="1:28" customFormat="1" ht="5.25" customHeight="1" x14ac:dyDescent="0.25"/>
    <row r="47" spans="1:28" ht="22.5" customHeight="1" x14ac:dyDescent="0.2">
      <c r="A47" s="1776" t="s">
        <v>37</v>
      </c>
      <c r="B47" s="1776"/>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row>
    <row r="48" spans="1:28" ht="22.5" customHeight="1" x14ac:dyDescent="0.2">
      <c r="A48" s="1777" t="s">
        <v>143</v>
      </c>
      <c r="B48" s="1778"/>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row>
    <row r="49" spans="1:28" ht="32.25" customHeight="1" x14ac:dyDescent="0.2">
      <c r="A49" s="1779" t="s">
        <v>144</v>
      </c>
      <c r="B49" s="1779"/>
      <c r="C49" s="80"/>
      <c r="D49" s="80"/>
      <c r="E49" s="80"/>
      <c r="F49" s="80"/>
      <c r="G49" s="80"/>
      <c r="H49" s="80"/>
      <c r="I49" s="80"/>
      <c r="J49" s="80"/>
      <c r="K49" s="80"/>
      <c r="L49" s="80"/>
      <c r="M49" s="80"/>
      <c r="N49" s="80"/>
      <c r="O49" s="80"/>
      <c r="P49" s="80"/>
      <c r="Q49" s="80"/>
      <c r="R49" s="80"/>
      <c r="S49" s="80"/>
      <c r="T49" s="80"/>
      <c r="U49" s="80"/>
      <c r="V49" s="80"/>
      <c r="W49" s="80"/>
      <c r="X49" s="80"/>
      <c r="Y49" s="80"/>
      <c r="Z49" s="80"/>
      <c r="AA49" s="80"/>
      <c r="AB49" s="80"/>
    </row>
    <row r="50" spans="1:28" x14ac:dyDescent="0.2">
      <c r="C50" s="80"/>
      <c r="D50" s="80"/>
      <c r="E50" s="80"/>
      <c r="F50" s="80"/>
      <c r="G50" s="81"/>
      <c r="H50" s="81"/>
      <c r="I50" s="81"/>
      <c r="J50" s="81"/>
      <c r="K50" s="80"/>
      <c r="L50" s="80"/>
      <c r="M50" s="80"/>
      <c r="N50" s="80"/>
      <c r="O50" s="80"/>
      <c r="P50" s="80"/>
      <c r="Q50" s="80"/>
      <c r="R50" s="80"/>
      <c r="S50" s="80"/>
      <c r="T50" s="80"/>
      <c r="U50" s="80"/>
      <c r="V50" s="80"/>
      <c r="W50" s="80"/>
      <c r="X50" s="80"/>
      <c r="Y50" s="80"/>
      <c r="Z50" s="80"/>
      <c r="AA50" s="80"/>
      <c r="AB50" s="80"/>
    </row>
  </sheetData>
  <mergeCells count="28">
    <mergeCell ref="C1:AA1"/>
    <mergeCell ref="A6:A22"/>
    <mergeCell ref="C3:U3"/>
    <mergeCell ref="W3:W4"/>
    <mergeCell ref="Y3:Y4"/>
    <mergeCell ref="Z3:Z4"/>
    <mergeCell ref="AA3:AA4"/>
    <mergeCell ref="A3:B4"/>
    <mergeCell ref="C2:AA2"/>
    <mergeCell ref="X32:X33"/>
    <mergeCell ref="Y32:Y33"/>
    <mergeCell ref="Z32:Z33"/>
    <mergeCell ref="A24:B24"/>
    <mergeCell ref="A26:B26"/>
    <mergeCell ref="A27:B27"/>
    <mergeCell ref="A28:B28"/>
    <mergeCell ref="A31:AA31"/>
    <mergeCell ref="A30:AB30"/>
    <mergeCell ref="AA32:AA33"/>
    <mergeCell ref="A32:B34"/>
    <mergeCell ref="C32:W32"/>
    <mergeCell ref="A49:B49"/>
    <mergeCell ref="A35:A37"/>
    <mergeCell ref="A38:A43"/>
    <mergeCell ref="A44:B44"/>
    <mergeCell ref="A45:B45"/>
    <mergeCell ref="A47:B47"/>
    <mergeCell ref="A48:B48"/>
  </mergeCells>
  <hyperlinks>
    <hyperlink ref="D6" location="'PSUT_Data&amp;Method_2015'!H20" display="'PSUT_Data&amp;Method_2015'!H20"/>
    <hyperlink ref="C7" location="'PSUT_Data&amp;Method_2015'!H3" display="'PSUT_Data&amp;Method_2015'!H3"/>
    <hyperlink ref="C8" location="'PSUT_Data&amp;Method_2015'!H4" display="'PSUT_Data&amp;Method_2015'!H4"/>
    <hyperlink ref="C9" location="'PSUT_Data&amp;Method_2015'!H5" display="'PSUT_Data&amp;Method_2015'!H5"/>
    <hyperlink ref="C10" location="'PSUT_Data&amp;Method_2015'!H6" display="'PSUT_Data&amp;Method_2015'!H6"/>
    <hyperlink ref="C12" location="'PSUT_Data&amp;Method_2015'!H8" display="'PSUT_Data&amp;Method_2015'!H8"/>
    <hyperlink ref="C13" location="'PSUT_Data&amp;Method_2015'!H9" display="'PSUT_Data&amp;Method_2015'!H9"/>
    <hyperlink ref="C14" location="'PSUT_Data&amp;Method_2015'!H10" display="'PSUT_Data&amp;Method_2015'!H10"/>
    <hyperlink ref="C19" location="'PSUT_Data&amp;Method_2015'!H15" display="'PSUT_Data&amp;Method_2015'!H15"/>
    <hyperlink ref="C20" location="'PSUT_Data&amp;Method_2015'!H16" display="'PSUT_Data&amp;Method_2015'!H16"/>
    <hyperlink ref="C21" location="'PSUT_Data&amp;Method_2015'!H17" display="'PSUT_Data&amp;Method_2015'!H17"/>
    <hyperlink ref="C22" location="'PSUT_Data&amp;Method_2015'!H18" display="'PSUT_Data&amp;Method_2015'!H18"/>
    <hyperlink ref="C23" location="'PSUT_Data&amp;Method_2015'!H19" display="'PSUT_Data&amp;Method_2015'!H19"/>
    <hyperlink ref="D7" location="'PSUT_Data&amp;Method_2015'!H21" display="'PSUT_Data&amp;Method_2015'!H21"/>
    <hyperlink ref="D8" location="'PSUT_Data&amp;Method_2015'!H22" display="'PSUT_Data&amp;Method_2015'!H22"/>
    <hyperlink ref="D9" location="'PSUT_Data&amp;Method_2015'!H23" display="'PSUT_Data&amp;Method_2015'!H23"/>
    <hyperlink ref="D10" location="'PSUT_Data&amp;Method_2015'!H24" display="'PSUT_Data&amp;Method_2015'!H24"/>
    <hyperlink ref="D12" location="'PSUT_Data&amp;Method_2015'!H26" display="'PSUT_Data&amp;Method_2015'!H26"/>
    <hyperlink ref="D13" location="'PSUT_Data&amp;Method_2015'!H27" display="'PSUT_Data&amp;Method_2015'!H27"/>
    <hyperlink ref="D14" location="'PSUT_Data&amp;Method_2015'!H28" display="'PSUT_Data&amp;Method_2015'!H28"/>
    <hyperlink ref="D15" location="'PSUT_Data&amp;Method_2015'!H29" display="'PSUT_Data&amp;Method_2015'!H29"/>
    <hyperlink ref="D16" location="'PSUT_Data&amp;Method_2015'!H30" display="'PSUT_Data&amp;Method_2015'!H30"/>
    <hyperlink ref="C35" location="'PSUT_Data&amp;Method_2015'!H405" display="'PSUT_Data&amp;Method_2015'!H405"/>
    <hyperlink ref="C18" location="'PSUT_Data&amp;Method_2015'!H14" display="'PSUT_Data&amp;Method_2015'!H14"/>
    <hyperlink ref="D17:D23" location="'PSUT_Data&amp;Method_2012'!H30" display="'PSUT_Data&amp;Method_2012'!H30"/>
    <hyperlink ref="D17" location="'PSUT_Data&amp;Method_2015'!H31" display="'PSUT_Data&amp;Method_2015'!H31"/>
    <hyperlink ref="D18" location="'PSUT_Data&amp;Method_2015'!H32" display="'PSUT_Data&amp;Method_2015'!H32"/>
    <hyperlink ref="D19" location="'PSUT_Data&amp;Method_2015'!H33" display="'PSUT_Data&amp;Method_2015'!H33"/>
    <hyperlink ref="D20" location="'PSUT_Data&amp;Method_2015'!H34" display="'PSUT_Data&amp;Method_2015'!H34"/>
    <hyperlink ref="D21" location="'PSUT_Data&amp;Method_2015'!H35" display="'PSUT_Data&amp;Method_2015'!H35"/>
    <hyperlink ref="D22" location="'PSUT_Data&amp;Method_2015'!H36" display="'PSUT_Data&amp;Method_2015'!H36"/>
    <hyperlink ref="D23" location="'PSUT_Data&amp;Method_2015'!H37" display="'PSUT_Data&amp;Method_2015'!H37"/>
    <hyperlink ref="E6" location="'PSUT_Data&amp;Method_2015'!H38" display="'PSUT_Data&amp;Method_2015'!H38"/>
    <hyperlink ref="E7:E23" location="'PSUT_Data&amp;Method_2012'!H38" display="'PSUT_Data&amp;Method_2012'!H38"/>
    <hyperlink ref="E7" location="'PSUT_Data&amp;Method_2015'!H39" display="'PSUT_Data&amp;Method_2015'!H39"/>
    <hyperlink ref="E8" location="'PSUT_Data&amp;Method_2015'!H40" display="'PSUT_Data&amp;Method_2015'!H40"/>
    <hyperlink ref="E9" location="'PSUT_Data&amp;Method_2015'!H41" display="'PSUT_Data&amp;Method_2015'!H41"/>
    <hyperlink ref="E10" location="'PSUT_Data&amp;Method_2015'!H42" display="'PSUT_Data&amp;Method_2015'!H42"/>
    <hyperlink ref="E11" location="'PSUT_Data&amp;Method_2015'!H43" display="'PSUT_Data&amp;Method_2015'!H43"/>
    <hyperlink ref="E12" location="'PSUT_Data&amp;Method_2015'!H44" display="'PSUT_Data&amp;Method_2015'!H44"/>
    <hyperlink ref="E13" location="'PSUT_Data&amp;Method_2015'!H45" display="'PSUT_Data&amp;Method_2015'!H45"/>
    <hyperlink ref="E14" location="'PSUT_Data&amp;Method_2015'!H46" display="'PSUT_Data&amp;Method_2015'!H46"/>
    <hyperlink ref="E15" location="'PSUT_Data&amp;Method_2015'!H47" display="'PSUT_Data&amp;Method_2015'!H47"/>
    <hyperlink ref="E16" location="'PSUT_Data&amp;Method_2015'!H48" display="'PSUT_Data&amp;Method_2015'!H48"/>
    <hyperlink ref="E17" location="'PSUT_Data&amp;Method_2015'!H49" display="'PSUT_Data&amp;Method_2015'!H49"/>
    <hyperlink ref="E18" location="'PSUT_Data&amp;Method_2015'!H50" display="'PSUT_Data&amp;Method_2015'!H50"/>
    <hyperlink ref="E19" location="'PSUT_Data&amp;Method_2015'!H51" display="'PSUT_Data&amp;Method_2015'!H51"/>
    <hyperlink ref="E20" location="'PSUT_Data&amp;Method_2015'!H52" display="'PSUT_Data&amp;Method_2015'!H52"/>
    <hyperlink ref="E21" location="'PSUT_Data&amp;Method_2015'!H53" display="'PSUT_Data&amp;Method_2015'!H53"/>
    <hyperlink ref="E22" location="'PSUT_Data&amp;Method_2015'!H54" display="'PSUT_Data&amp;Method_2015'!H54"/>
    <hyperlink ref="E23" location="'PSUT_Data&amp;Method_2015'!H55" display="'PSUT_Data&amp;Method_2015'!H55"/>
    <hyperlink ref="F6" location="'PSUT_Data&amp;Method_2015'!H56" display="'PSUT_Data&amp;Method_2015'!H56"/>
    <hyperlink ref="F7:F23" location="'PSUT_Data&amp;Method_2012'!H56" display="'PSUT_Data&amp;Method_2012'!H56"/>
    <hyperlink ref="F7" location="'PSUT_Data&amp;Method_2015'!H57" display="'PSUT_Data&amp;Method_2015'!H57"/>
    <hyperlink ref="F8" location="'PSUT_Data&amp;Method_2015'!H58" display="'PSUT_Data&amp;Method_2015'!H58"/>
    <hyperlink ref="F9" location="'PSUT_Data&amp;Method_2015'!H59" display="'PSUT_Data&amp;Method_2015'!H59"/>
    <hyperlink ref="F10" location="'PSUT_Data&amp;Method_2015'!H60" display="'PSUT_Data&amp;Method_2015'!H60"/>
    <hyperlink ref="F11" location="'PSUT_Data&amp;Method_2015'!H61" display="'PSUT_Data&amp;Method_2015'!H61"/>
    <hyperlink ref="F12" location="'PSUT_Data&amp;Method_2015'!H62" display="'PSUT_Data&amp;Method_2015'!H62"/>
    <hyperlink ref="F13" location="'PSUT_Data&amp;Method_2015'!H63" display="'PSUT_Data&amp;Method_2015'!H63"/>
    <hyperlink ref="F14" location="'PSUT_Data&amp;Method_2015'!H64" display="'PSUT_Data&amp;Method_2015'!H64"/>
    <hyperlink ref="F15" location="'PSUT_Data&amp;Method_2015'!H65" display="'PSUT_Data&amp;Method_2015'!H65"/>
    <hyperlink ref="F16" location="'PSUT_Data&amp;Method_2015'!H66" display="'PSUT_Data&amp;Method_2015'!H66"/>
    <hyperlink ref="F17" location="'PSUT_Data&amp;Method_2015'!H67" display="'PSUT_Data&amp;Method_2015'!H67"/>
    <hyperlink ref="F18" location="'PSUT_Data&amp;Method_2015'!H68" display="'PSUT_Data&amp;Method_2015'!H68"/>
    <hyperlink ref="F19" location="'PSUT_Data&amp;Method_2015'!H69" display="'PSUT_Data&amp;Method_2015'!H69"/>
    <hyperlink ref="F20" location="'PSUT_Data&amp;Method_2015'!H70" display="'PSUT_Data&amp;Method_2015'!H70"/>
    <hyperlink ref="F21" location="'PSUT_Data&amp;Method_2015'!H71" display="'PSUT_Data&amp;Method_2015'!H71"/>
    <hyperlink ref="F22" location="'PSUT_Data&amp;Method_2015'!H72" display="'PSUT_Data&amp;Method_2015'!H72"/>
    <hyperlink ref="F23" location="'PSUT_Data&amp;Method_2015'!H73" display="'PSUT_Data&amp;Method_2015'!H73"/>
    <hyperlink ref="G6" location="'PSUT_Data&amp;Method_2015'!H74" display="'PSUT_Data&amp;Method_2015'!H74"/>
    <hyperlink ref="G7:G23" location="'PSUT_Data&amp;Method_2012'!H74" display="'PSUT_Data&amp;Method_2012'!H74"/>
    <hyperlink ref="G7" location="'PSUT_Data&amp;Method_2015'!H75" display="'PSUT_Data&amp;Method_2015'!H75"/>
    <hyperlink ref="G8" location="'PSUT_Data&amp;Method_2015'!H76" display="'PSUT_Data&amp;Method_2015'!H76"/>
    <hyperlink ref="G9" location="'PSUT_Data&amp;Method_2015'!H77" display="'PSUT_Data&amp;Method_2015'!H77"/>
    <hyperlink ref="G10" location="'PSUT_Data&amp;Method_2015'!H78" display="'PSUT_Data&amp;Method_2015'!H78"/>
    <hyperlink ref="G11" location="'PSUT_Data&amp;Method_2015'!H79" display="'PSUT_Data&amp;Method_2015'!H79"/>
    <hyperlink ref="G12" location="'PSUT_Data&amp;Method_2015'!H80" display="'PSUT_Data&amp;Method_2015'!H80"/>
    <hyperlink ref="G13" location="'PSUT_Data&amp;Method_2015'!H81" display="'PSUT_Data&amp;Method_2015'!H81"/>
    <hyperlink ref="G14" location="'PSUT_Data&amp;Method_2015'!H82" display="'PSUT_Data&amp;Method_2015'!H82"/>
    <hyperlink ref="G15" location="'PSUT_Data&amp;Method_2015'!H83" display="'PSUT_Data&amp;Method_2015'!H83"/>
    <hyperlink ref="G16" location="'PSUT_Data&amp;Method_2015'!H84" display="'PSUT_Data&amp;Method_2015'!H84"/>
    <hyperlink ref="G17" location="'PSUT_Data&amp;Method_2015'!H85" display="'PSUT_Data&amp;Method_2015'!H85"/>
    <hyperlink ref="G18" location="'PSUT_Data&amp;Method_2015'!H86" display="'PSUT_Data&amp;Method_2015'!H86"/>
    <hyperlink ref="G19" location="'PSUT_Data&amp;Method_2015'!H87" display="'PSUT_Data&amp;Method_2015'!H87"/>
    <hyperlink ref="G20" location="'PSUT_Data&amp;Method_2015'!H88" display="'PSUT_Data&amp;Method_2015'!H88"/>
    <hyperlink ref="G21" location="'PSUT_Data&amp;Method_2015'!H89" display="'PSUT_Data&amp;Method_2015'!H89"/>
    <hyperlink ref="G22" location="'PSUT_Data&amp;Method_2015'!H90" display="'PSUT_Data&amp;Method_2015'!H90"/>
    <hyperlink ref="G23" location="'PSUT_Data&amp;Method_2015'!H91" display="'PSUT_Data&amp;Method_2015'!H91"/>
    <hyperlink ref="H6" location="'PSUT_Data&amp;Method_2015'!H92" display="'PSUT_Data&amp;Method_2015'!H92"/>
    <hyperlink ref="H7:H23" location="'PSUT_Data&amp;Method_2012'!H92" display="'PSUT_Data&amp;Method_2012'!H92"/>
    <hyperlink ref="H7" location="'PSUT_Data&amp;Method_2015'!H93" display="'PSUT_Data&amp;Method_2015'!H93"/>
    <hyperlink ref="H8" location="'PSUT_Data&amp;Method_2015'!H94" display="'PSUT_Data&amp;Method_2015'!H94"/>
    <hyperlink ref="H9" location="'PSUT_Data&amp;Method_2015'!H95" display="'PSUT_Data&amp;Method_2015'!H95"/>
    <hyperlink ref="H10" location="'PSUT_Data&amp;Method_2015'!H96" display="'PSUT_Data&amp;Method_2015'!H96"/>
    <hyperlink ref="H11" location="'PSUT_Data&amp;Method_2015'!H97" display="'PSUT_Data&amp;Method_2015'!H97"/>
    <hyperlink ref="H12" location="'PSUT_Data&amp;Method_2015'!H98" display="'PSUT_Data&amp;Method_2015'!H98"/>
    <hyperlink ref="H13" location="'PSUT_Data&amp;Method_2015'!H99" display="'PSUT_Data&amp;Method_2015'!H99"/>
    <hyperlink ref="H14" location="'PSUT_Data&amp;Method_2015'!H100" display="'PSUT_Data&amp;Method_2015'!H100"/>
    <hyperlink ref="H15" location="'PSUT_Data&amp;Method_2015'!H101" display="'PSUT_Data&amp;Method_2015'!H101"/>
    <hyperlink ref="H16" location="'PSUT_Data&amp;Method_2015'!H102" display="'PSUT_Data&amp;Method_2015'!H102"/>
    <hyperlink ref="H17" location="'PSUT_Data&amp;Method_2015'!H103" display="'PSUT_Data&amp;Method_2015'!H103"/>
    <hyperlink ref="H18" location="'PSUT_Data&amp;Method_2015'!H104" display="'PSUT_Data&amp;Method_2015'!H104"/>
    <hyperlink ref="H19" location="'PSUT_Data&amp;Method_2015'!H105" display="'PSUT_Data&amp;Method_2015'!H105"/>
    <hyperlink ref="H20" location="'PSUT_Data&amp;Method_2015'!H106" display="'PSUT_Data&amp;Method_2015'!H106"/>
    <hyperlink ref="H21" location="'PSUT_Data&amp;Method_2015'!H107" display="'PSUT_Data&amp;Method_2015'!H107"/>
    <hyperlink ref="H22" location="'PSUT_Data&amp;Method_2015'!H108" display="'PSUT_Data&amp;Method_2015'!H108"/>
    <hyperlink ref="H23" location="'PSUT_Data&amp;Method_2015'!H109" display="'PSUT_Data&amp;Method_2015'!H109"/>
    <hyperlink ref="I6" location="'PSUT_Data&amp;Method_2015'!H110" display="'PSUT_Data&amp;Method_2015'!H110"/>
    <hyperlink ref="I7:I23" location="'PSUT_Data&amp;Method_2012'!H110" display="'PSUT_Data&amp;Method_2012'!H110"/>
    <hyperlink ref="I7" location="'PSUT_Data&amp;Method_2015'!H111" display="'PSUT_Data&amp;Method_2015'!H111"/>
    <hyperlink ref="I8" location="'PSUT_Data&amp;Method_2015'!H112" display="'PSUT_Data&amp;Method_2015'!H112"/>
    <hyperlink ref="I9" location="'PSUT_Data&amp;Method_2015'!H113" display="'PSUT_Data&amp;Method_2015'!H113"/>
    <hyperlink ref="I10" location="'PSUT_Data&amp;Method_2015'!H114" display="'PSUT_Data&amp;Method_2015'!H114"/>
    <hyperlink ref="I11" location="'PSUT_Data&amp;Method_2015'!H115" display="'PSUT_Data&amp;Method_2015'!H115"/>
    <hyperlink ref="I12" location="'PSUT_Data&amp;Method_2015'!H116" display="'PSUT_Data&amp;Method_2015'!H116"/>
    <hyperlink ref="I13" location="'PSUT_Data&amp;Method_2015'!H117" display="'PSUT_Data&amp;Method_2015'!H117"/>
    <hyperlink ref="I14" location="'PSUT_Data&amp;Method_2015'!H118" display="'PSUT_Data&amp;Method_2015'!H118"/>
    <hyperlink ref="I15" location="'PSUT_Data&amp;Method_2015'!H119" display="'PSUT_Data&amp;Method_2015'!H119"/>
    <hyperlink ref="I16" location="'PSUT_Data&amp;Method_2015'!H120" display="'PSUT_Data&amp;Method_2015'!H120"/>
    <hyperlink ref="I17" location="'PSUT_Data&amp;Method_2015'!H121" display="'PSUT_Data&amp;Method_2015'!H121"/>
    <hyperlink ref="I18" location="'PSUT_Data&amp;Method_2015'!H122" display="'PSUT_Data&amp;Method_2015'!H122"/>
    <hyperlink ref="I19" location="'PSUT_Data&amp;Method_2015'!H123" display="'PSUT_Data&amp;Method_2015'!H123"/>
    <hyperlink ref="I20" location="'PSUT_Data&amp;Method_2015'!H124" display="'PSUT_Data&amp;Method_2015'!H124"/>
    <hyperlink ref="I21" location="'PSUT_Data&amp;Method_2015'!H125" display="'PSUT_Data&amp;Method_2015'!H125"/>
    <hyperlink ref="I22" location="'PSUT_Data&amp;Method_2015'!H126" display="'PSUT_Data&amp;Method_2015'!H126"/>
    <hyperlink ref="I23" location="'PSUT_Data&amp;Method_2015'!H127" display="'PSUT_Data&amp;Method_2015'!H127"/>
    <hyperlink ref="J6" location="'PSUT_Data&amp;Method_2015'!H128" display="'PSUT_Data&amp;Method_2015'!H128"/>
    <hyperlink ref="J7:J23" location="'PSUT_Data&amp;Method_2012'!H128" display="'PSUT_Data&amp;Method_2012'!H128"/>
    <hyperlink ref="J7" location="'PSUT_Data&amp;Method_2015'!H129" display="'PSUT_Data&amp;Method_2015'!H129"/>
    <hyperlink ref="J8" location="'PSUT_Data&amp;Method_2015'!H130" display="'PSUT_Data&amp;Method_2015'!H130"/>
    <hyperlink ref="J9" location="'PSUT_Data&amp;Method_2015'!H131" display="'PSUT_Data&amp;Method_2015'!H131"/>
    <hyperlink ref="J10" location="'PSUT_Data&amp;Method_2015'!H132" display="'PSUT_Data&amp;Method_2015'!H132"/>
    <hyperlink ref="J11" location="'PSUT_Data&amp;Method_2015'!H133" display="'PSUT_Data&amp;Method_2015'!H133"/>
    <hyperlink ref="J12" location="'PSUT_Data&amp;Method_2015'!H134" display="'PSUT_Data&amp;Method_2015'!H134"/>
    <hyperlink ref="J13" location="'PSUT_Data&amp;Method_2015'!H135" display="'PSUT_Data&amp;Method_2015'!H135"/>
    <hyperlink ref="J14" location="'PSUT_Data&amp;Method_2015'!H136" display="'PSUT_Data&amp;Method_2015'!H136"/>
    <hyperlink ref="J15" location="'PSUT_Data&amp;Method_2015'!H137" display="'PSUT_Data&amp;Method_2015'!H137"/>
    <hyperlink ref="J16" location="'PSUT_Data&amp;Method_2015'!H138" display="'PSUT_Data&amp;Method_2015'!H138"/>
    <hyperlink ref="J17" location="'PSUT_Data&amp;Method_2015'!H139" display="'PSUT_Data&amp;Method_2015'!H139"/>
    <hyperlink ref="J18" location="'PSUT_Data&amp;Method_2015'!H140" display="'PSUT_Data&amp;Method_2015'!H140"/>
    <hyperlink ref="J19" location="'PSUT_Data&amp;Method_2015'!H141" display="'PSUT_Data&amp;Method_2015'!H141"/>
    <hyperlink ref="J20" location="'PSUT_Data&amp;Method_2015'!H142" display="'PSUT_Data&amp;Method_2015'!H142"/>
    <hyperlink ref="J21" location="'PSUT_Data&amp;Method_2015'!H143" display="'PSUT_Data&amp;Method_2015'!H143"/>
    <hyperlink ref="J22" location="'PSUT_Data&amp;Method_2015'!H144" display="'PSUT_Data&amp;Method_2015'!H144"/>
    <hyperlink ref="J23" location="'PSUT_Data&amp;Method_2015'!H145" display="'PSUT_Data&amp;Method_2015'!H145"/>
    <hyperlink ref="K6" location="'PSUT_Data&amp;Method_2015'!H146" display="'PSUT_Data&amp;Method_2015'!H146"/>
    <hyperlink ref="K7:K23" location="'PSUT_Data&amp;Method_2012'!H146" display="'PSUT_Data&amp;Method_2012'!H146"/>
    <hyperlink ref="K7" location="'PSUT_Data&amp;Method_2015'!H147" display="'PSUT_Data&amp;Method_2015'!H147"/>
    <hyperlink ref="K8" location="'PSUT_Data&amp;Method_2015'!H148" display="'PSUT_Data&amp;Method_2015'!H148"/>
    <hyperlink ref="K9" location="'PSUT_Data&amp;Method_2015'!H149" display="'PSUT_Data&amp;Method_2015'!H149"/>
    <hyperlink ref="K10" location="'PSUT_Data&amp;Method_2015'!H150" display="'PSUT_Data&amp;Method_2015'!H150"/>
    <hyperlink ref="K11" location="'PSUT_Data&amp;Method_2015'!H151" display="'PSUT_Data&amp;Method_2015'!H151"/>
    <hyperlink ref="K12" location="'PSUT_Data&amp;Method_2015'!H152" display="'PSUT_Data&amp;Method_2015'!H152"/>
    <hyperlink ref="K13" location="'PSUT_Data&amp;Method_2015'!H153" display="'PSUT_Data&amp;Method_2015'!H153"/>
    <hyperlink ref="K14" location="'PSUT_Data&amp;Method_2015'!H154" display="'PSUT_Data&amp;Method_2015'!H154"/>
    <hyperlink ref="K15" location="'PSUT_Data&amp;Method_2015'!H155" display="'PSUT_Data&amp;Method_2015'!H155"/>
    <hyperlink ref="K16" location="'PSUT_Data&amp;Method_2015'!H156" display="'PSUT_Data&amp;Method_2015'!H156"/>
    <hyperlink ref="K17" location="'PSUT_Data&amp;Method_2015'!H157" display="'PSUT_Data&amp;Method_2015'!H157"/>
    <hyperlink ref="K18" location="'PSUT_Data&amp;Method_2015'!H158" display="'PSUT_Data&amp;Method_2015'!H158"/>
    <hyperlink ref="K19" location="'PSUT_Data&amp;Method_2015'!H159" display="'PSUT_Data&amp;Method_2015'!H159"/>
    <hyperlink ref="K20" location="'PSUT_Data&amp;Method_2015'!H160" display="'PSUT_Data&amp;Method_2015'!H160"/>
    <hyperlink ref="K21" location="'PSUT_Data&amp;Method_2015'!H161" display="'PSUT_Data&amp;Method_2015'!H161"/>
    <hyperlink ref="K22" location="'PSUT_Data&amp;Method_2015'!H162" display="'PSUT_Data&amp;Method_2015'!H162"/>
    <hyperlink ref="K23" location="'PSUT_Data&amp;Method_2015'!H163" display="'PSUT_Data&amp;Method_2015'!H163"/>
    <hyperlink ref="L6" location="'PSUT_Data&amp;Method_2015'!H164" display="'PSUT_Data&amp;Method_2015'!H164"/>
    <hyperlink ref="L7:L23" location="'PSUT_Data&amp;Method_2012'!H164" display="'PSUT_Data&amp;Method_2012'!H164"/>
    <hyperlink ref="L7" location="'PSUT_Data&amp;Method_2015'!H165" display="'PSUT_Data&amp;Method_2015'!H165"/>
    <hyperlink ref="L8" location="'PSUT_Data&amp;Method_2015'!H166" display="'PSUT_Data&amp;Method_2015'!H166"/>
    <hyperlink ref="L9" location="'PSUT_Data&amp;Method_2015'!H167" display="'PSUT_Data&amp;Method_2015'!H167"/>
    <hyperlink ref="L10" location="'PSUT_Data&amp;Method_2015'!H168" display="'PSUT_Data&amp;Method_2015'!H168"/>
    <hyperlink ref="L11" location="'PSUT_Data&amp;Method_2015'!H169" display="'PSUT_Data&amp;Method_2015'!H169"/>
    <hyperlink ref="L12" location="'PSUT_Data&amp;Method_2015'!H170" display="'PSUT_Data&amp;Method_2015'!H170"/>
    <hyperlink ref="L13" location="'PSUT_Data&amp;Method_2015'!H171" display="'PSUT_Data&amp;Method_2015'!H171"/>
    <hyperlink ref="L14" location="'PSUT_Data&amp;Method_2015'!H172" display="'PSUT_Data&amp;Method_2015'!H172"/>
    <hyperlink ref="L15" location="'PSUT_Data&amp;Method_2015'!H173" display="'PSUT_Data&amp;Method_2015'!H173"/>
    <hyperlink ref="L16" location="'PSUT_Data&amp;Method_2015'!H174" display="'PSUT_Data&amp;Method_2015'!H174"/>
    <hyperlink ref="L17" location="'PSUT_Data&amp;Method_2015'!H175" display="'PSUT_Data&amp;Method_2015'!H175"/>
    <hyperlink ref="L18" location="'PSUT_Data&amp;Method_2015'!H176" display="'PSUT_Data&amp;Method_2015'!H176"/>
    <hyperlink ref="L19" location="'PSUT_Data&amp;Method_2015'!H177" display="'PSUT_Data&amp;Method_2015'!H177"/>
    <hyperlink ref="L20" location="'PSUT_Data&amp;Method_2015'!H178" display="'PSUT_Data&amp;Method_2015'!H178"/>
    <hyperlink ref="L21" location="'PSUT_Data&amp;Method_2015'!H179" display="'PSUT_Data&amp;Method_2015'!H179"/>
    <hyperlink ref="L22" location="'PSUT_Data&amp;Method_2015'!H180" display="'PSUT_Data&amp;Method_2015'!H180"/>
    <hyperlink ref="L23" location="'PSUT_Data&amp;Method_2015'!H181" display="'PSUT_Data&amp;Method_2015'!H181"/>
    <hyperlink ref="M6" location="'PSUT_Data&amp;Method_2015'!H182" display="'PSUT_Data&amp;Method_2015'!H182"/>
    <hyperlink ref="M7:M23" location="'PSUT_Data&amp;Method_2012'!H182" display="'PSUT_Data&amp;Method_2012'!H182"/>
    <hyperlink ref="M7" location="'PSUT_Data&amp;Method_2015'!H183" display="'PSUT_Data&amp;Method_2015'!H183"/>
    <hyperlink ref="M8" location="'PSUT_Data&amp;Method_2015'!H184" display="'PSUT_Data&amp;Method_2015'!H184"/>
    <hyperlink ref="M9" location="'PSUT_Data&amp;Method_2015'!H185" display="'PSUT_Data&amp;Method_2015'!H185"/>
    <hyperlink ref="M10" location="'PSUT_Data&amp;Method_2015'!H186" display="'PSUT_Data&amp;Method_2015'!H186"/>
    <hyperlink ref="M11" location="'PSUT_Data&amp;Method_2015'!H187" display="'PSUT_Data&amp;Method_2015'!H187"/>
    <hyperlink ref="M12" location="'PSUT_Data&amp;Method_2015'!H188" display="'PSUT_Data&amp;Method_2015'!H188"/>
    <hyperlink ref="M13" location="'PSUT_Data&amp;Method_2015'!H189" display="'PSUT_Data&amp;Method_2015'!H189"/>
    <hyperlink ref="M14" location="'PSUT_Data&amp;Method_2015'!H190" display="'PSUT_Data&amp;Method_2015'!H190"/>
    <hyperlink ref="M15" location="'PSUT_Data&amp;Method_2015'!H191" display="'PSUT_Data&amp;Method_2015'!H191"/>
    <hyperlink ref="M16" location="'PSUT_Data&amp;Method_2015'!H192" display="'PSUT_Data&amp;Method_2015'!H192"/>
    <hyperlink ref="M17" location="'PSUT_Data&amp;Method_2015'!H193" display="'PSUT_Data&amp;Method_2015'!H193"/>
    <hyperlink ref="M18" location="'PSUT_Data&amp;Method_2015'!H194" display="'PSUT_Data&amp;Method_2015'!H194"/>
    <hyperlink ref="M19" location="'PSUT_Data&amp;Method_2015'!H195" display="'PSUT_Data&amp;Method_2015'!H195"/>
    <hyperlink ref="M20" location="'PSUT_Data&amp;Method_2015'!H196" display="'PSUT_Data&amp;Method_2015'!H196"/>
    <hyperlink ref="M21" location="'PSUT_Data&amp;Method_2015'!H197" display="'PSUT_Data&amp;Method_2015'!H197"/>
    <hyperlink ref="M22" location="'PSUT_Data&amp;Method_2015'!H198" display="'PSUT_Data&amp;Method_2015'!H198"/>
    <hyperlink ref="M23" location="'PSUT_Data&amp;Method_2015'!H199" display="'PSUT_Data&amp;Method_2015'!H199"/>
    <hyperlink ref="N6" location="'PSUT_Data&amp;Method_2015'!H200" display="'PSUT_Data&amp;Method_2015'!H200"/>
    <hyperlink ref="N7:N23" location="'PSUT_Data&amp;Method_2012'!H200" display="'PSUT_Data&amp;Method_2012'!H200"/>
    <hyperlink ref="N7" location="'PSUT_Data&amp;Method_2015'!H201" display="'PSUT_Data&amp;Method_2015'!H201"/>
    <hyperlink ref="N8" location="'PSUT_Data&amp;Method_2015'!H202" display="'PSUT_Data&amp;Method_2015'!H202"/>
    <hyperlink ref="N9" location="'PSUT_Data&amp;Method_2015'!H203" display="'PSUT_Data&amp;Method_2015'!H203"/>
    <hyperlink ref="N10" location="'PSUT_Data&amp;Method_2015'!H204" display="'PSUT_Data&amp;Method_2015'!H204"/>
    <hyperlink ref="N11" location="'PSUT_Data&amp;Method_2015'!H205" display="'PSUT_Data&amp;Method_2015'!H205"/>
    <hyperlink ref="N12" location="'PSUT_Data&amp;Method_2015'!H206" display="'PSUT_Data&amp;Method_2015'!H206"/>
    <hyperlink ref="N13" location="'PSUT_Data&amp;Method_2015'!H207" display="'PSUT_Data&amp;Method_2015'!H207"/>
    <hyperlink ref="N14" location="'PSUT_Data&amp;Method_2015'!H208" display="'PSUT_Data&amp;Method_2015'!H208"/>
    <hyperlink ref="N15" location="'PSUT_Data&amp;Method_2015'!H209" display="'PSUT_Data&amp;Method_2015'!H209"/>
    <hyperlink ref="N16" location="'PSUT_Data&amp;Method_2015'!H210" display="'PSUT_Data&amp;Method_2015'!H210"/>
    <hyperlink ref="N17" location="'PSUT_Data&amp;Method_2015'!H211" display="'PSUT_Data&amp;Method_2015'!H211"/>
    <hyperlink ref="N18" location="'PSUT_Data&amp;Method_2015'!H212" display="'PSUT_Data&amp;Method_2015'!H212"/>
    <hyperlink ref="N19" location="'PSUT_Data&amp;Method_2015'!H213" display="'PSUT_Data&amp;Method_2015'!H213"/>
    <hyperlink ref="N20" location="'PSUT_Data&amp;Method_2015'!H214" display="'PSUT_Data&amp;Method_2015'!H214"/>
    <hyperlink ref="N21" location="'PSUT_Data&amp;Method_2015'!H215" display="'PSUT_Data&amp;Method_2015'!H215"/>
    <hyperlink ref="N22" location="'PSUT_Data&amp;Method_2015'!H216" display="'PSUT_Data&amp;Method_2015'!H216"/>
    <hyperlink ref="N23" location="'PSUT_Data&amp;Method_2015'!H217" display="'PSUT_Data&amp;Method_2015'!H217"/>
    <hyperlink ref="O6" location="'PSUT_Data&amp;Method_2015'!H218" display="'PSUT_Data&amp;Method_2015'!H218"/>
    <hyperlink ref="O7:O23" location="'PSUT_Data&amp;Method_2012'!H218" display="'PSUT_Data&amp;Method_2012'!H218"/>
    <hyperlink ref="O7" location="'PSUT_Data&amp;Method_2015'!H219" display="'PSUT_Data&amp;Method_2015'!H219"/>
    <hyperlink ref="O8" location="'PSUT_Data&amp;Method_2015'!H220" display="'PSUT_Data&amp;Method_2015'!H220"/>
    <hyperlink ref="O9" location="'PSUT_Data&amp;Method_2015'!H221" display="'PSUT_Data&amp;Method_2015'!H221"/>
    <hyperlink ref="O10" location="'PSUT_Data&amp;Method_2015'!H222" display="'PSUT_Data&amp;Method_2015'!H222"/>
    <hyperlink ref="O11" location="'PSUT_Data&amp;Method_2015'!H223" display="'PSUT_Data&amp;Method_2015'!H223"/>
    <hyperlink ref="O12" location="'PSUT_Data&amp;Method_2015'!H224" display="'PSUT_Data&amp;Method_2015'!H224"/>
    <hyperlink ref="O13" location="'PSUT_Data&amp;Method_2015'!H225" display="'PSUT_Data&amp;Method_2015'!H225"/>
    <hyperlink ref="O14" location="'PSUT_Data&amp;Method_2015'!H226" display="'PSUT_Data&amp;Method_2015'!H226"/>
    <hyperlink ref="O15" location="'PSUT_Data&amp;Method_2015'!H227" display="'PSUT_Data&amp;Method_2015'!H227"/>
    <hyperlink ref="O16" location="'PSUT_Data&amp;Method_2015'!H228" display="'PSUT_Data&amp;Method_2015'!H228"/>
    <hyperlink ref="O17" location="'PSUT_Data&amp;Method_2015'!H229" display="'PSUT_Data&amp;Method_2015'!H229"/>
    <hyperlink ref="O18" location="'PSUT_Data&amp;Method_2015'!H230" display="'PSUT_Data&amp;Method_2015'!H230"/>
    <hyperlink ref="O19" location="'PSUT_Data&amp;Method_2015'!H231" display="'PSUT_Data&amp;Method_2015'!H231"/>
    <hyperlink ref="O20" location="'PSUT_Data&amp;Method_2015'!H232" display="'PSUT_Data&amp;Method_2015'!H232"/>
    <hyperlink ref="O21" location="'PSUT_Data&amp;Method_2015'!H233" display="'PSUT_Data&amp;Method_2015'!H233"/>
    <hyperlink ref="O22" location="'PSUT_Data&amp;Method_2015'!H234" display="'PSUT_Data&amp;Method_2015'!H234"/>
    <hyperlink ref="O23" location="'PSUT_Data&amp;Method_2015'!H235" display="'PSUT_Data&amp;Method_2015'!H235"/>
    <hyperlink ref="P6" location="'PSUT_Data&amp;Method_2015'!H236" display="'PSUT_Data&amp;Method_2015'!H236"/>
    <hyperlink ref="P7:P23" location="'PSUT_Data&amp;Method_2012'!H236" display="'PSUT_Data&amp;Method_2012'!H236"/>
    <hyperlink ref="P7" location="'PSUT_Data&amp;Method_2015'!H237" display="'PSUT_Data&amp;Method_2015'!H237"/>
    <hyperlink ref="P8" location="'PSUT_Data&amp;Method_2015'!H238" display="'PSUT_Data&amp;Method_2015'!H238"/>
    <hyperlink ref="P9" location="'PSUT_Data&amp;Method_2015'!H239" display="'PSUT_Data&amp;Method_2015'!H239"/>
    <hyperlink ref="P10" location="'PSUT_Data&amp;Method_2015'!H240" display="'PSUT_Data&amp;Method_2015'!H240"/>
    <hyperlink ref="P11" location="'PSUT_Data&amp;Method_2015'!H241" display="'PSUT_Data&amp;Method_2015'!H241"/>
    <hyperlink ref="P12" location="'PSUT_Data&amp;Method_2015'!H242" display="'PSUT_Data&amp;Method_2015'!H242"/>
    <hyperlink ref="P13" location="'PSUT_Data&amp;Method_2015'!H243" display="'PSUT_Data&amp;Method_2015'!H243"/>
    <hyperlink ref="P14" location="'PSUT_Data&amp;Method_2015'!H244" display="'PSUT_Data&amp;Method_2015'!H244"/>
    <hyperlink ref="P15" location="'PSUT_Data&amp;Method_2015'!H245" display="'PSUT_Data&amp;Method_2015'!H245"/>
    <hyperlink ref="P16" location="'PSUT_Data&amp;Method_2015'!H246" display="'PSUT_Data&amp;Method_2015'!H246"/>
    <hyperlink ref="P17" location="'PSUT_Data&amp;Method_2015'!H247" display="'PSUT_Data&amp;Method_2015'!H247"/>
    <hyperlink ref="P18" location="'PSUT_Data&amp;Method_2015'!H248" display="'PSUT_Data&amp;Method_2015'!H248"/>
    <hyperlink ref="P19" location="'PSUT_Data&amp;Method_2015'!H249" display="'PSUT_Data&amp;Method_2015'!H249"/>
    <hyperlink ref="P20" location="'PSUT_Data&amp;Method_2015'!H250" display="'PSUT_Data&amp;Method_2015'!H250"/>
    <hyperlink ref="P21" location="'PSUT_Data&amp;Method_2015'!H251" display="'PSUT_Data&amp;Method_2015'!H251"/>
    <hyperlink ref="P22" location="'PSUT_Data&amp;Method_2015'!H252" display="'PSUT_Data&amp;Method_2015'!H252"/>
    <hyperlink ref="P23" location="'PSUT_Data&amp;Method_2015'!H253" display="'PSUT_Data&amp;Method_2015'!H253"/>
    <hyperlink ref="Q6" location="'PSUT_Data&amp;Method_2015'!H254" display="'PSUT_Data&amp;Method_2015'!H254"/>
    <hyperlink ref="Q7:Q23" location="'PSUT_Data&amp;Method_2012'!H254" display="'PSUT_Data&amp;Method_2012'!H254"/>
    <hyperlink ref="Q7" location="'PSUT_Data&amp;Method_2015'!H255" display="'PSUT_Data&amp;Method_2015'!H255"/>
    <hyperlink ref="Q8" location="'PSUT_Data&amp;Method_2015'!H256" display="'PSUT_Data&amp;Method_2015'!H256"/>
    <hyperlink ref="Q9" location="'PSUT_Data&amp;Method_2015'!H257" display="'PSUT_Data&amp;Method_2015'!H257"/>
    <hyperlink ref="Q10" location="'PSUT_Data&amp;Method_2015'!H258" display="'PSUT_Data&amp;Method_2015'!H258"/>
    <hyperlink ref="Q11" location="'PSUT_Data&amp;Method_2015'!H259" display="'PSUT_Data&amp;Method_2015'!H259"/>
    <hyperlink ref="Q12" location="'PSUT_Data&amp;Method_2015'!H260" display="'PSUT_Data&amp;Method_2015'!H260"/>
    <hyperlink ref="Q13" location="'PSUT_Data&amp;Method_2015'!H261" display="'PSUT_Data&amp;Method_2015'!H261"/>
    <hyperlink ref="Q14" location="'PSUT_Data&amp;Method_2015'!H262" display="'PSUT_Data&amp;Method_2015'!H262"/>
    <hyperlink ref="Q15" location="'PSUT_Data&amp;Method_2015'!H263" display="'PSUT_Data&amp;Method_2015'!H263"/>
    <hyperlink ref="Q16" location="'PSUT_Data&amp;Method_2015'!H264" display="'PSUT_Data&amp;Method_2015'!H264"/>
    <hyperlink ref="Q17" location="'PSUT_Data&amp;Method_2015'!H265" display="'PSUT_Data&amp;Method_2015'!H265"/>
    <hyperlink ref="Q18" location="'PSUT_Data&amp;Method_2015'!H266" display="'PSUT_Data&amp;Method_2015'!H266"/>
    <hyperlink ref="Q19" location="'PSUT_Data&amp;Method_2015'!H267" display="'PSUT_Data&amp;Method_2015'!H267"/>
    <hyperlink ref="Q20" location="'PSUT_Data&amp;Method_2015'!H268" display="'PSUT_Data&amp;Method_2015'!H268"/>
    <hyperlink ref="Q21" location="'PSUT_Data&amp;Method_2015'!H269" display="'PSUT_Data&amp;Method_2015'!H269"/>
    <hyperlink ref="Q22" location="'PSUT_Data&amp;Method_2015'!H270" display="'PSUT_Data&amp;Method_2015'!H270"/>
    <hyperlink ref="Q23" location="'PSUT_Data&amp;Method_2015'!H271" display="'PSUT_Data&amp;Method_2015'!H271"/>
    <hyperlink ref="R6" location="'PSUT_Data&amp;Method_2015'!H272" display="'PSUT_Data&amp;Method_2015'!H272"/>
    <hyperlink ref="R7:R23" location="'PSUT_Data&amp;Method_2012'!H272" display="'PSUT_Data&amp;Method_2012'!H272"/>
    <hyperlink ref="R7" location="'PSUT_Data&amp;Method_2015'!H273" display="'PSUT_Data&amp;Method_2015'!H273"/>
    <hyperlink ref="R8" location="'PSUT_Data&amp;Method_2015'!H274" display="'PSUT_Data&amp;Method_2015'!H274"/>
    <hyperlink ref="R9" location="'PSUT_Data&amp;Method_2015'!H275" display="'PSUT_Data&amp;Method_2015'!H275"/>
    <hyperlink ref="R10" location="'PSUT_Data&amp;Method_2015'!H276" display="'PSUT_Data&amp;Method_2015'!H276"/>
    <hyperlink ref="R11" location="'PSUT_Data&amp;Method_2015'!H277" display="'PSUT_Data&amp;Method_2015'!H277"/>
    <hyperlink ref="R12" location="'PSUT_Data&amp;Method_2015'!H278" display="'PSUT_Data&amp;Method_2015'!H278"/>
    <hyperlink ref="R13" location="'PSUT_Data&amp;Method_2015'!H279" display="'PSUT_Data&amp;Method_2015'!H279"/>
    <hyperlink ref="R14" location="'PSUT_Data&amp;Method_2015'!H280" display="'PSUT_Data&amp;Method_2015'!H280"/>
    <hyperlink ref="R15" location="'PSUT_Data&amp;Method_2015'!H281" display="'PSUT_Data&amp;Method_2015'!H281"/>
    <hyperlink ref="R16" location="'PSUT_Data&amp;Method_2015'!H282" display="'PSUT_Data&amp;Method_2015'!H282"/>
    <hyperlink ref="R17" location="'PSUT_Data&amp;Method_2015'!H283" display="'PSUT_Data&amp;Method_2015'!H283"/>
    <hyperlink ref="R18" location="'PSUT_Data&amp;Method_2015'!H284" display="'PSUT_Data&amp;Method_2015'!H284"/>
    <hyperlink ref="R19" location="'PSUT_Data&amp;Method_2015'!H285" display="'PSUT_Data&amp;Method_2015'!H285"/>
    <hyperlink ref="R20" location="'PSUT_Data&amp;Method_2015'!H286" display="'PSUT_Data&amp;Method_2015'!H286"/>
    <hyperlink ref="R21" location="'PSUT_Data&amp;Method_2015'!H287" display="'PSUT_Data&amp;Method_2015'!H287"/>
    <hyperlink ref="R22" location="'PSUT_Data&amp;Method_2015'!H288" display="'PSUT_Data&amp;Method_2015'!H288"/>
    <hyperlink ref="R23" location="'PSUT_Data&amp;Method_2015'!H289" display="'PSUT_Data&amp;Method_2015'!H289"/>
    <hyperlink ref="S6" location="'PSUT_Data&amp;Method_2015'!H290" display="'PSUT_Data&amp;Method_2015'!H290"/>
    <hyperlink ref="S7:S23" location="'PSUT_Data&amp;Method_2012'!H290" display="'PSUT_Data&amp;Method_2012'!H290"/>
    <hyperlink ref="S7" location="'PSUT_Data&amp;Method_2015'!H291" display="'PSUT_Data&amp;Method_2015'!H291"/>
    <hyperlink ref="S8" location="'PSUT_Data&amp;Method_2015'!H292" display="'PSUT_Data&amp;Method_2015'!H292"/>
    <hyperlink ref="S9" location="'PSUT_Data&amp;Method_2015'!H293" display="'PSUT_Data&amp;Method_2015'!H293"/>
    <hyperlink ref="S10" location="'PSUT_Data&amp;Method_2015'!H294" display="'PSUT_Data&amp;Method_2015'!H294"/>
    <hyperlink ref="S11" location="'PSUT_Data&amp;Method_2015'!H295" display="'PSUT_Data&amp;Method_2015'!H295"/>
    <hyperlink ref="S12" location="'PSUT_Data&amp;Method_2015'!H296" display="'PSUT_Data&amp;Method_2015'!H296"/>
    <hyperlink ref="S13" location="'PSUT_Data&amp;Method_2015'!H297" display="'PSUT_Data&amp;Method_2015'!H297"/>
    <hyperlink ref="S14" location="'PSUT_Data&amp;Method_2015'!H298" display="'PSUT_Data&amp;Method_2015'!H298"/>
    <hyperlink ref="S15" location="'PSUT_Data&amp;Method_2015'!H299" display="'PSUT_Data&amp;Method_2015'!H299"/>
    <hyperlink ref="S16" location="'PSUT_Data&amp;Method_2015'!H300" display="'PSUT_Data&amp;Method_2015'!H300"/>
    <hyperlink ref="S17" location="'PSUT_Data&amp;Method_2015'!H301" display="'PSUT_Data&amp;Method_2015'!H301"/>
    <hyperlink ref="S18" location="'PSUT_Data&amp;Method_2015'!H302" display="'PSUT_Data&amp;Method_2015'!H302"/>
    <hyperlink ref="S19" location="'PSUT_Data&amp;Method_2015'!H303" display="'PSUT_Data&amp;Method_2015'!H303"/>
    <hyperlink ref="S20" location="'PSUT_Data&amp;Method_2015'!H304" display="'PSUT_Data&amp;Method_2015'!H304"/>
    <hyperlink ref="S21" location="'PSUT_Data&amp;Method_2015'!H305" display="'PSUT_Data&amp;Method_2015'!H305"/>
    <hyperlink ref="S22" location="'PSUT_Data&amp;Method_2015'!H306" display="'PSUT_Data&amp;Method_2015'!H306"/>
    <hyperlink ref="S23" location="'PSUT_Data&amp;Method_2015'!H307" display="'PSUT_Data&amp;Method_2015'!H307"/>
    <hyperlink ref="T6" location="'PSUT_Data&amp;Method_2015'!H308" display="'PSUT_Data&amp;Method_2015'!H308"/>
    <hyperlink ref="T7:T23" location="'PSUT_Data&amp;Method_2012'!H308" display="'PSUT_Data&amp;Method_2012'!H308"/>
    <hyperlink ref="T7" location="'PSUT_Data&amp;Method_2015'!H309" display="'PSUT_Data&amp;Method_2015'!H309"/>
    <hyperlink ref="T8" location="'PSUT_Data&amp;Method_2015'!H310" display="'PSUT_Data&amp;Method_2015'!H310"/>
    <hyperlink ref="T9" location="'PSUT_Data&amp;Method_2015'!H311" display="'PSUT_Data&amp;Method_2015'!H311"/>
    <hyperlink ref="T10" location="'PSUT_Data&amp;Method_2015'!H312" display="'PSUT_Data&amp;Method_2015'!H312"/>
    <hyperlink ref="T11" location="'PSUT_Data&amp;Method_2015'!H313" display="'PSUT_Data&amp;Method_2015'!H313"/>
    <hyperlink ref="T12" location="'PSUT_Data&amp;Method_2015'!H314" display="'PSUT_Data&amp;Method_2015'!H314"/>
    <hyperlink ref="T13" location="'PSUT_Data&amp;Method_2015'!H315" display="'PSUT_Data&amp;Method_2015'!H315"/>
    <hyperlink ref="T14" location="'PSUT_Data&amp;Method_2015'!H316" display="'PSUT_Data&amp;Method_2015'!H316"/>
    <hyperlink ref="T15" location="'PSUT_Data&amp;Method_2015'!H317" display="'PSUT_Data&amp;Method_2015'!H317"/>
    <hyperlink ref="T16" location="'PSUT_Data&amp;Method_2015'!H318" display="'PSUT_Data&amp;Method_2015'!H318"/>
    <hyperlink ref="T17" location="'PSUT_Data&amp;Method_2015'!H319" display="'PSUT_Data&amp;Method_2015'!H319"/>
    <hyperlink ref="T18" location="'PSUT_Data&amp;Method_2015'!H320" display="'PSUT_Data&amp;Method_2015'!H320"/>
    <hyperlink ref="T19" location="'PSUT_Data&amp;Method_2015'!H321" display="'PSUT_Data&amp;Method_2015'!H321"/>
    <hyperlink ref="T20" location="'PSUT_Data&amp;Method_2015'!H322" display="'PSUT_Data&amp;Method_2015'!H322"/>
    <hyperlink ref="T21" location="'PSUT_Data&amp;Method_2015'!H323" display="'PSUT_Data&amp;Method_2015'!H323"/>
    <hyperlink ref="T22" location="'PSUT_Data&amp;Method_2015'!H324" display="'PSUT_Data&amp;Method_2015'!H324"/>
    <hyperlink ref="T23" location="'PSUT_Data&amp;Method_2015'!H325" display="'PSUT_Data&amp;Method_2015'!H325"/>
    <hyperlink ref="U6" location="'PSUT_Data&amp;Method_2015'!H326" display="'PSUT_Data&amp;Method_2015'!H326"/>
    <hyperlink ref="U7:U23" location="'PSUT_Data&amp;Method_2012'!H326" display="'PSUT_Data&amp;Method_2012'!H326"/>
    <hyperlink ref="U7" location="'PSUT_Data&amp;Method_2015'!H327" display="'PSUT_Data&amp;Method_2015'!H327"/>
    <hyperlink ref="U8" location="'PSUT_Data&amp;Method_2015'!H328" display="'PSUT_Data&amp;Method_2015'!H328"/>
    <hyperlink ref="U9" location="'PSUT_Data&amp;Method_2015'!H329" display="'PSUT_Data&amp;Method_2015'!H329"/>
    <hyperlink ref="U10" location="'PSUT_Data&amp;Method_2015'!H330" display="'PSUT_Data&amp;Method_2015'!H330"/>
    <hyperlink ref="U11" location="'PSUT_Data&amp;Method_2015'!H331" display="'PSUT_Data&amp;Method_2015'!H331"/>
    <hyperlink ref="U12" location="'PSUT_Data&amp;Method_2015'!H332" display="'PSUT_Data&amp;Method_2015'!H332"/>
    <hyperlink ref="U13" location="'PSUT_Data&amp;Method_2015'!H333" display="'PSUT_Data&amp;Method_2015'!H333"/>
    <hyperlink ref="U14" location="'PSUT_Data&amp;Method_2015'!H334" display="'PSUT_Data&amp;Method_2015'!H334"/>
    <hyperlink ref="U15" location="'PSUT_Data&amp;Method_2015'!H335" display="'PSUT_Data&amp;Method_2015'!H335"/>
    <hyperlink ref="U16" location="'PSUT_Data&amp;Method_2015'!H336" display="'PSUT_Data&amp;Method_2015'!H336"/>
    <hyperlink ref="U17" location="'PSUT_Data&amp;Method_2015'!H337" display="'PSUT_Data&amp;Method_2015'!H337"/>
    <hyperlink ref="U18" location="'PSUT_Data&amp;Method_2015'!H338" display="'PSUT_Data&amp;Method_2015'!H338"/>
    <hyperlink ref="U19" location="'PSUT_Data&amp;Method_2015'!H339" display="'PSUT_Data&amp;Method_2015'!H339"/>
    <hyperlink ref="U20" location="'PSUT_Data&amp;Method_2015'!H340" display="'PSUT_Data&amp;Method_2015'!H340"/>
    <hyperlink ref="U21" location="'PSUT_Data&amp;Method_2015'!H341" display="'PSUT_Data&amp;Method_2015'!H341"/>
    <hyperlink ref="U22" location="'PSUT_Data&amp;Method_2015'!H342" display="'PSUT_Data&amp;Method_2015'!H342"/>
    <hyperlink ref="U23" location="'PSUT_Data&amp;Method_2015'!H343" display="'PSUT_Data&amp;Method_2015'!H343"/>
    <hyperlink ref="V6" location="'PSUT_Data&amp;Method_2015'!H344" display="'PSUT_Data&amp;Method_2015'!H344"/>
    <hyperlink ref="V7:V23" location="'PSUT_Data&amp;Method_2012'!H344" display="'PSUT_Data&amp;Method_2012'!H344"/>
    <hyperlink ref="V7" location="'PSUT_Data&amp;Method_2015'!H345" display="'PSUT_Data&amp;Method_2015'!H345"/>
    <hyperlink ref="V8" location="'PSUT_Data&amp;Method_2015'!H346" display="'PSUT_Data&amp;Method_2015'!H346"/>
    <hyperlink ref="V9" location="'PSUT_Data&amp;Method_2015'!H347" display="'PSUT_Data&amp;Method_2015'!H347"/>
    <hyperlink ref="V10" location="'PSUT_Data&amp;Method_2015'!H348" display="'PSUT_Data&amp;Method_2015'!H348"/>
    <hyperlink ref="V11" location="'PSUT_Data&amp;Method_2015'!H349" display="'PSUT_Data&amp;Method_2015'!H349"/>
    <hyperlink ref="V12" location="'PSUT_Data&amp;Method_2015'!H350" display="'PSUT_Data&amp;Method_2015'!H350"/>
    <hyperlink ref="V13" location="'PSUT_Data&amp;Method_2015'!H351" display="'PSUT_Data&amp;Method_2015'!H351"/>
    <hyperlink ref="V14" location="'PSUT_Data&amp;Method_2015'!H352" display="'PSUT_Data&amp;Method_2015'!H352"/>
    <hyperlink ref="V15" location="'PSUT_Data&amp;Method_2015'!H353" display="'PSUT_Data&amp;Method_2015'!H353"/>
    <hyperlink ref="V16" location="'PSUT_Data&amp;Method_2015'!H354" display="'PSUT_Data&amp;Method_2015'!H354"/>
    <hyperlink ref="V17" location="'PSUT_Data&amp;Method_2015'!H355" display="'PSUT_Data&amp;Method_2015'!H355"/>
    <hyperlink ref="V18" location="'PSUT_Data&amp;Method_2015'!H356" display="'PSUT_Data&amp;Method_2015'!H356"/>
    <hyperlink ref="V19" location="'PSUT_Data&amp;Method_2015'!H357" display="'PSUT_Data&amp;Method_2015'!H357"/>
    <hyperlink ref="V20" location="'PSUT_Data&amp;Method_2015'!H358" display="'PSUT_Data&amp;Method_2015'!H358"/>
    <hyperlink ref="V21" location="'PSUT_Data&amp;Method_2015'!H359" display="'PSUT_Data&amp;Method_2015'!H359"/>
    <hyperlink ref="V22" location="'PSUT_Data&amp;Method_2015'!H360" display="'PSUT_Data&amp;Method_2015'!H360"/>
    <hyperlink ref="V23" location="'PSUT_Data&amp;Method_2015'!H361" display="'PSUT_Data&amp;Method_2015'!H361"/>
    <hyperlink ref="X6" location="'PSUT_Data&amp;Method_2015'!H365" display="'PSUT_Data&amp;Method_2015'!H365"/>
    <hyperlink ref="X7:X23" location="'PSUT_Data&amp;Method_2012'!H365" display="'PSUT_Data&amp;Method_2012'!H365"/>
    <hyperlink ref="X7" location="'PSUT_Data&amp;Method_2015'!H366" display="'PSUT_Data&amp;Method_2015'!H366"/>
    <hyperlink ref="X8" location="'PSUT_Data&amp;Method_2015'!H367" display="'PSUT_Data&amp;Method_2015'!H367"/>
    <hyperlink ref="X9" location="'PSUT_Data&amp;Method_2015'!H368" display="'PSUT_Data&amp;Method_2015'!H368"/>
    <hyperlink ref="X10" location="'PSUT_Data&amp;Method_2015'!H369" display="'PSUT_Data&amp;Method_2015'!H369"/>
    <hyperlink ref="X11" location="'PSUT_Data&amp;Method_2015'!H370" display="'PSUT_Data&amp;Method_2015'!H370"/>
    <hyperlink ref="X12" location="'PSUT_Data&amp;Method_2015'!H371" display="'PSUT_Data&amp;Method_2015'!H371"/>
    <hyperlink ref="X13" location="'PSUT_Data&amp;Method_2015'!H372" display="'PSUT_Data&amp;Method_2015'!H372"/>
    <hyperlink ref="X14" location="'PSUT_Data&amp;Method_2015'!H373" display="'PSUT_Data&amp;Method_2015'!H373"/>
    <hyperlink ref="X15" location="'PSUT_Data&amp;Method_2015'!H374" display="'PSUT_Data&amp;Method_2015'!H374"/>
    <hyperlink ref="X16" location="'PSUT_Data&amp;Method_2015'!H375" display="'PSUT_Data&amp;Method_2015'!H375"/>
    <hyperlink ref="X17" location="'PSUT_Data&amp;Method_2015'!H376" display="'PSUT_Data&amp;Method_2015'!H376"/>
    <hyperlink ref="X18" location="'PSUT_Data&amp;Method_2015'!H377" display="'PSUT_Data&amp;Method_2015'!H377"/>
    <hyperlink ref="X19" location="'PSUT_Data&amp;Method_2015'!H378" display="'PSUT_Data&amp;Method_2015'!H378"/>
    <hyperlink ref="X20" location="'PSUT_Data&amp;Method_2015'!H379" display="'PSUT_Data&amp;Method_2015'!H379"/>
    <hyperlink ref="X21" location="'PSUT_Data&amp;Method_2015'!H380" display="'PSUT_Data&amp;Method_2015'!H380"/>
    <hyperlink ref="X22" location="'PSUT_Data&amp;Method_2015'!H381" display="'PSUT_Data&amp;Method_2015'!H381"/>
    <hyperlink ref="X23" location="'PSUT_Data&amp;Method_2015'!H382" display="'PSUT_Data&amp;Method_2015'!H382"/>
    <hyperlink ref="Y6" location="'PSUT_Data&amp;Method_2015'!H383" display="'PSUT_Data&amp;Method_2015'!H383"/>
    <hyperlink ref="Y7:Y23" location="'PSUT_Data&amp;Method_2012'!H383" display="'PSUT_Data&amp;Method_2012'!H383"/>
    <hyperlink ref="Y7" location="'PSUT_Data&amp;Method_2015'!H384" display="'PSUT_Data&amp;Method_2015'!H384"/>
    <hyperlink ref="Y8" location="'PSUT_Data&amp;Method_2015'!H385" display="'PSUT_Data&amp;Method_2015'!H385"/>
    <hyperlink ref="Y9" location="'PSUT_Data&amp;Method_2015'!H386" display="'PSUT_Data&amp;Method_2015'!H386"/>
    <hyperlink ref="Y10" location="'PSUT_Data&amp;Method_2015'!H387" display="'PSUT_Data&amp;Method_2015'!H387"/>
    <hyperlink ref="Y11" location="'PSUT_Data&amp;Method_2015'!H388" display="'PSUT_Data&amp;Method_2015'!H388"/>
    <hyperlink ref="Y12" location="'PSUT_Data&amp;Method_2015'!H389" display="'PSUT_Data&amp;Method_2015'!H389"/>
    <hyperlink ref="Y13" location="'PSUT_Data&amp;Method_2015'!H390" display="'PSUT_Data&amp;Method_2015'!H390"/>
    <hyperlink ref="Y14" location="'PSUT_Data&amp;Method_2015'!H391" display="'PSUT_Data&amp;Method_2015'!H391"/>
    <hyperlink ref="Y15" location="'PSUT_Data&amp;Method_2015'!H392" display="'PSUT_Data&amp;Method_2015'!H392"/>
    <hyperlink ref="Y16" location="'PSUT_Data&amp;Method_2015'!H393" display="'PSUT_Data&amp;Method_2015'!H393"/>
    <hyperlink ref="Y17" location="'PSUT_Data&amp;Method_2015'!H394" display="'PSUT_Data&amp;Method_2015'!H394"/>
    <hyperlink ref="Y18" location="'PSUT_Data&amp;Method_2015'!H395" display="'PSUT_Data&amp;Method_2015'!H395"/>
    <hyperlink ref="Y19" location="'PSUT_Data&amp;Method_2015'!H396" display="'PSUT_Data&amp;Method_2015'!H396"/>
    <hyperlink ref="Y20" location="'PSUT_Data&amp;Method_2015'!H397" display="'PSUT_Data&amp;Method_2015'!H397"/>
    <hyperlink ref="Y21" location="'PSUT_Data&amp;Method_2015'!H398" display="'PSUT_Data&amp;Method_2015'!H398"/>
    <hyperlink ref="Y22" location="'PSUT_Data&amp;Method_2015'!H399" display="'PSUT_Data&amp;Method_2015'!H399"/>
    <hyperlink ref="Y23" location="'PSUT_Data&amp;Method_2015'!H400" display="'PSUT_Data&amp;Method_2015'!H400"/>
    <hyperlink ref="C36:C43" location="'PSUT_Data&amp;Method_2012'!H405" display="'PSUT_Data&amp;Method_2012'!H405"/>
    <hyperlink ref="C36" location="'PSUT_Data&amp;Method_2015'!H406" display="'PSUT_Data&amp;Method_2015'!H406"/>
    <hyperlink ref="C37" location="'PSUT_Data&amp;Method_2015'!H407" display="'PSUT_Data&amp;Method_2015'!H407"/>
    <hyperlink ref="C38" location="'PSUT_Data&amp;Method_2015'!H408" display="'PSUT_Data&amp;Method_2015'!H408"/>
    <hyperlink ref="C39" location="'PSUT_Data&amp;Method_2015'!H409" display="'PSUT_Data&amp;Method_2015'!H409"/>
    <hyperlink ref="C40" location="'PSUT_Data&amp;Method_2015'!H410" display="'PSUT_Data&amp;Method_2015'!H410"/>
    <hyperlink ref="C41" location="'PSUT_Data&amp;Method_2015'!H411" display="'PSUT_Data&amp;Method_2015'!H411"/>
    <hyperlink ref="C42" location="'PSUT_Data&amp;Method_2015'!H412" display="'PSUT_Data&amp;Method_2015'!H412"/>
    <hyperlink ref="C43" location="'PSUT_Data&amp;Method_2015'!H413" display="'PSUT_Data&amp;Method_2015'!H413"/>
    <hyperlink ref="D35" location="'PSUT_Data&amp;Method_2015'!H414" display="'PSUT_Data&amp;Method_2015'!H414"/>
    <hyperlink ref="D36:D43" location="'PSUT_Data&amp;Method_2012'!H414" display="'PSUT_Data&amp;Method_2012'!H414"/>
    <hyperlink ref="D36" location="'PSUT_Data&amp;Method_2015'!H415" display="'PSUT_Data&amp;Method_2015'!H415"/>
    <hyperlink ref="D37" location="'PSUT_Data&amp;Method_2015'!H416" display="'PSUT_Data&amp;Method_2015'!H416"/>
    <hyperlink ref="D38" location="'PSUT_Data&amp;Method_2015'!H417" display="'PSUT_Data&amp;Method_2015'!H417"/>
    <hyperlink ref="D39" location="'PSUT_Data&amp;Method_2015'!H418" display="'PSUT_Data&amp;Method_2015'!H418"/>
    <hyperlink ref="D40" location="'PSUT_Data&amp;Method_2015'!H419" display="'PSUT_Data&amp;Method_2015'!H419"/>
    <hyperlink ref="D41" location="'PSUT_Data&amp;Method_2015'!H420" display="'PSUT_Data&amp;Method_2015'!H420"/>
    <hyperlink ref="D42" location="'PSUT_Data&amp;Method_2015'!H421" display="'PSUT_Data&amp;Method_2015'!H421"/>
    <hyperlink ref="D43" location="'PSUT_Data&amp;Method_2015'!H422" display="'PSUT_Data&amp;Method_2015'!H422"/>
    <hyperlink ref="E35" location="'PSUT_Data&amp;Method_2015'!H423" display="'PSUT_Data&amp;Method_2015'!H423"/>
    <hyperlink ref="E36:E43" location="'PSUT_Data&amp;Method_2012'!H423" display="'PSUT_Data&amp;Method_2012'!H423"/>
    <hyperlink ref="E36" location="'PSUT_Data&amp;Method_2015'!H424" display="'PSUT_Data&amp;Method_2015'!H424"/>
    <hyperlink ref="E37" location="'PSUT_Data&amp;Method_2015'!H425" display="'PSUT_Data&amp;Method_2015'!H425"/>
    <hyperlink ref="E38" location="'PSUT_Data&amp;Method_2015'!H426" display="'PSUT_Data&amp;Method_2015'!H426"/>
    <hyperlink ref="E39" location="'PSUT_Data&amp;Method_2015'!H427" display="'PSUT_Data&amp;Method_2015'!H427"/>
    <hyperlink ref="E40" location="'PSUT_Data&amp;Method_2015'!H428" display="'PSUT_Data&amp;Method_2015'!H428"/>
    <hyperlink ref="E41" location="'PSUT_Data&amp;Method_2015'!H429" display="'PSUT_Data&amp;Method_2015'!H429"/>
    <hyperlink ref="E42" location="'PSUT_Data&amp;Method_2015'!H430" display="'PSUT_Data&amp;Method_2015'!H430"/>
    <hyperlink ref="E43" location="'PSUT_Data&amp;Method_2015'!H431" display="'PSUT_Data&amp;Method_2015'!H431"/>
    <hyperlink ref="F35" location="'PSUT_Data&amp;Method_2015'!H432" display="'PSUT_Data&amp;Method_2015'!H432"/>
    <hyperlink ref="F36:F43" location="'PSUT_Data&amp;Method_2012'!H432" display="'PSUT_Data&amp;Method_2012'!H432"/>
    <hyperlink ref="F36" location="'PSUT_Data&amp;Method_2015'!H433" display="'PSUT_Data&amp;Method_2015'!H433"/>
    <hyperlink ref="F37" location="'PSUT_Data&amp;Method_2015'!H434" display="'PSUT_Data&amp;Method_2015'!H434"/>
    <hyperlink ref="F38" location="'PSUT_Data&amp;Method_2015'!H435" display="'PSUT_Data&amp;Method_2015'!H435"/>
    <hyperlink ref="F39" location="'PSUT_Data&amp;Method_2015'!H436" display="'PSUT_Data&amp;Method_2015'!H436"/>
    <hyperlink ref="F40" location="'PSUT_Data&amp;Method_2015'!H437" display="'PSUT_Data&amp;Method_2015'!H437"/>
    <hyperlink ref="F41" location="'PSUT_Data&amp;Method_2015'!H438" display="'PSUT_Data&amp;Method_2015'!H438"/>
    <hyperlink ref="F42" location="'PSUT_Data&amp;Method_2015'!H439" display="'PSUT_Data&amp;Method_2015'!H439"/>
    <hyperlink ref="F43" location="'PSUT_Data&amp;Method_2015'!H440" display="'PSUT_Data&amp;Method_2015'!H440"/>
    <hyperlink ref="G35" location="'PSUT_Data&amp;Method_2015'!H441" display="'PSUT_Data&amp;Method_2015'!H441"/>
    <hyperlink ref="G36:G43" location="'PSUT_Data&amp;Method_2012'!H441" display="'PSUT_Data&amp;Method_2012'!H441"/>
    <hyperlink ref="G36" location="'PSUT_Data&amp;Method_2015'!H442" display="'PSUT_Data&amp;Method_2015'!H442"/>
    <hyperlink ref="G37" location="'PSUT_Data&amp;Method_2015'!H443" display="'PSUT_Data&amp;Method_2015'!H443"/>
    <hyperlink ref="G38" location="'PSUT_Data&amp;Method_2015'!H444" display="'PSUT_Data&amp;Method_2015'!H444"/>
    <hyperlink ref="G39" location="'PSUT_Data&amp;Method_2015'!H445" display="'PSUT_Data&amp;Method_2015'!H445"/>
    <hyperlink ref="G40" location="'PSUT_Data&amp;Method_2015'!H446" display="'PSUT_Data&amp;Method_2015'!H446"/>
    <hyperlink ref="G41" location="'PSUT_Data&amp;Method_2015'!H447" display="'PSUT_Data&amp;Method_2015'!H447"/>
    <hyperlink ref="G42" location="'PSUT_Data&amp;Method_2015'!H448" display="'PSUT_Data&amp;Method_2015'!H448"/>
    <hyperlink ref="G43" location="'PSUT_Data&amp;Method_2015'!H449" display="'PSUT_Data&amp;Method_2015'!H449"/>
    <hyperlink ref="H35" location="'PSUT_Data&amp;Method_2015'!H450" display="'PSUT_Data&amp;Method_2015'!H450"/>
    <hyperlink ref="H36:H43" location="'PSUT_Data&amp;Method_2012'!H450" display="'PSUT_Data&amp;Method_2012'!H450"/>
    <hyperlink ref="H36" location="'PSUT_Data&amp;Method_2015'!H451" display="'PSUT_Data&amp;Method_2015'!H451"/>
    <hyperlink ref="H37" location="'PSUT_Data&amp;Method_2015'!H452" display="'PSUT_Data&amp;Method_2015'!H452"/>
    <hyperlink ref="H38" location="'PSUT_Data&amp;Method_2015'!H453" display="'PSUT_Data&amp;Method_2015'!H453"/>
    <hyperlink ref="H39" location="'PSUT_Data&amp;Method_2015'!H454" display="'PSUT_Data&amp;Method_2015'!H454"/>
    <hyperlink ref="H40" location="'PSUT_Data&amp;Method_2015'!H455" display="'PSUT_Data&amp;Method_2015'!H455"/>
    <hyperlink ref="H41" location="'PSUT_Data&amp;Method_2015'!H456" display="'PSUT_Data&amp;Method_2015'!H456"/>
    <hyperlink ref="H42" location="'PSUT_Data&amp;Method_2015'!H457" display="'PSUT_Data&amp;Method_2015'!H457"/>
    <hyperlink ref="H43" location="'PSUT_Data&amp;Method_2015'!H458" display="'PSUT_Data&amp;Method_2015'!H458"/>
    <hyperlink ref="I35" location="'PSUT_Data&amp;Method_2015'!H459" display="'PSUT_Data&amp;Method_2015'!H459"/>
    <hyperlink ref="I36:I43" location="'PSUT_Data&amp;Method_2012'!H459" display="'PSUT_Data&amp;Method_2012'!H459"/>
    <hyperlink ref="I36" location="'PSUT_Data&amp;Method_2015'!H460" display="'PSUT_Data&amp;Method_2015'!H460"/>
    <hyperlink ref="I37" location="'PSUT_Data&amp;Method_2015'!H461" display="'PSUT_Data&amp;Method_2015'!H461"/>
    <hyperlink ref="I38" location="'PSUT_Data&amp;Method_2015'!H462" display="'PSUT_Data&amp;Method_2015'!H462"/>
    <hyperlink ref="I39" location="'PSUT_Data&amp;Method_2015'!H463" display="'PSUT_Data&amp;Method_2015'!H463"/>
    <hyperlink ref="I40" location="'PSUT_Data&amp;Method_2015'!H464" display="'PSUT_Data&amp;Method_2015'!H464"/>
    <hyperlink ref="I41" location="'PSUT_Data&amp;Method_2015'!H465" display="'PSUT_Data&amp;Method_2015'!H465"/>
    <hyperlink ref="I42" location="'PSUT_Data&amp;Method_2015'!H466" display="'PSUT_Data&amp;Method_2015'!H466"/>
    <hyperlink ref="I43" location="'PSUT_Data&amp;Method_2015'!H467" display="'PSUT_Data&amp;Method_2015'!H467"/>
    <hyperlink ref="J35" location="'PSUT_Data&amp;Method_2015'!H468" display="'PSUT_Data&amp;Method_2015'!H468"/>
    <hyperlink ref="J36:J43" location="'PSUT_Data&amp;Method_2012'!H468" display="'PSUT_Data&amp;Method_2012'!H468"/>
    <hyperlink ref="J36" location="'PSUT_Data&amp;Method_2015'!H469" display="'PSUT_Data&amp;Method_2015'!H469"/>
    <hyperlink ref="J37" location="'PSUT_Data&amp;Method_2015'!H470" display="'PSUT_Data&amp;Method_2015'!H470"/>
    <hyperlink ref="J38" location="'PSUT_Data&amp;Method_2015'!H471" display="'PSUT_Data&amp;Method_2015'!H471"/>
    <hyperlink ref="J39" location="'PSUT_Data&amp;Method_2015'!H472" display="'PSUT_Data&amp;Method_2015'!H472"/>
    <hyperlink ref="J40" location="'PSUT_Data&amp;Method_2015'!H473" display="'PSUT_Data&amp;Method_2015'!H473"/>
    <hyperlink ref="J41" location="'PSUT_Data&amp;Method_2015'!H474" display="'PSUT_Data&amp;Method_2015'!H474"/>
    <hyperlink ref="J42" location="'PSUT_Data&amp;Method_2015'!H475" display="'PSUT_Data&amp;Method_2015'!H475"/>
    <hyperlink ref="J43" location="'PSUT_Data&amp;Method_2015'!H476" display="'PSUT_Data&amp;Method_2015'!H476"/>
    <hyperlink ref="K35" location="'PSUT_Data&amp;Method_2015'!H477" display="'PSUT_Data&amp;Method_2015'!H477"/>
    <hyperlink ref="K36:K43" location="'PSUT_Data&amp;Method_2012'!H477" display="'PSUT_Data&amp;Method_2012'!H477"/>
    <hyperlink ref="K36" location="'PSUT_Data&amp;Method_2015'!H478" display="'PSUT_Data&amp;Method_2015'!H478"/>
    <hyperlink ref="K37" location="'PSUT_Data&amp;Method_2015'!H479" display="'PSUT_Data&amp;Method_2015'!H479"/>
    <hyperlink ref="K38" location="'PSUT_Data&amp;Method_2015'!H480" display="'PSUT_Data&amp;Method_2015'!H480"/>
    <hyperlink ref="K39" location="'PSUT_Data&amp;Method_2015'!H481" display="'PSUT_Data&amp;Method_2015'!H481"/>
    <hyperlink ref="K40" location="'PSUT_Data&amp;Method_2015'!H482" display="'PSUT_Data&amp;Method_2015'!H482"/>
    <hyperlink ref="K41" location="'PSUT_Data&amp;Method_2015'!H483" display="'PSUT_Data&amp;Method_2015'!H483"/>
    <hyperlink ref="K42" location="'PSUT_Data&amp;Method_2015'!H484" display="'PSUT_Data&amp;Method_2015'!H484"/>
    <hyperlink ref="K43" location="'PSUT_Data&amp;Method_2015'!H485" display="'PSUT_Data&amp;Method_2015'!H485"/>
    <hyperlink ref="L35" location="'PSUT_Data&amp;Method_2015'!H486" display="'PSUT_Data&amp;Method_2015'!H486"/>
    <hyperlink ref="L36:L43" location="'PSUT_Data&amp;Method_2012'!H486" display="'PSUT_Data&amp;Method_2012'!H486"/>
    <hyperlink ref="L36" location="'PSUT_Data&amp;Method_2015'!H487" display="'PSUT_Data&amp;Method_2015'!H487"/>
    <hyperlink ref="L37" location="'PSUT_Data&amp;Method_2015'!H488" display="'PSUT_Data&amp;Method_2015'!H488"/>
    <hyperlink ref="L38" location="'PSUT_Data&amp;Method_2015'!H489" display="'PSUT_Data&amp;Method_2015'!H489"/>
    <hyperlink ref="L39" location="'PSUT_Data&amp;Method_2015'!H490" display="'PSUT_Data&amp;Method_2015'!H490"/>
    <hyperlink ref="L40" location="'PSUT_Data&amp;Method_2015'!H491" display="'PSUT_Data&amp;Method_2015'!H491"/>
    <hyperlink ref="L41" location="'PSUT_Data&amp;Method_2015'!H492" display="'PSUT_Data&amp;Method_2015'!H492"/>
    <hyperlink ref="L42" location="'PSUT_Data&amp;Method_2015'!H493" display="'PSUT_Data&amp;Method_2015'!H493"/>
    <hyperlink ref="L43" location="'PSUT_Data&amp;Method_2015'!H494" display="'PSUT_Data&amp;Method_2015'!H494"/>
    <hyperlink ref="M35" location="'PSUT_Data&amp;Method_2015'!H495" display="'PSUT_Data&amp;Method_2015'!H495"/>
    <hyperlink ref="M36:M43" location="'PSUT_Data&amp;Method_2012'!H495" display="'PSUT_Data&amp;Method_2012'!H495"/>
    <hyperlink ref="M36" location="'PSUT_Data&amp;Method_2015'!H496" display="'PSUT_Data&amp;Method_2015'!H496"/>
    <hyperlink ref="M37" location="'PSUT_Data&amp;Method_2015'!H497" display="'PSUT_Data&amp;Method_2015'!H497"/>
    <hyperlink ref="M38" location="'PSUT_Data&amp;Method_2015'!H498" display="'PSUT_Data&amp;Method_2015'!H498"/>
    <hyperlink ref="M39" location="'PSUT_Data&amp;Method_2015'!H499" display="'PSUT_Data&amp;Method_2015'!H499"/>
    <hyperlink ref="M40" location="'PSUT_Data&amp;Method_2015'!H500" display="'PSUT_Data&amp;Method_2015'!H500"/>
    <hyperlink ref="M41" location="'PSUT_Data&amp;Method_2015'!H501" display="'PSUT_Data&amp;Method_2015'!H501"/>
    <hyperlink ref="M42" location="'PSUT_Data&amp;Method_2015'!H502" display="'PSUT_Data&amp;Method_2015'!H502"/>
    <hyperlink ref="M43" location="'PSUT_Data&amp;Method_2015'!H503" display="'PSUT_Data&amp;Method_2015'!H503"/>
    <hyperlink ref="N35" location="'PSUT_Data&amp;Method_2015'!H504" display="'PSUT_Data&amp;Method_2015'!H504"/>
    <hyperlink ref="N36:N43" location="'PSUT_Data&amp;Method_2012'!H504" display="'PSUT_Data&amp;Method_2012'!H504"/>
    <hyperlink ref="N36" location="'PSUT_Data&amp;Method_2015'!H505" display="'PSUT_Data&amp;Method_2015'!H505"/>
    <hyperlink ref="N37" location="'PSUT_Data&amp;Method_2015'!H506" display="'PSUT_Data&amp;Method_2015'!H506"/>
    <hyperlink ref="N38" location="'PSUT_Data&amp;Method_2015'!H507" display="'PSUT_Data&amp;Method_2015'!H507"/>
    <hyperlink ref="N39" location="'PSUT_Data&amp;Method_2015'!H508" display="'PSUT_Data&amp;Method_2015'!H508"/>
    <hyperlink ref="N40" location="'PSUT_Data&amp;Method_2015'!H509" display="'PSUT_Data&amp;Method_2015'!H509"/>
    <hyperlink ref="N41" location="'PSUT_Data&amp;Method_2015'!H510" display="'PSUT_Data&amp;Method_2015'!H510"/>
    <hyperlink ref="N42" location="'PSUT_Data&amp;Method_2015'!H511" display="'PSUT_Data&amp;Method_2015'!H511"/>
    <hyperlink ref="N43" location="'PSUT_Data&amp;Method_2015'!H512" display="'PSUT_Data&amp;Method_2015'!H512"/>
    <hyperlink ref="O35" location="'PSUT_Data&amp;Method_2015'!H513" display="'PSUT_Data&amp;Method_2015'!H513"/>
    <hyperlink ref="O36:O43" location="'PSUT_Data&amp;Method_2012'!H513" display="'PSUT_Data&amp;Method_2012'!H513"/>
    <hyperlink ref="O36" location="'PSUT_Data&amp;Method_2015'!H514" display="'PSUT_Data&amp;Method_2015'!H514"/>
    <hyperlink ref="O37" location="'PSUT_Data&amp;Method_2015'!H515" display="'PSUT_Data&amp;Method_2015'!H515"/>
    <hyperlink ref="O38" location="'PSUT_Data&amp;Method_2015'!H516" display="'PSUT_Data&amp;Method_2015'!H516"/>
    <hyperlink ref="O39" location="'PSUT_Data&amp;Method_2015'!H517" display="'PSUT_Data&amp;Method_2015'!H517"/>
    <hyperlink ref="O40" location="'PSUT_Data&amp;Method_2015'!H518" display="'PSUT_Data&amp;Method_2015'!H518"/>
    <hyperlink ref="O41" location="'PSUT_Data&amp;Method_2015'!H519" display="'PSUT_Data&amp;Method_2015'!H519"/>
    <hyperlink ref="O42" location="'PSUT_Data&amp;Method_2015'!H520" display="'PSUT_Data&amp;Method_2015'!H520"/>
    <hyperlink ref="O43" location="'PSUT_Data&amp;Method_2015'!H521" display="'PSUT_Data&amp;Method_2015'!H521"/>
    <hyperlink ref="P35" location="'PSUT_Data&amp;Method_2015'!H522" display="'PSUT_Data&amp;Method_2015'!H522"/>
    <hyperlink ref="P36:P43" location="'PSUT_Data&amp;Method_2012'!H522" display="'PSUT_Data&amp;Method_2012'!H522"/>
    <hyperlink ref="P36" location="'PSUT_Data&amp;Method_2015'!H523" display="'PSUT_Data&amp;Method_2015'!H523"/>
    <hyperlink ref="P37" location="'PSUT_Data&amp;Method_2015'!H524" display="'PSUT_Data&amp;Method_2015'!H524"/>
    <hyperlink ref="P38" location="'PSUT_Data&amp;Method_2015'!H525" display="'PSUT_Data&amp;Method_2015'!H525"/>
    <hyperlink ref="P39" location="'PSUT_Data&amp;Method_2015'!H526" display="'PSUT_Data&amp;Method_2015'!H526"/>
    <hyperlink ref="P40" location="'PSUT_Data&amp;Method_2015'!H527" display="'PSUT_Data&amp;Method_2015'!H527"/>
    <hyperlink ref="P41" location="'PSUT_Data&amp;Method_2015'!H528" display="'PSUT_Data&amp;Method_2015'!H528"/>
    <hyperlink ref="P42" location="'PSUT_Data&amp;Method_2015'!H529" display="'PSUT_Data&amp;Method_2015'!H529"/>
    <hyperlink ref="P43" location="'PSUT_Data&amp;Method_2015'!H530" display="'PSUT_Data&amp;Method_2015'!H530"/>
    <hyperlink ref="Q35" location="'PSUT_Data&amp;Method_2015'!H531" display="'PSUT_Data&amp;Method_2015'!H531"/>
    <hyperlink ref="Q36:Q43" location="'PSUT_Data&amp;Method_2012'!H531" display="'PSUT_Data&amp;Method_2012'!H531"/>
    <hyperlink ref="Q36" location="'PSUT_Data&amp;Method_2015'!H532" display="'PSUT_Data&amp;Method_2015'!H532"/>
    <hyperlink ref="Q37" location="'PSUT_Data&amp;Method_2015'!H533" display="'PSUT_Data&amp;Method_2015'!H533"/>
    <hyperlink ref="Q38" location="'PSUT_Data&amp;Method_2015'!H534" display="'PSUT_Data&amp;Method_2015'!H534"/>
    <hyperlink ref="Q39" location="'PSUT_Data&amp;Method_2015'!H535" display="'PSUT_Data&amp;Method_2015'!H535"/>
    <hyperlink ref="Q40" location="'PSUT_Data&amp;Method_2015'!H536" display="'PSUT_Data&amp;Method_2015'!H536"/>
    <hyperlink ref="Q41" location="'PSUT_Data&amp;Method_2015'!H537" display="'PSUT_Data&amp;Method_2015'!H537"/>
    <hyperlink ref="Q42" location="'PSUT_Data&amp;Method_2015'!H538" display="'PSUT_Data&amp;Method_2015'!H538"/>
    <hyperlink ref="Q43" location="'PSUT_Data&amp;Method_2015'!H539" display="'PSUT_Data&amp;Method_2015'!H539"/>
    <hyperlink ref="R35" location="'PSUT_Data&amp;Method_2015'!H540" display="'PSUT_Data&amp;Method_2015'!H540"/>
    <hyperlink ref="R36:R43" location="'PSUT_Data&amp;Method_2012'!H541" display="'PSUT_Data&amp;Method_2012'!H541"/>
    <hyperlink ref="R36" location="'PSUT_Data&amp;Method_2015'!H541" display="'PSUT_Data&amp;Method_2015'!H541"/>
    <hyperlink ref="R37" location="'PSUT_Data&amp;Method_2015'!H542" display="'PSUT_Data&amp;Method_2015'!H542"/>
    <hyperlink ref="R38" location="'PSUT_Data&amp;Method_2015'!H543" display="'PSUT_Data&amp;Method_2015'!H543"/>
    <hyperlink ref="R39" location="'PSUT_Data&amp;Method_2015'!H544" display="'PSUT_Data&amp;Method_2015'!H544"/>
    <hyperlink ref="R40" location="'PSUT_Data&amp;Method_2015'!H545" display="'PSUT_Data&amp;Method_2015'!H545"/>
    <hyperlink ref="R41" location="'PSUT_Data&amp;Method_2015'!H546" display="'PSUT_Data&amp;Method_2015'!H546"/>
    <hyperlink ref="R42" location="'PSUT_Data&amp;Method_2015'!H547" display="'PSUT_Data&amp;Method_2015'!H547"/>
    <hyperlink ref="R43" location="'PSUT_Data&amp;Method_2015'!H548" display="'PSUT_Data&amp;Method_2015'!H548"/>
    <hyperlink ref="S35" location="'PSUT_Data&amp;Method_2015'!H549" display="'PSUT_Data&amp;Method_2015'!H549"/>
    <hyperlink ref="S36:S43" location="'PSUT_Data&amp;Method_2012'!H549" display="'PSUT_Data&amp;Method_2012'!H549"/>
    <hyperlink ref="S36" location="'PSUT_Data&amp;Method_2015'!H550" display="'PSUT_Data&amp;Method_2015'!H550"/>
    <hyperlink ref="S37" location="'PSUT_Data&amp;Method_2015'!H551" display="'PSUT_Data&amp;Method_2015'!H551"/>
    <hyperlink ref="S38" location="'PSUT_Data&amp;Method_2015'!H552" display="'PSUT_Data&amp;Method_2015'!H552"/>
    <hyperlink ref="S39" location="'PSUT_Data&amp;Method_2015'!H553" display="'PSUT_Data&amp;Method_2015'!H553"/>
    <hyperlink ref="S40" location="'PSUT_Data&amp;Method_2015'!H554" display="'PSUT_Data&amp;Method_2015'!H554"/>
    <hyperlink ref="S41" location="'PSUT_Data&amp;Method_2015'!H555" display="'PSUT_Data&amp;Method_2015'!H555"/>
    <hyperlink ref="S42" location="'PSUT_Data&amp;Method_2015'!H556" display="'PSUT_Data&amp;Method_2015'!H556"/>
    <hyperlink ref="S43" location="'PSUT_Data&amp;Method_2015'!H557" display="'PSUT_Data&amp;Method_2015'!H557"/>
    <hyperlink ref="T35" location="'PSUT_Data&amp;Method_2015'!H558" display="'PSUT_Data&amp;Method_2015'!H558"/>
    <hyperlink ref="T36:T43" location="'PSUT_Data&amp;Method_2012'!H558" display="'PSUT_Data&amp;Method_2012'!H558"/>
    <hyperlink ref="T36" location="'PSUT_Data&amp;Method_2015'!H559" display="'PSUT_Data&amp;Method_2015'!H559"/>
    <hyperlink ref="T37" location="'PSUT_Data&amp;Method_2015'!H560" display="'PSUT_Data&amp;Method_2015'!H560"/>
    <hyperlink ref="T38" location="'PSUT_Data&amp;Method_2015'!H561" display="'PSUT_Data&amp;Method_2015'!H561"/>
    <hyperlink ref="T39" location="'PSUT_Data&amp;Method_2015'!H562" display="'PSUT_Data&amp;Method_2015'!H562"/>
    <hyperlink ref="T40" location="'PSUT_Data&amp;Method_2015'!H563" display="'PSUT_Data&amp;Method_2015'!H563"/>
    <hyperlink ref="T41" location="'PSUT_Data&amp;Method_2015'!H564" display="'PSUT_Data&amp;Method_2015'!H564"/>
    <hyperlink ref="T42" location="'PSUT_Data&amp;Method_2015'!H565" display="'PSUT_Data&amp;Method_2015'!H565"/>
    <hyperlink ref="T43" location="'PSUT_Data&amp;Method_2015'!H566" display="'PSUT_Data&amp;Method_2015'!H566"/>
    <hyperlink ref="U35" location="'PSUT_Data&amp;Method_2015'!H567" display="'PSUT_Data&amp;Method_2015'!H567"/>
    <hyperlink ref="U36:U43" location="'PSUT_Data&amp;Method_2012'!H567" display="'PSUT_Data&amp;Method_2012'!H567"/>
    <hyperlink ref="U36" location="'PSUT_Data&amp;Method_2015'!H568" display="'PSUT_Data&amp;Method_2015'!H568"/>
    <hyperlink ref="U37" location="'PSUT_Data&amp;Method_2015'!H569" display="'PSUT_Data&amp;Method_2015'!H569"/>
    <hyperlink ref="U38" location="'PSUT_Data&amp;Method_2015'!H570" display="'PSUT_Data&amp;Method_2015'!H570"/>
    <hyperlink ref="U39" location="'PSUT_Data&amp;Method_2015'!H571" display="'PSUT_Data&amp;Method_2015'!H571"/>
    <hyperlink ref="U40" location="'PSUT_Data&amp;Method_2015'!H572" display="'PSUT_Data&amp;Method_2015'!H572"/>
    <hyperlink ref="U41" location="'PSUT_Data&amp;Method_2015'!H573" display="'PSUT_Data&amp;Method_2015'!H573"/>
    <hyperlink ref="U42" location="'PSUT_Data&amp;Method_2015'!H574" display="'PSUT_Data&amp;Method_2015'!H574"/>
    <hyperlink ref="U43" location="'PSUT_Data&amp;Method_2015'!H575" display="'PSUT_Data&amp;Method_2015'!H575"/>
    <hyperlink ref="V35" location="'PSUT_Data&amp;Method_2015'!H576" display="'PSUT_Data&amp;Method_2015'!H576"/>
    <hyperlink ref="V36:V43" location="'PSUT_Data&amp;Method_2012'!H576" display="'PSUT_Data&amp;Method_2012'!H576"/>
    <hyperlink ref="V36" location="'PSUT_Data&amp;Method_2015'!H577" display="'PSUT_Data&amp;Method_2015'!H577"/>
    <hyperlink ref="V37" location="'PSUT_Data&amp;Method_2015'!H578" display="'PSUT_Data&amp;Method_2015'!H578"/>
    <hyperlink ref="V38" location="'PSUT_Data&amp;Method_2015'!H579" display="'PSUT_Data&amp;Method_2015'!H579"/>
    <hyperlink ref="V39" location="'PSUT_Data&amp;Method_2015'!H580" display="'PSUT_Data&amp;Method_2015'!H580"/>
    <hyperlink ref="V40" location="'PSUT_Data&amp;Method_2015'!H581" display="'PSUT_Data&amp;Method_2015'!H581"/>
    <hyperlink ref="V41" location="'PSUT_Data&amp;Method_2015'!H582" display="'PSUT_Data&amp;Method_2015'!H582"/>
    <hyperlink ref="V42" location="'PSUT_Data&amp;Method_2015'!H583" display="'PSUT_Data&amp;Method_2015'!H583"/>
    <hyperlink ref="V43" location="'PSUT_Data&amp;Method_2015'!H584" display="'PSUT_Data&amp;Method_2015'!H584"/>
    <hyperlink ref="X35" location="'PSUT_Data&amp;Method_2015'!H588" display="'PSUT_Data&amp;Method_2015'!H588"/>
    <hyperlink ref="X36:X43" location="'PSUT_Data&amp;Method_2012'!H588" display="'PSUT_Data&amp;Method_2012'!H588"/>
    <hyperlink ref="X36" location="'PSUT_Data&amp;Method_2015'!H589" display="'PSUT_Data&amp;Method_2015'!H589"/>
    <hyperlink ref="X37" location="'PSUT_Data&amp;Method_2015'!H590" display="'PSUT_Data&amp;Method_2015'!H590"/>
    <hyperlink ref="X38" location="'PSUT_Data&amp;Method_2015'!H591" display="'PSUT_Data&amp;Method_2015'!H591"/>
    <hyperlink ref="X39" location="'PSUT_Data&amp;Method_2015'!H592" display="'PSUT_Data&amp;Method_2015'!H592"/>
    <hyperlink ref="X40" location="'PSUT_Data&amp;Method_2015'!H593" display="'PSUT_Data&amp;Method_2015'!H593"/>
    <hyperlink ref="X41" location="'PSUT_Data&amp;Method_2015'!H594" display="'PSUT_Data&amp;Method_2015'!H594"/>
    <hyperlink ref="X42" location="'PSUT_Data&amp;Method_2015'!H595" display="'PSUT_Data&amp;Method_2015'!H595"/>
    <hyperlink ref="X43" location="'PSUT_Data&amp;Method_2015'!H596" display="'PSUT_Data&amp;Method_2015'!H596"/>
    <hyperlink ref="Y35" location="'PSUT_Data&amp;Method_2015'!H597" display="'PSUT_Data&amp;Method_2015'!H597"/>
    <hyperlink ref="Y36" location="'PSUT_Data&amp;Method_2015'!H598" display="'PSUT_Data&amp;Method_2015'!H598"/>
    <hyperlink ref="Y37" location="'PSUT_Data&amp;Method_2015'!H599" display="'PSUT_Data&amp;Method_2015'!H599"/>
    <hyperlink ref="Y38" location="'PSUT_Data&amp;Method_2015'!H600" display="'PSUT_Data&amp;Method_2015'!H600"/>
    <hyperlink ref="Y39:Y43" location="'PSUT_Data&amp;Method_2012'!H600" display="'PSUT_Data&amp;Method_2012'!H600"/>
    <hyperlink ref="Y39" location="'PSUT_Data&amp;Method_2015'!H601" display="'PSUT_Data&amp;Method_2015'!H601"/>
    <hyperlink ref="Y40" location="'PSUT_Data&amp;Method_2015'!H602" display="'PSUT_Data&amp;Method_2015'!H602"/>
    <hyperlink ref="Y41" location="'PSUT_Data&amp;Method_2015'!H603" display="'PSUT_Data&amp;Method_2015'!H603"/>
    <hyperlink ref="Y42" location="'PSUT_Data&amp;Method_2015'!H604" display="'PSUT_Data&amp;Method_2015'!H604"/>
    <hyperlink ref="Y43" location="'PSUT_Data&amp;Method_2015'!H605" display="'PSUT_Data&amp;Method_2015'!H605"/>
    <hyperlink ref="C16" location="'PSUT_Data&amp;Method_2015'!H12" display="'PSUT_Data&amp;Method_2015'!H12"/>
    <hyperlink ref="C15" location="'PSUT_Data&amp;Method_2015'!H11" display="'PSUT_Data&amp;Method_2015'!H11"/>
    <hyperlink ref="C11" location="'PSUT_Data&amp;Method_2015'!H7" display="'PSUT_Data&amp;Method_2015'!H7"/>
    <hyperlink ref="D11" location="'PSUT_Data&amp;Method_2015'!H25" display="'PSUT_Data&amp;Method_2015'!H25"/>
    <hyperlink ref="C17" location="'PSUT_Data&amp;Method_2015'!H13" display="'PSUT_Data&amp;Method_2015'!H13"/>
    <hyperlink ref="C6" location="'PSUT_Data&amp;Method_2015'!H2" display="'PSUT_Data&amp;Method_2015'!H2"/>
  </hyperlinks>
  <pageMargins left="0.51181102362204722" right="0.51181102362204722" top="0.74803149606299213" bottom="0.74803149606299213" header="0.31496062992125984" footer="0.31496062992125984"/>
  <pageSetup paperSize="9" scale="54" orientation="landscape" r:id="rId1"/>
  <headerFooter>
    <oddHeader>&amp;L&amp;F    &amp;&amp;&amp;A&amp;C
&amp;D&amp;RPage &amp;P of &amp;N</oddHead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33CC"/>
    <pageSetUpPr fitToPage="1"/>
  </sheetPr>
  <dimension ref="A1:H22"/>
  <sheetViews>
    <sheetView workbookViewId="0">
      <selection activeCell="C5" sqref="C5"/>
    </sheetView>
  </sheetViews>
  <sheetFormatPr defaultRowHeight="15" x14ac:dyDescent="0.25"/>
  <cols>
    <col min="1" max="1" width="28.28515625" customWidth="1"/>
    <col min="4" max="4" width="11" customWidth="1"/>
    <col min="6" max="6" width="11.85546875" customWidth="1"/>
    <col min="7" max="7" width="10.7109375" customWidth="1"/>
  </cols>
  <sheetData>
    <row r="1" spans="1:8" ht="17.25" x14ac:dyDescent="0.25">
      <c r="A1" t="s">
        <v>1392</v>
      </c>
      <c r="B1" s="406"/>
    </row>
    <row r="2" spans="1:8" x14ac:dyDescent="0.25">
      <c r="B2" s="407"/>
    </row>
    <row r="3" spans="1:8" ht="15" customHeight="1" x14ac:dyDescent="0.25">
      <c r="A3" s="1790" t="s">
        <v>1300</v>
      </c>
      <c r="B3" s="1792" t="s">
        <v>49</v>
      </c>
      <c r="C3" s="1792"/>
      <c r="D3" s="1792"/>
      <c r="E3" s="299"/>
      <c r="F3" s="299"/>
      <c r="G3" s="299"/>
    </row>
    <row r="4" spans="1:8" ht="30" customHeight="1" x14ac:dyDescent="0.25">
      <c r="A4" s="1791"/>
      <c r="B4" s="408" t="s">
        <v>52</v>
      </c>
      <c r="C4" s="408" t="s">
        <v>653</v>
      </c>
      <c r="D4" s="408" t="s">
        <v>53</v>
      </c>
      <c r="E4" s="409" t="s">
        <v>50</v>
      </c>
      <c r="F4" s="410" t="s">
        <v>51</v>
      </c>
      <c r="G4" s="410" t="s">
        <v>3</v>
      </c>
    </row>
    <row r="5" spans="1:8" x14ac:dyDescent="0.25">
      <c r="A5" s="411" t="s">
        <v>507</v>
      </c>
      <c r="B5" s="412">
        <f>+Closing_stocks!B5</f>
        <v>257690.00067217631</v>
      </c>
      <c r="C5" s="412">
        <f>+Closing_stocks!C5</f>
        <v>1264</v>
      </c>
      <c r="D5" s="412">
        <f>+Closing_stocks!D5</f>
        <v>62.613469534117641</v>
      </c>
      <c r="E5" s="413">
        <f>+Closing_stocks!E5</f>
        <v>3388.8607500000003</v>
      </c>
      <c r="F5" s="412">
        <f>+Closing_stocks!F5</f>
        <v>62127</v>
      </c>
      <c r="G5" s="412">
        <f>+Closing_stocks!G5</f>
        <v>324532.47489171044</v>
      </c>
      <c r="H5" s="1038">
        <f>SUM(B5:F5)-G5</f>
        <v>0</v>
      </c>
    </row>
    <row r="6" spans="1:8" x14ac:dyDescent="0.25">
      <c r="A6" s="1039" t="s">
        <v>654</v>
      </c>
      <c r="B6" s="412">
        <f>+Closing_stocks!B6</f>
        <v>257248.30771313258</v>
      </c>
      <c r="C6" s="412">
        <f>+Closing_stocks!C6</f>
        <v>1264</v>
      </c>
      <c r="D6" s="412">
        <f>+Closing_stocks!D6</f>
        <v>68.059208898823542</v>
      </c>
      <c r="E6" s="413">
        <f>+Closing_stocks!E6</f>
        <v>3388.8607500000003</v>
      </c>
      <c r="F6" s="412">
        <f>+Closing_stocks!F6</f>
        <v>62127</v>
      </c>
      <c r="G6" s="412">
        <f>+Closing_stocks!G6</f>
        <v>324096.22767203138</v>
      </c>
    </row>
    <row r="7" spans="1:8" x14ac:dyDescent="0.25">
      <c r="A7" s="1039" t="s">
        <v>655</v>
      </c>
      <c r="B7" s="412">
        <f>+Closing_stocks!B7</f>
        <v>256806.61475408886</v>
      </c>
      <c r="C7" s="412">
        <f>+Closing_stocks!C7</f>
        <v>1264</v>
      </c>
      <c r="D7" s="412">
        <f>+Closing_stocks!D7</f>
        <v>77.39732494588236</v>
      </c>
      <c r="E7" s="413">
        <f>+Closing_stocks!E7</f>
        <v>3388.8607500000003</v>
      </c>
      <c r="F7" s="412">
        <f>+Closing_stocks!F7</f>
        <v>62127</v>
      </c>
      <c r="G7" s="412">
        <f>+Closing_stocks!G7</f>
        <v>323663.87282903475</v>
      </c>
    </row>
    <row r="8" spans="1:8" x14ac:dyDescent="0.25">
      <c r="A8" s="1039" t="s">
        <v>656</v>
      </c>
      <c r="B8" s="412">
        <f>+Closing_stocks!B8</f>
        <v>256364.92179504514</v>
      </c>
      <c r="C8" s="412">
        <f>+Closing_stocks!C8</f>
        <v>1264</v>
      </c>
      <c r="D8" s="412">
        <f>+Closing_stocks!D8</f>
        <v>102.15046767529415</v>
      </c>
      <c r="E8" s="413">
        <f>+Closing_stocks!E8</f>
        <v>3388.8607500000003</v>
      </c>
      <c r="F8" s="412">
        <f>+Closing_stocks!F8</f>
        <v>62127</v>
      </c>
      <c r="G8" s="412">
        <f>+Closing_stocks!G8</f>
        <v>323246.93301272043</v>
      </c>
    </row>
    <row r="9" spans="1:8" x14ac:dyDescent="0.25">
      <c r="A9" s="1039"/>
      <c r="B9" s="412"/>
      <c r="C9" s="412"/>
      <c r="D9" s="412"/>
      <c r="E9" s="413"/>
      <c r="F9" s="412"/>
      <c r="G9" s="412"/>
    </row>
    <row r="10" spans="1:8" x14ac:dyDescent="0.25">
      <c r="A10" s="414" t="s">
        <v>1391</v>
      </c>
      <c r="B10" s="1085">
        <f t="shared" ref="B10:G10" si="0">(B8/B5)-1</f>
        <v>-5.1421431707662224E-3</v>
      </c>
      <c r="C10" s="1085">
        <f t="shared" si="0"/>
        <v>0</v>
      </c>
      <c r="D10" s="1085">
        <f t="shared" si="0"/>
        <v>0.6314455728991839</v>
      </c>
      <c r="E10" s="1085">
        <f t="shared" si="0"/>
        <v>0</v>
      </c>
      <c r="F10" s="1085">
        <f t="shared" si="0"/>
        <v>0</v>
      </c>
      <c r="G10" s="1085">
        <f t="shared" si="0"/>
        <v>-3.9612118307080779E-3</v>
      </c>
    </row>
    <row r="11" spans="1:8" x14ac:dyDescent="0.25">
      <c r="B11" s="230"/>
      <c r="C11" s="230"/>
      <c r="D11" s="230"/>
      <c r="E11" s="230"/>
      <c r="F11" s="230"/>
      <c r="G11" s="230"/>
    </row>
    <row r="12" spans="1:8" x14ac:dyDescent="0.25">
      <c r="A12" s="414" t="s">
        <v>657</v>
      </c>
      <c r="B12" s="415" t="str">
        <f t="shared" ref="B12:G12" si="1">B4</f>
        <v>Lakes</v>
      </c>
      <c r="C12" s="415" t="str">
        <f t="shared" si="1"/>
        <v>Rivers</v>
      </c>
      <c r="D12" s="415" t="str">
        <f t="shared" si="1"/>
        <v>Artificial reservoirs</v>
      </c>
      <c r="E12" s="415" t="str">
        <f t="shared" si="1"/>
        <v>Soil water</v>
      </c>
      <c r="F12" s="415" t="str">
        <f t="shared" si="1"/>
        <v>Groundwater</v>
      </c>
      <c r="G12" s="415" t="str">
        <f t="shared" si="1"/>
        <v>Total</v>
      </c>
    </row>
    <row r="13" spans="1:8" x14ac:dyDescent="0.25">
      <c r="A13" s="416" t="s">
        <v>507</v>
      </c>
      <c r="B13" s="417">
        <f t="shared" ref="B13:G15" si="2">+(B5/B$5)*100</f>
        <v>100</v>
      </c>
      <c r="C13" s="417">
        <f t="shared" si="2"/>
        <v>100</v>
      </c>
      <c r="D13" s="417">
        <f t="shared" si="2"/>
        <v>100</v>
      </c>
      <c r="E13" s="417">
        <f t="shared" si="2"/>
        <v>100</v>
      </c>
      <c r="F13" s="417">
        <f t="shared" si="2"/>
        <v>100</v>
      </c>
      <c r="G13" s="417">
        <f t="shared" si="2"/>
        <v>100</v>
      </c>
    </row>
    <row r="14" spans="1:8" x14ac:dyDescent="0.25">
      <c r="A14" s="418" t="s">
        <v>654</v>
      </c>
      <c r="B14" s="419">
        <f>+(B6/B$5)*100</f>
        <v>99.828595227641131</v>
      </c>
      <c r="C14" s="421">
        <f t="shared" si="2"/>
        <v>100</v>
      </c>
      <c r="D14" s="419">
        <f t="shared" si="2"/>
        <v>108.69739275786108</v>
      </c>
      <c r="E14" s="419">
        <f t="shared" si="2"/>
        <v>100</v>
      </c>
      <c r="F14" s="421">
        <f t="shared" si="2"/>
        <v>100</v>
      </c>
      <c r="G14" s="419">
        <f t="shared" si="2"/>
        <v>99.865576713139532</v>
      </c>
    </row>
    <row r="15" spans="1:8" x14ac:dyDescent="0.25">
      <c r="A15" s="418" t="s">
        <v>655</v>
      </c>
      <c r="B15" s="419">
        <f>+(B7/B$5)*100</f>
        <v>99.657190455282247</v>
      </c>
      <c r="C15" s="421">
        <f t="shared" si="2"/>
        <v>100</v>
      </c>
      <c r="D15" s="419">
        <f t="shared" si="2"/>
        <v>123.61130204373853</v>
      </c>
      <c r="E15" s="419">
        <f t="shared" si="2"/>
        <v>100</v>
      </c>
      <c r="F15" s="421">
        <f t="shared" si="2"/>
        <v>100</v>
      </c>
      <c r="G15" s="419">
        <f t="shared" si="2"/>
        <v>99.732352805997138</v>
      </c>
    </row>
    <row r="16" spans="1:8" x14ac:dyDescent="0.25">
      <c r="A16" s="418" t="s">
        <v>656</v>
      </c>
      <c r="B16" s="419">
        <f t="shared" ref="B16:G16" si="3">+(B8/B$5)*100</f>
        <v>99.485785682923378</v>
      </c>
      <c r="C16" s="421">
        <f t="shared" si="3"/>
        <v>100</v>
      </c>
      <c r="D16" s="419">
        <f t="shared" si="3"/>
        <v>163.1445572899184</v>
      </c>
      <c r="E16" s="419">
        <f t="shared" si="3"/>
        <v>100</v>
      </c>
      <c r="F16" s="421">
        <f t="shared" si="3"/>
        <v>100</v>
      </c>
      <c r="G16" s="419">
        <f t="shared" si="3"/>
        <v>99.603878816929196</v>
      </c>
    </row>
    <row r="17" spans="1:8" x14ac:dyDescent="0.25">
      <c r="A17" s="418"/>
      <c r="B17" s="419"/>
      <c r="C17" s="421"/>
      <c r="D17" s="419"/>
      <c r="E17" s="419"/>
      <c r="F17" s="421"/>
      <c r="G17" s="419"/>
    </row>
    <row r="18" spans="1:8" x14ac:dyDescent="0.25">
      <c r="A18" s="420"/>
      <c r="B18" s="415"/>
      <c r="C18" s="415"/>
      <c r="D18" s="415"/>
      <c r="E18" s="415"/>
      <c r="F18" s="415"/>
      <c r="G18" s="415"/>
    </row>
    <row r="19" spans="1:8" x14ac:dyDescent="0.25">
      <c r="A19" s="281" t="s">
        <v>1275</v>
      </c>
      <c r="C19" s="281" t="s">
        <v>178</v>
      </c>
      <c r="F19" s="281" t="s">
        <v>178</v>
      </c>
    </row>
    <row r="20" spans="1:8" x14ac:dyDescent="0.25">
      <c r="F20" s="230"/>
      <c r="G20" s="230">
        <f>G9-G5</f>
        <v>-324532.47489171044</v>
      </c>
    </row>
    <row r="21" spans="1:8" x14ac:dyDescent="0.25">
      <c r="F21" s="230">
        <f>G5-G9</f>
        <v>324532.47489171044</v>
      </c>
      <c r="G21" s="230"/>
      <c r="H21" s="4">
        <f>G5-G9</f>
        <v>324532.47489171044</v>
      </c>
    </row>
    <row r="22" spans="1:8" x14ac:dyDescent="0.25">
      <c r="B22" s="303">
        <f>B5/G5</f>
        <v>0.79403455927842648</v>
      </c>
      <c r="C22" s="303"/>
      <c r="D22" s="303">
        <f>D5/G5</f>
        <v>1.9293437291602455E-4</v>
      </c>
      <c r="E22" s="303">
        <f>E5/G5</f>
        <v>1.0442285478920994E-2</v>
      </c>
      <c r="F22" s="303">
        <f>F5/G5</f>
        <v>0.19143538723121761</v>
      </c>
      <c r="G22" s="303"/>
    </row>
  </sheetData>
  <mergeCells count="2">
    <mergeCell ref="A3:A4"/>
    <mergeCell ref="B3:D3"/>
  </mergeCell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33CC"/>
    <pageSetUpPr fitToPage="1"/>
  </sheetPr>
  <dimension ref="A1:H22"/>
  <sheetViews>
    <sheetView workbookViewId="0">
      <selection activeCell="B6" sqref="B6"/>
    </sheetView>
  </sheetViews>
  <sheetFormatPr defaultRowHeight="15" x14ac:dyDescent="0.25"/>
  <cols>
    <col min="1" max="1" width="28.28515625" customWidth="1"/>
    <col min="4" max="4" width="11" customWidth="1"/>
    <col min="6" max="6" width="11.85546875" customWidth="1"/>
    <col min="7" max="7" width="10.7109375" customWidth="1"/>
  </cols>
  <sheetData>
    <row r="1" spans="1:8" ht="17.25" x14ac:dyDescent="0.25">
      <c r="A1" t="s">
        <v>1392</v>
      </c>
      <c r="B1" s="406"/>
    </row>
    <row r="2" spans="1:8" x14ac:dyDescent="0.25">
      <c r="B2" s="407"/>
    </row>
    <row r="3" spans="1:8" ht="15" customHeight="1" x14ac:dyDescent="0.25">
      <c r="A3" s="1790" t="s">
        <v>1300</v>
      </c>
      <c r="B3" s="1792" t="s">
        <v>49</v>
      </c>
      <c r="C3" s="1792"/>
      <c r="D3" s="1792"/>
      <c r="E3" s="299"/>
      <c r="F3" s="299"/>
      <c r="G3" s="299"/>
    </row>
    <row r="4" spans="1:8" ht="30" customHeight="1" x14ac:dyDescent="0.25">
      <c r="A4" s="1791"/>
      <c r="B4" s="408" t="s">
        <v>52</v>
      </c>
      <c r="C4" s="408" t="s">
        <v>653</v>
      </c>
      <c r="D4" s="408" t="s">
        <v>53</v>
      </c>
      <c r="E4" s="409" t="s">
        <v>50</v>
      </c>
      <c r="F4" s="410" t="s">
        <v>51</v>
      </c>
      <c r="G4" s="410" t="s">
        <v>3</v>
      </c>
    </row>
    <row r="5" spans="1:8" x14ac:dyDescent="0.25">
      <c r="A5" s="411" t="s">
        <v>507</v>
      </c>
      <c r="B5" s="412">
        <f>+Closing_stocks!B15</f>
        <v>257690.00067217628</v>
      </c>
      <c r="C5" s="412">
        <f>+Closing_stocks!C15</f>
        <v>818.64426410878514</v>
      </c>
      <c r="D5" s="412">
        <f>+Closing_stocks!D15</f>
        <v>-19.184503109435298</v>
      </c>
      <c r="E5" s="413">
        <f>+Closing_stocks!E15</f>
        <v>3551.6686931306394</v>
      </c>
      <c r="F5" s="412">
        <f>+Closing_stocks!F15</f>
        <v>62309.290146056184</v>
      </c>
      <c r="G5" s="412">
        <f>+Closing_stocks!G15</f>
        <v>324350.41927236243</v>
      </c>
      <c r="H5" s="1038">
        <f>SUM(B5:F5)-G5</f>
        <v>0</v>
      </c>
    </row>
    <row r="6" spans="1:8" x14ac:dyDescent="0.25">
      <c r="A6" s="1039" t="s">
        <v>654</v>
      </c>
      <c r="B6" s="412">
        <f>+Closing_stocks!B16</f>
        <v>257248.30771313258</v>
      </c>
      <c r="C6" s="412">
        <f>+Closing_stocks!C16</f>
        <v>815.49448791738359</v>
      </c>
      <c r="D6" s="412">
        <f>+Closing_stocks!D16</f>
        <v>-26.288680421402603</v>
      </c>
      <c r="E6" s="413">
        <f>+Closing_stocks!E16</f>
        <v>2942.8046156033088</v>
      </c>
      <c r="F6" s="412">
        <f>+Closing_stocks!F16</f>
        <v>62308.896679671219</v>
      </c>
      <c r="G6" s="412">
        <f>+Closing_stocks!G16</f>
        <v>323289.21481590311</v>
      </c>
    </row>
    <row r="7" spans="1:8" x14ac:dyDescent="0.25">
      <c r="A7" s="1039" t="s">
        <v>655</v>
      </c>
      <c r="B7" s="412">
        <f>+Closing_stocks!B17</f>
        <v>256806.61475408886</v>
      </c>
      <c r="C7" s="412">
        <f>+Closing_stocks!C17</f>
        <v>822.76328165086852</v>
      </c>
      <c r="D7" s="412">
        <f>+Closing_stocks!D17</f>
        <v>-32.372365780759537</v>
      </c>
      <c r="E7" s="413">
        <f>+Closing_stocks!E17</f>
        <v>3684.1795662986879</v>
      </c>
      <c r="F7" s="412">
        <f>+Closing_stocks!F17</f>
        <v>62308.507260570244</v>
      </c>
      <c r="G7" s="412">
        <f>+Closing_stocks!G17</f>
        <v>323589.69249682786</v>
      </c>
    </row>
    <row r="8" spans="1:8" x14ac:dyDescent="0.25">
      <c r="A8" s="1039" t="s">
        <v>656</v>
      </c>
      <c r="B8" s="412">
        <f>+Closing_stocks!B18</f>
        <v>256364.92179504514</v>
      </c>
      <c r="C8" s="412">
        <f>+Closing_stocks!C18</f>
        <v>823.00853840832133</v>
      </c>
      <c r="D8" s="412">
        <f>+Closing_stocks!D18</f>
        <v>-34.97238514122995</v>
      </c>
      <c r="E8" s="413">
        <f>+Closing_stocks!E18</f>
        <v>3375.635504276368</v>
      </c>
      <c r="F8" s="412">
        <f>+Closing_stocks!F18</f>
        <v>62308.110596346785</v>
      </c>
      <c r="G8" s="412">
        <f>+Closing_stocks!G18</f>
        <v>322836.70404893538</v>
      </c>
    </row>
    <row r="9" spans="1:8" x14ac:dyDescent="0.25">
      <c r="A9" s="1039"/>
      <c r="B9" s="412"/>
      <c r="C9" s="412"/>
      <c r="D9" s="412"/>
      <c r="E9" s="413"/>
      <c r="F9" s="412"/>
      <c r="G9" s="412"/>
    </row>
    <row r="10" spans="1:8" x14ac:dyDescent="0.25">
      <c r="A10" s="414" t="s">
        <v>1391</v>
      </c>
      <c r="B10" s="1085">
        <f t="shared" ref="B10:G10" si="0">(B8/B5)-1</f>
        <v>-5.1421431707661114E-3</v>
      </c>
      <c r="C10" s="1085">
        <f t="shared" si="0"/>
        <v>5.3310998328282011E-3</v>
      </c>
      <c r="D10" s="1085">
        <f t="shared" si="0"/>
        <v>0.82294974968780266</v>
      </c>
      <c r="E10" s="1085">
        <f t="shared" si="0"/>
        <v>-4.9563516212742798E-2</v>
      </c>
      <c r="F10" s="1085">
        <f t="shared" si="0"/>
        <v>-1.8930559257390733E-5</v>
      </c>
      <c r="G10" s="1085">
        <f t="shared" si="0"/>
        <v>-4.6669131084302595E-3</v>
      </c>
    </row>
    <row r="11" spans="1:8" x14ac:dyDescent="0.25">
      <c r="B11" s="230"/>
      <c r="C11" s="230"/>
      <c r="D11" s="230"/>
      <c r="E11" s="230"/>
      <c r="F11" s="230"/>
      <c r="G11" s="230"/>
    </row>
    <row r="12" spans="1:8" x14ac:dyDescent="0.25">
      <c r="A12" s="414" t="s">
        <v>657</v>
      </c>
      <c r="B12" s="415" t="str">
        <f t="shared" ref="B12:G12" si="1">B4</f>
        <v>Lakes</v>
      </c>
      <c r="C12" s="415" t="str">
        <f t="shared" si="1"/>
        <v>Rivers</v>
      </c>
      <c r="D12" s="415" t="str">
        <f t="shared" si="1"/>
        <v>Artificial reservoirs</v>
      </c>
      <c r="E12" s="415" t="str">
        <f t="shared" si="1"/>
        <v>Soil water</v>
      </c>
      <c r="F12" s="415" t="str">
        <f t="shared" si="1"/>
        <v>Groundwater</v>
      </c>
      <c r="G12" s="415" t="str">
        <f t="shared" si="1"/>
        <v>Total</v>
      </c>
    </row>
    <row r="13" spans="1:8" x14ac:dyDescent="0.25">
      <c r="A13" s="416" t="s">
        <v>507</v>
      </c>
      <c r="B13" s="417">
        <f t="shared" ref="B13:G13" si="2">+(B5/B$5)*100</f>
        <v>100</v>
      </c>
      <c r="C13" s="417">
        <f t="shared" si="2"/>
        <v>100</v>
      </c>
      <c r="D13" s="417">
        <f t="shared" si="2"/>
        <v>100</v>
      </c>
      <c r="E13" s="417">
        <f t="shared" si="2"/>
        <v>100</v>
      </c>
      <c r="F13" s="417">
        <f t="shared" si="2"/>
        <v>100</v>
      </c>
      <c r="G13" s="417">
        <f t="shared" si="2"/>
        <v>100</v>
      </c>
    </row>
    <row r="14" spans="1:8" x14ac:dyDescent="0.25">
      <c r="A14" s="418" t="s">
        <v>654</v>
      </c>
      <c r="B14" s="419">
        <f>+(B6/B$5)*100</f>
        <v>99.828595227641131</v>
      </c>
      <c r="C14" s="421">
        <f t="shared" ref="C14:G15" si="3">+(C6/C$5)*100</f>
        <v>99.61524482250779</v>
      </c>
      <c r="D14" s="419">
        <f t="shared" si="3"/>
        <v>137.03081216877251</v>
      </c>
      <c r="E14" s="419">
        <f t="shared" si="3"/>
        <v>82.856957387243128</v>
      </c>
      <c r="F14" s="421">
        <f t="shared" si="3"/>
        <v>99.999368526933878</v>
      </c>
      <c r="G14" s="419">
        <f t="shared" si="3"/>
        <v>99.672821617175643</v>
      </c>
    </row>
    <row r="15" spans="1:8" x14ac:dyDescent="0.25">
      <c r="A15" s="418" t="s">
        <v>655</v>
      </c>
      <c r="B15" s="419">
        <f>+(B7/B$5)*100</f>
        <v>99.657190455282262</v>
      </c>
      <c r="C15" s="421">
        <f t="shared" si="3"/>
        <v>100.5031510904883</v>
      </c>
      <c r="D15" s="419">
        <f t="shared" si="3"/>
        <v>168.74226867433541</v>
      </c>
      <c r="E15" s="419">
        <f t="shared" si="3"/>
        <v>103.73094690460123</v>
      </c>
      <c r="F15" s="421">
        <f t="shared" si="3"/>
        <v>99.998743549342151</v>
      </c>
      <c r="G15" s="419">
        <f t="shared" si="3"/>
        <v>99.765461448380066</v>
      </c>
    </row>
    <row r="16" spans="1:8" x14ac:dyDescent="0.25">
      <c r="A16" s="418" t="s">
        <v>656</v>
      </c>
      <c r="B16" s="419">
        <f t="shared" ref="B16:G16" si="4">+(B8/B$5)*100</f>
        <v>99.485785682923392</v>
      </c>
      <c r="C16" s="421">
        <f t="shared" si="4"/>
        <v>100.53310998328283</v>
      </c>
      <c r="D16" s="419">
        <f t="shared" si="4"/>
        <v>182.29497496878025</v>
      </c>
      <c r="E16" s="419">
        <f t="shared" si="4"/>
        <v>95.04364837872572</v>
      </c>
      <c r="F16" s="421">
        <f t="shared" si="4"/>
        <v>99.998106944074266</v>
      </c>
      <c r="G16" s="419">
        <f t="shared" si="4"/>
        <v>99.533308689156968</v>
      </c>
    </row>
    <row r="17" spans="1:8" x14ac:dyDescent="0.25">
      <c r="A17" s="418"/>
      <c r="B17" s="419"/>
      <c r="C17" s="421"/>
      <c r="D17" s="419"/>
      <c r="E17" s="419"/>
      <c r="F17" s="421"/>
      <c r="G17" s="419"/>
    </row>
    <row r="18" spans="1:8" x14ac:dyDescent="0.25">
      <c r="A18" s="420"/>
      <c r="B18" s="415"/>
      <c r="C18" s="415"/>
      <c r="D18" s="415"/>
      <c r="E18" s="415"/>
      <c r="F18" s="415"/>
      <c r="G18" s="415"/>
    </row>
    <row r="19" spans="1:8" x14ac:dyDescent="0.25">
      <c r="A19" s="281" t="s">
        <v>1275</v>
      </c>
      <c r="C19" s="281" t="s">
        <v>178</v>
      </c>
      <c r="F19" s="281" t="s">
        <v>178</v>
      </c>
    </row>
    <row r="20" spans="1:8" x14ac:dyDescent="0.25">
      <c r="F20" s="230"/>
      <c r="G20" s="230">
        <f>G9-G5</f>
        <v>-324350.41927236243</v>
      </c>
    </row>
    <row r="21" spans="1:8" x14ac:dyDescent="0.25">
      <c r="F21" s="230">
        <f>G5-G9</f>
        <v>324350.41927236243</v>
      </c>
      <c r="G21" s="230"/>
      <c r="H21" s="4">
        <f>G5-G9</f>
        <v>324350.41927236243</v>
      </c>
    </row>
    <row r="22" spans="1:8" x14ac:dyDescent="0.25">
      <c r="B22" s="303">
        <f>B5/G5</f>
        <v>0.79448024531699379</v>
      </c>
      <c r="C22" s="303"/>
      <c r="D22" s="303">
        <f>D5/G5</f>
        <v>-5.9147458950332824E-5</v>
      </c>
      <c r="E22" s="303">
        <f>E5/G5</f>
        <v>1.0950097431963682E-2</v>
      </c>
      <c r="F22" s="303">
        <f>F5/G5</f>
        <v>0.19210485463789101</v>
      </c>
      <c r="G22" s="303"/>
    </row>
  </sheetData>
  <mergeCells count="2">
    <mergeCell ref="A3:A4"/>
    <mergeCell ref="B3:D3"/>
  </mergeCell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33CC"/>
    <pageSetUpPr fitToPage="1"/>
  </sheetPr>
  <dimension ref="A1:H22"/>
  <sheetViews>
    <sheetView workbookViewId="0">
      <selection activeCell="B8" sqref="B8"/>
    </sheetView>
  </sheetViews>
  <sheetFormatPr defaultRowHeight="15" x14ac:dyDescent="0.25"/>
  <cols>
    <col min="1" max="1" width="28.28515625" customWidth="1"/>
    <col min="4" max="4" width="11" customWidth="1"/>
    <col min="6" max="6" width="11.85546875" customWidth="1"/>
    <col min="7" max="7" width="10.7109375" customWidth="1"/>
  </cols>
  <sheetData>
    <row r="1" spans="1:8" ht="17.25" x14ac:dyDescent="0.25">
      <c r="A1" t="s">
        <v>1392</v>
      </c>
      <c r="B1" s="406"/>
    </row>
    <row r="2" spans="1:8" x14ac:dyDescent="0.25">
      <c r="A2" s="1687" t="s">
        <v>1778</v>
      </c>
      <c r="B2" s="407"/>
    </row>
    <row r="3" spans="1:8" ht="15" customHeight="1" x14ac:dyDescent="0.25">
      <c r="A3" s="1790" t="s">
        <v>1300</v>
      </c>
      <c r="B3" s="1792" t="s">
        <v>49</v>
      </c>
      <c r="C3" s="1792"/>
      <c r="D3" s="1792"/>
      <c r="E3" s="299"/>
      <c r="F3" s="299"/>
      <c r="G3" s="299"/>
    </row>
    <row r="4" spans="1:8" ht="30" customHeight="1" x14ac:dyDescent="0.25">
      <c r="A4" s="1791"/>
      <c r="B4" s="408" t="s">
        <v>52</v>
      </c>
      <c r="C4" s="408" t="s">
        <v>653</v>
      </c>
      <c r="D4" s="408" t="s">
        <v>53</v>
      </c>
      <c r="E4" s="409" t="s">
        <v>50</v>
      </c>
      <c r="F4" s="410" t="s">
        <v>51</v>
      </c>
      <c r="G4" s="410" t="s">
        <v>3</v>
      </c>
    </row>
    <row r="5" spans="1:8" x14ac:dyDescent="0.25">
      <c r="A5" s="411" t="s">
        <v>507</v>
      </c>
      <c r="B5" s="412">
        <f>+Closing_stocks!B25</f>
        <v>257690.00067217631</v>
      </c>
      <c r="C5" s="412">
        <f>+Closing_stocks!C25</f>
        <v>1264</v>
      </c>
      <c r="D5" s="412">
        <f>+Closing_stocks!D25</f>
        <v>62.613469534117641</v>
      </c>
      <c r="E5" s="413">
        <f>+Closing_stocks!E25</f>
        <v>3388.8607500000003</v>
      </c>
      <c r="F5" s="412">
        <f>+Closing_stocks!F25</f>
        <v>62127</v>
      </c>
      <c r="G5" s="412">
        <f>+Closing_stocks!G25</f>
        <v>324532.47489171044</v>
      </c>
      <c r="H5" s="1038">
        <f>SUM(B5:F5)-G5</f>
        <v>0</v>
      </c>
    </row>
    <row r="6" spans="1:8" x14ac:dyDescent="0.25">
      <c r="A6" s="1039" t="s">
        <v>654</v>
      </c>
      <c r="B6" s="412">
        <f>+Closing_stocks!B26</f>
        <v>257248.30771313258</v>
      </c>
      <c r="C6" s="412">
        <f>+Closing_stocks!C26</f>
        <v>1264</v>
      </c>
      <c r="D6" s="412">
        <f>+Closing_stocks!D26</f>
        <v>68.059208898823542</v>
      </c>
      <c r="E6" s="413">
        <f>+Closing_stocks!E26</f>
        <v>3388.8607500000003</v>
      </c>
      <c r="F6" s="412">
        <f>+Closing_stocks!F26</f>
        <v>62127</v>
      </c>
      <c r="G6" s="412">
        <f>+Closing_stocks!G26</f>
        <v>324096.22767203138</v>
      </c>
    </row>
    <row r="7" spans="1:8" x14ac:dyDescent="0.25">
      <c r="A7" s="1039" t="s">
        <v>655</v>
      </c>
      <c r="B7" s="412">
        <f>+Closing_stocks!B27</f>
        <v>256806.61475408886</v>
      </c>
      <c r="C7" s="412">
        <f>+Closing_stocks!C27</f>
        <v>1264</v>
      </c>
      <c r="D7" s="412">
        <f>+Closing_stocks!D27</f>
        <v>77.39732494588236</v>
      </c>
      <c r="E7" s="413">
        <f>+Closing_stocks!E27</f>
        <v>3388.8607500000003</v>
      </c>
      <c r="F7" s="412">
        <f>+Closing_stocks!F27</f>
        <v>62127</v>
      </c>
      <c r="G7" s="412">
        <f>+Closing_stocks!G27</f>
        <v>323663.87282903475</v>
      </c>
    </row>
    <row r="8" spans="1:8" x14ac:dyDescent="0.25">
      <c r="A8" s="1039" t="s">
        <v>656</v>
      </c>
      <c r="B8" s="412">
        <f>+Closing_stocks!B28</f>
        <v>256364.92179504514</v>
      </c>
      <c r="C8" s="412">
        <f>+Closing_stocks!C28</f>
        <v>1264</v>
      </c>
      <c r="D8" s="412">
        <f>+Closing_stocks!D28</f>
        <v>102.15046767529415</v>
      </c>
      <c r="E8" s="413">
        <f>+Closing_stocks!E28</f>
        <v>3388.8607500000003</v>
      </c>
      <c r="F8" s="412">
        <f>+Closing_stocks!F28</f>
        <v>62127</v>
      </c>
      <c r="G8" s="412">
        <f>+Closing_stocks!G28</f>
        <v>323246.93301272043</v>
      </c>
    </row>
    <row r="9" spans="1:8" x14ac:dyDescent="0.25">
      <c r="A9" s="1039"/>
      <c r="B9" s="412"/>
      <c r="C9" s="412"/>
      <c r="D9" s="412"/>
      <c r="E9" s="413"/>
      <c r="F9" s="412"/>
      <c r="G9" s="412"/>
    </row>
    <row r="10" spans="1:8" x14ac:dyDescent="0.25">
      <c r="A10" s="414" t="s">
        <v>1391</v>
      </c>
      <c r="B10" s="1085">
        <f t="shared" ref="B10:G10" si="0">(B8/B5)-1</f>
        <v>-5.1421431707662224E-3</v>
      </c>
      <c r="C10" s="1085">
        <f t="shared" si="0"/>
        <v>0</v>
      </c>
      <c r="D10" s="1085">
        <f t="shared" si="0"/>
        <v>0.6314455728991839</v>
      </c>
      <c r="E10" s="1085">
        <f t="shared" si="0"/>
        <v>0</v>
      </c>
      <c r="F10" s="1085">
        <f t="shared" si="0"/>
        <v>0</v>
      </c>
      <c r="G10" s="1085">
        <f t="shared" si="0"/>
        <v>-3.9612118307080779E-3</v>
      </c>
    </row>
    <row r="11" spans="1:8" x14ac:dyDescent="0.25">
      <c r="B11" s="230"/>
      <c r="C11" s="230"/>
      <c r="D11" s="230"/>
      <c r="E11" s="230"/>
      <c r="F11" s="230"/>
      <c r="G11" s="230"/>
    </row>
    <row r="12" spans="1:8" x14ac:dyDescent="0.25">
      <c r="A12" s="414" t="s">
        <v>657</v>
      </c>
      <c r="B12" s="415" t="str">
        <f t="shared" ref="B12:G12" si="1">B4</f>
        <v>Lakes</v>
      </c>
      <c r="C12" s="415" t="str">
        <f t="shared" si="1"/>
        <v>Rivers</v>
      </c>
      <c r="D12" s="415" t="str">
        <f t="shared" si="1"/>
        <v>Artificial reservoirs</v>
      </c>
      <c r="E12" s="415" t="str">
        <f t="shared" si="1"/>
        <v>Soil water</v>
      </c>
      <c r="F12" s="415" t="str">
        <f t="shared" si="1"/>
        <v>Groundwater</v>
      </c>
      <c r="G12" s="415" t="str">
        <f t="shared" si="1"/>
        <v>Total</v>
      </c>
    </row>
    <row r="13" spans="1:8" x14ac:dyDescent="0.25">
      <c r="A13" s="416" t="s">
        <v>507</v>
      </c>
      <c r="B13" s="417">
        <f t="shared" ref="B13:G15" si="2">+(B5/B$5)*100</f>
        <v>100</v>
      </c>
      <c r="C13" s="417">
        <f t="shared" si="2"/>
        <v>100</v>
      </c>
      <c r="D13" s="417">
        <f t="shared" si="2"/>
        <v>100</v>
      </c>
      <c r="E13" s="417">
        <f t="shared" si="2"/>
        <v>100</v>
      </c>
      <c r="F13" s="417">
        <f t="shared" si="2"/>
        <v>100</v>
      </c>
      <c r="G13" s="417">
        <f t="shared" si="2"/>
        <v>100</v>
      </c>
    </row>
    <row r="14" spans="1:8" x14ac:dyDescent="0.25">
      <c r="A14" s="418" t="s">
        <v>654</v>
      </c>
      <c r="B14" s="419">
        <f>+(B6/B$5)*100</f>
        <v>99.828595227641131</v>
      </c>
      <c r="C14" s="421">
        <f t="shared" si="2"/>
        <v>100</v>
      </c>
      <c r="D14" s="419">
        <f t="shared" si="2"/>
        <v>108.69739275786108</v>
      </c>
      <c r="E14" s="419">
        <f t="shared" si="2"/>
        <v>100</v>
      </c>
      <c r="F14" s="421">
        <f t="shared" si="2"/>
        <v>100</v>
      </c>
      <c r="G14" s="419">
        <f t="shared" si="2"/>
        <v>99.865576713139532</v>
      </c>
    </row>
    <row r="15" spans="1:8" x14ac:dyDescent="0.25">
      <c r="A15" s="418" t="s">
        <v>655</v>
      </c>
      <c r="B15" s="419">
        <f>+(B7/B$5)*100</f>
        <v>99.657190455282247</v>
      </c>
      <c r="C15" s="421">
        <f t="shared" si="2"/>
        <v>100</v>
      </c>
      <c r="D15" s="419">
        <f t="shared" si="2"/>
        <v>123.61130204373853</v>
      </c>
      <c r="E15" s="419">
        <f t="shared" si="2"/>
        <v>100</v>
      </c>
      <c r="F15" s="421">
        <f t="shared" si="2"/>
        <v>100</v>
      </c>
      <c r="G15" s="419">
        <f t="shared" si="2"/>
        <v>99.732352805997138</v>
      </c>
    </row>
    <row r="16" spans="1:8" x14ac:dyDescent="0.25">
      <c r="A16" s="418" t="s">
        <v>656</v>
      </c>
      <c r="B16" s="419">
        <f t="shared" ref="B16:G16" si="3">+(B8/B$5)*100</f>
        <v>99.485785682923378</v>
      </c>
      <c r="C16" s="421">
        <f t="shared" si="3"/>
        <v>100</v>
      </c>
      <c r="D16" s="419">
        <f t="shared" si="3"/>
        <v>163.1445572899184</v>
      </c>
      <c r="E16" s="419">
        <f t="shared" si="3"/>
        <v>100</v>
      </c>
      <c r="F16" s="421">
        <f t="shared" si="3"/>
        <v>100</v>
      </c>
      <c r="G16" s="419">
        <f t="shared" si="3"/>
        <v>99.603878816929196</v>
      </c>
    </row>
    <row r="17" spans="1:8" x14ac:dyDescent="0.25">
      <c r="A17" s="418"/>
      <c r="B17" s="419"/>
      <c r="C17" s="421"/>
      <c r="D17" s="419"/>
      <c r="E17" s="419"/>
      <c r="F17" s="421"/>
      <c r="G17" s="419"/>
    </row>
    <row r="18" spans="1:8" x14ac:dyDescent="0.25">
      <c r="A18" s="420"/>
      <c r="B18" s="415"/>
      <c r="C18" s="415"/>
      <c r="D18" s="415"/>
      <c r="E18" s="415"/>
      <c r="F18" s="415"/>
      <c r="G18" s="415"/>
    </row>
    <row r="19" spans="1:8" x14ac:dyDescent="0.25">
      <c r="A19" s="281" t="s">
        <v>1275</v>
      </c>
      <c r="C19" s="281" t="s">
        <v>178</v>
      </c>
      <c r="F19" s="281" t="s">
        <v>178</v>
      </c>
    </row>
    <row r="20" spans="1:8" x14ac:dyDescent="0.25">
      <c r="F20" s="230"/>
      <c r="G20" s="230">
        <f>G9-G5</f>
        <v>-324532.47489171044</v>
      </c>
    </row>
    <row r="21" spans="1:8" x14ac:dyDescent="0.25">
      <c r="F21" s="230">
        <f>G5-G9</f>
        <v>324532.47489171044</v>
      </c>
      <c r="G21" s="230"/>
      <c r="H21" s="4">
        <f>G5-G9</f>
        <v>324532.47489171044</v>
      </c>
    </row>
    <row r="22" spans="1:8" x14ac:dyDescent="0.25">
      <c r="B22" s="303">
        <f>B5/G5</f>
        <v>0.79403455927842648</v>
      </c>
      <c r="C22" s="303"/>
      <c r="D22" s="303">
        <f>D5/G5</f>
        <v>1.9293437291602455E-4</v>
      </c>
      <c r="E22" s="303">
        <f>E5/G5</f>
        <v>1.0442285478920994E-2</v>
      </c>
      <c r="F22" s="303">
        <f>F5/G5</f>
        <v>0.19143538723121761</v>
      </c>
      <c r="G22" s="303"/>
    </row>
  </sheetData>
  <mergeCells count="2">
    <mergeCell ref="A3:A4"/>
    <mergeCell ref="B3:D3"/>
  </mergeCells>
  <pageMargins left="0.51181102362204722" right="0.51181102362204722" top="0.74803149606299213" bottom="0.74803149606299213" header="0.31496062992125984" footer="0.31496062992125984"/>
  <pageSetup paperSize="9" scale="68" orientation="landscape" r:id="rId1"/>
  <headerFooter>
    <oddHeader>&amp;L&amp;F    &amp;&amp;&amp;A&amp;C&amp;D&amp;RPage &amp;P of &amp;N</oddHeader>
  </headerFooter>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1:X50"/>
  <sheetViews>
    <sheetView zoomScaleNormal="100" workbookViewId="0">
      <pane xSplit="2" ySplit="5" topLeftCell="C15" activePane="bottomRight" state="frozen"/>
      <selection activeCell="C6" sqref="C6"/>
      <selection pane="topRight" activeCell="C6" sqref="C6"/>
      <selection pane="bottomLeft" activeCell="C6" sqref="C6"/>
      <selection pane="bottomRight" activeCell="C5" sqref="C5"/>
    </sheetView>
  </sheetViews>
  <sheetFormatPr defaultRowHeight="12.75" x14ac:dyDescent="0.2"/>
  <cols>
    <col min="1" max="1" width="7.140625" style="1" customWidth="1"/>
    <col min="2" max="2" width="24.5703125" style="1" customWidth="1"/>
    <col min="3" max="3" width="10.28515625" style="1" bestFit="1" customWidth="1"/>
    <col min="4" max="7" width="10.28515625" style="1" customWidth="1"/>
    <col min="8" max="8" width="8.5703125" style="1" bestFit="1" customWidth="1"/>
    <col min="9" max="12" width="8.5703125" style="1" customWidth="1"/>
    <col min="13" max="13" width="8.7109375" style="1" bestFit="1" customWidth="1"/>
    <col min="14" max="17" width="8.7109375" style="1" customWidth="1"/>
    <col min="18" max="22" width="9.140625" style="1" customWidth="1"/>
    <col min="23" max="16384" width="9.140625" style="1"/>
  </cols>
  <sheetData>
    <row r="1" spans="1:24" ht="12.75" customHeight="1" x14ac:dyDescent="0.2">
      <c r="B1" s="1601" t="s">
        <v>1678</v>
      </c>
      <c r="C1" s="1756" t="s">
        <v>1699</v>
      </c>
      <c r="D1" s="1756"/>
      <c r="E1" s="1756"/>
      <c r="F1" s="1756"/>
      <c r="G1" s="1756"/>
      <c r="H1" s="1756"/>
      <c r="I1" s="1756"/>
      <c r="J1" s="1756"/>
      <c r="K1" s="1756"/>
      <c r="L1" s="1756"/>
      <c r="M1" s="1756"/>
      <c r="N1" s="1756"/>
      <c r="O1" s="1756"/>
      <c r="P1" s="1756"/>
      <c r="Q1" s="1756"/>
      <c r="R1" s="1756"/>
      <c r="S1" s="1500"/>
    </row>
    <row r="2" spans="1:24" ht="12.75" customHeight="1" x14ac:dyDescent="0.2">
      <c r="A2" s="1498"/>
      <c r="B2" s="1602" t="s">
        <v>1700</v>
      </c>
      <c r="C2" s="1757" t="s">
        <v>577</v>
      </c>
      <c r="D2" s="1757"/>
      <c r="E2" s="1757"/>
      <c r="F2" s="1757"/>
      <c r="G2" s="1757"/>
      <c r="H2" s="1757"/>
      <c r="I2" s="1757"/>
      <c r="J2" s="1757"/>
      <c r="K2" s="1757"/>
      <c r="L2" s="1757"/>
      <c r="M2" s="1757"/>
      <c r="N2" s="1757"/>
      <c r="O2" s="1757"/>
      <c r="P2" s="1757"/>
      <c r="Q2" s="1757"/>
      <c r="R2" s="1757"/>
      <c r="S2" s="70"/>
    </row>
    <row r="3" spans="1:24" ht="12.75" customHeight="1" x14ac:dyDescent="0.2">
      <c r="A3" s="1752" t="s">
        <v>578</v>
      </c>
      <c r="B3" s="1753"/>
      <c r="C3" s="72" t="s">
        <v>12</v>
      </c>
      <c r="D3" s="72"/>
      <c r="E3" s="72"/>
      <c r="F3" s="72"/>
      <c r="G3" s="72"/>
      <c r="H3" s="1760" t="s">
        <v>1276</v>
      </c>
      <c r="I3" s="71"/>
      <c r="J3" s="71"/>
      <c r="K3" s="71"/>
      <c r="L3" s="71"/>
      <c r="M3" s="1793" t="s">
        <v>642</v>
      </c>
      <c r="N3" s="99"/>
      <c r="O3" s="99"/>
      <c r="P3" s="99"/>
      <c r="Q3" s="99"/>
      <c r="R3" s="1795" t="s">
        <v>1698</v>
      </c>
      <c r="S3" s="99"/>
      <c r="T3" s="99"/>
      <c r="U3" s="99"/>
      <c r="V3" s="99"/>
    </row>
    <row r="4" spans="1:24" ht="50.25" customHeight="1" x14ac:dyDescent="0.2">
      <c r="A4" s="1754"/>
      <c r="B4" s="1755"/>
      <c r="C4" s="71" t="s">
        <v>6</v>
      </c>
      <c r="D4" s="71"/>
      <c r="E4" s="71"/>
      <c r="F4" s="71"/>
      <c r="G4" s="71"/>
      <c r="H4" s="1760"/>
      <c r="I4" s="71"/>
      <c r="J4" s="71"/>
      <c r="K4" s="71"/>
      <c r="L4" s="71"/>
      <c r="M4" s="1794"/>
      <c r="N4" s="73"/>
      <c r="O4" s="73"/>
      <c r="P4" s="73"/>
      <c r="Q4" s="73"/>
      <c r="R4" s="1796"/>
      <c r="S4" s="73"/>
      <c r="T4" s="73"/>
      <c r="U4" s="73"/>
      <c r="V4" s="73"/>
    </row>
    <row r="5" spans="1:24" ht="12.75" customHeight="1" x14ac:dyDescent="0.2">
      <c r="A5" s="750"/>
      <c r="B5" s="749" t="s">
        <v>1081</v>
      </c>
      <c r="C5" s="1606">
        <v>2012</v>
      </c>
      <c r="D5" s="1606">
        <v>2013</v>
      </c>
      <c r="E5" s="1606">
        <v>2014</v>
      </c>
      <c r="F5" s="1606">
        <v>2015</v>
      </c>
      <c r="G5" s="1606">
        <v>2016</v>
      </c>
      <c r="H5" s="1606">
        <v>2012</v>
      </c>
      <c r="I5" s="1606">
        <v>2013</v>
      </c>
      <c r="J5" s="1606">
        <v>2014</v>
      </c>
      <c r="K5" s="1606">
        <v>2015</v>
      </c>
      <c r="L5" s="1606">
        <v>2016</v>
      </c>
      <c r="M5" s="1606">
        <v>2012</v>
      </c>
      <c r="N5" s="1606">
        <v>2013</v>
      </c>
      <c r="O5" s="1606">
        <v>2014</v>
      </c>
      <c r="P5" s="1606">
        <v>2015</v>
      </c>
      <c r="Q5" s="1606">
        <v>2016</v>
      </c>
      <c r="R5" s="1608">
        <v>2012</v>
      </c>
      <c r="S5" s="1606">
        <v>2013</v>
      </c>
      <c r="T5" s="1606">
        <v>2014</v>
      </c>
      <c r="U5" s="1606">
        <v>2015</v>
      </c>
      <c r="V5" s="1606">
        <v>2016</v>
      </c>
    </row>
    <row r="6" spans="1:24" x14ac:dyDescent="0.2">
      <c r="A6" s="1762" t="s">
        <v>4</v>
      </c>
      <c r="B6" s="1590" t="s">
        <v>140</v>
      </c>
      <c r="C6" s="1569">
        <f>+(PSUT_2012!$C6)</f>
        <v>13563380.505039312</v>
      </c>
      <c r="D6" s="1569">
        <f>+(PSUT_2013!$C6)</f>
        <v>13010018.946100427</v>
      </c>
      <c r="E6" s="1569">
        <f>+(PSUT_2014!$C6)</f>
        <v>13506848.022465833</v>
      </c>
      <c r="F6" s="1569">
        <f>+(PSUT_2015!$C6)</f>
        <v>13846587.983314097</v>
      </c>
      <c r="G6" s="1576"/>
      <c r="H6" s="155">
        <f>+(PSUT_2012!$W6)</f>
        <v>13998421.908640916</v>
      </c>
      <c r="I6" s="155">
        <f>+(PSUT_2013!$W6)</f>
        <v>13456325.683733875</v>
      </c>
      <c r="J6" s="155">
        <f>+(PSUT_2014!$W6)</f>
        <v>13964802.992576756</v>
      </c>
      <c r="K6" s="155">
        <f>+(PSUT_2015!$W6)</f>
        <v>14316588.392651882</v>
      </c>
      <c r="L6" s="157"/>
      <c r="M6" s="1569">
        <f>+(PSUT_2012!$X6)</f>
        <v>40434.896439560478</v>
      </c>
      <c r="N6" s="1569">
        <f>+(PSUT_2013!$X6)</f>
        <v>40632.696503402331</v>
      </c>
      <c r="O6" s="1607">
        <f>+(PSUT_2014!$X6)</f>
        <v>40832.697923868138</v>
      </c>
      <c r="P6" s="1607">
        <f>+(PSUT_2015!$X6)</f>
        <v>41034.76146704804</v>
      </c>
      <c r="Q6" s="1582"/>
      <c r="R6" s="1587">
        <f>+(PSUT_2012!$AA6)</f>
        <v>14038856.805080475</v>
      </c>
      <c r="S6" s="159">
        <f>+(PSUT_2013!$AA6)</f>
        <v>13496958.380237278</v>
      </c>
      <c r="T6" s="159">
        <f>+(PSUT_2014!$AA6)</f>
        <v>14005635.690500624</v>
      </c>
      <c r="U6" s="159">
        <f>+(PSUT_2015!$AA6)</f>
        <v>14357623.154118931</v>
      </c>
      <c r="V6" s="159"/>
      <c r="X6" s="1610" t="s">
        <v>1701</v>
      </c>
    </row>
    <row r="7" spans="1:24" ht="12" customHeight="1" x14ac:dyDescent="0.2">
      <c r="A7" s="1763"/>
      <c r="B7" s="1594" t="s">
        <v>23</v>
      </c>
      <c r="C7" s="1570">
        <f>+(PSUT_2012!$C7)</f>
        <v>13563380.505039312</v>
      </c>
      <c r="D7" s="1570">
        <f>+(PSUT_2013!$C7)</f>
        <v>13010018.946100427</v>
      </c>
      <c r="E7" s="1570">
        <f>+(PSUT_2014!$C7)</f>
        <v>13506848.022465833</v>
      </c>
      <c r="F7" s="1570">
        <f>+(PSUT_2015!$C7)</f>
        <v>13846587.983314097</v>
      </c>
      <c r="G7" s="1579"/>
      <c r="H7" s="1567">
        <f>+(PSUT_2012!$W7)</f>
        <v>13948540.260024725</v>
      </c>
      <c r="I7" s="1567">
        <f>+(PSUT_2013!$W7)</f>
        <v>13406178.991185602</v>
      </c>
      <c r="J7" s="1567">
        <f>+(PSUT_2014!$W7)</f>
        <v>13914389.930876743</v>
      </c>
      <c r="K7" s="1567">
        <f>+(PSUT_2015!$W7)</f>
        <v>14265907.629954368</v>
      </c>
      <c r="L7" s="376"/>
      <c r="M7" s="1570">
        <f>+(PSUT_2012!$X7)</f>
        <v>40434.896439560478</v>
      </c>
      <c r="N7" s="1570">
        <f>+(PSUT_2013!$X7)</f>
        <v>40632.696503402331</v>
      </c>
      <c r="O7" s="1570">
        <f>+(PSUT_2014!$X7)</f>
        <v>40832.697923868138</v>
      </c>
      <c r="P7" s="1570">
        <f>+(PSUT_2015!$X7)</f>
        <v>41034.76146704804</v>
      </c>
      <c r="Q7" s="1579"/>
      <c r="R7" s="143">
        <f>+(PSUT_2012!$AA7)</f>
        <v>13988975.156464284</v>
      </c>
      <c r="S7" s="143">
        <f>+(PSUT_2013!$AA7)</f>
        <v>13446811.687689004</v>
      </c>
      <c r="T7" s="143">
        <f>+(PSUT_2014!$AA7)</f>
        <v>13955222.628800612</v>
      </c>
      <c r="U7" s="143">
        <f>+(PSUT_2015!$AA7)</f>
        <v>14306942.391421417</v>
      </c>
      <c r="V7" s="143"/>
      <c r="X7" s="1610" t="s">
        <v>1702</v>
      </c>
    </row>
    <row r="8" spans="1:24" ht="12" customHeight="1" x14ac:dyDescent="0.2">
      <c r="A8" s="1763"/>
      <c r="B8" s="1595" t="s">
        <v>24</v>
      </c>
      <c r="C8" s="1571">
        <f>+(PSUT_2012!$C8)</f>
        <v>0</v>
      </c>
      <c r="D8" s="1571">
        <f>+(PSUT_2013!$C8)</f>
        <v>0</v>
      </c>
      <c r="E8" s="1571">
        <f>+(PSUT_2014!$C8)</f>
        <v>0</v>
      </c>
      <c r="F8" s="1571">
        <f>+(PSUT_2015!$C8)</f>
        <v>0</v>
      </c>
      <c r="G8" s="1581"/>
      <c r="H8" s="1574">
        <f>+(PSUT_2012!$W8)</f>
        <v>49881.648616190098</v>
      </c>
      <c r="I8" s="1574">
        <f>+(PSUT_2013!$W8)</f>
        <v>50146.692548271036</v>
      </c>
      <c r="J8" s="1574">
        <f>+(PSUT_2014!$W8)</f>
        <v>50413.061700012389</v>
      </c>
      <c r="K8" s="1574">
        <f>+(PSUT_2015!$W8)</f>
        <v>50680.762697512444</v>
      </c>
      <c r="L8" s="159"/>
      <c r="M8" s="1571">
        <f>+(PSUT_2012!$X8)</f>
        <v>0</v>
      </c>
      <c r="N8" s="1571">
        <f>+(PSUT_2013!$X8)</f>
        <v>0</v>
      </c>
      <c r="O8" s="1571">
        <f>+(PSUT_2014!$X8)</f>
        <v>0</v>
      </c>
      <c r="P8" s="1571">
        <f>+(PSUT_2015!$X8)</f>
        <v>0</v>
      </c>
      <c r="Q8" s="1581"/>
      <c r="R8" s="1586">
        <f>+(PSUT_2012!$AA8)</f>
        <v>49881.648616190098</v>
      </c>
      <c r="S8" s="1583">
        <f>+(PSUT_2013!$AA8)</f>
        <v>50146.692548271036</v>
      </c>
      <c r="T8" s="1583">
        <f>+(PSUT_2014!$AA8)</f>
        <v>50413.061700012389</v>
      </c>
      <c r="U8" s="1583">
        <f>+(PSUT_2015!$AA8)</f>
        <v>50680.762697512444</v>
      </c>
      <c r="V8" s="1583"/>
      <c r="X8" s="1610" t="s">
        <v>1703</v>
      </c>
    </row>
    <row r="9" spans="1:24" ht="12" customHeight="1" x14ac:dyDescent="0.2">
      <c r="A9" s="1763"/>
      <c r="B9" s="1590" t="s">
        <v>141</v>
      </c>
      <c r="C9" s="1569">
        <f>+(PSUT_2012!$C9)</f>
        <v>13563380.505039312</v>
      </c>
      <c r="D9" s="1569">
        <f>+(PSUT_2013!$C9)</f>
        <v>13010018.946100427</v>
      </c>
      <c r="E9" s="1569">
        <f>+(PSUT_2014!$C9)</f>
        <v>13506848.022465833</v>
      </c>
      <c r="F9" s="1569">
        <f>+(PSUT_2015!$C9)</f>
        <v>13846587.983314097</v>
      </c>
      <c r="G9" s="1576"/>
      <c r="H9" s="155">
        <f>+(PSUT_2012!$W9)</f>
        <v>13998421.908640916</v>
      </c>
      <c r="I9" s="155">
        <f>+(PSUT_2013!$W9)</f>
        <v>13456120.564079396</v>
      </c>
      <c r="J9" s="155">
        <f>+(PSUT_2014!$W9)</f>
        <v>13964802.992576756</v>
      </c>
      <c r="K9" s="155">
        <f>+(PSUT_2015!$W9)</f>
        <v>14316588.392651882</v>
      </c>
      <c r="L9" s="157"/>
      <c r="M9" s="1569">
        <f>+(PSUT_2012!$X9)</f>
        <v>40434.896439560478</v>
      </c>
      <c r="N9" s="1569">
        <f>+(PSUT_2013!$X9)</f>
        <v>40632.696503402331</v>
      </c>
      <c r="O9" s="1569">
        <f>+(PSUT_2014!$X9)</f>
        <v>40832.697923868138</v>
      </c>
      <c r="P9" s="1569">
        <f>+(PSUT_2015!$X9)</f>
        <v>41034.76146704804</v>
      </c>
      <c r="Q9" s="1576"/>
      <c r="R9" s="158">
        <f>+(PSUT_2012!$AA9)</f>
        <v>14038856.805080475</v>
      </c>
      <c r="S9" s="158">
        <f>+(PSUT_2013!$AA9)</f>
        <v>13496753.260582799</v>
      </c>
      <c r="T9" s="158">
        <f>+(PSUT_2014!$AA9)</f>
        <v>14005635.690500624</v>
      </c>
      <c r="U9" s="158">
        <f>+(PSUT_2015!$AA9)</f>
        <v>14357623.154118931</v>
      </c>
      <c r="V9" s="158"/>
      <c r="X9" s="1610" t="s">
        <v>1704</v>
      </c>
    </row>
    <row r="10" spans="1:24" ht="12" customHeight="1" x14ac:dyDescent="0.2">
      <c r="A10" s="1763"/>
      <c r="B10" s="1596" t="s">
        <v>25</v>
      </c>
      <c r="C10" s="1572">
        <f>+(PSUT_2012!$C10)</f>
        <v>13562573.505039312</v>
      </c>
      <c r="D10" s="1572">
        <f>+(PSUT_2013!$C10)</f>
        <v>13009211.946100427</v>
      </c>
      <c r="E10" s="1572">
        <f>+(PSUT_2014!$C10)</f>
        <v>13506041.022465833</v>
      </c>
      <c r="F10" s="1572">
        <f>+(PSUT_2015!$C10)</f>
        <v>13845780.983314097</v>
      </c>
      <c r="G10" s="1577"/>
      <c r="H10" s="155">
        <f>+(PSUT_2012!$W10)</f>
        <v>13975719.223940914</v>
      </c>
      <c r="I10" s="155">
        <f>+(PSUT_2013!$W10)</f>
        <v>13433417.879379395</v>
      </c>
      <c r="J10" s="155">
        <f>+(PSUT_2014!$W10)</f>
        <v>13942100.307876756</v>
      </c>
      <c r="K10" s="155">
        <f>+(PSUT_2015!$W10)</f>
        <v>14293885.707951883</v>
      </c>
      <c r="L10" s="157"/>
      <c r="M10" s="1572">
        <f>+(PSUT_2012!$X10)</f>
        <v>39884.896439560478</v>
      </c>
      <c r="N10" s="1572">
        <f>+(PSUT_2013!$X10)</f>
        <v>40082.696503402331</v>
      </c>
      <c r="O10" s="1572">
        <f>+(PSUT_2014!$X10)</f>
        <v>40282.697923868138</v>
      </c>
      <c r="P10" s="1572">
        <f>+(PSUT_2015!$X10)</f>
        <v>40484.76146704804</v>
      </c>
      <c r="Q10" s="1582"/>
      <c r="R10" s="1587">
        <f>+(PSUT_2012!$AA10)</f>
        <v>14015604.120380474</v>
      </c>
      <c r="S10" s="159">
        <f>+(PSUT_2013!$AA10)</f>
        <v>13473500.575882798</v>
      </c>
      <c r="T10" s="159">
        <f>+(PSUT_2014!$AA10)</f>
        <v>13982383.005800625</v>
      </c>
      <c r="U10" s="159">
        <f>+(PSUT_2015!$AA10)</f>
        <v>14334370.469418932</v>
      </c>
      <c r="V10" s="159"/>
      <c r="X10" s="1610" t="s">
        <v>1705</v>
      </c>
    </row>
    <row r="11" spans="1:24" ht="12" customHeight="1" x14ac:dyDescent="0.2">
      <c r="A11" s="1763"/>
      <c r="B11" s="1597" t="s">
        <v>26</v>
      </c>
      <c r="C11" s="1573">
        <f>+(PSUT_2012!$C11)</f>
        <v>189335.69415585385</v>
      </c>
      <c r="D11" s="1573">
        <f>+(PSUT_2013!$C11)</f>
        <v>195157.23901430785</v>
      </c>
      <c r="E11" s="1573">
        <f>+(PSUT_2014!$C11)</f>
        <v>205178.23028145044</v>
      </c>
      <c r="F11" s="1573">
        <f>+(PSUT_2015!$C11)</f>
        <v>213589.91369091149</v>
      </c>
      <c r="G11" s="1578"/>
      <c r="H11" s="155">
        <f>+(PSUT_2012!$W11)</f>
        <v>581443.7862559855</v>
      </c>
      <c r="I11" s="155">
        <f>+(PSUT_2013!$W11)</f>
        <v>598147.83798872598</v>
      </c>
      <c r="J11" s="155">
        <f>+(PSUT_2014!$W11)</f>
        <v>619842.10619040998</v>
      </c>
      <c r="K11" s="155">
        <f>+(PSUT_2015!$W11)</f>
        <v>640116.74451338022</v>
      </c>
      <c r="L11" s="157"/>
      <c r="M11" s="1573">
        <f>+(PSUT_2012!$X11)</f>
        <v>11301.441449073298</v>
      </c>
      <c r="N11" s="1573">
        <f>+(PSUT_2013!$X11)</f>
        <v>11301.441449073298</v>
      </c>
      <c r="O11" s="1573">
        <f>+(PSUT_2014!$X11)</f>
        <v>11301.556149600257</v>
      </c>
      <c r="P11" s="1573">
        <f>+(PSUT_2015!$X11)</f>
        <v>11301.61393034826</v>
      </c>
      <c r="Q11" s="1578"/>
      <c r="R11" s="1585">
        <f>+(PSUT_2012!$AA11)</f>
        <v>592745.22770505876</v>
      </c>
      <c r="S11" s="1584">
        <f>+(PSUT_2013!$AA11)</f>
        <v>609449.27943779924</v>
      </c>
      <c r="T11" s="1584">
        <f>+(PSUT_2014!$AA11)</f>
        <v>631143.66234001028</v>
      </c>
      <c r="U11" s="1584">
        <f>+(PSUT_2015!$AA11)</f>
        <v>651418.35844372853</v>
      </c>
      <c r="V11" s="1584"/>
      <c r="X11" s="1610" t="s">
        <v>1072</v>
      </c>
    </row>
    <row r="12" spans="1:24" ht="12" customHeight="1" x14ac:dyDescent="0.2">
      <c r="A12" s="1763"/>
      <c r="B12" s="1598" t="s">
        <v>27</v>
      </c>
      <c r="C12" s="1570">
        <f>+(PSUT_2012!$C12)</f>
        <v>13252.297238757075</v>
      </c>
      <c r="D12" s="1570">
        <f>+(PSUT_2013!$C12)</f>
        <v>13795.641425546113</v>
      </c>
      <c r="E12" s="1570">
        <f>+(PSUT_2014!$C12)</f>
        <v>14361.262723993506</v>
      </c>
      <c r="F12" s="1570">
        <f>+(PSUT_2015!$C12)</f>
        <v>14950.074495677238</v>
      </c>
      <c r="G12" s="1579"/>
      <c r="H12" s="1567">
        <f>+(PSUT_2012!$W12)</f>
        <v>13252.297238757075</v>
      </c>
      <c r="I12" s="1567">
        <f>+(PSUT_2013!$W12)</f>
        <v>13795.641425546113</v>
      </c>
      <c r="J12" s="1567">
        <f>+(PSUT_2014!$W12)</f>
        <v>14361.262723993506</v>
      </c>
      <c r="K12" s="1567">
        <f>+(PSUT_2015!$W12)</f>
        <v>14950.074495677238</v>
      </c>
      <c r="L12" s="376"/>
      <c r="M12" s="1570">
        <f>+(PSUT_2012!$X12)</f>
        <v>5040</v>
      </c>
      <c r="N12" s="1570">
        <f>+(PSUT_2013!$X12)</f>
        <v>5040</v>
      </c>
      <c r="O12" s="1570">
        <f>+(PSUT_2014!$X12)</f>
        <v>5040</v>
      </c>
      <c r="P12" s="1570">
        <f>+(PSUT_2015!$X12)</f>
        <v>5040</v>
      </c>
      <c r="Q12" s="1579"/>
      <c r="R12" s="143">
        <f>+(PSUT_2012!$AA12)</f>
        <v>18292.297238757077</v>
      </c>
      <c r="S12" s="143">
        <f>+(PSUT_2013!$AA12)</f>
        <v>18835.641425546113</v>
      </c>
      <c r="T12" s="143">
        <f>+(PSUT_2014!$AA12)</f>
        <v>19401.262723993506</v>
      </c>
      <c r="U12" s="143">
        <f>+(PSUT_2015!$AA12)</f>
        <v>19990.07449567724</v>
      </c>
      <c r="V12" s="143"/>
      <c r="X12" s="1610" t="s">
        <v>52</v>
      </c>
    </row>
    <row r="13" spans="1:24" ht="12" customHeight="1" x14ac:dyDescent="0.2">
      <c r="A13" s="1763"/>
      <c r="B13" s="1592" t="s">
        <v>28</v>
      </c>
      <c r="C13" s="75">
        <f>+(PSUT_2012!$C13)</f>
        <v>109804.74854970146</v>
      </c>
      <c r="D13" s="75">
        <f>+(PSUT_2013!$C13)</f>
        <v>114306.74324023922</v>
      </c>
      <c r="E13" s="75">
        <f>+(PSUT_2014!$C13)</f>
        <v>118993.31971308903</v>
      </c>
      <c r="F13" s="75">
        <f>+(PSUT_2015!$C13)</f>
        <v>123872.04582132566</v>
      </c>
      <c r="G13" s="1580"/>
      <c r="H13" s="82">
        <f>+(PSUT_2012!$W13)</f>
        <v>309231.86563005042</v>
      </c>
      <c r="I13" s="82">
        <f>+(PSUT_2013!$W13)</f>
        <v>316787.05852285196</v>
      </c>
      <c r="J13" s="82">
        <f>+(PSUT_2014!$W13)</f>
        <v>324998.01382874319</v>
      </c>
      <c r="K13" s="82">
        <f>+(PSUT_2015!$W13)</f>
        <v>333258.13239742484</v>
      </c>
      <c r="L13" s="158"/>
      <c r="M13" s="75">
        <f>+(PSUT_2012!$X13)</f>
        <v>5116</v>
      </c>
      <c r="N13" s="75">
        <f>+(PSUT_2013!$X13)</f>
        <v>5116</v>
      </c>
      <c r="O13" s="75">
        <f>+(PSUT_2014!$X13)</f>
        <v>5116</v>
      </c>
      <c r="P13" s="75">
        <f>+(PSUT_2015!$X13)</f>
        <v>5116</v>
      </c>
      <c r="Q13" s="1580"/>
      <c r="R13" s="143">
        <f>+(PSUT_2012!$AA13)</f>
        <v>314347.86563005042</v>
      </c>
      <c r="S13" s="143">
        <f>+(PSUT_2013!$AA13)</f>
        <v>321903.05852285196</v>
      </c>
      <c r="T13" s="143">
        <f>+(PSUT_2014!$AA13)</f>
        <v>330114.01382874319</v>
      </c>
      <c r="U13" s="143">
        <f>+(PSUT_2015!$AA13)</f>
        <v>338374.13239742484</v>
      </c>
      <c r="V13" s="143"/>
      <c r="X13" s="1610" t="s">
        <v>653</v>
      </c>
    </row>
    <row r="14" spans="1:24" ht="12" customHeight="1" x14ac:dyDescent="0.2">
      <c r="A14" s="1763"/>
      <c r="B14" s="1592" t="s">
        <v>29</v>
      </c>
      <c r="C14" s="75">
        <f>+(PSUT_2012!$C14)</f>
        <v>47346.795169170924</v>
      </c>
      <c r="D14" s="75">
        <f>+(PSUT_2013!$C14)</f>
        <v>47346.795169170924</v>
      </c>
      <c r="E14" s="75">
        <f>+(PSUT_2014!$C14)</f>
        <v>51307.558238662903</v>
      </c>
      <c r="F14" s="75">
        <f>+(PSUT_2015!$C14)</f>
        <v>53410.544094369659</v>
      </c>
      <c r="G14" s="1580"/>
      <c r="H14" s="82">
        <f>+(PSUT_2012!$W14)</f>
        <v>236665.32715141482</v>
      </c>
      <c r="I14" s="82">
        <f>+(PSUT_2013!$W14)</f>
        <v>244427.38696268681</v>
      </c>
      <c r="J14" s="82">
        <f>+(PSUT_2014!$W14)</f>
        <v>256468.45429571296</v>
      </c>
      <c r="K14" s="82">
        <f>+(PSUT_2015!$W14)</f>
        <v>266983.03688975878</v>
      </c>
      <c r="L14" s="158"/>
      <c r="M14" s="75">
        <f>+(PSUT_2012!$X14)</f>
        <v>11.441449073297617</v>
      </c>
      <c r="N14" s="75">
        <f>+(PSUT_2013!$X14)</f>
        <v>11.441449073297617</v>
      </c>
      <c r="O14" s="75">
        <f>+(PSUT_2014!$X14)</f>
        <v>11.556149600257422</v>
      </c>
      <c r="P14" s="75">
        <f>+(PSUT_2015!$X14)</f>
        <v>11.613930348258709</v>
      </c>
      <c r="Q14" s="1580"/>
      <c r="R14" s="143">
        <f>+(PSUT_2012!$AA14)</f>
        <v>236676.76860048811</v>
      </c>
      <c r="S14" s="143">
        <f>+(PSUT_2013!$AA14)</f>
        <v>244438.8284117601</v>
      </c>
      <c r="T14" s="143">
        <f>+(PSUT_2014!$AA14)</f>
        <v>256480.01044531321</v>
      </c>
      <c r="U14" s="143">
        <f>+(PSUT_2015!$AA14)</f>
        <v>266994.65082010702</v>
      </c>
      <c r="V14" s="143"/>
      <c r="X14" s="1610" t="s">
        <v>1717</v>
      </c>
    </row>
    <row r="15" spans="1:24" ht="24" customHeight="1" x14ac:dyDescent="0.2">
      <c r="A15" s="1763"/>
      <c r="B15" s="1593" t="s">
        <v>30</v>
      </c>
      <c r="C15" s="1571">
        <f>+(PSUT_2012!$C15)</f>
        <v>18931.853198224391</v>
      </c>
      <c r="D15" s="1571">
        <f>+(PSUT_2013!$C15)</f>
        <v>19708.059179351592</v>
      </c>
      <c r="E15" s="1571">
        <f>+(PSUT_2014!$C15)</f>
        <v>20516.089605705009</v>
      </c>
      <c r="F15" s="1571">
        <f>+(PSUT_2015!$C15)</f>
        <v>21357.249279538912</v>
      </c>
      <c r="G15" s="1581"/>
      <c r="H15" s="1574">
        <f>+(PSUT_2012!$W15)</f>
        <v>22294.296235763115</v>
      </c>
      <c r="I15" s="1574">
        <f>+(PSUT_2013!$W15)</f>
        <v>23137.751077641089</v>
      </c>
      <c r="J15" s="1574">
        <f>+(PSUT_2014!$W15)</f>
        <v>24014.375341960294</v>
      </c>
      <c r="K15" s="1574">
        <f>+(PSUT_2015!$W15)</f>
        <v>24925.500730519303</v>
      </c>
      <c r="L15" s="159"/>
      <c r="M15" s="1571">
        <f>+(PSUT_2012!$X15)</f>
        <v>1134</v>
      </c>
      <c r="N15" s="1571">
        <f>+(PSUT_2013!$X15)</f>
        <v>1134</v>
      </c>
      <c r="O15" s="1571">
        <f>+(PSUT_2014!$X15)</f>
        <v>1134</v>
      </c>
      <c r="P15" s="1571">
        <f>+(PSUT_2015!$X15)</f>
        <v>1134</v>
      </c>
      <c r="Q15" s="1581"/>
      <c r="R15" s="1586">
        <f>+(PSUT_2012!$AA15)</f>
        <v>23428.296235763115</v>
      </c>
      <c r="S15" s="1583">
        <f>+(PSUT_2013!$AA15)</f>
        <v>24271.751077641089</v>
      </c>
      <c r="T15" s="1583">
        <f>+(PSUT_2014!$AA15)</f>
        <v>25148.375341960294</v>
      </c>
      <c r="U15" s="1583">
        <f>+(PSUT_2015!$AA15)</f>
        <v>26059.500730519303</v>
      </c>
      <c r="V15" s="1583"/>
      <c r="X15" s="1610" t="s">
        <v>1716</v>
      </c>
    </row>
    <row r="16" spans="1:24" ht="12" customHeight="1" x14ac:dyDescent="0.2">
      <c r="A16" s="1763"/>
      <c r="B16" s="1599" t="s">
        <v>31</v>
      </c>
      <c r="C16" s="1573">
        <f>+(PSUT_2012!$C16)</f>
        <v>13829.735230138118</v>
      </c>
      <c r="D16" s="1573">
        <f>+(PSUT_2013!$C16)</f>
        <v>13877.667157826309</v>
      </c>
      <c r="E16" s="1573">
        <f>+(PSUT_2014!$C16)</f>
        <v>13925.838745152938</v>
      </c>
      <c r="F16" s="1573">
        <f>+(PSUT_2015!$C16)</f>
        <v>13974.251190416202</v>
      </c>
      <c r="G16" s="1578"/>
      <c r="H16" s="155">
        <f>+(PSUT_2012!$W16)</f>
        <v>34867.362031609759</v>
      </c>
      <c r="I16" s="155">
        <f>+(PSUT_2013!$W16)</f>
        <v>35093.001462378845</v>
      </c>
      <c r="J16" s="155">
        <f>+(PSUT_2014!$W16)</f>
        <v>35321.248247117801</v>
      </c>
      <c r="K16" s="155">
        <f>+(PSUT_2015!$W16)</f>
        <v>35552.145005732797</v>
      </c>
      <c r="L16" s="157"/>
      <c r="M16" s="1573">
        <f>+(PSUT_2012!$X16)</f>
        <v>28583.454990487178</v>
      </c>
      <c r="N16" s="1573">
        <f>+(PSUT_2013!$X16)</f>
        <v>28781.255054329034</v>
      </c>
      <c r="O16" s="1573">
        <f>+(PSUT_2014!$X16)</f>
        <v>28981.141774267882</v>
      </c>
      <c r="P16" s="1573">
        <f>+(PSUT_2015!$X16)</f>
        <v>29183.147536699777</v>
      </c>
      <c r="Q16" s="1578"/>
      <c r="R16" s="1585">
        <f>+(PSUT_2012!$AA16)</f>
        <v>63450.817022096933</v>
      </c>
      <c r="S16" s="1584">
        <f>+(PSUT_2013!$AA16)</f>
        <v>63874.256516707879</v>
      </c>
      <c r="T16" s="1584">
        <f>+(PSUT_2014!$AA16)</f>
        <v>64302.390021385683</v>
      </c>
      <c r="U16" s="1584">
        <f>+(PSUT_2015!$AA16)</f>
        <v>64735.292542432573</v>
      </c>
      <c r="V16" s="1584"/>
      <c r="X16" s="1610" t="s">
        <v>51</v>
      </c>
    </row>
    <row r="17" spans="1:24" ht="12" customHeight="1" x14ac:dyDescent="0.2">
      <c r="A17" s="1763"/>
      <c r="B17" s="1598" t="s">
        <v>461</v>
      </c>
      <c r="C17" s="75">
        <f>+(PSUT_2012!$C17)</f>
        <v>4243.3496924999999</v>
      </c>
      <c r="D17" s="75">
        <f>+(PSUT_2013!$C17)</f>
        <v>4243.3496924999999</v>
      </c>
      <c r="E17" s="75">
        <f>+(PSUT_2014!$C17)</f>
        <v>4243.3496924999999</v>
      </c>
      <c r="F17" s="75">
        <f>+(PSUT_2015!$C17)</f>
        <v>4243.3496924999999</v>
      </c>
      <c r="G17" s="1580"/>
      <c r="H17" s="1567">
        <f>+(PSUT_2012!$W17)</f>
        <v>7637.2686869390027</v>
      </c>
      <c r="I17" s="1567">
        <f>+(PSUT_2013!$W17)</f>
        <v>7702.2547109654879</v>
      </c>
      <c r="J17" s="1567">
        <f>+(PSUT_2014!$W17)</f>
        <v>7768.5404554725019</v>
      </c>
      <c r="K17" s="1567">
        <f>+(PSUT_2015!$W17)</f>
        <v>7836.151914869657</v>
      </c>
      <c r="L17" s="376"/>
      <c r="M17" s="75">
        <f>+(PSUT_2012!$X17)</f>
        <v>3658.8525926280699</v>
      </c>
      <c r="N17" s="75">
        <f>+(PSUT_2013!$X17)</f>
        <v>3732.0296444806318</v>
      </c>
      <c r="O17" s="75">
        <f>+(PSUT_2014!$X17)</f>
        <v>3806.6702373702446</v>
      </c>
      <c r="P17" s="75">
        <f>+(PSUT_2015!$X17)</f>
        <v>3882.8036421176503</v>
      </c>
      <c r="Q17" s="1580"/>
      <c r="R17" s="143">
        <f>+(PSUT_2012!$AA17)</f>
        <v>11296.121279567073</v>
      </c>
      <c r="S17" s="143">
        <f>+(PSUT_2013!$AA17)</f>
        <v>0</v>
      </c>
      <c r="T17" s="143">
        <f>+(PSUT_2014!$AA17)</f>
        <v>0</v>
      </c>
      <c r="U17" s="143">
        <f>+(PSUT_2015!$AA17)</f>
        <v>0</v>
      </c>
      <c r="V17" s="143"/>
      <c r="X17" s="1610" t="s">
        <v>1711</v>
      </c>
    </row>
    <row r="18" spans="1:24" ht="12" customHeight="1" x14ac:dyDescent="0.2">
      <c r="A18" s="1763"/>
      <c r="B18" s="1592" t="s">
        <v>462</v>
      </c>
      <c r="C18" s="75">
        <f>+(PSUT_2012!$C18)</f>
        <v>9586.385537638118</v>
      </c>
      <c r="D18" s="75">
        <f>+(PSUT_2013!$C18)</f>
        <v>9634.3174653263086</v>
      </c>
      <c r="E18" s="75">
        <f>+(PSUT_2014!$C18)</f>
        <v>9682.489052652938</v>
      </c>
      <c r="F18" s="75">
        <f>+(PSUT_2015!$C18)</f>
        <v>9730.9014979162021</v>
      </c>
      <c r="G18" s="1580"/>
      <c r="H18" s="1574">
        <f>+(PSUT_2012!$W18)</f>
        <v>27230.093344670757</v>
      </c>
      <c r="I18" s="1574">
        <f>+(PSUT_2013!$W18)</f>
        <v>27390.746751413353</v>
      </c>
      <c r="J18" s="1574">
        <f>+(PSUT_2014!$W18)</f>
        <v>27552.707791645298</v>
      </c>
      <c r="K18" s="1574">
        <f>+(PSUT_2015!$W18)</f>
        <v>27715.993090863136</v>
      </c>
      <c r="L18" s="159"/>
      <c r="M18" s="75">
        <f>+(PSUT_2012!$X18)</f>
        <v>24924.602397859107</v>
      </c>
      <c r="N18" s="75">
        <f>+(PSUT_2013!$X18)</f>
        <v>25049.225409848405</v>
      </c>
      <c r="O18" s="75">
        <f>+(PSUT_2014!$X18)</f>
        <v>25174.471536897639</v>
      </c>
      <c r="P18" s="75">
        <f>+(PSUT_2015!$X18)</f>
        <v>25300.343894582125</v>
      </c>
      <c r="Q18" s="1580"/>
      <c r="R18" s="1586">
        <f>+(PSUT_2012!$AA18)</f>
        <v>52154.695742529861</v>
      </c>
      <c r="S18" s="1583">
        <f>+(PSUT_2013!$AA18)</f>
        <v>0</v>
      </c>
      <c r="T18" s="1583">
        <f>+(PSUT_2014!$AA18)</f>
        <v>0</v>
      </c>
      <c r="U18" s="1583">
        <f>+(PSUT_2015!$AA18)</f>
        <v>0</v>
      </c>
      <c r="V18" s="1583"/>
      <c r="X18" s="1610" t="s">
        <v>1712</v>
      </c>
    </row>
    <row r="19" spans="1:24" ht="12" customHeight="1" x14ac:dyDescent="0.2">
      <c r="A19" s="1763"/>
      <c r="B19" s="1599" t="s">
        <v>32</v>
      </c>
      <c r="C19" s="1573">
        <f>+(PSUT_2012!$C19)</f>
        <v>13359408.07565332</v>
      </c>
      <c r="D19" s="1573">
        <f>+(PSUT_2013!$C19)</f>
        <v>12800177.039928293</v>
      </c>
      <c r="E19" s="1573">
        <f>+(PSUT_2014!$C19)</f>
        <v>13286936.953439228</v>
      </c>
      <c r="F19" s="1573">
        <f>+(PSUT_2015!$C19)</f>
        <v>13618216.818432769</v>
      </c>
      <c r="G19" s="1578"/>
      <c r="H19" s="155">
        <f>+(PSUT_2012!$W19)</f>
        <v>13359408.07565332</v>
      </c>
      <c r="I19" s="155">
        <f>+(PSUT_2013!$W19)</f>
        <v>12800177.039928293</v>
      </c>
      <c r="J19" s="155">
        <f>+(PSUT_2014!$W19)</f>
        <v>13286936.953439228</v>
      </c>
      <c r="K19" s="155">
        <f>+(PSUT_2015!$W19)</f>
        <v>13618216.818432769</v>
      </c>
      <c r="L19" s="157"/>
      <c r="M19" s="1573">
        <f>+(PSUT_2012!$X19)</f>
        <v>0</v>
      </c>
      <c r="N19" s="1573">
        <f>+(PSUT_2013!$X19)</f>
        <v>0</v>
      </c>
      <c r="O19" s="1573">
        <f>+(PSUT_2014!$X19)</f>
        <v>0</v>
      </c>
      <c r="P19" s="1573">
        <f>+(PSUT_2015!$X19)</f>
        <v>0</v>
      </c>
      <c r="Q19" s="1578"/>
      <c r="R19" s="1585">
        <f>+(PSUT_2012!$AA19)</f>
        <v>13359408.07565332</v>
      </c>
      <c r="S19" s="1584">
        <f>+(PSUT_2013!$AA19)</f>
        <v>12800177.039928293</v>
      </c>
      <c r="T19" s="1584">
        <f>+(PSUT_2014!$AA19)</f>
        <v>13286936.953439228</v>
      </c>
      <c r="U19" s="1584">
        <f>+(PSUT_2015!$AA19)</f>
        <v>13618216.818432769</v>
      </c>
      <c r="V19" s="1584"/>
      <c r="X19" s="1610" t="s">
        <v>1706</v>
      </c>
    </row>
    <row r="20" spans="1:24" ht="12" customHeight="1" x14ac:dyDescent="0.2">
      <c r="A20" s="1763"/>
      <c r="B20" s="1600" t="s">
        <v>33</v>
      </c>
      <c r="C20" s="1569">
        <f>+(PSUT_2012!$C20)</f>
        <v>807</v>
      </c>
      <c r="D20" s="1569">
        <f>+(PSUT_2013!$C20)</f>
        <v>807</v>
      </c>
      <c r="E20" s="1569">
        <f>+(PSUT_2014!$C20)</f>
        <v>807</v>
      </c>
      <c r="F20" s="1569">
        <f>+(PSUT_2015!$C20)</f>
        <v>807</v>
      </c>
      <c r="G20" s="1576"/>
      <c r="H20" s="155">
        <f>+(PSUT_2012!$W20)</f>
        <v>22702.684700000002</v>
      </c>
      <c r="I20" s="155">
        <f>+(PSUT_2013!$W20)</f>
        <v>22702.684700000002</v>
      </c>
      <c r="J20" s="155">
        <f>+(PSUT_2014!$W20)</f>
        <v>22702.684700000002</v>
      </c>
      <c r="K20" s="155">
        <f>+(PSUT_2015!$W20)</f>
        <v>22702.684700000002</v>
      </c>
      <c r="L20" s="157"/>
      <c r="M20" s="1569">
        <f>+(PSUT_2012!$X20)</f>
        <v>550</v>
      </c>
      <c r="N20" s="1569">
        <f>+(PSUT_2013!$X20)</f>
        <v>550</v>
      </c>
      <c r="O20" s="1569">
        <f>+(PSUT_2014!$X20)</f>
        <v>550</v>
      </c>
      <c r="P20" s="1569">
        <f>+(PSUT_2015!$X20)</f>
        <v>550</v>
      </c>
      <c r="Q20" s="1576"/>
      <c r="R20" s="1575">
        <f>+(PSUT_2012!$AA20)</f>
        <v>23252.684700000002</v>
      </c>
      <c r="S20" s="157">
        <f>+(PSUT_2013!$AA20)</f>
        <v>23252.684700000002</v>
      </c>
      <c r="T20" s="157">
        <f>+(PSUT_2014!$AA20)</f>
        <v>23252.684700000002</v>
      </c>
      <c r="U20" s="157">
        <f>+(PSUT_2015!$AA20)</f>
        <v>23252.684700000002</v>
      </c>
      <c r="V20" s="157"/>
      <c r="X20" s="1610" t="s">
        <v>1707</v>
      </c>
    </row>
    <row r="21" spans="1:24" ht="22.5" customHeight="1" x14ac:dyDescent="0.2">
      <c r="A21" s="1763"/>
      <c r="B21" s="1598" t="s">
        <v>34</v>
      </c>
      <c r="C21" s="1570">
        <f>+(PSUT_2012!$C21)</f>
        <v>807</v>
      </c>
      <c r="D21" s="1570">
        <f>+(PSUT_2013!$C21)</f>
        <v>807</v>
      </c>
      <c r="E21" s="1570">
        <f>+(PSUT_2014!$C21)</f>
        <v>807</v>
      </c>
      <c r="F21" s="1570">
        <f>+(PSUT_2015!$C21)</f>
        <v>807</v>
      </c>
      <c r="G21" s="1579"/>
      <c r="H21" s="1567">
        <f>+(PSUT_2012!$W21)</f>
        <v>22702.684700000002</v>
      </c>
      <c r="I21" s="1567">
        <f>+(PSUT_2013!$W21)</f>
        <v>22702.684700000002</v>
      </c>
      <c r="J21" s="1567">
        <f>+(PSUT_2014!$W21)</f>
        <v>22702.684700000002</v>
      </c>
      <c r="K21" s="1567">
        <f>+(PSUT_2015!$W21)</f>
        <v>22702.684700000002</v>
      </c>
      <c r="L21" s="376"/>
      <c r="M21" s="1570">
        <f>+(PSUT_2012!$X21)</f>
        <v>550</v>
      </c>
      <c r="N21" s="1570">
        <f>+(PSUT_2013!$X21)</f>
        <v>550</v>
      </c>
      <c r="O21" s="1570">
        <f>+(PSUT_2014!$X21)</f>
        <v>550</v>
      </c>
      <c r="P21" s="1570">
        <f>+(PSUT_2015!$X21)</f>
        <v>550</v>
      </c>
      <c r="Q21" s="1579"/>
      <c r="R21" s="143">
        <f>+(PSUT_2012!$AA21)</f>
        <v>23252.684700000002</v>
      </c>
      <c r="S21" s="143">
        <f>+(PSUT_2013!$AA21)</f>
        <v>23252.684700000002</v>
      </c>
      <c r="T21" s="143">
        <f>+(PSUT_2014!$AA21)</f>
        <v>23252.684700000002</v>
      </c>
      <c r="U21" s="143">
        <f>+(PSUT_2015!$AA21)</f>
        <v>23252.684700000002</v>
      </c>
      <c r="V21" s="143"/>
      <c r="X21" s="1610" t="s">
        <v>1708</v>
      </c>
    </row>
    <row r="22" spans="1:24" ht="12" customHeight="1" x14ac:dyDescent="0.2">
      <c r="A22" s="1764"/>
      <c r="B22" s="1593" t="s">
        <v>35</v>
      </c>
      <c r="C22" s="1571">
        <f>+(PSUT_2012!$C22)</f>
        <v>0</v>
      </c>
      <c r="D22" s="1571">
        <f>+(PSUT_2013!$C22)</f>
        <v>0</v>
      </c>
      <c r="E22" s="1571">
        <f>+(PSUT_2014!$C22)</f>
        <v>0</v>
      </c>
      <c r="F22" s="1571">
        <f>+(PSUT_2015!$C22)</f>
        <v>0</v>
      </c>
      <c r="G22" s="1581"/>
      <c r="H22" s="1574">
        <f>+(PSUT_2012!$W22)</f>
        <v>0</v>
      </c>
      <c r="I22" s="1574">
        <f>+(PSUT_2013!$W22)</f>
        <v>0</v>
      </c>
      <c r="J22" s="1574">
        <f>+(PSUT_2014!$W22)</f>
        <v>0</v>
      </c>
      <c r="K22" s="1574">
        <f>+(PSUT_2015!$W22)</f>
        <v>0</v>
      </c>
      <c r="L22" s="159"/>
      <c r="M22" s="1571">
        <f>+(PSUT_2012!$X22)</f>
        <v>0</v>
      </c>
      <c r="N22" s="1571">
        <f>+(PSUT_2013!$X22)</f>
        <v>0</v>
      </c>
      <c r="O22" s="1571">
        <f>+(PSUT_2014!$X22)</f>
        <v>0</v>
      </c>
      <c r="P22" s="1571">
        <f>+(PSUT_2015!$X22)</f>
        <v>0</v>
      </c>
      <c r="Q22" s="1581"/>
      <c r="R22" s="143">
        <f>+(PSUT_2012!$AA22)</f>
        <v>0</v>
      </c>
      <c r="S22" s="143">
        <f>+(PSUT_2013!$AA22)</f>
        <v>0</v>
      </c>
      <c r="T22" s="143">
        <f>+(PSUT_2014!$AA22)</f>
        <v>0</v>
      </c>
      <c r="U22" s="143">
        <f>+(PSUT_2015!$AA22)</f>
        <v>0</v>
      </c>
      <c r="V22" s="143"/>
      <c r="X22" s="1610" t="s">
        <v>1709</v>
      </c>
    </row>
    <row r="23" spans="1:24" ht="24.75" customHeight="1" x14ac:dyDescent="0.2">
      <c r="A23" s="77" t="s">
        <v>5</v>
      </c>
      <c r="B23" s="1604" t="s">
        <v>36</v>
      </c>
      <c r="C23" s="1572">
        <f>+(PSUT_2012!$C23)</f>
        <v>90250</v>
      </c>
      <c r="D23" s="1572">
        <f>+(PSUT_2013!$C23)</f>
        <v>90250</v>
      </c>
      <c r="E23" s="1572">
        <f>+(PSUT_2014!$C23)</f>
        <v>90250</v>
      </c>
      <c r="F23" s="1572">
        <f>+(PSUT_2015!$C23)</f>
        <v>90250</v>
      </c>
      <c r="G23" s="1582"/>
      <c r="H23" s="155">
        <f>+(PSUT_2012!$W23)</f>
        <v>977987.3921974902</v>
      </c>
      <c r="I23" s="155">
        <f>+(PSUT_2013!$W23)</f>
        <v>977987.3921974902</v>
      </c>
      <c r="J23" s="155">
        <f>+(PSUT_2014!$W23)</f>
        <v>977987.3921974902</v>
      </c>
      <c r="K23" s="155">
        <f>+(PSUT_2015!$W23)</f>
        <v>977987.3921974902</v>
      </c>
      <c r="L23" s="157"/>
      <c r="M23" s="1572">
        <f>+(PSUT_2012!$X23)</f>
        <v>176061</v>
      </c>
      <c r="N23" s="1572">
        <f>+(PSUT_2013!$X23)</f>
        <v>176061</v>
      </c>
      <c r="O23" s="1572">
        <f>+(PSUT_2014!$X23)</f>
        <v>176061</v>
      </c>
      <c r="P23" s="1572">
        <f>+(PSUT_2015!$X23)</f>
        <v>176061</v>
      </c>
      <c r="Q23" s="1582"/>
      <c r="R23" s="1575">
        <f>+(PSUT_2012!$AA23)</f>
        <v>1160562.9602874902</v>
      </c>
      <c r="S23" s="157">
        <f>+(PSUT_2013!$AA23)</f>
        <v>1160562.9602874902</v>
      </c>
      <c r="T23" s="157">
        <f>+(PSUT_2014!$AA23)</f>
        <v>1160562.9602874902</v>
      </c>
      <c r="U23" s="157">
        <f>+(PSUT_2015!$AA23)</f>
        <v>1160562.9602874902</v>
      </c>
      <c r="V23" s="157"/>
      <c r="X23" s="1610" t="s">
        <v>1710</v>
      </c>
    </row>
    <row r="24" spans="1:24" ht="12" customHeight="1" x14ac:dyDescent="0.2">
      <c r="A24" s="1609" t="s">
        <v>142</v>
      </c>
      <c r="B24" s="1495"/>
      <c r="C24" s="137">
        <f>+(PSUT_2012!$C24)</f>
        <v>13653630.505039312</v>
      </c>
      <c r="D24" s="137">
        <f>+(PSUT_2013!$C24)</f>
        <v>13100268.946100427</v>
      </c>
      <c r="E24" s="137">
        <f>+(PSUT_2014!$C24)</f>
        <v>13597098.022465833</v>
      </c>
      <c r="F24" s="137">
        <f>+(PSUT_2015!$C24)</f>
        <v>13936837.983314097</v>
      </c>
      <c r="G24" s="137"/>
      <c r="H24" s="137">
        <f>+(PSUT_2012!$W24)</f>
        <v>14976409.300838405</v>
      </c>
      <c r="I24" s="1575">
        <f>+(PSUT_2013!$W24)</f>
        <v>14434313.075931363</v>
      </c>
      <c r="J24" s="137">
        <f>+(PSUT_2014!$W24)</f>
        <v>14942790.384774245</v>
      </c>
      <c r="K24" s="137">
        <f>+(PSUT_2015!$W24)</f>
        <v>15294575.784849372</v>
      </c>
      <c r="L24" s="1575"/>
      <c r="M24" s="137">
        <f>+(PSUT_2012!$X24)</f>
        <v>216495.89643956049</v>
      </c>
      <c r="N24" s="137">
        <f>+(PSUT_2013!$X24)</f>
        <v>216693.69650340232</v>
      </c>
      <c r="O24" s="137">
        <f>+(PSUT_2014!$X24)</f>
        <v>216893.69792386814</v>
      </c>
      <c r="P24" s="137">
        <f>+(PSUT_2015!$X24)</f>
        <v>217095.76146704803</v>
      </c>
      <c r="Q24" s="1575"/>
      <c r="R24" s="157">
        <f>+(PSUT_2012!$AA24)</f>
        <v>15199419.765367964</v>
      </c>
      <c r="S24" s="157">
        <f>+(PSUT_2013!$AA24)</f>
        <v>14657521.340524765</v>
      </c>
      <c r="T24" s="157">
        <f>+(PSUT_2014!$AA24)</f>
        <v>15166198.650788113</v>
      </c>
      <c r="U24" s="157">
        <f>+(PSUT_2015!$AA24)</f>
        <v>15518186.11440642</v>
      </c>
      <c r="V24" s="157"/>
    </row>
    <row r="25" spans="1:24" customFormat="1" ht="5.25" customHeight="1" x14ac:dyDescent="0.25">
      <c r="B25" s="1603"/>
    </row>
    <row r="26" spans="1:24" ht="22.5" customHeight="1" x14ac:dyDescent="0.2">
      <c r="A26" s="1776" t="s">
        <v>37</v>
      </c>
      <c r="B26" s="1776"/>
      <c r="C26" s="74"/>
      <c r="D26" s="74"/>
      <c r="E26" s="74"/>
      <c r="F26" s="74"/>
      <c r="G26" s="74"/>
      <c r="H26" s="74"/>
      <c r="I26" s="74"/>
      <c r="J26" s="74"/>
      <c r="K26" s="74"/>
      <c r="L26" s="74"/>
      <c r="M26" s="435" t="s">
        <v>671</v>
      </c>
      <c r="N26" s="435"/>
      <c r="O26" s="435"/>
      <c r="P26" s="435"/>
      <c r="Q26" s="435"/>
      <c r="R26" s="434"/>
      <c r="S26" s="74"/>
    </row>
    <row r="27" spans="1:24" ht="22.5" customHeight="1" x14ac:dyDescent="0.2">
      <c r="A27" s="1777" t="s">
        <v>143</v>
      </c>
      <c r="B27" s="1778"/>
      <c r="C27" s="80"/>
      <c r="D27" s="80"/>
      <c r="E27" s="80"/>
      <c r="F27" s="80"/>
      <c r="G27" s="80"/>
      <c r="H27" s="80"/>
      <c r="I27" s="80"/>
      <c r="J27" s="80"/>
      <c r="K27" s="80"/>
      <c r="L27" s="80"/>
      <c r="M27" s="436" t="s">
        <v>672</v>
      </c>
      <c r="N27" s="436"/>
      <c r="O27" s="436"/>
      <c r="P27" s="436"/>
      <c r="Q27" s="436"/>
      <c r="R27" s="80"/>
      <c r="S27" s="80"/>
    </row>
    <row r="28" spans="1:24" ht="31.5" customHeight="1" x14ac:dyDescent="0.2">
      <c r="A28" s="1779" t="s">
        <v>144</v>
      </c>
      <c r="B28" s="1779"/>
      <c r="C28" s="80"/>
      <c r="D28" s="80"/>
      <c r="E28" s="80"/>
      <c r="F28" s="80"/>
      <c r="G28" s="80"/>
      <c r="H28" s="80"/>
      <c r="I28" s="80"/>
      <c r="J28" s="80"/>
      <c r="K28" s="80"/>
      <c r="L28" s="80"/>
      <c r="M28" s="80"/>
      <c r="N28" s="80"/>
      <c r="O28" s="80"/>
      <c r="P28" s="80"/>
      <c r="Q28" s="80"/>
      <c r="R28" s="80"/>
      <c r="S28" s="80"/>
    </row>
    <row r="29" spans="1:24" customFormat="1" ht="14.25" customHeight="1" x14ac:dyDescent="0.25">
      <c r="A29" s="83"/>
      <c r="B29" s="1605"/>
      <c r="C29" s="83"/>
      <c r="D29" s="83"/>
      <c r="E29" s="83"/>
      <c r="F29" s="83"/>
      <c r="G29" s="83"/>
      <c r="H29" s="83"/>
      <c r="I29" s="83"/>
      <c r="J29" s="83"/>
      <c r="K29" s="83"/>
      <c r="L29" s="83"/>
      <c r="M29" s="83"/>
      <c r="N29" s="83"/>
      <c r="O29" s="83"/>
      <c r="P29" s="83"/>
      <c r="Q29" s="83"/>
      <c r="R29" s="83"/>
    </row>
    <row r="30" spans="1:24" x14ac:dyDescent="0.2">
      <c r="A30" s="1756" t="s">
        <v>38</v>
      </c>
      <c r="B30" s="1756"/>
      <c r="C30" s="1756"/>
      <c r="D30" s="1756"/>
      <c r="E30" s="1756"/>
      <c r="F30" s="1756"/>
      <c r="G30" s="1756"/>
      <c r="H30" s="1756"/>
      <c r="I30" s="1756"/>
      <c r="J30" s="1756"/>
      <c r="K30" s="1756"/>
      <c r="L30" s="1756"/>
      <c r="M30" s="1756"/>
      <c r="N30" s="1756"/>
      <c r="O30" s="1756"/>
      <c r="P30" s="1756"/>
      <c r="Q30" s="1756"/>
      <c r="R30" s="1756"/>
      <c r="S30" s="1756"/>
    </row>
    <row r="31" spans="1:24" x14ac:dyDescent="0.2">
      <c r="A31" s="1757" t="s">
        <v>577</v>
      </c>
      <c r="B31" s="1757"/>
      <c r="C31" s="1757"/>
      <c r="D31" s="1757"/>
      <c r="E31" s="1757"/>
      <c r="F31" s="1757"/>
      <c r="G31" s="1757"/>
      <c r="H31" s="1757"/>
      <c r="I31" s="1757"/>
      <c r="J31" s="1757"/>
      <c r="K31" s="1757"/>
      <c r="L31" s="1757"/>
      <c r="M31" s="1757"/>
      <c r="N31" s="1757"/>
      <c r="O31" s="1757"/>
      <c r="P31" s="1757"/>
      <c r="Q31" s="1757"/>
      <c r="R31" s="1757"/>
      <c r="S31" s="70"/>
    </row>
    <row r="32" spans="1:24" x14ac:dyDescent="0.2">
      <c r="A32" s="1752" t="s">
        <v>578</v>
      </c>
      <c r="B32" s="1765"/>
      <c r="C32" s="1769" t="s">
        <v>12</v>
      </c>
      <c r="D32" s="1770"/>
      <c r="E32" s="1770"/>
      <c r="F32" s="1770"/>
      <c r="G32" s="1770"/>
      <c r="H32" s="1770"/>
      <c r="I32" s="1494"/>
      <c r="J32" s="1494"/>
      <c r="K32" s="1494"/>
      <c r="L32" s="1494"/>
      <c r="M32" s="1761" t="s">
        <v>642</v>
      </c>
      <c r="N32" s="1493"/>
      <c r="O32" s="1493"/>
      <c r="P32" s="1493"/>
      <c r="Q32" s="1493"/>
      <c r="R32" s="1568"/>
      <c r="S32" s="1568"/>
      <c r="T32" s="1568"/>
      <c r="U32" s="1568"/>
      <c r="V32" s="1568"/>
    </row>
    <row r="33" spans="1:22" ht="77.25" customHeight="1" x14ac:dyDescent="0.2">
      <c r="A33" s="1766"/>
      <c r="B33" s="1767"/>
      <c r="C33" s="71" t="s">
        <v>6</v>
      </c>
      <c r="D33" s="72"/>
      <c r="E33" s="72"/>
      <c r="F33" s="72"/>
      <c r="G33" s="72"/>
      <c r="H33" s="141"/>
      <c r="I33" s="141"/>
      <c r="J33" s="141"/>
      <c r="K33" s="141"/>
      <c r="L33" s="141"/>
      <c r="M33" s="1761"/>
      <c r="N33" s="1493"/>
      <c r="O33" s="1493"/>
      <c r="P33" s="1493"/>
      <c r="Q33" s="1493"/>
      <c r="R33" s="1568" t="s">
        <v>1698</v>
      </c>
      <c r="S33" s="1568"/>
      <c r="T33" s="1568"/>
      <c r="U33" s="1568"/>
      <c r="V33" s="1568"/>
    </row>
    <row r="34" spans="1:22" x14ac:dyDescent="0.2">
      <c r="A34" s="1768"/>
      <c r="B34" s="1767"/>
      <c r="C34" s="146">
        <v>2012</v>
      </c>
      <c r="D34" s="146">
        <v>2013</v>
      </c>
      <c r="E34" s="146">
        <v>2014</v>
      </c>
      <c r="F34" s="146">
        <v>2015</v>
      </c>
      <c r="G34" s="146">
        <v>2016</v>
      </c>
      <c r="H34" s="146">
        <v>2012</v>
      </c>
      <c r="I34" s="146">
        <v>2013</v>
      </c>
      <c r="J34" s="146">
        <v>2014</v>
      </c>
      <c r="K34" s="146">
        <v>2015</v>
      </c>
      <c r="L34" s="146">
        <v>2016</v>
      </c>
      <c r="M34" s="146">
        <v>2012</v>
      </c>
      <c r="N34" s="146">
        <v>2013</v>
      </c>
      <c r="O34" s="146">
        <v>2014</v>
      </c>
      <c r="P34" s="146">
        <v>2015</v>
      </c>
      <c r="Q34" s="146">
        <v>2016</v>
      </c>
      <c r="R34" s="146">
        <v>2012</v>
      </c>
      <c r="S34" s="146">
        <v>2013</v>
      </c>
      <c r="T34" s="146">
        <v>2014</v>
      </c>
      <c r="U34" s="146">
        <v>2015</v>
      </c>
      <c r="V34" s="146">
        <v>2016</v>
      </c>
    </row>
    <row r="35" spans="1:22" ht="21.75" customHeight="1" x14ac:dyDescent="0.2">
      <c r="A35" s="1780" t="s">
        <v>5</v>
      </c>
      <c r="B35" s="1590" t="s">
        <v>39</v>
      </c>
      <c r="C35" s="1573">
        <f>+(PSUT_2012!$C35)</f>
        <v>0</v>
      </c>
      <c r="D35" s="1573">
        <f>+(PSUT_2013!$C35)</f>
        <v>0</v>
      </c>
      <c r="E35" s="1573">
        <f>+(PSUT_2014!$C35)</f>
        <v>0</v>
      </c>
      <c r="F35" s="1573">
        <f>+(PSUT_2015!$C35)</f>
        <v>0</v>
      </c>
      <c r="G35" s="1578"/>
      <c r="H35" s="138">
        <f>+(PSUT_2012!$W35)</f>
        <v>34764.795819255363</v>
      </c>
      <c r="I35" s="138">
        <f>+(PSUT_2013!$W35)</f>
        <v>34783.17016308345</v>
      </c>
      <c r="J35" s="138">
        <f>+(PSUT_2014!$W35)</f>
        <v>34801.911993788104</v>
      </c>
      <c r="K35" s="138">
        <f>+(PSUT_2015!$W35)</f>
        <v>34821.028661106844</v>
      </c>
      <c r="L35" s="1584"/>
      <c r="M35" s="1578">
        <f>+(PSUT_2012!$X35)</f>
        <v>0</v>
      </c>
      <c r="N35" s="1578">
        <f>+(PSUT_2013!$X35)</f>
        <v>0</v>
      </c>
      <c r="O35" s="1578">
        <f>+(PSUT_2014!$X35)</f>
        <v>0</v>
      </c>
      <c r="P35" s="1578">
        <f>+(PSUT_2015!$X35)</f>
        <v>0</v>
      </c>
      <c r="Q35" s="1578"/>
      <c r="R35" s="1575">
        <f>+(PSUT_2012!$AA35)</f>
        <v>34764.795819255363</v>
      </c>
      <c r="S35" s="157">
        <f>+(PSUT_2013!$AA35)</f>
        <v>34783.17016308345</v>
      </c>
      <c r="T35" s="157">
        <f>+(PSUT_2014!$AA35)</f>
        <v>34801.911993788104</v>
      </c>
      <c r="U35" s="157">
        <f>+(PSUT_2015!$AA35)</f>
        <v>34821.028661106844</v>
      </c>
      <c r="V35" s="157"/>
    </row>
    <row r="36" spans="1:22" ht="12" customHeight="1" x14ac:dyDescent="0.2">
      <c r="A36" s="1781"/>
      <c r="B36" s="1594" t="s">
        <v>40</v>
      </c>
      <c r="C36" s="75">
        <f>+(PSUT_2012!$C36)</f>
        <v>0</v>
      </c>
      <c r="D36" s="75">
        <f>+(PSUT_2013!$C36)</f>
        <v>0</v>
      </c>
      <c r="E36" s="75">
        <f>+(PSUT_2014!$C36)</f>
        <v>0</v>
      </c>
      <c r="F36" s="75">
        <f>+(PSUT_2015!$C36)</f>
        <v>0</v>
      </c>
      <c r="G36" s="1580"/>
      <c r="H36" s="140">
        <f>+(PSUT_2012!$W36)</f>
        <v>34290.91121947491</v>
      </c>
      <c r="I36" s="140">
        <f>+(PSUT_2013!$W36)</f>
        <v>34309.285563302998</v>
      </c>
      <c r="J36" s="140">
        <f>+(PSUT_2014!$W36)</f>
        <v>34328.027394007651</v>
      </c>
      <c r="K36" s="140">
        <f>+(PSUT_2015!$W36)</f>
        <v>34347.144061326391</v>
      </c>
      <c r="L36" s="143"/>
      <c r="M36" s="1580">
        <f>+(PSUT_2012!$X36)</f>
        <v>0</v>
      </c>
      <c r="N36" s="1580">
        <f>+(PSUT_2013!$X36)</f>
        <v>0</v>
      </c>
      <c r="O36" s="1580">
        <f>+(PSUT_2014!$X36)</f>
        <v>0</v>
      </c>
      <c r="P36" s="1580">
        <f>+(PSUT_2015!$X36)</f>
        <v>0</v>
      </c>
      <c r="Q36" s="1580"/>
      <c r="R36" s="158">
        <f>+(PSUT_2012!$AA36)</f>
        <v>34290.91121947491</v>
      </c>
      <c r="S36" s="158">
        <f>+(PSUT_2013!$AA36)</f>
        <v>34309.285563302998</v>
      </c>
      <c r="T36" s="158">
        <f>+(PSUT_2014!$AA36)</f>
        <v>34328.027394007651</v>
      </c>
      <c r="U36" s="158">
        <f>+(PSUT_2015!$AA36)</f>
        <v>34347.144061326391</v>
      </c>
      <c r="V36" s="158"/>
    </row>
    <row r="37" spans="1:22" ht="12" customHeight="1" x14ac:dyDescent="0.2">
      <c r="A37" s="1782"/>
      <c r="B37" s="1589" t="s">
        <v>41</v>
      </c>
      <c r="C37" s="75">
        <f>+(PSUT_2012!$C37)</f>
        <v>0</v>
      </c>
      <c r="D37" s="75">
        <f>+(PSUT_2013!$C37)</f>
        <v>0</v>
      </c>
      <c r="E37" s="75">
        <f>+(PSUT_2014!$C37)</f>
        <v>0</v>
      </c>
      <c r="F37" s="75">
        <f>+(PSUT_2015!$C37)</f>
        <v>0</v>
      </c>
      <c r="G37" s="1580"/>
      <c r="H37" s="140">
        <f>+(PSUT_2012!$W37)</f>
        <v>473.88459978045051</v>
      </c>
      <c r="I37" s="140">
        <f>+(PSUT_2013!$W37)</f>
        <v>473.88459978045051</v>
      </c>
      <c r="J37" s="140">
        <f>+(PSUT_2014!$W37)</f>
        <v>473.88459978045051</v>
      </c>
      <c r="K37" s="140">
        <f>+(PSUT_2015!$W37)</f>
        <v>473.88459978045051</v>
      </c>
      <c r="L37" s="143"/>
      <c r="M37" s="1580">
        <f>+(PSUT_2012!$X37)</f>
        <v>0</v>
      </c>
      <c r="N37" s="1580">
        <f>+(PSUT_2013!$X37)</f>
        <v>0</v>
      </c>
      <c r="O37" s="1580">
        <f>+(PSUT_2014!$X37)</f>
        <v>0</v>
      </c>
      <c r="P37" s="1580">
        <f>+(PSUT_2015!$X37)</f>
        <v>0</v>
      </c>
      <c r="Q37" s="1580"/>
      <c r="R37" s="158">
        <f>+(PSUT_2012!$AA37)</f>
        <v>473.88459978045051</v>
      </c>
      <c r="S37" s="158">
        <f>+(PSUT_2013!$AA37)</f>
        <v>473.88459978045051</v>
      </c>
      <c r="T37" s="158">
        <f>+(PSUT_2014!$AA37)</f>
        <v>473.88459978045051</v>
      </c>
      <c r="U37" s="158">
        <f>+(PSUT_2015!$AA37)</f>
        <v>473.88459978045051</v>
      </c>
      <c r="V37" s="158"/>
    </row>
    <row r="38" spans="1:22" ht="12" customHeight="1" x14ac:dyDescent="0.2">
      <c r="A38" s="1781" t="s">
        <v>42</v>
      </c>
      <c r="B38" s="1590" t="s">
        <v>162</v>
      </c>
      <c r="C38" s="1573">
        <f>+(PSUT_2012!$C38)</f>
        <v>1529661.7232789313</v>
      </c>
      <c r="D38" s="1573">
        <f>+(PSUT_2013!$C38)</f>
        <v>1474325.5673850428</v>
      </c>
      <c r="E38" s="1573">
        <f>+(PSUT_2014!$C38)</f>
        <v>1524008.4750215835</v>
      </c>
      <c r="F38" s="1573">
        <f>+(PSUT_2015!$C38)</f>
        <v>1557982.4711064098</v>
      </c>
      <c r="G38" s="1578"/>
      <c r="H38" s="138">
        <f>+(PSUT_2012!$W38)</f>
        <v>2548806.4313385319</v>
      </c>
      <c r="I38" s="138">
        <f>+(PSUT_2013!$W38)</f>
        <v>2503617.3133667116</v>
      </c>
      <c r="J38" s="138">
        <f>+(PSUT_2014!$W38)</f>
        <v>2563805.052776997</v>
      </c>
      <c r="K38" s="138">
        <f>+(PSUT_2015!$W38)</f>
        <v>2608655.1793411002</v>
      </c>
      <c r="L38" s="1584"/>
      <c r="M38" s="1578">
        <f>+(PSUT_2012!$X38)</f>
        <v>82781</v>
      </c>
      <c r="N38" s="1578">
        <f>+(PSUT_2013!$X38)</f>
        <v>82781</v>
      </c>
      <c r="O38" s="1578">
        <f>+(PSUT_2014!$X38)</f>
        <v>82781</v>
      </c>
      <c r="P38" s="1578">
        <f>+(PSUT_2015!$X38)</f>
        <v>82781</v>
      </c>
      <c r="Q38" s="1578"/>
      <c r="R38" s="157">
        <f>+(PSUT_2012!$AA38)</f>
        <v>2636799.0858138381</v>
      </c>
      <c r="S38" s="157">
        <f>+(PSUT_2013!$AA38)</f>
        <v>2591609.9678420178</v>
      </c>
      <c r="T38" s="157">
        <f>+(PSUT_2014!$AA38)</f>
        <v>2651797.7072523031</v>
      </c>
      <c r="U38" s="157">
        <f>+(PSUT_2015!$AA38)</f>
        <v>2696647.8338164063</v>
      </c>
      <c r="V38" s="157"/>
    </row>
    <row r="39" spans="1:22" ht="12" customHeight="1" x14ac:dyDescent="0.2">
      <c r="A39" s="1781"/>
      <c r="B39" s="1591" t="s">
        <v>43</v>
      </c>
      <c r="C39" s="1573">
        <f>+(PSUT_2012!$C39)</f>
        <v>1529661.7232789313</v>
      </c>
      <c r="D39" s="1573">
        <f>+(PSUT_2013!$C39)</f>
        <v>1474325.5673850428</v>
      </c>
      <c r="E39" s="1573">
        <f>+(PSUT_2014!$C39)</f>
        <v>1524008.4750215835</v>
      </c>
      <c r="F39" s="1573">
        <f>+(PSUT_2015!$C39)</f>
        <v>1557982.4711064098</v>
      </c>
      <c r="G39" s="1578"/>
      <c r="H39" s="138">
        <f>+(PSUT_2012!$W39)</f>
        <v>2548806.4313385319</v>
      </c>
      <c r="I39" s="138">
        <f>+(PSUT_2013!$W39)</f>
        <v>2503617.3133667116</v>
      </c>
      <c r="J39" s="138">
        <f>+(PSUT_2014!$W39)</f>
        <v>2563805.052776997</v>
      </c>
      <c r="K39" s="138">
        <f>+(PSUT_2015!$W39)</f>
        <v>2608655.1793411002</v>
      </c>
      <c r="L39" s="1584"/>
      <c r="M39" s="1578">
        <f>+(PSUT_2012!$X39)</f>
        <v>72433</v>
      </c>
      <c r="N39" s="1578">
        <f>+(PSUT_2013!$X39)</f>
        <v>72433</v>
      </c>
      <c r="O39" s="1578">
        <f>+(PSUT_2014!$X39)</f>
        <v>72433</v>
      </c>
      <c r="P39" s="1578">
        <f>+(PSUT_2015!$X39)</f>
        <v>72433</v>
      </c>
      <c r="Q39" s="1578"/>
      <c r="R39" s="157">
        <f>+(PSUT_2012!$AA39)</f>
        <v>2626451.0858138381</v>
      </c>
      <c r="S39" s="157">
        <f>+(PSUT_2013!$AA39)</f>
        <v>2581261.9678420178</v>
      </c>
      <c r="T39" s="157">
        <f>+(PSUT_2014!$AA39)</f>
        <v>2641449.7072523031</v>
      </c>
      <c r="U39" s="157">
        <f>+(PSUT_2015!$AA39)</f>
        <v>2686299.8338164063</v>
      </c>
      <c r="V39" s="157"/>
    </row>
    <row r="40" spans="1:22" ht="12" customHeight="1" x14ac:dyDescent="0.2">
      <c r="A40" s="1781"/>
      <c r="B40" s="1592" t="s">
        <v>44</v>
      </c>
      <c r="C40" s="75">
        <f>+(PSUT_2012!$C40)</f>
        <v>769541.39802696556</v>
      </c>
      <c r="D40" s="75">
        <f>+(PSUT_2013!$C40)</f>
        <v>741873.3200800214</v>
      </c>
      <c r="E40" s="75">
        <f>+(PSUT_2014!$C40)</f>
        <v>766714.77389829163</v>
      </c>
      <c r="F40" s="75">
        <f>+(PSUT_2015!$C40)</f>
        <v>783701.7719407049</v>
      </c>
      <c r="G40" s="1580"/>
      <c r="H40" s="140">
        <f>+(PSUT_2012!$W40)</f>
        <v>1649562.757167479</v>
      </c>
      <c r="I40" s="140">
        <f>+(PSUT_2013!$W40)</f>
        <v>1632041.7171426029</v>
      </c>
      <c r="J40" s="140">
        <f>+(PSUT_2014!$W40)</f>
        <v>1667388.0027346173</v>
      </c>
      <c r="K40" s="140">
        <f>+(PSUT_2015!$W40)</f>
        <v>1695251.1312563077</v>
      </c>
      <c r="L40" s="143"/>
      <c r="M40" s="1580">
        <f>+(PSUT_2012!$X40)</f>
        <v>41390</v>
      </c>
      <c r="N40" s="1580">
        <f>+(PSUT_2013!$X40)</f>
        <v>41390</v>
      </c>
      <c r="O40" s="1580">
        <f>+(PSUT_2014!$X40)</f>
        <v>41390</v>
      </c>
      <c r="P40" s="1580">
        <f>+(PSUT_2015!$X40)</f>
        <v>41390</v>
      </c>
      <c r="Q40" s="1580"/>
      <c r="R40" s="158">
        <f>+(PSUT_2012!$AA40)</f>
        <v>1695641.522447479</v>
      </c>
      <c r="S40" s="158">
        <f>+(PSUT_2013!$AA40)</f>
        <v>1678120.4824226028</v>
      </c>
      <c r="T40" s="158">
        <f>+(PSUT_2014!$AA40)</f>
        <v>1713466.7680146173</v>
      </c>
      <c r="U40" s="158">
        <f>+(PSUT_2015!$AA40)</f>
        <v>1741329.8965363076</v>
      </c>
      <c r="V40" s="158"/>
    </row>
    <row r="41" spans="1:22" ht="12" customHeight="1" x14ac:dyDescent="0.2">
      <c r="A41" s="1781"/>
      <c r="B41" s="1592" t="s">
        <v>45</v>
      </c>
      <c r="C41" s="75">
        <f>+(PSUT_2012!$C41)</f>
        <v>81951.3</v>
      </c>
      <c r="D41" s="75">
        <f>+(PSUT_2013!$C41)</f>
        <v>81951.3</v>
      </c>
      <c r="E41" s="75">
        <f>+(PSUT_2014!$C41)</f>
        <v>81951.3</v>
      </c>
      <c r="F41" s="75">
        <f>+(PSUT_2015!$C41)</f>
        <v>81951.3</v>
      </c>
      <c r="G41" s="1580"/>
      <c r="H41" s="140">
        <f>+(PSUT_2012!$W41)</f>
        <v>220623.41680853631</v>
      </c>
      <c r="I41" s="140">
        <f>+(PSUT_2013!$W41)</f>
        <v>220623.41680853631</v>
      </c>
      <c r="J41" s="140">
        <f>+(PSUT_2014!$W41)</f>
        <v>220623.41680853631</v>
      </c>
      <c r="K41" s="140">
        <f>+(PSUT_2015!$W41)</f>
        <v>220623.41680853631</v>
      </c>
      <c r="L41" s="143"/>
      <c r="M41" s="1580">
        <f>+(PSUT_2012!$X41)</f>
        <v>20695</v>
      </c>
      <c r="N41" s="1580">
        <f>+(PSUT_2013!$X41)</f>
        <v>20695</v>
      </c>
      <c r="O41" s="1580">
        <f>+(PSUT_2014!$X41)</f>
        <v>20695</v>
      </c>
      <c r="P41" s="1580">
        <f>+(PSUT_2015!$X41)</f>
        <v>20695</v>
      </c>
      <c r="Q41" s="1580"/>
      <c r="R41" s="158">
        <f>+(PSUT_2012!$AA41)</f>
        <v>241841.30600384271</v>
      </c>
      <c r="S41" s="158">
        <f>+(PSUT_2013!$AA41)</f>
        <v>241841.30600384271</v>
      </c>
      <c r="T41" s="158">
        <f>+(PSUT_2014!$AA41)</f>
        <v>241841.30600384271</v>
      </c>
      <c r="U41" s="158">
        <f>+(PSUT_2015!$AA41)</f>
        <v>241841.30600384271</v>
      </c>
      <c r="V41" s="158"/>
    </row>
    <row r="42" spans="1:22" ht="12" customHeight="1" x14ac:dyDescent="0.2">
      <c r="A42" s="1781"/>
      <c r="B42" s="1593" t="s">
        <v>46</v>
      </c>
      <c r="C42" s="75">
        <f>+(PSUT_2012!$C42)</f>
        <v>678169.02525196562</v>
      </c>
      <c r="D42" s="75">
        <f>+(PSUT_2013!$C42)</f>
        <v>650500.94730502134</v>
      </c>
      <c r="E42" s="75">
        <f>+(PSUT_2014!$C42)</f>
        <v>675342.4011232917</v>
      </c>
      <c r="F42" s="75">
        <f>+(PSUT_2015!$C42)</f>
        <v>692329.39916570485</v>
      </c>
      <c r="G42" s="1580"/>
      <c r="H42" s="140">
        <f>+(PSUT_2012!$W42)</f>
        <v>678620.25736251648</v>
      </c>
      <c r="I42" s="140">
        <f>+(PSUT_2013!$W42)</f>
        <v>650952.1794155722</v>
      </c>
      <c r="J42" s="140">
        <f>+(PSUT_2014!$W42)</f>
        <v>675793.63323384256</v>
      </c>
      <c r="K42" s="140">
        <f>+(PSUT_2015!$W42)</f>
        <v>692780.63127625571</v>
      </c>
      <c r="L42" s="143"/>
      <c r="M42" s="1580">
        <f>+(PSUT_2012!$X42)</f>
        <v>10348</v>
      </c>
      <c r="N42" s="1580">
        <f>+(PSUT_2013!$X42)</f>
        <v>10348</v>
      </c>
      <c r="O42" s="1580">
        <f>+(PSUT_2014!$X42)</f>
        <v>10348</v>
      </c>
      <c r="P42" s="1580">
        <f>+(PSUT_2015!$X42)</f>
        <v>10348</v>
      </c>
      <c r="Q42" s="1580"/>
      <c r="R42" s="158">
        <f>+(PSUT_2012!$AA42)</f>
        <v>688968.25736251648</v>
      </c>
      <c r="S42" s="158">
        <f>+(PSUT_2013!$AA42)</f>
        <v>661300.1794155722</v>
      </c>
      <c r="T42" s="158">
        <f>+(PSUT_2014!$AA42)</f>
        <v>686141.63323384256</v>
      </c>
      <c r="U42" s="158">
        <f>+(PSUT_2015!$AA42)</f>
        <v>703128.63127625571</v>
      </c>
      <c r="V42" s="158"/>
    </row>
    <row r="43" spans="1:22" ht="12" customHeight="1" x14ac:dyDescent="0.2">
      <c r="A43" s="1782"/>
      <c r="B43" s="1588" t="s">
        <v>47</v>
      </c>
      <c r="C43" s="1573">
        <f>+(PSUT_2012!$C43)</f>
        <v>0</v>
      </c>
      <c r="D43" s="1573">
        <f>+(PSUT_2013!$C43)</f>
        <v>0</v>
      </c>
      <c r="E43" s="1573">
        <f>+(PSUT_2014!$C43)</f>
        <v>0</v>
      </c>
      <c r="F43" s="1573">
        <f>+(PSUT_2015!$C43)</f>
        <v>0</v>
      </c>
      <c r="G43" s="1578"/>
      <c r="H43" s="138">
        <f>+(PSUT_2012!$W43)</f>
        <v>0</v>
      </c>
      <c r="I43" s="138">
        <f>+(PSUT_2013!$W43)</f>
        <v>0</v>
      </c>
      <c r="J43" s="138">
        <f>+(PSUT_2014!$W43)</f>
        <v>0</v>
      </c>
      <c r="K43" s="138">
        <f>+(PSUT_2015!$W43)</f>
        <v>0</v>
      </c>
      <c r="L43" s="1584"/>
      <c r="M43" s="1578">
        <f>+(PSUT_2012!$X43)</f>
        <v>10348</v>
      </c>
      <c r="N43" s="1578">
        <f>+(PSUT_2013!$X43)</f>
        <v>10348</v>
      </c>
      <c r="O43" s="1578">
        <f>+(PSUT_2014!$X43)</f>
        <v>10348</v>
      </c>
      <c r="P43" s="1578">
        <f>+(PSUT_2015!$X43)</f>
        <v>10348</v>
      </c>
      <c r="Q43" s="1578"/>
      <c r="R43" s="157">
        <f>+(PSUT_2012!$AA43)</f>
        <v>10348</v>
      </c>
      <c r="S43" s="157">
        <f>+(PSUT_2013!$AA43)</f>
        <v>10348</v>
      </c>
      <c r="T43" s="157">
        <f>+(PSUT_2014!$AA43)</f>
        <v>10348</v>
      </c>
      <c r="U43" s="157">
        <f>+(PSUT_2015!$AA43)</f>
        <v>10348</v>
      </c>
      <c r="V43" s="157"/>
    </row>
    <row r="44" spans="1:22" ht="12" customHeight="1" x14ac:dyDescent="0.2">
      <c r="A44" s="1783" t="s">
        <v>163</v>
      </c>
      <c r="B44" s="1784"/>
      <c r="C44" s="151">
        <f>+(PSUT_2012!$C44)</f>
        <v>1529661.7232789313</v>
      </c>
      <c r="D44" s="151">
        <f>+(PSUT_2013!$C44)</f>
        <v>1474325.5673850428</v>
      </c>
      <c r="E44" s="151">
        <f>+(PSUT_2014!$C44)</f>
        <v>1524008.4750215835</v>
      </c>
      <c r="F44" s="151">
        <f>+(PSUT_2015!$C44)</f>
        <v>1557982.4711064098</v>
      </c>
      <c r="G44" s="151"/>
      <c r="H44" s="151">
        <f>+(PSUT_2012!$W44)</f>
        <v>2583571.227157787</v>
      </c>
      <c r="I44" s="151">
        <f>+(PSUT_2013!$W44)</f>
        <v>2538400.483529795</v>
      </c>
      <c r="J44" s="151">
        <f>+(PSUT_2014!$W44)</f>
        <v>2598606.9647707846</v>
      </c>
      <c r="K44" s="151">
        <f>+(PSUT_2015!$W44)</f>
        <v>2643476.2080022069</v>
      </c>
      <c r="L44" s="1585"/>
      <c r="M44" s="1583">
        <f>+(PSUT_2012!$X44)</f>
        <v>82781</v>
      </c>
      <c r="N44" s="1583">
        <f>+(PSUT_2013!$X44)</f>
        <v>82781</v>
      </c>
      <c r="O44" s="1583">
        <f>+(PSUT_2014!$X44)</f>
        <v>82781</v>
      </c>
      <c r="P44" s="1583">
        <f>+(PSUT_2015!$X44)</f>
        <v>82781</v>
      </c>
      <c r="Q44" s="1583"/>
      <c r="R44" s="159">
        <f>+(PSUT_2012!$AA44)</f>
        <v>2671563.8816330931</v>
      </c>
      <c r="S44" s="159">
        <f>+(PSUT_2013!$AA44)</f>
        <v>2626393.1380051011</v>
      </c>
      <c r="T44" s="159">
        <f>+(PSUT_2014!$AA44)</f>
        <v>2686599.6192460908</v>
      </c>
      <c r="U44" s="159">
        <f>+(PSUT_2015!$AA44)</f>
        <v>2731468.862477513</v>
      </c>
      <c r="V44" s="159"/>
    </row>
    <row r="45" spans="1:22" ht="12" customHeight="1" x14ac:dyDescent="0.2">
      <c r="A45" s="1785" t="s">
        <v>164</v>
      </c>
      <c r="B45" s="1785"/>
      <c r="C45" s="149">
        <f>+(PSUT_2012!$C45)</f>
        <v>12123968.78176038</v>
      </c>
      <c r="D45" s="151">
        <f>+(PSUT_2013!$C45)</f>
        <v>11625943.378715385</v>
      </c>
      <c r="E45" s="151">
        <f>+(PSUT_2014!$C45)</f>
        <v>12073089.547444249</v>
      </c>
      <c r="F45" s="151">
        <f>+(PSUT_2015!$C45)</f>
        <v>12378855.512207687</v>
      </c>
      <c r="G45" s="151"/>
      <c r="H45" s="151">
        <f>+(PSUT_2012!$W45)</f>
        <v>12392838.073680619</v>
      </c>
      <c r="I45" s="151">
        <f>+(PSUT_2013!$W45)</f>
        <v>11895912.592401573</v>
      </c>
      <c r="J45" s="151">
        <f>+(PSUT_2014!$W45)</f>
        <v>12344183.420003464</v>
      </c>
      <c r="K45" s="151">
        <f>+(PSUT_2015!$W45)</f>
        <v>12651099.576847168</v>
      </c>
      <c r="L45" s="1586"/>
      <c r="M45" s="1584">
        <f>+(PSUT_2012!$X45)</f>
        <v>133714.89643956049</v>
      </c>
      <c r="N45" s="1584">
        <f>+(PSUT_2013!$X45)</f>
        <v>133912.69650340232</v>
      </c>
      <c r="O45" s="1584">
        <f>+(PSUT_2014!$X45)</f>
        <v>134112.69792386814</v>
      </c>
      <c r="P45" s="1584">
        <f>+(PSUT_2015!$X45)</f>
        <v>134314.76146704803</v>
      </c>
      <c r="Q45" s="1584"/>
      <c r="R45" s="157">
        <f>+(PSUT_2012!$AA45)</f>
        <v>12527855.883734873</v>
      </c>
      <c r="S45" s="157">
        <f>+(PSUT_2013!$AA45)</f>
        <v>12031128.20251967</v>
      </c>
      <c r="T45" s="157">
        <f>+(PSUT_2014!$AA45)</f>
        <v>12479599.031542027</v>
      </c>
      <c r="U45" s="157">
        <f>+(PSUT_2015!$AA45)</f>
        <v>12786717.251928911</v>
      </c>
      <c r="V45" s="157"/>
    </row>
    <row r="46" spans="1:22" customFormat="1" ht="5.25" customHeight="1" x14ac:dyDescent="0.25">
      <c r="B46" s="1603"/>
    </row>
    <row r="47" spans="1:22" ht="22.5" customHeight="1" x14ac:dyDescent="0.2">
      <c r="A47" s="1776" t="s">
        <v>37</v>
      </c>
      <c r="B47" s="1776"/>
      <c r="C47" s="74"/>
      <c r="D47" s="74"/>
      <c r="E47" s="74"/>
      <c r="F47" s="74"/>
      <c r="G47" s="74"/>
      <c r="H47" s="74"/>
      <c r="I47" s="74"/>
      <c r="J47" s="74"/>
      <c r="K47" s="74"/>
      <c r="L47" s="74"/>
      <c r="M47" s="74"/>
      <c r="N47" s="74"/>
      <c r="O47" s="74"/>
      <c r="P47" s="74"/>
      <c r="Q47" s="74"/>
      <c r="R47" s="74"/>
      <c r="S47" s="74"/>
    </row>
    <row r="48" spans="1:22" ht="22.5" customHeight="1" x14ac:dyDescent="0.2">
      <c r="A48" s="1777" t="s">
        <v>143</v>
      </c>
      <c r="B48" s="1778"/>
      <c r="C48" s="80"/>
      <c r="D48" s="80"/>
      <c r="E48" s="80"/>
      <c r="F48" s="80"/>
      <c r="G48" s="80"/>
      <c r="H48" s="80"/>
      <c r="I48" s="80"/>
      <c r="J48" s="80"/>
      <c r="K48" s="80"/>
      <c r="L48" s="80"/>
      <c r="M48" s="80"/>
      <c r="N48" s="80"/>
      <c r="O48" s="80"/>
      <c r="P48" s="80"/>
      <c r="Q48" s="80"/>
      <c r="R48" s="80"/>
      <c r="S48" s="80"/>
    </row>
    <row r="49" spans="1:19" ht="32.25" customHeight="1" x14ac:dyDescent="0.2">
      <c r="A49" s="1779" t="s">
        <v>144</v>
      </c>
      <c r="B49" s="1779"/>
      <c r="C49" s="80"/>
      <c r="D49" s="80"/>
      <c r="E49" s="80"/>
      <c r="F49" s="80"/>
      <c r="G49" s="80"/>
      <c r="H49" s="80"/>
      <c r="I49" s="80"/>
      <c r="J49" s="80"/>
      <c r="K49" s="80"/>
      <c r="L49" s="80"/>
      <c r="M49" s="80"/>
      <c r="N49" s="80"/>
      <c r="O49" s="80"/>
      <c r="P49" s="80"/>
      <c r="Q49" s="80"/>
      <c r="R49" s="80"/>
      <c r="S49" s="80"/>
    </row>
    <row r="50" spans="1:19" x14ac:dyDescent="0.2">
      <c r="C50" s="80"/>
      <c r="D50" s="80"/>
      <c r="E50" s="80"/>
      <c r="F50" s="80"/>
      <c r="G50" s="80"/>
      <c r="H50" s="80"/>
      <c r="I50" s="80"/>
      <c r="J50" s="80"/>
      <c r="K50" s="80"/>
      <c r="L50" s="80"/>
      <c r="M50" s="80"/>
      <c r="N50" s="80"/>
      <c r="O50" s="80"/>
      <c r="P50" s="80"/>
      <c r="Q50" s="80"/>
      <c r="R50" s="80"/>
      <c r="S50" s="80"/>
    </row>
  </sheetData>
  <mergeCells count="22">
    <mergeCell ref="A30:S30"/>
    <mergeCell ref="C1:R1"/>
    <mergeCell ref="C2:R2"/>
    <mergeCell ref="A3:B4"/>
    <mergeCell ref="H3:H4"/>
    <mergeCell ref="R3:R4"/>
    <mergeCell ref="A49:B49"/>
    <mergeCell ref="M3:M4"/>
    <mergeCell ref="A35:A37"/>
    <mergeCell ref="A38:A43"/>
    <mergeCell ref="A44:B44"/>
    <mergeCell ref="A45:B45"/>
    <mergeCell ref="A47:B47"/>
    <mergeCell ref="A48:B48"/>
    <mergeCell ref="A31:R31"/>
    <mergeCell ref="A32:B34"/>
    <mergeCell ref="C32:H32"/>
    <mergeCell ref="M32:M33"/>
    <mergeCell ref="A6:A22"/>
    <mergeCell ref="A26:B26"/>
    <mergeCell ref="A27:B27"/>
    <mergeCell ref="A28:B28"/>
  </mergeCells>
  <pageMargins left="0.51181102362204722" right="0.51181102362204722" top="0.74803149606299213" bottom="0.74803149606299213" header="0.31496062992125984" footer="0.31496062992125984"/>
  <pageSetup paperSize="9" scale="62" orientation="landscape" r:id="rId1"/>
  <headerFooter>
    <oddHeader>&amp;L&amp;F    &amp;&amp;&amp;A&amp;C
&amp;D&amp;RPage &amp;P of &amp;N</oddHeader>
  </headerFooter>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pageSetUpPr fitToPage="1"/>
  </sheetPr>
  <dimension ref="A1:AV143"/>
  <sheetViews>
    <sheetView zoomScale="80" zoomScaleNormal="80" workbookViewId="0">
      <pane xSplit="4" ySplit="2" topLeftCell="E114" activePane="bottomRight" state="frozen"/>
      <selection activeCell="C6" sqref="C6"/>
      <selection pane="topRight" activeCell="C6" sqref="C6"/>
      <selection pane="bottomLeft" activeCell="C6" sqref="C6"/>
      <selection pane="bottomRight" activeCell="E125" sqref="E125"/>
    </sheetView>
  </sheetViews>
  <sheetFormatPr defaultRowHeight="15" x14ac:dyDescent="0.25"/>
  <cols>
    <col min="1" max="1" width="9.140625" customWidth="1"/>
    <col min="2" max="2" width="17" customWidth="1"/>
    <col min="3" max="3" width="12.42578125" bestFit="1" customWidth="1"/>
    <col min="4" max="4" width="11.5703125" customWidth="1"/>
    <col min="5" max="5" width="12.140625" bestFit="1" customWidth="1"/>
    <col min="6" max="6" width="11" customWidth="1"/>
    <col min="7" max="7" width="10.5703125" bestFit="1" customWidth="1"/>
    <col min="8" max="8" width="16.85546875" bestFit="1" customWidth="1"/>
    <col min="10" max="11" width="10.5703125" bestFit="1" customWidth="1"/>
    <col min="12" max="13" width="9.85546875" customWidth="1"/>
    <col min="14" max="14" width="8.85546875" customWidth="1"/>
    <col min="15" max="15" width="9.140625" customWidth="1"/>
    <col min="16" max="17" width="9" customWidth="1"/>
    <col min="18" max="19" width="9.85546875" customWidth="1"/>
    <col min="20" max="21" width="9.85546875" bestFit="1" customWidth="1"/>
    <col min="22" max="22" width="9" bestFit="1" customWidth="1"/>
    <col min="23" max="23" width="9.85546875" bestFit="1" customWidth="1"/>
    <col min="24" max="24" width="10.5703125" bestFit="1" customWidth="1"/>
    <col min="25" max="25" width="12.7109375" customWidth="1"/>
    <col min="27" max="27" width="11.85546875" customWidth="1"/>
  </cols>
  <sheetData>
    <row r="1" spans="1:27" ht="15.75" x14ac:dyDescent="0.25">
      <c r="A1" s="707" t="s">
        <v>1020</v>
      </c>
    </row>
    <row r="2" spans="1:27" ht="120" x14ac:dyDescent="0.25">
      <c r="A2" s="716"/>
      <c r="B2" s="716"/>
      <c r="C2" s="717" t="s">
        <v>1004</v>
      </c>
      <c r="D2" s="717"/>
      <c r="E2" s="717" t="s">
        <v>1005</v>
      </c>
      <c r="F2" s="717" t="s">
        <v>1006</v>
      </c>
      <c r="G2" s="717" t="s">
        <v>982</v>
      </c>
      <c r="H2" s="717" t="s">
        <v>1007</v>
      </c>
      <c r="I2" s="717" t="s">
        <v>1008</v>
      </c>
      <c r="J2" s="717" t="s">
        <v>785</v>
      </c>
      <c r="K2" s="717" t="s">
        <v>1009</v>
      </c>
      <c r="L2" s="717" t="s">
        <v>1010</v>
      </c>
      <c r="M2" s="717" t="s">
        <v>1011</v>
      </c>
      <c r="N2" s="717" t="s">
        <v>1012</v>
      </c>
      <c r="O2" s="717" t="s">
        <v>1013</v>
      </c>
      <c r="P2" s="717" t="s">
        <v>805</v>
      </c>
      <c r="Q2" s="717" t="s">
        <v>807</v>
      </c>
      <c r="R2" s="717" t="s">
        <v>809</v>
      </c>
      <c r="S2" s="717" t="s">
        <v>1014</v>
      </c>
      <c r="T2" s="717" t="s">
        <v>813</v>
      </c>
      <c r="U2" s="717" t="s">
        <v>814</v>
      </c>
      <c r="V2" s="717" t="s">
        <v>1015</v>
      </c>
      <c r="W2" s="717" t="s">
        <v>1016</v>
      </c>
      <c r="X2" s="717" t="s">
        <v>1017</v>
      </c>
      <c r="Y2" s="717" t="s">
        <v>1018</v>
      </c>
      <c r="Z2" s="718"/>
    </row>
    <row r="3" spans="1:27" x14ac:dyDescent="0.25">
      <c r="A3" s="1797" t="s">
        <v>1021</v>
      </c>
      <c r="B3" s="708" t="s">
        <v>1024</v>
      </c>
      <c r="C3" s="712">
        <v>2830960.496669081</v>
      </c>
      <c r="D3" s="712">
        <f>SUM(E3:Y3)</f>
        <v>2813358.9871111023</v>
      </c>
      <c r="E3" s="712">
        <v>1323652.4729422017</v>
      </c>
      <c r="F3" s="712">
        <v>79657.347889799988</v>
      </c>
      <c r="G3" s="712">
        <v>126885.90773569998</v>
      </c>
      <c r="H3" s="712">
        <v>10470.906107700001</v>
      </c>
      <c r="I3" s="712">
        <v>378.19073709999998</v>
      </c>
      <c r="J3" s="712">
        <v>211884.05119090009</v>
      </c>
      <c r="K3" s="712">
        <v>399017.41905550024</v>
      </c>
      <c r="L3" s="712">
        <v>80305.588858200019</v>
      </c>
      <c r="M3" s="712">
        <v>48263.733630100003</v>
      </c>
      <c r="N3" s="712">
        <v>4733.5697601000002</v>
      </c>
      <c r="O3" s="712">
        <v>10991.616577100001</v>
      </c>
      <c r="P3" s="712">
        <v>0</v>
      </c>
      <c r="Q3" s="712"/>
      <c r="R3" s="712">
        <v>61223.403111700005</v>
      </c>
      <c r="S3" s="712">
        <v>59468.778164299991</v>
      </c>
      <c r="T3" s="712">
        <v>66979.101864600001</v>
      </c>
      <c r="U3" s="712">
        <v>83392.981365799991</v>
      </c>
      <c r="V3" s="712">
        <v>2490.5155221</v>
      </c>
      <c r="W3" s="712">
        <v>78732.1290439</v>
      </c>
      <c r="X3" s="712">
        <v>164453.08281720005</v>
      </c>
      <c r="Y3" s="712">
        <v>378.19073709999998</v>
      </c>
      <c r="Z3" s="706"/>
      <c r="AA3" s="715"/>
    </row>
    <row r="4" spans="1:27" x14ac:dyDescent="0.25">
      <c r="A4" s="1797"/>
      <c r="B4" s="708" t="s">
        <v>1025</v>
      </c>
      <c r="C4" s="712">
        <v>2340032.5980699915</v>
      </c>
      <c r="D4" s="182"/>
      <c r="E4" s="712">
        <v>1306732.9189962016</v>
      </c>
      <c r="F4" s="712">
        <v>64825.636627499996</v>
      </c>
      <c r="G4" s="712">
        <v>104554.5917811</v>
      </c>
      <c r="H4" s="712">
        <v>6035.0353480000003</v>
      </c>
      <c r="I4" s="712">
        <v>0</v>
      </c>
      <c r="J4" s="712">
        <v>204437.12231270006</v>
      </c>
      <c r="K4" s="712">
        <v>250841.65988950004</v>
      </c>
      <c r="L4" s="712">
        <v>54047.231570700002</v>
      </c>
      <c r="M4" s="712">
        <v>42948.006242799995</v>
      </c>
      <c r="N4" s="712">
        <v>575.04081310000004</v>
      </c>
      <c r="O4" s="712">
        <v>3430.067689</v>
      </c>
      <c r="P4" s="712">
        <v>0</v>
      </c>
      <c r="Q4" s="712"/>
      <c r="R4" s="712">
        <v>38507.283486</v>
      </c>
      <c r="S4" s="712">
        <v>0</v>
      </c>
      <c r="T4" s="712">
        <v>6452.356745000001</v>
      </c>
      <c r="U4" s="712">
        <v>32537.327487499999</v>
      </c>
      <c r="V4" s="712">
        <v>2490.5155221</v>
      </c>
      <c r="W4" s="712">
        <v>47239.818124499994</v>
      </c>
      <c r="X4" s="712">
        <v>163899.76947510004</v>
      </c>
      <c r="Y4" s="712">
        <v>0</v>
      </c>
      <c r="Z4" s="706"/>
      <c r="AA4" s="715"/>
    </row>
    <row r="5" spans="1:27" x14ac:dyDescent="0.25">
      <c r="A5" s="1797"/>
      <c r="B5" s="708" t="s">
        <v>1026</v>
      </c>
      <c r="C5" s="712">
        <v>490927.89859910018</v>
      </c>
      <c r="D5" s="182"/>
      <c r="E5" s="712">
        <v>16919.553946</v>
      </c>
      <c r="F5" s="712">
        <v>14831.711262299999</v>
      </c>
      <c r="G5" s="712">
        <v>22331.315954599999</v>
      </c>
      <c r="H5" s="712">
        <v>4435.8707596999993</v>
      </c>
      <c r="I5" s="712">
        <v>378.19073709999998</v>
      </c>
      <c r="J5" s="712">
        <v>7446.9288782000003</v>
      </c>
      <c r="K5" s="712">
        <v>148175.75916600003</v>
      </c>
      <c r="L5" s="712">
        <v>26258.357287499999</v>
      </c>
      <c r="M5" s="712">
        <v>5315.7273872999995</v>
      </c>
      <c r="N5" s="712">
        <v>4158.5289470000007</v>
      </c>
      <c r="O5" s="712">
        <v>7561.5488880999992</v>
      </c>
      <c r="P5" s="712">
        <v>0</v>
      </c>
      <c r="Q5" s="712"/>
      <c r="R5" s="712">
        <v>22716.119625700001</v>
      </c>
      <c r="S5" s="712">
        <v>59468.778164299991</v>
      </c>
      <c r="T5" s="712">
        <v>60526.745119600004</v>
      </c>
      <c r="U5" s="712">
        <v>50855.6538783</v>
      </c>
      <c r="V5" s="712">
        <v>0</v>
      </c>
      <c r="W5" s="712">
        <v>31492.310919399999</v>
      </c>
      <c r="X5" s="712">
        <v>553.3133421</v>
      </c>
      <c r="Y5" s="712">
        <v>378.19073709999998</v>
      </c>
      <c r="Z5" s="706"/>
      <c r="AA5" s="715"/>
    </row>
    <row r="6" spans="1:27" x14ac:dyDescent="0.25">
      <c r="A6" s="232"/>
      <c r="B6" s="711" t="s">
        <v>1024</v>
      </c>
      <c r="C6" s="647">
        <f>+C3/$C3</f>
        <v>1</v>
      </c>
      <c r="E6" s="714">
        <f t="shared" ref="E6:Y8" si="0">+E3/$C3</f>
        <v>0.46756303187544163</v>
      </c>
      <c r="F6" s="714">
        <f t="shared" si="0"/>
        <v>2.8137922794586899E-2</v>
      </c>
      <c r="G6" s="714">
        <f t="shared" si="0"/>
        <v>4.4820797706288877E-2</v>
      </c>
      <c r="H6" s="714">
        <f t="shared" si="0"/>
        <v>3.6987114867975406E-3</v>
      </c>
      <c r="I6" s="714">
        <f t="shared" si="0"/>
        <v>1.3359096234121976E-4</v>
      </c>
      <c r="J6" s="714">
        <f t="shared" si="0"/>
        <v>7.4845287117288883E-2</v>
      </c>
      <c r="K6" s="714">
        <f t="shared" si="0"/>
        <v>0.14094771704691242</v>
      </c>
      <c r="L6" s="714">
        <f t="shared" si="0"/>
        <v>2.8366905491153227E-2</v>
      </c>
      <c r="M6" s="714">
        <f t="shared" si="0"/>
        <v>1.7048536596285007E-2</v>
      </c>
      <c r="N6" s="714">
        <f t="shared" si="0"/>
        <v>1.6720719931166601E-3</v>
      </c>
      <c r="O6" s="714">
        <f t="shared" si="0"/>
        <v>3.8826456921715368E-3</v>
      </c>
      <c r="P6" s="714">
        <f t="shared" si="0"/>
        <v>0</v>
      </c>
      <c r="Q6" s="714">
        <f t="shared" si="0"/>
        <v>0</v>
      </c>
      <c r="R6" s="714">
        <f t="shared" si="0"/>
        <v>2.1626371397176221E-2</v>
      </c>
      <c r="S6" s="714">
        <f t="shared" si="0"/>
        <v>2.1006572940269277E-2</v>
      </c>
      <c r="T6" s="714">
        <f t="shared" si="0"/>
        <v>2.3659497171863709E-2</v>
      </c>
      <c r="U6" s="714">
        <f t="shared" si="0"/>
        <v>2.9457486766035941E-2</v>
      </c>
      <c r="V6" s="714">
        <f t="shared" si="0"/>
        <v>8.7974223767175487E-4</v>
      </c>
      <c r="W6" s="714">
        <f t="shared" si="0"/>
        <v>2.7811101262817522E-2</v>
      </c>
      <c r="X6" s="714">
        <f t="shared" si="0"/>
        <v>5.8090914023949176E-2</v>
      </c>
      <c r="Y6" s="714">
        <f t="shared" si="0"/>
        <v>1.3359096234121976E-4</v>
      </c>
    </row>
    <row r="7" spans="1:27" x14ac:dyDescent="0.25">
      <c r="A7" s="232"/>
      <c r="B7" s="711" t="s">
        <v>1025</v>
      </c>
      <c r="C7" s="647">
        <f>+C4/$C4</f>
        <v>1</v>
      </c>
      <c r="E7" s="714">
        <f t="shared" si="0"/>
        <v>0.55842509205810498</v>
      </c>
      <c r="F7" s="714">
        <f t="shared" si="0"/>
        <v>2.7702877592802249E-2</v>
      </c>
      <c r="G7" s="714">
        <f t="shared" si="0"/>
        <v>4.4680827039475596E-2</v>
      </c>
      <c r="H7" s="714">
        <f t="shared" si="0"/>
        <v>2.5790390069683508E-3</v>
      </c>
      <c r="I7" s="714">
        <f t="shared" si="0"/>
        <v>0</v>
      </c>
      <c r="J7" s="714">
        <f t="shared" si="0"/>
        <v>8.7365074521318808E-2</v>
      </c>
      <c r="K7" s="714">
        <f t="shared" si="0"/>
        <v>0.10719579722794838</v>
      </c>
      <c r="L7" s="714">
        <f t="shared" si="0"/>
        <v>2.3096785752163024E-2</v>
      </c>
      <c r="M7" s="714">
        <f t="shared" si="0"/>
        <v>1.8353593141489818E-2</v>
      </c>
      <c r="N7" s="714">
        <f t="shared" si="0"/>
        <v>2.4574051386048269E-4</v>
      </c>
      <c r="O7" s="714">
        <f t="shared" si="0"/>
        <v>1.46582047268446E-3</v>
      </c>
      <c r="P7" s="714">
        <f t="shared" si="0"/>
        <v>0</v>
      </c>
      <c r="Q7" s="714">
        <f t="shared" si="0"/>
        <v>0</v>
      </c>
      <c r="R7" s="714">
        <f t="shared" si="0"/>
        <v>1.6455874810359469E-2</v>
      </c>
      <c r="S7" s="714">
        <f t="shared" si="0"/>
        <v>0</v>
      </c>
      <c r="T7" s="714">
        <f t="shared" si="0"/>
        <v>2.7573789999001579E-3</v>
      </c>
      <c r="U7" s="714">
        <f t="shared" si="0"/>
        <v>1.3904647103777992E-2</v>
      </c>
      <c r="V7" s="714">
        <f t="shared" si="0"/>
        <v>1.0643080460306935E-3</v>
      </c>
      <c r="W7" s="714">
        <f t="shared" si="0"/>
        <v>2.0187675233012729E-2</v>
      </c>
      <c r="X7" s="714">
        <f t="shared" si="0"/>
        <v>7.00416607915125E-2</v>
      </c>
      <c r="Y7" s="714">
        <f t="shared" si="0"/>
        <v>0</v>
      </c>
    </row>
    <row r="8" spans="1:27" x14ac:dyDescent="0.25">
      <c r="A8" s="232"/>
      <c r="B8" s="711" t="s">
        <v>1026</v>
      </c>
      <c r="C8" s="647">
        <f>+C5/$C5</f>
        <v>1</v>
      </c>
      <c r="E8" s="714">
        <f t="shared" si="0"/>
        <v>3.4464437637952997E-2</v>
      </c>
      <c r="F8" s="714">
        <f t="shared" si="0"/>
        <v>3.0211587698770852E-2</v>
      </c>
      <c r="G8" s="714">
        <f t="shared" si="0"/>
        <v>4.5487974951768061E-2</v>
      </c>
      <c r="H8" s="714">
        <f t="shared" si="0"/>
        <v>9.0356868541349791E-3</v>
      </c>
      <c r="I8" s="714">
        <f t="shared" si="0"/>
        <v>7.7035902457203145E-4</v>
      </c>
      <c r="J8" s="714">
        <f t="shared" si="0"/>
        <v>1.5169088779534375E-2</v>
      </c>
      <c r="K8" s="714">
        <f t="shared" si="0"/>
        <v>0.3018279457916952</v>
      </c>
      <c r="L8" s="714">
        <f t="shared" si="0"/>
        <v>5.3487197126971607E-2</v>
      </c>
      <c r="M8" s="714">
        <f t="shared" si="0"/>
        <v>1.0827918727920799E-2</v>
      </c>
      <c r="N8" s="714">
        <f t="shared" si="0"/>
        <v>8.4707529534717354E-3</v>
      </c>
      <c r="O8" s="714">
        <f t="shared" si="0"/>
        <v>1.5402565039952812E-2</v>
      </c>
      <c r="P8" s="714">
        <f t="shared" si="0"/>
        <v>0</v>
      </c>
      <c r="Q8" s="714">
        <f t="shared" si="0"/>
        <v>0</v>
      </c>
      <c r="R8" s="714">
        <f t="shared" si="0"/>
        <v>4.6271804251748906E-2</v>
      </c>
      <c r="S8" s="714">
        <f t="shared" si="0"/>
        <v>0.12113546273087888</v>
      </c>
      <c r="T8" s="714">
        <f t="shared" si="0"/>
        <v>0.12329049803915736</v>
      </c>
      <c r="U8" s="714">
        <f t="shared" si="0"/>
        <v>0.10359088172299934</v>
      </c>
      <c r="V8" s="714">
        <f t="shared" si="0"/>
        <v>0</v>
      </c>
      <c r="W8" s="714">
        <f t="shared" si="0"/>
        <v>6.4148546068100193E-2</v>
      </c>
      <c r="X8" s="714">
        <f t="shared" si="0"/>
        <v>1.1270765904299214E-3</v>
      </c>
      <c r="Y8" s="714">
        <f t="shared" si="0"/>
        <v>7.7035902457203145E-4</v>
      </c>
    </row>
    <row r="9" spans="1:27" x14ac:dyDescent="0.25">
      <c r="A9" s="709"/>
      <c r="B9" s="711" t="s">
        <v>1025</v>
      </c>
      <c r="C9" s="647">
        <f>+C4/C3</f>
        <v>0.82658610066204841</v>
      </c>
      <c r="D9" s="647">
        <f>+D5/D3</f>
        <v>0</v>
      </c>
      <c r="E9" s="714">
        <f t="shared" ref="E9:Y9" si="1">+E4/E3</f>
        <v>0.98721752552738296</v>
      </c>
      <c r="F9" s="714">
        <f t="shared" si="1"/>
        <v>0.81380611261601932</v>
      </c>
      <c r="G9" s="714">
        <f t="shared" si="1"/>
        <v>0.82400475865991729</v>
      </c>
      <c r="H9" s="714">
        <f t="shared" si="1"/>
        <v>0.57636228287464164</v>
      </c>
      <c r="I9" s="714">
        <f t="shared" si="1"/>
        <v>0</v>
      </c>
      <c r="J9" s="714">
        <f t="shared" si="1"/>
        <v>0.96485375451175126</v>
      </c>
      <c r="K9" s="714">
        <f t="shared" si="1"/>
        <v>0.6286483945569552</v>
      </c>
      <c r="L9" s="714">
        <f t="shared" si="1"/>
        <v>0.67301955367183919</v>
      </c>
      <c r="M9" s="714">
        <f t="shared" si="1"/>
        <v>0.88986083364290702</v>
      </c>
      <c r="N9" s="714">
        <f t="shared" si="1"/>
        <v>0.12148142781101674</v>
      </c>
      <c r="O9" s="714">
        <f t="shared" si="1"/>
        <v>0.31206216710162754</v>
      </c>
      <c r="P9" s="714" t="e">
        <f t="shared" si="1"/>
        <v>#DIV/0!</v>
      </c>
      <c r="Q9" s="714" t="e">
        <f t="shared" si="1"/>
        <v>#DIV/0!</v>
      </c>
      <c r="R9" s="714">
        <f t="shared" si="1"/>
        <v>0.62896346052088581</v>
      </c>
      <c r="S9" s="714">
        <f t="shared" si="1"/>
        <v>0</v>
      </c>
      <c r="T9" s="714">
        <f t="shared" si="1"/>
        <v>9.6333879753174478E-2</v>
      </c>
      <c r="U9" s="714">
        <f t="shared" si="1"/>
        <v>0.39016865633783143</v>
      </c>
      <c r="V9" s="714">
        <f t="shared" si="1"/>
        <v>1</v>
      </c>
      <c r="W9" s="714">
        <f t="shared" si="1"/>
        <v>0.60000686756685684</v>
      </c>
      <c r="X9" s="714">
        <f t="shared" si="1"/>
        <v>0.99663543344629757</v>
      </c>
      <c r="Y9" s="714">
        <f t="shared" si="1"/>
        <v>0</v>
      </c>
      <c r="Z9" s="706"/>
      <c r="AA9" s="647"/>
    </row>
    <row r="10" spans="1:27" x14ac:dyDescent="0.25">
      <c r="A10" s="709"/>
      <c r="B10" s="711" t="s">
        <v>1026</v>
      </c>
      <c r="C10" s="647">
        <f>+C5/C3</f>
        <v>0.17341389933795537</v>
      </c>
      <c r="E10" s="714">
        <f t="shared" ref="E10:Y10" si="2">+E5/E3</f>
        <v>1.2782474472616956E-2</v>
      </c>
      <c r="F10" s="714">
        <f t="shared" si="2"/>
        <v>0.18619388738398079</v>
      </c>
      <c r="G10" s="714">
        <f t="shared" si="2"/>
        <v>0.17599524134008282</v>
      </c>
      <c r="H10" s="714">
        <f t="shared" si="2"/>
        <v>0.4236377171253583</v>
      </c>
      <c r="I10" s="714">
        <f t="shared" si="2"/>
        <v>1</v>
      </c>
      <c r="J10" s="714">
        <f t="shared" si="2"/>
        <v>3.5146245488248566E-2</v>
      </c>
      <c r="K10" s="714">
        <f t="shared" si="2"/>
        <v>0.37135160544304441</v>
      </c>
      <c r="L10" s="714">
        <f t="shared" si="2"/>
        <v>0.32698044632816053</v>
      </c>
      <c r="M10" s="714">
        <f t="shared" si="2"/>
        <v>0.11013916635709281</v>
      </c>
      <c r="N10" s="714">
        <f t="shared" si="2"/>
        <v>0.87851857218898333</v>
      </c>
      <c r="O10" s="714">
        <f t="shared" si="2"/>
        <v>0.68793783289837229</v>
      </c>
      <c r="P10" s="714" t="e">
        <f t="shared" si="2"/>
        <v>#DIV/0!</v>
      </c>
      <c r="Q10" s="714" t="e">
        <f t="shared" si="2"/>
        <v>#DIV/0!</v>
      </c>
      <c r="R10" s="714">
        <f t="shared" si="2"/>
        <v>0.37103653947911419</v>
      </c>
      <c r="S10" s="714">
        <f t="shared" si="2"/>
        <v>1</v>
      </c>
      <c r="T10" s="714">
        <f t="shared" si="2"/>
        <v>0.90366612024682558</v>
      </c>
      <c r="U10" s="714">
        <f t="shared" si="2"/>
        <v>0.60983134366216862</v>
      </c>
      <c r="V10" s="714">
        <f t="shared" si="2"/>
        <v>0</v>
      </c>
      <c r="W10" s="714">
        <f t="shared" si="2"/>
        <v>0.39999313243314299</v>
      </c>
      <c r="X10" s="714">
        <f t="shared" si="2"/>
        <v>3.3645665537023871E-3</v>
      </c>
      <c r="Y10" s="714">
        <f t="shared" si="2"/>
        <v>1</v>
      </c>
      <c r="Z10" s="706"/>
    </row>
    <row r="11" spans="1:27" x14ac:dyDescent="0.25">
      <c r="A11" s="710"/>
      <c r="B11" s="708"/>
      <c r="C11" s="713"/>
      <c r="E11" s="713"/>
      <c r="F11" s="713"/>
      <c r="G11" s="713"/>
      <c r="H11" s="713"/>
      <c r="I11" s="713"/>
      <c r="J11" s="713"/>
      <c r="K11" s="713"/>
      <c r="L11" s="713"/>
      <c r="M11" s="713"/>
      <c r="N11" s="713"/>
      <c r="O11" s="713"/>
      <c r="P11" s="713"/>
      <c r="Q11" s="713"/>
      <c r="R11" s="713"/>
      <c r="S11" s="713"/>
      <c r="T11" s="713"/>
      <c r="U11" s="713"/>
      <c r="V11" s="713"/>
      <c r="W11" s="713"/>
      <c r="X11" s="713"/>
      <c r="Y11" s="713"/>
      <c r="Z11" s="706"/>
    </row>
    <row r="12" spans="1:27" x14ac:dyDescent="0.25">
      <c r="A12" s="1797" t="s">
        <v>1022</v>
      </c>
      <c r="B12" s="708" t="s">
        <v>1025</v>
      </c>
      <c r="C12" s="712">
        <v>1239603.2866063009</v>
      </c>
      <c r="D12" s="712"/>
      <c r="E12" s="712">
        <v>590604.70855800062</v>
      </c>
      <c r="F12" s="712">
        <v>58790.601279499999</v>
      </c>
      <c r="G12" s="712">
        <v>76980.195250100005</v>
      </c>
      <c r="H12" s="712">
        <v>0</v>
      </c>
      <c r="I12" s="712">
        <v>0</v>
      </c>
      <c r="J12" s="712">
        <v>178242.54859610001</v>
      </c>
      <c r="K12" s="712">
        <v>128553.19378950002</v>
      </c>
      <c r="L12" s="712">
        <v>46073.993651700002</v>
      </c>
      <c r="M12" s="712">
        <v>19224.580336700001</v>
      </c>
      <c r="N12" s="712">
        <v>0</v>
      </c>
      <c r="O12" s="712">
        <v>2044.8798959999999</v>
      </c>
      <c r="P12" s="712">
        <v>0</v>
      </c>
      <c r="Q12" s="712"/>
      <c r="R12" s="712">
        <v>27203.95277</v>
      </c>
      <c r="S12" s="712">
        <v>0</v>
      </c>
      <c r="T12" s="712">
        <v>3797.0794841000006</v>
      </c>
      <c r="U12" s="712">
        <v>25179.293947399998</v>
      </c>
      <c r="V12" s="712">
        <v>575.04081310000004</v>
      </c>
      <c r="W12" s="712">
        <v>20199.145766100002</v>
      </c>
      <c r="X12" s="712">
        <v>51655.85650880001</v>
      </c>
      <c r="Y12" s="712">
        <v>0</v>
      </c>
      <c r="Z12" s="706"/>
    </row>
    <row r="13" spans="1:27" x14ac:dyDescent="0.25">
      <c r="A13" s="1798"/>
      <c r="B13" s="708" t="s">
        <v>1026</v>
      </c>
      <c r="C13" s="712">
        <v>337406.02351740014</v>
      </c>
      <c r="D13" s="712"/>
      <c r="E13" s="712">
        <v>16919.553946</v>
      </c>
      <c r="F13" s="712">
        <v>14831.711262299999</v>
      </c>
      <c r="G13" s="712">
        <v>19744.965976399999</v>
      </c>
      <c r="H13" s="712">
        <v>4435.8707596999993</v>
      </c>
      <c r="I13" s="712">
        <v>378.19073709999998</v>
      </c>
      <c r="J13" s="712">
        <v>6595.7262429000002</v>
      </c>
      <c r="K13" s="712">
        <v>85551.657594999997</v>
      </c>
      <c r="L13" s="712">
        <v>26258.357287499999</v>
      </c>
      <c r="M13" s="712">
        <v>613.73427609999999</v>
      </c>
      <c r="N13" s="712">
        <v>3310.6742013000003</v>
      </c>
      <c r="O13" s="712">
        <v>3120.2600411000003</v>
      </c>
      <c r="P13" s="712">
        <v>0</v>
      </c>
      <c r="Q13" s="712"/>
      <c r="R13" s="712">
        <v>16267.5099907</v>
      </c>
      <c r="S13" s="712">
        <v>47467.222490599997</v>
      </c>
      <c r="T13" s="712">
        <v>49666.087867599999</v>
      </c>
      <c r="U13" s="712">
        <v>13627.981201899998</v>
      </c>
      <c r="V13" s="712">
        <v>0</v>
      </c>
      <c r="W13" s="712">
        <v>20939.912700300003</v>
      </c>
      <c r="X13" s="712">
        <v>553.3133421</v>
      </c>
      <c r="Y13" s="712">
        <v>378.19073709999998</v>
      </c>
      <c r="Z13" s="706"/>
    </row>
    <row r="14" spans="1:27" x14ac:dyDescent="0.25">
      <c r="A14" s="1797" t="s">
        <v>1023</v>
      </c>
      <c r="B14" s="708" t="s">
        <v>1025</v>
      </c>
      <c r="C14" s="712">
        <v>1100429.3114637011</v>
      </c>
      <c r="D14" s="712"/>
      <c r="E14" s="712">
        <v>716128.21043820097</v>
      </c>
      <c r="F14" s="712">
        <v>6035.0353480000003</v>
      </c>
      <c r="G14" s="712">
        <v>27574.396530999999</v>
      </c>
      <c r="H14" s="712">
        <v>6035.0353480000003</v>
      </c>
      <c r="I14" s="712">
        <v>0</v>
      </c>
      <c r="J14" s="712">
        <v>26194.5737166</v>
      </c>
      <c r="K14" s="712">
        <v>122288.46610000001</v>
      </c>
      <c r="L14" s="712">
        <v>7973.2379190000001</v>
      </c>
      <c r="M14" s="712">
        <v>23723.425906100001</v>
      </c>
      <c r="N14" s="712">
        <v>575.04081310000004</v>
      </c>
      <c r="O14" s="712">
        <v>1385.1877930000001</v>
      </c>
      <c r="P14" s="712">
        <v>0</v>
      </c>
      <c r="Q14" s="712"/>
      <c r="R14" s="712">
        <v>11303.330715999999</v>
      </c>
      <c r="S14" s="712">
        <v>0</v>
      </c>
      <c r="T14" s="712">
        <v>2655.2772609000003</v>
      </c>
      <c r="U14" s="712">
        <v>7358.0335401000002</v>
      </c>
      <c r="V14" s="712">
        <v>1915.4747090000001</v>
      </c>
      <c r="W14" s="712">
        <v>27040.672358399999</v>
      </c>
      <c r="X14" s="712">
        <v>112243.91296630001</v>
      </c>
      <c r="Y14" s="712">
        <v>0</v>
      </c>
      <c r="Z14" s="706"/>
    </row>
    <row r="15" spans="1:27" x14ac:dyDescent="0.25">
      <c r="A15" s="1798"/>
      <c r="B15" s="710" t="s">
        <v>1026</v>
      </c>
      <c r="C15" s="719">
        <v>153521.87508170004</v>
      </c>
      <c r="D15" s="719"/>
      <c r="E15" s="719">
        <v>0</v>
      </c>
      <c r="F15" s="719">
        <v>0</v>
      </c>
      <c r="G15" s="719">
        <v>2586.3499781999999</v>
      </c>
      <c r="H15" s="719">
        <v>0</v>
      </c>
      <c r="I15" s="719">
        <v>0</v>
      </c>
      <c r="J15" s="719">
        <v>851.20263530000011</v>
      </c>
      <c r="K15" s="719">
        <v>62624.101570999999</v>
      </c>
      <c r="L15" s="719">
        <v>0</v>
      </c>
      <c r="M15" s="719">
        <v>4701.9931111999995</v>
      </c>
      <c r="N15" s="719">
        <v>847.85474569999997</v>
      </c>
      <c r="O15" s="719">
        <v>4441.2888469999989</v>
      </c>
      <c r="P15" s="719">
        <v>0</v>
      </c>
      <c r="Q15" s="719"/>
      <c r="R15" s="719">
        <v>6448.6096349999998</v>
      </c>
      <c r="S15" s="719">
        <v>12001.555673699999</v>
      </c>
      <c r="T15" s="719">
        <v>10860.657252000001</v>
      </c>
      <c r="U15" s="719">
        <v>37227.672676399998</v>
      </c>
      <c r="V15" s="719">
        <v>0</v>
      </c>
      <c r="W15" s="719">
        <v>10552.3982191</v>
      </c>
      <c r="X15" s="719">
        <v>0</v>
      </c>
      <c r="Y15" s="719">
        <v>0</v>
      </c>
      <c r="Z15" s="720"/>
    </row>
    <row r="17" spans="1:27" ht="270" x14ac:dyDescent="0.25">
      <c r="C17" t="s">
        <v>1050</v>
      </c>
      <c r="E17" s="266" t="str">
        <f>PSUT_2012!C4</f>
        <v xml:space="preserve">A. Agriculture, forestry and fishing </v>
      </c>
      <c r="F17" s="266" t="str">
        <f>PSUT_2012!D4</f>
        <v xml:space="preserve">B. Mining and Quarrying </v>
      </c>
      <c r="G17" s="266" t="str">
        <f>PSUT_2012!E4</f>
        <v>C. Manufacturing</v>
      </c>
      <c r="H17" s="266" t="str">
        <f>PSUT_2012!F4</f>
        <v>D. Electricity, gas, steam and air conditioning supply</v>
      </c>
      <c r="I17" s="266" t="str">
        <f>PSUT_2012!G4</f>
        <v>E. Water supply (WASAC &amp; AquaVirunga)</v>
      </c>
      <c r="J17" s="266" t="str">
        <f>PSUT_2012!H4</f>
        <v>F. Construction</v>
      </c>
      <c r="K17" s="266" t="str">
        <f>PSUT_2012!I4</f>
        <v>G. Wholesale and retail trade; repair of motor vehicles and motorcycles</v>
      </c>
      <c r="L17" s="266" t="str">
        <f>PSUT_2012!J4</f>
        <v>H. Transportation and storage</v>
      </c>
      <c r="M17" s="266" t="str">
        <f>PSUT_2012!K4</f>
        <v>I. Accommodation and food service activities</v>
      </c>
      <c r="N17" s="266" t="str">
        <f>PSUT_2012!L4</f>
        <v>J. Information and communication</v>
      </c>
      <c r="O17" s="266" t="str">
        <f>PSUT_2012!M4</f>
        <v>K. Banking and insurance activities</v>
      </c>
      <c r="P17" s="266" t="str">
        <f>PSUT_2012!N4</f>
        <v>L. Real estate activities</v>
      </c>
      <c r="Q17" s="266" t="str">
        <f>PSUT_2012!O4</f>
        <v>M. Professional, scientific and technical activities</v>
      </c>
      <c r="R17" s="266" t="str">
        <f>PSUT_2012!P4</f>
        <v>N. Administrative and support service activities</v>
      </c>
      <c r="S17" s="266" t="str">
        <f>PSUT_2012!Q4</f>
        <v>O. Public administration and defence; compulsory social security</v>
      </c>
      <c r="T17" s="266" t="str">
        <f>PSUT_2012!R4</f>
        <v>P. Education</v>
      </c>
      <c r="U17" s="266" t="str">
        <f>PSUT_2012!S4</f>
        <v xml:space="preserve">Q. Human health and social work activities </v>
      </c>
      <c r="V17" s="266" t="str">
        <f>PSUT_2012!T4</f>
        <v>R. Arts, entertainment and recreation</v>
      </c>
      <c r="W17" s="266" t="str">
        <f>PSUT_2012!U4</f>
        <v>S. Other service activities (Religious &amp; Burial)</v>
      </c>
      <c r="X17" s="266" t="str">
        <f>PSUT_2012!V4</f>
        <v>T. Activities of households as employers; undifferentiated goods- and services-producing activities of households for own use</v>
      </c>
      <c r="Y17" s="266">
        <f>PSUT_2012!W4</f>
        <v>0</v>
      </c>
      <c r="Z17" s="266" t="str">
        <f>PSUT_2012!X4</f>
        <v>Households</v>
      </c>
    </row>
    <row r="20" spans="1:27" x14ac:dyDescent="0.25">
      <c r="A20" s="187" t="s">
        <v>1683</v>
      </c>
    </row>
    <row r="22" spans="1:27" ht="270" x14ac:dyDescent="0.25">
      <c r="A22" s="1501">
        <f>+(PSUT_2012!B2)</f>
        <v>2012</v>
      </c>
      <c r="B22" s="1192" t="s">
        <v>1326</v>
      </c>
      <c r="C22" s="297" t="s">
        <v>1050</v>
      </c>
      <c r="D22" s="297"/>
      <c r="E22" s="717" t="str">
        <f>PSUT_2012!C4</f>
        <v xml:space="preserve">A. Agriculture, forestry and fishing </v>
      </c>
      <c r="F22" s="717" t="str">
        <f>PSUT_2012!D4</f>
        <v xml:space="preserve">B. Mining and Quarrying </v>
      </c>
      <c r="G22" s="717" t="str">
        <f>PSUT_2012!E4</f>
        <v>C. Manufacturing</v>
      </c>
      <c r="H22" s="717" t="str">
        <f>PSUT_2012!F4</f>
        <v>D. Electricity, gas, steam and air conditioning supply</v>
      </c>
      <c r="I22" s="717" t="str">
        <f>PSUT_2012!G4</f>
        <v>E. Water supply (WASAC &amp; AquaVirunga)</v>
      </c>
      <c r="J22" s="717" t="str">
        <f>PSUT_2012!H4</f>
        <v>F. Construction</v>
      </c>
      <c r="K22" s="717" t="str">
        <f>PSUT_2012!I4</f>
        <v>G. Wholesale and retail trade; repair of motor vehicles and motorcycles</v>
      </c>
      <c r="L22" s="717" t="str">
        <f>PSUT_2012!J4</f>
        <v>H. Transportation and storage</v>
      </c>
      <c r="M22" s="717" t="str">
        <f>PSUT_2012!K4</f>
        <v>I. Accommodation and food service activities</v>
      </c>
      <c r="N22" s="717" t="str">
        <f>PSUT_2012!L4</f>
        <v>J. Information and communication</v>
      </c>
      <c r="O22" s="717" t="str">
        <f>PSUT_2012!M4</f>
        <v>K. Banking and insurance activities</v>
      </c>
      <c r="P22" s="717" t="str">
        <f>PSUT_2012!N4</f>
        <v>L. Real estate activities</v>
      </c>
      <c r="Q22" s="717" t="str">
        <f>PSUT_2012!O4</f>
        <v>M. Professional, scientific and technical activities</v>
      </c>
      <c r="R22" s="717" t="str">
        <f>PSUT_2012!P4</f>
        <v>N. Administrative and support service activities</v>
      </c>
      <c r="S22" s="717" t="str">
        <f>PSUT_2012!Q4</f>
        <v>O. Public administration and defence; compulsory social security</v>
      </c>
      <c r="T22" s="717" t="str">
        <f>PSUT_2012!R4</f>
        <v>P. Education</v>
      </c>
      <c r="U22" s="717" t="str">
        <f>PSUT_2012!S4</f>
        <v xml:space="preserve">Q. Human health and social work activities </v>
      </c>
      <c r="V22" s="717" t="str">
        <f>PSUT_2012!T4</f>
        <v>R. Arts, entertainment and recreation</v>
      </c>
      <c r="W22" s="717" t="str">
        <f>PSUT_2012!U4</f>
        <v>S. Other service activities (Religious &amp; Burial)</v>
      </c>
      <c r="X22" s="717" t="str">
        <f>PSUT_2012!V4</f>
        <v>T. Activities of households as employers; undifferentiated goods- and services-producing activities of households for own use</v>
      </c>
      <c r="Y22" s="717" t="str">
        <f>PSUT_2012!W3</f>
        <v xml:space="preserve">Total Production activities </v>
      </c>
      <c r="Z22" s="717" t="str">
        <f>PSUT_2012!X4</f>
        <v>Households</v>
      </c>
      <c r="AA22" s="717" t="str">
        <f>PSUT_2012!AA3</f>
        <v xml:space="preserve">Total </v>
      </c>
    </row>
    <row r="23" spans="1:27" x14ac:dyDescent="0.25">
      <c r="A23" s="1490" t="str">
        <f>+(PSUT_2012!A6)</f>
        <v>From the environment</v>
      </c>
      <c r="B23" s="1054" t="str">
        <f>+(PSUT_2012!B6)</f>
        <v>1 - Total abstraction (=1.a+1.b = 1.i+1.ii)</v>
      </c>
      <c r="D23" s="4">
        <f>Y23</f>
        <v>13998421.908640916</v>
      </c>
      <c r="E23" s="1025">
        <f>+(PSUT_2012!C6)</f>
        <v>13563380.505039312</v>
      </c>
      <c r="F23" s="1025">
        <f>+(PSUT_2012!D6)</f>
        <v>22390.658857794173</v>
      </c>
      <c r="G23" s="1025">
        <f>+(PSUT_2012!E6)</f>
        <v>23638.124916130942</v>
      </c>
      <c r="H23" s="1025">
        <f>+(PSUT_2012!F6)</f>
        <v>335270.16889591428</v>
      </c>
      <c r="I23" s="1025">
        <f>+(PSUT_2012!G6)</f>
        <v>53008.786416190094</v>
      </c>
      <c r="J23" s="1025">
        <f>+(PSUT_2012!H6)</f>
        <v>0</v>
      </c>
      <c r="K23" s="1025">
        <f>+(PSUT_2012!I6)</f>
        <v>0</v>
      </c>
      <c r="L23" s="1025">
        <f>+(PSUT_2012!J6)</f>
        <v>0</v>
      </c>
      <c r="M23" s="1025">
        <f>+(PSUT_2012!K6)</f>
        <v>0</v>
      </c>
      <c r="N23" s="1025">
        <f>+(PSUT_2012!L6)</f>
        <v>0</v>
      </c>
      <c r="O23" s="1025">
        <f>+(PSUT_2012!M6)</f>
        <v>0.06</v>
      </c>
      <c r="P23" s="1025">
        <f>+(PSUT_2012!N6)</f>
        <v>0</v>
      </c>
      <c r="Q23" s="1025">
        <f>+(PSUT_2012!O6)</f>
        <v>0</v>
      </c>
      <c r="R23" s="1025">
        <f>+(PSUT_2012!P6)</f>
        <v>0</v>
      </c>
      <c r="S23" s="1025">
        <f>+(PSUT_2012!Q6)</f>
        <v>0</v>
      </c>
      <c r="T23" s="1025">
        <f>+(PSUT_2012!R6)</f>
        <v>133.11539999999999</v>
      </c>
      <c r="U23" s="1025">
        <f>+(PSUT_2012!S6)</f>
        <v>588.7795155737706</v>
      </c>
      <c r="V23" s="1025">
        <f>+SUM(PSUT_2012!T6:'PSUT_2012'!V6)</f>
        <v>11.709600000000002</v>
      </c>
      <c r="W23" s="1025">
        <f>+(PSUT_2012!U6)</f>
        <v>11.709600000000002</v>
      </c>
      <c r="X23" s="1025">
        <f>+(PSUT_2012!V6)</f>
        <v>0</v>
      </c>
      <c r="Y23" s="1025">
        <f>+(PSUT_2012!W6)</f>
        <v>13998421.908640916</v>
      </c>
      <c r="Z23" s="1025">
        <f>+(PSUT_2012!X6)</f>
        <v>40434.896439560478</v>
      </c>
      <c r="AA23" s="1025">
        <f>+(PSUT_2012!AA6)</f>
        <v>14038856.805080475</v>
      </c>
    </row>
    <row r="24" spans="1:27" x14ac:dyDescent="0.25">
      <c r="A24" s="1490"/>
      <c r="B24" s="1054" t="str">
        <f>+(PSUT_2012!B9)</f>
        <v>1 - Total abstraction (1.i+1.ii)</v>
      </c>
      <c r="D24" s="4">
        <f>Y24</f>
        <v>13998421.908640916</v>
      </c>
      <c r="E24" s="1025">
        <f>+(PSUT_2012!C9)</f>
        <v>13563380.505039312</v>
      </c>
      <c r="F24" s="1025">
        <f>+(PSUT_2012!D9)</f>
        <v>22390.658857794173</v>
      </c>
      <c r="G24" s="1025">
        <f>+(PSUT_2012!E9)</f>
        <v>23638.124916130942</v>
      </c>
      <c r="H24" s="1025">
        <f>+(PSUT_2012!F9)</f>
        <v>335270.16889591428</v>
      </c>
      <c r="I24" s="1025">
        <f>+(PSUT_2012!G9)</f>
        <v>53008.786416190094</v>
      </c>
      <c r="J24" s="1025">
        <f>+(PSUT_2012!H9)</f>
        <v>0</v>
      </c>
      <c r="K24" s="1025">
        <f>+(PSUT_2012!I9)</f>
        <v>0</v>
      </c>
      <c r="L24" s="1025">
        <f>+(PSUT_2012!J9)</f>
        <v>0</v>
      </c>
      <c r="M24" s="1025">
        <f>+(PSUT_2012!K9)</f>
        <v>0</v>
      </c>
      <c r="N24" s="1025">
        <f>+(PSUT_2012!L9)</f>
        <v>0</v>
      </c>
      <c r="O24" s="1025">
        <f>+(PSUT_2012!M9)</f>
        <v>0.06</v>
      </c>
      <c r="P24" s="1025">
        <f>+(PSUT_2012!N9)</f>
        <v>0</v>
      </c>
      <c r="Q24" s="1025">
        <f>+(PSUT_2012!O9)</f>
        <v>0</v>
      </c>
      <c r="R24" s="1025">
        <f>+(PSUT_2012!P9)</f>
        <v>0</v>
      </c>
      <c r="S24" s="1025">
        <f>+(PSUT_2012!Q9)</f>
        <v>0</v>
      </c>
      <c r="T24" s="1025">
        <f>+(PSUT_2012!R9)</f>
        <v>133.11539999999999</v>
      </c>
      <c r="U24" s="1025">
        <f>+(PSUT_2012!S9)</f>
        <v>588.7795155737706</v>
      </c>
      <c r="V24" s="1025">
        <f>+SUM(PSUT_2012!T9:'PSUT_2012'!V9)</f>
        <v>11.709600000000002</v>
      </c>
      <c r="W24" s="1025">
        <f>+(PSUT_2012!U9)</f>
        <v>11.709600000000002</v>
      </c>
      <c r="X24" s="1025">
        <f>+(PSUT_2012!V9)</f>
        <v>0</v>
      </c>
      <c r="Y24" s="1025">
        <f>+(PSUT_2012!W9)</f>
        <v>13998421.908640916</v>
      </c>
      <c r="Z24" s="1025">
        <f>+(PSUT_2012!X9)</f>
        <v>40434.896439560478</v>
      </c>
      <c r="AA24" s="1025">
        <f>+(PSUT_2012!AA9)</f>
        <v>14038856.805080475</v>
      </c>
    </row>
    <row r="25" spans="1:27" x14ac:dyDescent="0.25">
      <c r="A25" s="1490"/>
      <c r="B25" s="1054" t="str">
        <f>+B26 &amp; " &amp; "&amp; B27</f>
        <v>1.i.1 Surface water &amp; 1.i.2 Groundwater</v>
      </c>
      <c r="D25" s="1025">
        <f>Y25</f>
        <v>616311.14828759525</v>
      </c>
      <c r="E25" s="1025">
        <f>+SUM(PSUT_2012!C11,PSUT_2012!C16)</f>
        <v>203165.42938599197</v>
      </c>
      <c r="F25" s="1025">
        <f>+SUM(PSUT_2012!D11,PSUT_2012!D16)</f>
        <v>1030.8588577941744</v>
      </c>
      <c r="G25" s="1025">
        <f>+SUM(PSUT_2012!E11,PSUT_2012!E16)</f>
        <v>23609.924916130942</v>
      </c>
      <c r="H25" s="1025">
        <f>+SUM(PSUT_2012!F11,PSUT_2012!F16)</f>
        <v>335270.16889591428</v>
      </c>
      <c r="I25" s="1025">
        <f>+SUM(PSUT_2012!G11,PSUT_2012!G16)</f>
        <v>53008.786416190094</v>
      </c>
      <c r="J25" s="1025">
        <f>+SUM(PSUT_2012!H11,PSUT_2012!H16)</f>
        <v>0</v>
      </c>
      <c r="K25" s="1025">
        <f>+SUM(PSUT_2012!I11,PSUT_2012!I16)</f>
        <v>0</v>
      </c>
      <c r="L25" s="1025">
        <f>+SUM(PSUT_2012!J11,PSUT_2012!J16)</f>
        <v>0</v>
      </c>
      <c r="M25" s="1025">
        <f>+SUM(PSUT_2012!K11,PSUT_2012!K16)</f>
        <v>0</v>
      </c>
      <c r="N25" s="1025">
        <f>+SUM(PSUT_2012!L11,PSUT_2012!L16)</f>
        <v>0</v>
      </c>
      <c r="O25" s="1025">
        <f>+SUM(PSUT_2012!M11,PSUT_2012!M16)</f>
        <v>0</v>
      </c>
      <c r="P25" s="1025">
        <f>+SUM(PSUT_2012!N11,PSUT_2012!N16)</f>
        <v>0</v>
      </c>
      <c r="Q25" s="1025">
        <f>+SUM(PSUT_2012!O11,PSUT_2012!O16)</f>
        <v>0</v>
      </c>
      <c r="R25" s="1025">
        <f>+SUM(PSUT_2012!P11,PSUT_2012!P16)</f>
        <v>0</v>
      </c>
      <c r="S25" s="1025">
        <f>+SUM(PSUT_2012!Q11,PSUT_2012!Q16)</f>
        <v>0</v>
      </c>
      <c r="T25" s="1025">
        <f>+SUM(PSUT_2012!R11,PSUT_2012!R16)</f>
        <v>133.11539999999999</v>
      </c>
      <c r="U25" s="1025">
        <f>+SUM(PSUT_2012!S11,PSUT_2012!S16)</f>
        <v>90.790815573770487</v>
      </c>
      <c r="V25" s="1025">
        <f>+SUM(PSUT_2012!T11,PSUT_2012!T16)</f>
        <v>0</v>
      </c>
      <c r="W25" s="1025">
        <f>+SUM(PSUT_2012!U11,PSUT_2012!U16)</f>
        <v>2.0736000000000003</v>
      </c>
      <c r="X25" s="1025">
        <f>+SUM(PSUT_2012!V11,PSUT_2012!V16)</f>
        <v>0</v>
      </c>
      <c r="Y25" s="1025">
        <f>+SUM(PSUT_2012!W11,PSUT_2012!W16)</f>
        <v>616311.14828759525</v>
      </c>
      <c r="Z25" s="1025">
        <f>+SUM(PSUT_2012!X11,PSUT_2012!X16)</f>
        <v>39884.896439560478</v>
      </c>
      <c r="AA25" s="1025">
        <f>+SUM(PSUT_2012!AA11,PSUT_2012!AA16)</f>
        <v>656196.04472715571</v>
      </c>
    </row>
    <row r="26" spans="1:27" x14ac:dyDescent="0.25">
      <c r="A26" s="1490"/>
      <c r="B26" s="1054" t="str">
        <f>+(PSUT_2012!B11)</f>
        <v>1.i.1 Surface water</v>
      </c>
      <c r="D26" s="1295"/>
      <c r="E26" s="1025">
        <f>+(PSUT_2012!C11)</f>
        <v>189335.69415585385</v>
      </c>
      <c r="F26" s="1025">
        <f>+(PSUT_2012!D11)</f>
        <v>967.07072779417433</v>
      </c>
      <c r="G26" s="1025">
        <f>+(PSUT_2012!E11)</f>
        <v>14844.847980982084</v>
      </c>
      <c r="H26" s="1025">
        <f>+(PSUT_2012!F11)</f>
        <v>335270.16889591428</v>
      </c>
      <c r="I26" s="1025">
        <f>+(PSUT_2012!G11)</f>
        <v>41023.930895441081</v>
      </c>
      <c r="J26" s="1025">
        <f>+(PSUT_2012!H11)</f>
        <v>0</v>
      </c>
      <c r="K26" s="1025">
        <f>+(PSUT_2012!I11)</f>
        <v>0</v>
      </c>
      <c r="L26" s="1025">
        <f>+(PSUT_2012!J11)</f>
        <v>0</v>
      </c>
      <c r="M26" s="1025">
        <f>+(PSUT_2012!K11)</f>
        <v>0</v>
      </c>
      <c r="N26" s="1025">
        <f>+(PSUT_2012!L11)</f>
        <v>0</v>
      </c>
      <c r="O26" s="1025">
        <f>+(PSUT_2012!M11)</f>
        <v>0</v>
      </c>
      <c r="P26" s="1025">
        <f>+(PSUT_2012!N11)</f>
        <v>0</v>
      </c>
      <c r="Q26" s="1025">
        <f>+(PSUT_2012!O11)</f>
        <v>0</v>
      </c>
      <c r="R26" s="1025">
        <f>+(PSUT_2012!P11)</f>
        <v>0</v>
      </c>
      <c r="S26" s="1025">
        <f>+(PSUT_2012!Q11)</f>
        <v>0</v>
      </c>
      <c r="T26" s="1025">
        <f>+(PSUT_2012!R11)</f>
        <v>0</v>
      </c>
      <c r="U26" s="1025">
        <f>+(PSUT_2012!S11)</f>
        <v>0</v>
      </c>
      <c r="V26" s="1025">
        <f>+SUM(PSUT_2012!T11:'PSUT_2012'!V11)</f>
        <v>2.0736000000000003</v>
      </c>
      <c r="W26" s="1025">
        <f>+(PSUT_2012!U11)</f>
        <v>2.0736000000000003</v>
      </c>
      <c r="X26" s="1025">
        <f>+(PSUT_2012!V11)</f>
        <v>0</v>
      </c>
      <c r="Y26" s="1025">
        <f>+(PSUT_2012!W11)</f>
        <v>581443.7862559855</v>
      </c>
      <c r="Z26" s="1025">
        <f>+(PSUT_2012!X11)</f>
        <v>11301.441449073298</v>
      </c>
      <c r="AA26" s="1025">
        <f>+(PSUT_2012!AA11)</f>
        <v>592745.22770505876</v>
      </c>
    </row>
    <row r="27" spans="1:27" x14ac:dyDescent="0.25">
      <c r="A27" s="1490"/>
      <c r="B27" s="1054" t="str">
        <f>+(PSUT_2012!B16)</f>
        <v>1.i.2 Groundwater</v>
      </c>
      <c r="D27" s="1025"/>
      <c r="E27" s="1025">
        <f>+(PSUT_2012!C16)</f>
        <v>13829.735230138118</v>
      </c>
      <c r="F27" s="1025">
        <f>+(PSUT_2012!D16)</f>
        <v>63.788130000000002</v>
      </c>
      <c r="G27" s="1025">
        <f>+(PSUT_2012!E16)</f>
        <v>8765.0769351488561</v>
      </c>
      <c r="H27" s="1025">
        <f>+(PSUT_2012!F16)</f>
        <v>0</v>
      </c>
      <c r="I27" s="1025">
        <f>+(PSUT_2012!G16)</f>
        <v>11984.855520749015</v>
      </c>
      <c r="J27" s="1025">
        <f>+(PSUT_2012!H16)</f>
        <v>0</v>
      </c>
      <c r="K27" s="1025">
        <f>+(PSUT_2012!I16)</f>
        <v>0</v>
      </c>
      <c r="L27" s="1025">
        <f>+(PSUT_2012!J16)</f>
        <v>0</v>
      </c>
      <c r="M27" s="1025">
        <f>+(PSUT_2012!K16)</f>
        <v>0</v>
      </c>
      <c r="N27" s="1025">
        <f>+(PSUT_2012!L16)</f>
        <v>0</v>
      </c>
      <c r="O27" s="1025">
        <f>+(PSUT_2012!M16)</f>
        <v>0</v>
      </c>
      <c r="P27" s="1025">
        <f>+(PSUT_2012!N16)</f>
        <v>0</v>
      </c>
      <c r="Q27" s="1025">
        <f>+(PSUT_2012!O16)</f>
        <v>0</v>
      </c>
      <c r="R27" s="1025">
        <f>+(PSUT_2012!P16)</f>
        <v>0</v>
      </c>
      <c r="S27" s="1025">
        <f>+(PSUT_2012!Q16)</f>
        <v>0</v>
      </c>
      <c r="T27" s="1025">
        <f>+(PSUT_2012!R16)</f>
        <v>133.11539999999999</v>
      </c>
      <c r="U27" s="1025">
        <f>+(PSUT_2012!S16)</f>
        <v>90.790815573770487</v>
      </c>
      <c r="V27" s="1025">
        <f>+SUM(PSUT_2012!T16:'PSUT_2012'!V16)</f>
        <v>0</v>
      </c>
      <c r="W27" s="1025">
        <f>+(PSUT_2012!U16)</f>
        <v>0</v>
      </c>
      <c r="X27" s="1025">
        <f>+(PSUT_2012!V16)</f>
        <v>0</v>
      </c>
      <c r="Y27" s="1025">
        <f>+(PSUT_2012!W16)</f>
        <v>34867.362031609759</v>
      </c>
      <c r="Z27" s="1025">
        <f>+(PSUT_2012!X16)</f>
        <v>28583.454990487178</v>
      </c>
      <c r="AA27" s="1025">
        <f>+(PSUT_2012!AA16)</f>
        <v>63450.817022096933</v>
      </c>
    </row>
    <row r="28" spans="1:27" x14ac:dyDescent="0.25">
      <c r="A28" s="1490"/>
      <c r="B28" s="1054" t="str">
        <f>+(PSUT_2012!B19)</f>
        <v>1.i.3 Soil water (green water)</v>
      </c>
      <c r="D28" s="1025">
        <f>Y28</f>
        <v>13359408.07565332</v>
      </c>
      <c r="E28" s="1025">
        <f>+(PSUT_2012!C19)</f>
        <v>13359408.07565332</v>
      </c>
      <c r="F28" s="1025">
        <f>+(PSUT_2012!D19)</f>
        <v>0</v>
      </c>
      <c r="G28" s="1025">
        <f>+(PSUT_2012!E19)</f>
        <v>0</v>
      </c>
      <c r="H28" s="1025">
        <f>+(PSUT_2012!F19)</f>
        <v>0</v>
      </c>
      <c r="I28" s="1025">
        <f>+(PSUT_2012!G19)</f>
        <v>0</v>
      </c>
      <c r="J28" s="1025">
        <f>+(PSUT_2012!H19)</f>
        <v>0</v>
      </c>
      <c r="K28" s="1025">
        <f>+(PSUT_2012!I19)</f>
        <v>0</v>
      </c>
      <c r="L28" s="1025">
        <f>+(PSUT_2012!J19)</f>
        <v>0</v>
      </c>
      <c r="M28" s="1025">
        <f>+(PSUT_2012!K19)</f>
        <v>0</v>
      </c>
      <c r="N28" s="1025">
        <f>+(PSUT_2012!L19)</f>
        <v>0</v>
      </c>
      <c r="O28" s="1025">
        <f>+(PSUT_2012!M19)</f>
        <v>0</v>
      </c>
      <c r="P28" s="1025">
        <f>+(PSUT_2012!N19)</f>
        <v>0</v>
      </c>
      <c r="Q28" s="1025">
        <f>+(PSUT_2012!O19)</f>
        <v>0</v>
      </c>
      <c r="R28" s="1025">
        <f>+(PSUT_2012!P19)</f>
        <v>0</v>
      </c>
      <c r="S28" s="1025">
        <f>+(PSUT_2012!Q19)</f>
        <v>0</v>
      </c>
      <c r="T28" s="1025">
        <f>+(PSUT_2012!R19)</f>
        <v>0</v>
      </c>
      <c r="U28" s="1025">
        <f>+(PSUT_2012!S19)</f>
        <v>0</v>
      </c>
      <c r="V28" s="1025">
        <f>+SUM(PSUT_2012!T19:'PSUT_2012'!V19)</f>
        <v>0</v>
      </c>
      <c r="W28" s="1025">
        <f>+(PSUT_2012!U19)</f>
        <v>0</v>
      </c>
      <c r="X28" s="1025">
        <f>+(PSUT_2012!V19)</f>
        <v>0</v>
      </c>
      <c r="Y28" s="1025">
        <f>+(PSUT_2012!W19)</f>
        <v>13359408.07565332</v>
      </c>
      <c r="Z28" s="1025">
        <f>+(PSUT_2012!X19)</f>
        <v>0</v>
      </c>
      <c r="AA28" s="1025">
        <f>+(PSUT_2012!AA19)</f>
        <v>13359408.07565332</v>
      </c>
    </row>
    <row r="29" spans="1:27" x14ac:dyDescent="0.25">
      <c r="A29" s="1490"/>
      <c r="B29" s="1054" t="str">
        <f>+(PSUT_2012!B20)</f>
        <v xml:space="preserve">1.ii From other sources </v>
      </c>
      <c r="D29" s="1025"/>
      <c r="E29" s="1025">
        <f>+(PSUT_2012!C20)</f>
        <v>807</v>
      </c>
      <c r="F29" s="1025">
        <f>+(PSUT_2012!D20)</f>
        <v>21359.8</v>
      </c>
      <c r="G29" s="1025">
        <f>+(PSUT_2012!E20)</f>
        <v>28.2</v>
      </c>
      <c r="H29" s="1025">
        <f>+(PSUT_2012!F20)</f>
        <v>0</v>
      </c>
      <c r="I29" s="1025">
        <f>+(PSUT_2012!G20)</f>
        <v>0</v>
      </c>
      <c r="J29" s="1025">
        <f>+(PSUT_2012!H20)</f>
        <v>0</v>
      </c>
      <c r="K29" s="1025">
        <f>+(PSUT_2012!I20)</f>
        <v>0</v>
      </c>
      <c r="L29" s="1025">
        <f>+(PSUT_2012!J20)</f>
        <v>0</v>
      </c>
      <c r="M29" s="1025">
        <f>+(PSUT_2012!K20)</f>
        <v>0</v>
      </c>
      <c r="N29" s="1025">
        <f>+(PSUT_2012!L20)</f>
        <v>0</v>
      </c>
      <c r="O29" s="1025">
        <f>+(PSUT_2012!M20)</f>
        <v>0.06</v>
      </c>
      <c r="P29" s="1025">
        <f>+(PSUT_2012!N20)</f>
        <v>0</v>
      </c>
      <c r="Q29" s="1025">
        <f>+(PSUT_2012!O20)</f>
        <v>0</v>
      </c>
      <c r="R29" s="1025">
        <f>+(PSUT_2012!P20)</f>
        <v>0</v>
      </c>
      <c r="S29" s="1025">
        <f>+(PSUT_2012!Q20)</f>
        <v>0</v>
      </c>
      <c r="T29" s="1025">
        <f>+(PSUT_2012!R20)</f>
        <v>0</v>
      </c>
      <c r="U29" s="1025">
        <f>+(PSUT_2012!S20)</f>
        <v>497.98870000000005</v>
      </c>
      <c r="V29" s="1025">
        <f>+SUM(PSUT_2012!T20:'PSUT_2012'!V20)</f>
        <v>9.636000000000001</v>
      </c>
      <c r="W29" s="1025">
        <f>+(PSUT_2012!U20)</f>
        <v>9.636000000000001</v>
      </c>
      <c r="X29" s="1025">
        <f>+(PSUT_2012!V20)</f>
        <v>0</v>
      </c>
      <c r="Y29" s="1025">
        <f>+(PSUT_2012!W20)</f>
        <v>22702.684700000002</v>
      </c>
      <c r="Z29" s="1025">
        <f>+(PSUT_2012!X20)</f>
        <v>550</v>
      </c>
      <c r="AA29" s="1025">
        <f>+(PSUT_2012!AA20)</f>
        <v>23252.684700000002</v>
      </c>
    </row>
    <row r="30" spans="1:27" x14ac:dyDescent="0.25">
      <c r="A30" s="1490"/>
      <c r="B30" s="1054" t="str">
        <f>+(PSUT_2012!B21)</f>
        <v>1.ii.1 Collection of precipitation (rainwater harvesting; ..)</v>
      </c>
      <c r="D30" s="1025"/>
      <c r="E30" s="1025">
        <f>+(PSUT_2012!C21)</f>
        <v>807</v>
      </c>
      <c r="F30" s="1025">
        <f>+(PSUT_2012!D21)</f>
        <v>21359.8</v>
      </c>
      <c r="G30" s="1025">
        <f>+(PSUT_2012!E21)</f>
        <v>28.2</v>
      </c>
      <c r="H30" s="1025">
        <f>+(PSUT_2012!F21)</f>
        <v>0</v>
      </c>
      <c r="I30" s="1025">
        <f>+(PSUT_2012!G21)</f>
        <v>0</v>
      </c>
      <c r="J30" s="1025">
        <f>+(PSUT_2012!H21)</f>
        <v>0</v>
      </c>
      <c r="K30" s="1025">
        <f>+(PSUT_2012!I21)</f>
        <v>0</v>
      </c>
      <c r="L30" s="1025">
        <f>+(PSUT_2012!J21)</f>
        <v>0</v>
      </c>
      <c r="M30" s="1025">
        <f>+(PSUT_2012!K21)</f>
        <v>0</v>
      </c>
      <c r="N30" s="1025">
        <f>+(PSUT_2012!L21)</f>
        <v>0</v>
      </c>
      <c r="O30" s="1025">
        <f>+(PSUT_2012!M21)</f>
        <v>0.06</v>
      </c>
      <c r="P30" s="1025">
        <f>+(PSUT_2012!N21)</f>
        <v>0</v>
      </c>
      <c r="Q30" s="1025">
        <f>+(PSUT_2012!O21)</f>
        <v>0</v>
      </c>
      <c r="R30" s="1025">
        <f>+(PSUT_2012!P21)</f>
        <v>0</v>
      </c>
      <c r="S30" s="1025">
        <f>+(PSUT_2012!Q21)</f>
        <v>0</v>
      </c>
      <c r="T30" s="1025">
        <f>+(PSUT_2012!R21)</f>
        <v>0</v>
      </c>
      <c r="U30" s="1025">
        <f>+(PSUT_2012!S21)</f>
        <v>497.98870000000005</v>
      </c>
      <c r="V30" s="1025">
        <f>+SUM(PSUT_2012!T21:'PSUT_2012'!V21)</f>
        <v>9.636000000000001</v>
      </c>
      <c r="W30" s="1025">
        <f>+(PSUT_2012!U21)</f>
        <v>9.636000000000001</v>
      </c>
      <c r="X30" s="1025">
        <f>+(PSUT_2012!V21)</f>
        <v>0</v>
      </c>
      <c r="Y30" s="1025">
        <f>+(PSUT_2012!W21)</f>
        <v>22702.684700000002</v>
      </c>
      <c r="Z30" s="1025">
        <f>+(PSUT_2012!X21)</f>
        <v>550</v>
      </c>
      <c r="AA30" s="1025">
        <f>+(PSUT_2012!AA21)</f>
        <v>23252.684700000002</v>
      </c>
    </row>
    <row r="31" spans="1:27" x14ac:dyDescent="0.25">
      <c r="A31" s="1202"/>
      <c r="B31" s="1054" t="str">
        <f>+(PSUT_2012!B22)</f>
        <v>1.ii.2 Abstraction from the sea</v>
      </c>
      <c r="D31" s="1025"/>
      <c r="E31" s="1025">
        <f>+(PSUT_2012!C22)</f>
        <v>0</v>
      </c>
      <c r="F31" s="1025">
        <f>+(PSUT_2012!D22)</f>
        <v>0</v>
      </c>
      <c r="G31" s="1025">
        <f>+(PSUT_2012!E22)</f>
        <v>0</v>
      </c>
      <c r="H31" s="1025">
        <f>+(PSUT_2012!F22)</f>
        <v>0</v>
      </c>
      <c r="I31" s="1025">
        <f>+(PSUT_2012!G22)</f>
        <v>0</v>
      </c>
      <c r="J31" s="1025">
        <f>+(PSUT_2012!H22)</f>
        <v>0</v>
      </c>
      <c r="K31" s="1025">
        <f>+(PSUT_2012!I22)</f>
        <v>0</v>
      </c>
      <c r="L31" s="1025">
        <f>+(PSUT_2012!J22)</f>
        <v>0</v>
      </c>
      <c r="M31" s="1025">
        <f>+(PSUT_2012!K22)</f>
        <v>0</v>
      </c>
      <c r="N31" s="1025">
        <f>+(PSUT_2012!L22)</f>
        <v>0</v>
      </c>
      <c r="O31" s="1025">
        <f>+(PSUT_2012!M22)</f>
        <v>0</v>
      </c>
      <c r="P31" s="1025">
        <f>+(PSUT_2012!N22)</f>
        <v>0</v>
      </c>
      <c r="Q31" s="1025">
        <f>+(PSUT_2012!O22)</f>
        <v>0</v>
      </c>
      <c r="R31" s="1025">
        <f>+(PSUT_2012!P22)</f>
        <v>0</v>
      </c>
      <c r="S31" s="1025">
        <f>+(PSUT_2012!Q22)</f>
        <v>0</v>
      </c>
      <c r="T31" s="1025">
        <f>+(PSUT_2012!R22)</f>
        <v>0</v>
      </c>
      <c r="U31" s="1025">
        <f>+(PSUT_2012!S22)</f>
        <v>0</v>
      </c>
      <c r="V31" s="1025">
        <f>+SUM(PSUT_2012!T22:'PSUT_2012'!V22)</f>
        <v>0</v>
      </c>
      <c r="W31" s="1025">
        <f>+(PSUT_2012!U22)</f>
        <v>0</v>
      </c>
      <c r="X31" s="1025">
        <f>+(PSUT_2012!V22)</f>
        <v>0</v>
      </c>
      <c r="Y31" s="1025">
        <f>+(PSUT_2012!W22)</f>
        <v>0</v>
      </c>
      <c r="Z31" s="1025">
        <f>+(PSUT_2012!X22)</f>
        <v>0</v>
      </c>
      <c r="AA31" s="1025">
        <f>+(PSUT_2012!AA22)</f>
        <v>0</v>
      </c>
    </row>
    <row r="32" spans="1:27" x14ac:dyDescent="0.25">
      <c r="A32" s="1202"/>
      <c r="B32" s="1054" t="str">
        <f>+(PSUT_2012!B23)</f>
        <v>2. Use of water received from other economic units</v>
      </c>
      <c r="D32" s="1025"/>
      <c r="E32" s="1025">
        <f>+(PSUT_2012!C23)</f>
        <v>90250</v>
      </c>
      <c r="F32" s="1025">
        <f>+(PSUT_2012!D23)</f>
        <v>0</v>
      </c>
      <c r="G32" s="1025">
        <f>+(PSUT_2012!E23)</f>
        <v>642763.78523033194</v>
      </c>
      <c r="H32" s="1025">
        <f>+(PSUT_2012!F23)</f>
        <v>0</v>
      </c>
      <c r="I32" s="1025">
        <f>+(PSUT_2012!G23)</f>
        <v>0</v>
      </c>
      <c r="J32" s="1025">
        <f>+(PSUT_2012!H23)</f>
        <v>0</v>
      </c>
      <c r="K32" s="1025">
        <f>+(PSUT_2012!I23)</f>
        <v>0</v>
      </c>
      <c r="L32" s="1025">
        <f>+(PSUT_2012!J23)</f>
        <v>0</v>
      </c>
      <c r="M32" s="1025">
        <f>+(PSUT_2012!K23)</f>
        <v>16672.61</v>
      </c>
      <c r="N32" s="1025">
        <f>+(PSUT_2012!L23)</f>
        <v>0</v>
      </c>
      <c r="O32" s="1025">
        <f>+(PSUT_2012!M23)</f>
        <v>76.030545405347283</v>
      </c>
      <c r="P32" s="1025">
        <f>+(PSUT_2012!N23)</f>
        <v>0</v>
      </c>
      <c r="Q32" s="1025">
        <f>+(PSUT_2012!O23)</f>
        <v>0</v>
      </c>
      <c r="R32" s="1025">
        <f>+(PSUT_2012!P23)</f>
        <v>0</v>
      </c>
      <c r="S32" s="1025">
        <f>+(PSUT_2012!Q23)</f>
        <v>0</v>
      </c>
      <c r="T32" s="1025">
        <f>+(PSUT_2012!R23)</f>
        <v>224372.33</v>
      </c>
      <c r="U32" s="1025">
        <f>+(PSUT_2012!S23)</f>
        <v>3720.9427500000002</v>
      </c>
      <c r="V32" s="1025">
        <f>+SUM(PSUT_2012!T23:'PSUT_2012'!V23)</f>
        <v>131.69367175295594</v>
      </c>
      <c r="W32" s="1025">
        <f>+(PSUT_2012!U23)</f>
        <v>131.69367175295594</v>
      </c>
      <c r="X32" s="1025">
        <f>+(PSUT_2012!V23)</f>
        <v>0</v>
      </c>
      <c r="Y32" s="1025">
        <f>+(PSUT_2012!W23)</f>
        <v>977987.3921974902</v>
      </c>
      <c r="Z32" s="1025">
        <f>+(PSUT_2012!X23)</f>
        <v>176061</v>
      </c>
      <c r="AA32" s="1025">
        <f>+(PSUT_2012!AA23)</f>
        <v>1160562.9602874902</v>
      </c>
    </row>
    <row r="33" spans="1:27" x14ac:dyDescent="0.25">
      <c r="A33" s="1202"/>
      <c r="B33" s="1054" t="str">
        <f>+(PSUT_2012!A24)</f>
        <v>3. Total use of water (=1+2)</v>
      </c>
      <c r="D33" s="1025">
        <f>Y33</f>
        <v>14976409.300838405</v>
      </c>
      <c r="E33" s="1025">
        <f>+(PSUT_2012!C24)</f>
        <v>13653630.505039312</v>
      </c>
      <c r="F33" s="1025">
        <f>+(PSUT_2012!D24)</f>
        <v>22390.658857794173</v>
      </c>
      <c r="G33" s="1025">
        <f>+(PSUT_2012!E24)</f>
        <v>666401.91014646285</v>
      </c>
      <c r="H33" s="1025">
        <f>+(PSUT_2012!F24)</f>
        <v>335270.16889591428</v>
      </c>
      <c r="I33" s="1025">
        <f>+(PSUT_2012!G24)</f>
        <v>53008.786416190094</v>
      </c>
      <c r="J33" s="1025">
        <f>+(PSUT_2012!H24)</f>
        <v>0</v>
      </c>
      <c r="K33" s="1025">
        <f>+(PSUT_2012!I24)</f>
        <v>0</v>
      </c>
      <c r="L33" s="1025">
        <f>+(PSUT_2012!J24)</f>
        <v>0</v>
      </c>
      <c r="M33" s="1025">
        <f>+(PSUT_2012!K24)</f>
        <v>16672.61</v>
      </c>
      <c r="N33" s="1025">
        <f>+(PSUT_2012!L24)</f>
        <v>0</v>
      </c>
      <c r="O33" s="1025">
        <f>+(PSUT_2012!M24)</f>
        <v>76.090545405347285</v>
      </c>
      <c r="P33" s="1025">
        <f>+(PSUT_2012!N24)</f>
        <v>0</v>
      </c>
      <c r="Q33" s="1025">
        <f>+(PSUT_2012!O24)</f>
        <v>0</v>
      </c>
      <c r="R33" s="1025">
        <f>+(PSUT_2012!P24)</f>
        <v>0</v>
      </c>
      <c r="S33" s="1025">
        <f>+(PSUT_2012!Q24)</f>
        <v>0</v>
      </c>
      <c r="T33" s="1025">
        <f>+(PSUT_2012!R24)</f>
        <v>224505.4454</v>
      </c>
      <c r="U33" s="1025">
        <f>+(PSUT_2012!S24)</f>
        <v>4309.7222655737705</v>
      </c>
      <c r="V33" s="1025">
        <f>+SUM(PSUT_2012!T24:'PSUT_2012'!V24)</f>
        <v>143.40327175295593</v>
      </c>
      <c r="W33" s="1025">
        <f>+(PSUT_2012!U24)</f>
        <v>143.40327175295593</v>
      </c>
      <c r="X33" s="1025">
        <f>+(PSUT_2012!V24)</f>
        <v>0</v>
      </c>
      <c r="Y33" s="1025">
        <f>+(PSUT_2012!W24)</f>
        <v>14976409.300838405</v>
      </c>
      <c r="Z33" s="1025">
        <f>+(PSUT_2012!X24)</f>
        <v>216495.89643956049</v>
      </c>
      <c r="AA33" s="1025">
        <f>+(PSUT_2012!AA24)</f>
        <v>15199419.765367964</v>
      </c>
    </row>
    <row r="34" spans="1:27" x14ac:dyDescent="0.25">
      <c r="A34" s="1202"/>
      <c r="B34" s="1054" t="str">
        <f>+(PSUT_2012!B35)</f>
        <v>4. Supply of water to other economic units</v>
      </c>
      <c r="D34" s="1025"/>
      <c r="E34" s="1025">
        <f>+(PSUT_2012!C35)</f>
        <v>0</v>
      </c>
      <c r="F34" s="1025">
        <f>+(PSUT_2012!D35)</f>
        <v>21271.125914904464</v>
      </c>
      <c r="G34" s="1025">
        <f>+(PSUT_2012!E35)</f>
        <v>816.87563283886971</v>
      </c>
      <c r="H34" s="1025">
        <f>+(PSUT_2012!F35)</f>
        <v>0</v>
      </c>
      <c r="I34" s="1025">
        <f>+(PSUT_2012!G35)</f>
        <v>0</v>
      </c>
      <c r="J34" s="1025">
        <f>+(PSUT_2012!H35)</f>
        <v>0</v>
      </c>
      <c r="K34" s="1025">
        <f>+(PSUT_2012!I35)</f>
        <v>0</v>
      </c>
      <c r="L34" s="1025">
        <f>+(PSUT_2012!J35)</f>
        <v>0</v>
      </c>
      <c r="M34" s="1025">
        <f>+(PSUT_2012!K35)</f>
        <v>12671.183667903779</v>
      </c>
      <c r="N34" s="1025">
        <f>+(PSUT_2012!L35)</f>
        <v>0</v>
      </c>
      <c r="O34" s="1025">
        <f>+(PSUT_2012!M35)</f>
        <v>5.6106036082474233</v>
      </c>
      <c r="P34" s="1025">
        <f>+(PSUT_2012!N35)</f>
        <v>0</v>
      </c>
      <c r="Q34" s="1025">
        <f>+(PSUT_2012!O35)</f>
        <v>0</v>
      </c>
      <c r="R34" s="1025">
        <f>+(PSUT_2012!P35)</f>
        <v>0</v>
      </c>
      <c r="S34" s="1025">
        <f>+(PSUT_2012!Q35)</f>
        <v>0</v>
      </c>
      <c r="T34" s="1025">
        <f>+(PSUT_2012!R35)</f>
        <v>0</v>
      </c>
      <c r="U34" s="1025">
        <f>+(PSUT_2012!S35)</f>
        <v>0</v>
      </c>
      <c r="V34" s="1025">
        <f>+SUM(PSUT_2012!T35:'PSUT_2012'!V35)</f>
        <v>0</v>
      </c>
      <c r="W34" s="1025">
        <f>+(PSUT_2012!U35)</f>
        <v>0</v>
      </c>
      <c r="X34" s="1025">
        <f>+(PSUT_2012!V35)</f>
        <v>0</v>
      </c>
      <c r="Y34" s="1025">
        <f>+(PSUT_2012!W35)</f>
        <v>34764.795819255363</v>
      </c>
      <c r="Z34" s="1025">
        <f>+(PSUT_2012!X35)</f>
        <v>0</v>
      </c>
      <c r="AA34" s="1025">
        <f>+(PSUT_2012!AA35)</f>
        <v>34764.795819255363</v>
      </c>
    </row>
    <row r="35" spans="1:27" x14ac:dyDescent="0.25">
      <c r="A35" s="232"/>
      <c r="B35" s="1054" t="str">
        <f>+(PSUT_2012!B38)</f>
        <v>5. Total returns (= 5.a+5.b)</v>
      </c>
      <c r="D35" s="4"/>
      <c r="E35" s="1025">
        <f>+(PSUT_2012!C38)</f>
        <v>1529661.7232789313</v>
      </c>
      <c r="F35" s="1025">
        <f>+(PSUT_2012!D38)</f>
        <v>54.219910499999997</v>
      </c>
      <c r="G35" s="1025">
        <f>+(PSUT_2012!E38)</f>
        <v>514699.26072578493</v>
      </c>
      <c r="H35" s="1025">
        <f>+(PSUT_2012!F38)</f>
        <v>318506.66045111854</v>
      </c>
      <c r="I35" s="1025">
        <f>+(PSUT_2012!G38)</f>
        <v>2570.3302400000002</v>
      </c>
      <c r="J35" s="1025">
        <f>+(PSUT_2012!H38)</f>
        <v>0</v>
      </c>
      <c r="K35" s="1025">
        <f>+(PSUT_2012!I38)</f>
        <v>0</v>
      </c>
      <c r="L35" s="1025">
        <f>+(PSUT_2012!J38)</f>
        <v>0</v>
      </c>
      <c r="M35" s="1025">
        <f>+(PSUT_2012!K38)</f>
        <v>301.01142363711335</v>
      </c>
      <c r="N35" s="1025">
        <f>+(PSUT_2012!L38)</f>
        <v>0</v>
      </c>
      <c r="O35" s="1025">
        <f>+(PSUT_2012!M38)</f>
        <v>56.868619657611163</v>
      </c>
      <c r="P35" s="1025">
        <f>+(PSUT_2012!N38)</f>
        <v>0</v>
      </c>
      <c r="Q35" s="1025">
        <f>+(PSUT_2012!O38)</f>
        <v>0</v>
      </c>
      <c r="R35" s="1025">
        <f>+(PSUT_2012!P38)</f>
        <v>0</v>
      </c>
      <c r="S35" s="1025">
        <f>+(PSUT_2012!Q38)</f>
        <v>0</v>
      </c>
      <c r="T35" s="1025">
        <f>+(PSUT_2012!R38)</f>
        <v>179497.86400000003</v>
      </c>
      <c r="U35" s="1025">
        <f>+(PSUT_2012!S38)</f>
        <v>3447.7778158871602</v>
      </c>
      <c r="V35" s="1025">
        <f>+SUM(PSUT_2012!T38:'PSUT_2012'!V38)</f>
        <v>10.714873014735879</v>
      </c>
      <c r="W35" s="1025">
        <f>+(PSUT_2012!U38)</f>
        <v>10.714873014735879</v>
      </c>
      <c r="X35" s="1025">
        <f>+(PSUT_2012!V38)</f>
        <v>0</v>
      </c>
      <c r="Y35" s="1025">
        <f>+(PSUT_2012!W38)</f>
        <v>2548806.4313385319</v>
      </c>
      <c r="Z35" s="1025">
        <f>+(PSUT_2012!X38)</f>
        <v>82781</v>
      </c>
      <c r="AA35" s="1025">
        <f>+(PSUT_2012!AA38)</f>
        <v>2636799.0858138381</v>
      </c>
    </row>
    <row r="36" spans="1:27" x14ac:dyDescent="0.25">
      <c r="A36" s="232"/>
      <c r="B36" s="1054" t="str">
        <f>+(PSUT_2012!A44)</f>
        <v>6. Total supply of water (= 4+5)</v>
      </c>
      <c r="D36" s="4"/>
      <c r="E36" s="1025">
        <f>+(PSUT_2012!C44)</f>
        <v>1529661.7232789313</v>
      </c>
      <c r="F36" s="1025">
        <f>+(PSUT_2012!D44)</f>
        <v>21325.345825404464</v>
      </c>
      <c r="G36" s="1025">
        <f>+(PSUT_2012!E44)</f>
        <v>515516.1363586238</v>
      </c>
      <c r="H36" s="1025">
        <f>+(PSUT_2012!F44)</f>
        <v>318506.66045111854</v>
      </c>
      <c r="I36" s="1025">
        <f>+(PSUT_2012!G44)</f>
        <v>2570.3302400000002</v>
      </c>
      <c r="J36" s="1025">
        <f>+(PSUT_2012!H44)</f>
        <v>0</v>
      </c>
      <c r="K36" s="1025">
        <f>+(PSUT_2012!I44)</f>
        <v>0</v>
      </c>
      <c r="L36" s="1025">
        <f>+(PSUT_2012!J44)</f>
        <v>0</v>
      </c>
      <c r="M36" s="1025">
        <f>+(PSUT_2012!K44)</f>
        <v>12972.195091540892</v>
      </c>
      <c r="N36" s="1025">
        <f>+(PSUT_2012!L44)</f>
        <v>0</v>
      </c>
      <c r="O36" s="1025">
        <f>+(PSUT_2012!M44)</f>
        <v>62.479223265858586</v>
      </c>
      <c r="P36" s="1025">
        <f>+(PSUT_2012!N44)</f>
        <v>0</v>
      </c>
      <c r="Q36" s="1025">
        <f>+(PSUT_2012!O44)</f>
        <v>0</v>
      </c>
      <c r="R36" s="1025">
        <f>+(PSUT_2012!P44)</f>
        <v>0</v>
      </c>
      <c r="S36" s="1025">
        <f>+(PSUT_2012!Q44)</f>
        <v>0</v>
      </c>
      <c r="T36" s="1025">
        <f>+(PSUT_2012!R44)</f>
        <v>179497.86400000003</v>
      </c>
      <c r="U36" s="1025">
        <f>+(PSUT_2012!S44)</f>
        <v>3447.7778158871602</v>
      </c>
      <c r="V36" s="1025">
        <f>+SUM(PSUT_2012!T44:'PSUT_2012'!V44)</f>
        <v>10.714873014735879</v>
      </c>
      <c r="W36" s="1025">
        <f>+(PSUT_2012!U44)</f>
        <v>10.714873014735879</v>
      </c>
      <c r="X36" s="1025">
        <f>+(PSUT_2012!V44)</f>
        <v>0</v>
      </c>
      <c r="Y36" s="1025">
        <f>+(PSUT_2012!W44)</f>
        <v>2583571.227157787</v>
      </c>
      <c r="Z36" s="1025">
        <f>+(PSUT_2012!X44)</f>
        <v>82781</v>
      </c>
      <c r="AA36" s="1025">
        <f>+(PSUT_2012!AA44)</f>
        <v>2671563.8816330931</v>
      </c>
    </row>
    <row r="37" spans="1:27" x14ac:dyDescent="0.25">
      <c r="A37" s="235"/>
      <c r="B37" s="1195" t="str">
        <f>+(PSUT_2012!A45)</f>
        <v>7. Consumption (3-6)</v>
      </c>
      <c r="C37" s="295"/>
      <c r="D37" s="1280">
        <f>Y37</f>
        <v>12392838.073680619</v>
      </c>
      <c r="E37" s="1028">
        <f>+(PSUT_2012!C45)</f>
        <v>12123968.78176038</v>
      </c>
      <c r="F37" s="1028">
        <f>+(PSUT_2012!D45)</f>
        <v>1065.3130323897094</v>
      </c>
      <c r="G37" s="1028">
        <f>+(PSUT_2012!E45)</f>
        <v>150885.77378783905</v>
      </c>
      <c r="H37" s="1195">
        <f>+(PSUT_2012!F45)</f>
        <v>16763.508444795734</v>
      </c>
      <c r="I37" s="1028">
        <f>+(PSUT_2012!G45)</f>
        <v>50438.456176190091</v>
      </c>
      <c r="J37" s="1028">
        <f>+(PSUT_2012!H45)</f>
        <v>0</v>
      </c>
      <c r="K37" s="1028">
        <f>+(PSUT_2012!I45)</f>
        <v>0</v>
      </c>
      <c r="L37" s="1028">
        <f>+(PSUT_2012!J45)</f>
        <v>0</v>
      </c>
      <c r="M37" s="1028">
        <f>+(PSUT_2012!K45)</f>
        <v>3700.4149084591081</v>
      </c>
      <c r="N37" s="1028">
        <f>+(PSUT_2012!L45)</f>
        <v>0</v>
      </c>
      <c r="O37" s="1028">
        <f>+(PSUT_2012!M45)</f>
        <v>13.611322139488699</v>
      </c>
      <c r="P37" s="1028">
        <f>+(PSUT_2012!N45)</f>
        <v>0</v>
      </c>
      <c r="Q37" s="1028">
        <f>+(PSUT_2012!O45)</f>
        <v>0</v>
      </c>
      <c r="R37" s="1028">
        <f>+(PSUT_2012!P45)</f>
        <v>0</v>
      </c>
      <c r="S37" s="1028">
        <f>+(PSUT_2012!Q45)</f>
        <v>0</v>
      </c>
      <c r="T37" s="1028">
        <f>+(PSUT_2012!R45)</f>
        <v>45007.581399999966</v>
      </c>
      <c r="U37" s="1028">
        <f>+(PSUT_2012!S45)</f>
        <v>861.94444968661037</v>
      </c>
      <c r="V37" s="1028">
        <f>+SUM(PSUT_2012!T45:'PSUT_2012'!V45)</f>
        <v>132.68839873822006</v>
      </c>
      <c r="W37" s="1028">
        <f>+(PSUT_2012!U45)</f>
        <v>132.68839873822006</v>
      </c>
      <c r="X37" s="1028">
        <f>+(PSUT_2012!V45)</f>
        <v>0</v>
      </c>
      <c r="Y37" s="1028">
        <f>+(PSUT_2012!W45)</f>
        <v>12392838.073680619</v>
      </c>
      <c r="Z37" s="1028">
        <f>+(PSUT_2012!X45)</f>
        <v>133714.89643956049</v>
      </c>
      <c r="AA37" s="1028">
        <f>+(PSUT_2012!AA45)</f>
        <v>12527855.883734873</v>
      </c>
    </row>
    <row r="38" spans="1:27" x14ac:dyDescent="0.25">
      <c r="D38" s="1284">
        <f>SUM(E37:G37,H38,I37:X37)</f>
        <v>14892970.762079356</v>
      </c>
      <c r="H38" s="1284">
        <f>H37+2500000</f>
        <v>2516763.5084447959</v>
      </c>
    </row>
    <row r="41" spans="1:27" ht="270" x14ac:dyDescent="0.25">
      <c r="A41" s="1502">
        <f>+(PSUT_2013!B2)</f>
        <v>2013</v>
      </c>
      <c r="B41" s="1191" t="s">
        <v>1405</v>
      </c>
      <c r="C41" s="297" t="s">
        <v>1050</v>
      </c>
      <c r="D41" s="297"/>
      <c r="E41" s="717" t="str">
        <f>PSUT_2013!C4</f>
        <v xml:space="preserve">A. Agriculture, forestry and fishing </v>
      </c>
      <c r="F41" s="717" t="str">
        <f>PSUT_2013!D4</f>
        <v xml:space="preserve">B. Mining and Quarrying </v>
      </c>
      <c r="G41" s="717" t="str">
        <f>PSUT_2013!E4</f>
        <v>C. Manufacturing</v>
      </c>
      <c r="H41" s="717" t="str">
        <f>PSUT_2013!F4</f>
        <v>D. Electricity, gas, steam and air conditioning supply</v>
      </c>
      <c r="I41" s="717" t="str">
        <f>PSUT_2013!G4</f>
        <v>E. Water supply (WASAC &amp; AquaVirunga)</v>
      </c>
      <c r="J41" s="717" t="str">
        <f>PSUT_2013!H4</f>
        <v>F. Construction</v>
      </c>
      <c r="K41" s="717" t="str">
        <f>PSUT_2013!I4</f>
        <v>G. Wholesale and retail trade; repair of motor vehicles and motorcycles</v>
      </c>
      <c r="L41" s="717" t="str">
        <f>PSUT_2013!J4</f>
        <v>H. Transportation and storage</v>
      </c>
      <c r="M41" s="717" t="str">
        <f>PSUT_2013!K4</f>
        <v>I. Accommodation and food service activities</v>
      </c>
      <c r="N41" s="717" t="str">
        <f>PSUT_2013!L4</f>
        <v>J. Information and communication</v>
      </c>
      <c r="O41" s="717" t="str">
        <f>PSUT_2013!M4</f>
        <v>K. Banking and insurance activities</v>
      </c>
      <c r="P41" s="717" t="str">
        <f>PSUT_2013!N4</f>
        <v>L. Real estate activities</v>
      </c>
      <c r="Q41" s="717" t="str">
        <f>PSUT_2013!O4</f>
        <v>M. Professional, scientific and technical activities</v>
      </c>
      <c r="R41" s="717" t="str">
        <f>PSUT_2013!P4</f>
        <v>N. Administrative and support service activities</v>
      </c>
      <c r="S41" s="717" t="str">
        <f>PSUT_2013!Q4</f>
        <v>O. Public administration and defence; compulsory social security</v>
      </c>
      <c r="T41" s="717" t="str">
        <f>PSUT_2013!R4</f>
        <v>P. Education</v>
      </c>
      <c r="U41" s="717" t="str">
        <f>PSUT_2013!S4</f>
        <v xml:space="preserve">Q. Human health and social work activities </v>
      </c>
      <c r="V41" s="717" t="str">
        <f>PSUT_2013!T4</f>
        <v>R. Arts, entertainment and recreation</v>
      </c>
      <c r="W41" s="717" t="str">
        <f>PSUT_2013!U4</f>
        <v>S. Other service activities (Religious &amp; Burial)</v>
      </c>
      <c r="X41" s="717" t="str">
        <f>PSUT_2013!V4</f>
        <v>T. Activities of households as employers; undifferentiated goods- and services-producing activities of households for own use</v>
      </c>
      <c r="Y41" s="717" t="str">
        <f>PSUT_2013!W3</f>
        <v xml:space="preserve">Total Production activities </v>
      </c>
      <c r="Z41" s="717" t="str">
        <f>PSUT_2013!X4</f>
        <v>Households</v>
      </c>
      <c r="AA41" s="717" t="str">
        <f>PSUT_2013!AA3</f>
        <v xml:space="preserve">Total </v>
      </c>
    </row>
    <row r="42" spans="1:27" x14ac:dyDescent="0.25">
      <c r="A42" s="1491" t="str">
        <f>+(PSUT_2013!A6)</f>
        <v>From the environment</v>
      </c>
      <c r="B42" s="1198" t="str">
        <f>+(PSUT_2013!B6)</f>
        <v>1 - Total abstraction (=1.a+1.b = 1.i+1.ii)</v>
      </c>
      <c r="D42" s="4">
        <f>Y42</f>
        <v>13456325.683733875</v>
      </c>
      <c r="E42" s="1025">
        <f>+(PSUT_2013!C6)</f>
        <v>13010018.946100427</v>
      </c>
      <c r="F42" s="1025">
        <f>+(PSUT_2013!D6)</f>
        <v>22410.000272350058</v>
      </c>
      <c r="G42" s="1025">
        <f>+(PSUT_2013!E6)</f>
        <v>23937.981051793297</v>
      </c>
      <c r="H42" s="1025">
        <f>+(PSUT_2013!F6)</f>
        <v>345951.26144545968</v>
      </c>
      <c r="I42" s="1025">
        <f>+(PSUT_2013!G6)</f>
        <v>53273.830348271033</v>
      </c>
      <c r="J42" s="1025">
        <f>+(PSUT_2013!H6)</f>
        <v>0</v>
      </c>
      <c r="K42" s="1025">
        <f>+(PSUT_2013!I6)</f>
        <v>0</v>
      </c>
      <c r="L42" s="1025">
        <f>+(PSUT_2013!J6)</f>
        <v>0</v>
      </c>
      <c r="M42" s="1025">
        <f>+(PSUT_2013!K6)</f>
        <v>0</v>
      </c>
      <c r="N42" s="1025">
        <f>+(PSUT_2013!L6)</f>
        <v>0</v>
      </c>
      <c r="O42" s="1025">
        <f>+(PSUT_2013!M6)</f>
        <v>0.06</v>
      </c>
      <c r="P42" s="1025">
        <f>+(PSUT_2013!N6)</f>
        <v>0</v>
      </c>
      <c r="Q42" s="1025">
        <f>+(PSUT_2013!O6)</f>
        <v>0</v>
      </c>
      <c r="R42" s="1025">
        <f>+(PSUT_2013!P6)</f>
        <v>0</v>
      </c>
      <c r="S42" s="1025">
        <f>+(PSUT_2013!Q6)</f>
        <v>0</v>
      </c>
      <c r="T42" s="1025">
        <f>+(PSUT_2013!R6)</f>
        <v>133.11539999999999</v>
      </c>
      <c r="U42" s="1025">
        <f>+(PSUT_2013!S6)</f>
        <v>588.7795155737706</v>
      </c>
      <c r="V42" s="1025">
        <f>+SUM(PSUT_2013!T6:'PSUT_2013'!V6)</f>
        <v>11.709600000000002</v>
      </c>
      <c r="W42" s="1025">
        <f>+(PSUT_2013!U6)</f>
        <v>11.709600000000002</v>
      </c>
      <c r="X42" s="1025">
        <f>+(PSUT_2013!V6)</f>
        <v>0</v>
      </c>
      <c r="Y42" s="1025">
        <f>+(PSUT_2013!W6)</f>
        <v>13456325.683733875</v>
      </c>
      <c r="Z42" s="1025">
        <f>+(PSUT_2013!X6)</f>
        <v>40632.696503402331</v>
      </c>
      <c r="AA42" s="1025">
        <f>+(PSUT_2013!AA6)</f>
        <v>13496958.380237278</v>
      </c>
    </row>
    <row r="43" spans="1:27" x14ac:dyDescent="0.25">
      <c r="A43" s="1491"/>
      <c r="B43" s="1198" t="str">
        <f>+(PSUT_2013!B9)</f>
        <v>1 - Total abstraction (1.i+1.ii)</v>
      </c>
      <c r="D43" s="4">
        <f>Y43</f>
        <v>13456120.564079396</v>
      </c>
      <c r="E43" s="1025">
        <f>+(PSUT_2013!C9)</f>
        <v>13010018.946100427</v>
      </c>
      <c r="F43" s="1025">
        <f>+(PSUT_2013!D9)</f>
        <v>22410.000272350058</v>
      </c>
      <c r="G43" s="1025">
        <f>+(PSUT_2013!E9)</f>
        <v>23937.981051793297</v>
      </c>
      <c r="H43" s="1025">
        <f>+(PSUT_2013!F9)</f>
        <v>345951.26144545968</v>
      </c>
      <c r="I43" s="1025">
        <f>+(PSUT_2013!G9)</f>
        <v>53068.710693793837</v>
      </c>
      <c r="J43" s="1025">
        <f>+(PSUT_2013!H9)</f>
        <v>0</v>
      </c>
      <c r="K43" s="1025">
        <f>+(PSUT_2013!I9)</f>
        <v>0</v>
      </c>
      <c r="L43" s="1025">
        <f>+(PSUT_2013!J9)</f>
        <v>0</v>
      </c>
      <c r="M43" s="1025">
        <f>+(PSUT_2013!K9)</f>
        <v>0</v>
      </c>
      <c r="N43" s="1025">
        <f>+(PSUT_2013!L9)</f>
        <v>0</v>
      </c>
      <c r="O43" s="1025">
        <f>+(PSUT_2013!M9)</f>
        <v>0.06</v>
      </c>
      <c r="P43" s="1025">
        <f>+(PSUT_2013!N9)</f>
        <v>0</v>
      </c>
      <c r="Q43" s="1025">
        <f>+(PSUT_2013!O9)</f>
        <v>0</v>
      </c>
      <c r="R43" s="1025">
        <f>+(PSUT_2013!P9)</f>
        <v>0</v>
      </c>
      <c r="S43" s="1025">
        <f>+(PSUT_2013!Q9)</f>
        <v>0</v>
      </c>
      <c r="T43" s="1025">
        <f>+(PSUT_2013!R9)</f>
        <v>133.11539999999999</v>
      </c>
      <c r="U43" s="1025">
        <f>+(PSUT_2013!S9)</f>
        <v>588.7795155737706</v>
      </c>
      <c r="V43" s="1025">
        <f>+SUM(PSUT_2013!T9:'PSUT_2013'!V9)</f>
        <v>11.709600000000002</v>
      </c>
      <c r="W43" s="1025">
        <f>+(PSUT_2013!U9)</f>
        <v>11.709600000000002</v>
      </c>
      <c r="X43" s="1025">
        <f>+(PSUT_2013!V9)</f>
        <v>0</v>
      </c>
      <c r="Y43" s="1025">
        <f>+(PSUT_2013!W9)</f>
        <v>13456120.564079396</v>
      </c>
      <c r="Z43" s="1025">
        <f>+(PSUT_2013!X9)</f>
        <v>40632.696503402331</v>
      </c>
      <c r="AA43" s="1025">
        <f>+(PSUT_2013!AA9)</f>
        <v>13496753.260582799</v>
      </c>
    </row>
    <row r="44" spans="1:27" x14ac:dyDescent="0.25">
      <c r="A44" s="1491"/>
      <c r="B44" s="1198" t="str">
        <f>+B45 &amp; " &amp; "&amp; B46</f>
        <v>1.i.1 Surface water &amp; 1.i.2 Groundwater</v>
      </c>
      <c r="D44" s="1025">
        <f>Y44</f>
        <v>633240.83945110487</v>
      </c>
      <c r="E44" s="1025">
        <f>+SUM(PSUT_2013!C11,PSUT_2013!C16)</f>
        <v>209034.90617213416</v>
      </c>
      <c r="F44" s="1025">
        <f>+SUM(PSUT_2013!D11,PSUT_2013!D16)</f>
        <v>1050.2002723500577</v>
      </c>
      <c r="G44" s="1025">
        <f>+SUM(PSUT_2013!E11,PSUT_2013!E16)</f>
        <v>23909.781051793296</v>
      </c>
      <c r="H44" s="1025">
        <f>+SUM(PSUT_2013!F11,PSUT_2013!F16)</f>
        <v>345951.26144545968</v>
      </c>
      <c r="I44" s="1025">
        <f>+SUM(PSUT_2013!G11,PSUT_2013!G16)</f>
        <v>53068.710693793837</v>
      </c>
      <c r="J44" s="1025">
        <f>+SUM(PSUT_2013!H11,PSUT_2013!H16)</f>
        <v>0</v>
      </c>
      <c r="K44" s="1025">
        <f>+SUM(PSUT_2013!I11,PSUT_2013!I16)</f>
        <v>0</v>
      </c>
      <c r="L44" s="1025">
        <f>+SUM(PSUT_2013!J11,PSUT_2013!J16)</f>
        <v>0</v>
      </c>
      <c r="M44" s="1025">
        <f>+SUM(PSUT_2013!K11,PSUT_2013!K16)</f>
        <v>0</v>
      </c>
      <c r="N44" s="1025">
        <f>+SUM(PSUT_2013!L11,PSUT_2013!L16)</f>
        <v>0</v>
      </c>
      <c r="O44" s="1025">
        <f>+SUM(PSUT_2013!M11,PSUT_2013!M16)</f>
        <v>0</v>
      </c>
      <c r="P44" s="1025">
        <f>+SUM(PSUT_2013!N11,PSUT_2013!N16)</f>
        <v>0</v>
      </c>
      <c r="Q44" s="1025">
        <f>+SUM(PSUT_2013!O11,PSUT_2013!O16)</f>
        <v>0</v>
      </c>
      <c r="R44" s="1025">
        <f>+SUM(PSUT_2013!P11,PSUT_2013!P16)</f>
        <v>0</v>
      </c>
      <c r="S44" s="1025">
        <f>+SUM(PSUT_2013!Q11,PSUT_2013!Q16)</f>
        <v>0</v>
      </c>
      <c r="T44" s="1025">
        <f>+SUM(PSUT_2013!R11,PSUT_2013!R16)</f>
        <v>133.11539999999999</v>
      </c>
      <c r="U44" s="1025">
        <f>+SUM(PSUT_2013!S11,PSUT_2013!S16)</f>
        <v>90.790815573770487</v>
      </c>
      <c r="V44" s="1025">
        <f>+SUM(PSUT_2013!T11,PSUT_2013!T16)</f>
        <v>0</v>
      </c>
      <c r="W44" s="1025">
        <f>+SUM(PSUT_2013!U11,PSUT_2013!U16)</f>
        <v>2.0736000000000003</v>
      </c>
      <c r="X44" s="1025">
        <f>+SUM(PSUT_2013!V11,PSUT_2013!V16)</f>
        <v>0</v>
      </c>
      <c r="Y44" s="1025">
        <f>+SUM(PSUT_2013!W11,PSUT_2013!W16)</f>
        <v>633240.83945110487</v>
      </c>
      <c r="Z44" s="1025">
        <f>+SUM(PSUT_2013!X11,PSUT_2013!X16)</f>
        <v>40082.696503402331</v>
      </c>
      <c r="AA44" s="1025">
        <f>+SUM(PSUT_2013!AA11,PSUT_2013!AA16)</f>
        <v>673323.53595450707</v>
      </c>
    </row>
    <row r="45" spans="1:27" x14ac:dyDescent="0.25">
      <c r="A45" s="1491"/>
      <c r="B45" s="1198" t="str">
        <f>+(PSUT_2013!B11)</f>
        <v>1.i.1 Surface water</v>
      </c>
      <c r="D45" s="1295"/>
      <c r="E45" s="1025">
        <f>+(PSUT_2013!C11)</f>
        <v>195157.23901430785</v>
      </c>
      <c r="F45" s="1025">
        <f>+(PSUT_2013!D11)</f>
        <v>986.41214235005782</v>
      </c>
      <c r="G45" s="1025">
        <f>+(PSUT_2013!E11)</f>
        <v>15026.920891167292</v>
      </c>
      <c r="H45" s="1025">
        <f>+(PSUT_2013!F11)</f>
        <v>345951.26144545968</v>
      </c>
      <c r="I45" s="1025">
        <f>+(PSUT_2013!G11)</f>
        <v>41023.930895441081</v>
      </c>
      <c r="J45" s="1025">
        <f>+(PSUT_2013!H11)</f>
        <v>0</v>
      </c>
      <c r="K45" s="1025">
        <f>+(PSUT_2013!I11)</f>
        <v>0</v>
      </c>
      <c r="L45" s="1025">
        <f>+(PSUT_2013!J11)</f>
        <v>0</v>
      </c>
      <c r="M45" s="1025">
        <f>+(PSUT_2013!K11)</f>
        <v>0</v>
      </c>
      <c r="N45" s="1025">
        <f>+(PSUT_2013!L11)</f>
        <v>0</v>
      </c>
      <c r="O45" s="1025">
        <f>+(PSUT_2013!M11)</f>
        <v>0</v>
      </c>
      <c r="P45" s="1025">
        <f>+(PSUT_2013!N11)</f>
        <v>0</v>
      </c>
      <c r="Q45" s="1025">
        <f>+(PSUT_2013!O11)</f>
        <v>0</v>
      </c>
      <c r="R45" s="1025">
        <f>+(PSUT_2013!P11)</f>
        <v>0</v>
      </c>
      <c r="S45" s="1025">
        <f>+(PSUT_2013!Q11)</f>
        <v>0</v>
      </c>
      <c r="T45" s="1025">
        <f>+(PSUT_2013!R11)</f>
        <v>0</v>
      </c>
      <c r="U45" s="1025">
        <f>+(PSUT_2013!S11)</f>
        <v>0</v>
      </c>
      <c r="V45" s="1025">
        <f>+SUM(PSUT_2013!T11:'PSUT_2013'!V11)</f>
        <v>2.0736000000000003</v>
      </c>
      <c r="W45" s="1025">
        <f>+(PSUT_2013!U11)</f>
        <v>2.0736000000000003</v>
      </c>
      <c r="X45" s="1025">
        <f>+(PSUT_2013!V11)</f>
        <v>0</v>
      </c>
      <c r="Y45" s="1025">
        <f>+(PSUT_2013!W11)</f>
        <v>598147.83798872598</v>
      </c>
      <c r="Z45" s="1025">
        <f>+(PSUT_2013!X11)</f>
        <v>11301.441449073298</v>
      </c>
      <c r="AA45" s="1025">
        <f>+(PSUT_2013!AA11)</f>
        <v>609449.27943779924</v>
      </c>
    </row>
    <row r="46" spans="1:27" x14ac:dyDescent="0.25">
      <c r="A46" s="1491"/>
      <c r="B46" s="1198" t="str">
        <f>+(PSUT_2013!B16)</f>
        <v>1.i.2 Groundwater</v>
      </c>
      <c r="D46" s="1025"/>
      <c r="E46" s="1025">
        <f>+(PSUT_2013!C16)</f>
        <v>13877.667157826309</v>
      </c>
      <c r="F46" s="1025">
        <f>+(PSUT_2013!D16)</f>
        <v>63.788130000000002</v>
      </c>
      <c r="G46" s="1025">
        <f>+(PSUT_2013!E16)</f>
        <v>8882.8601606260054</v>
      </c>
      <c r="H46" s="1025">
        <f>+(PSUT_2013!F16)</f>
        <v>0</v>
      </c>
      <c r="I46" s="1025">
        <f>+(PSUT_2013!G16)</f>
        <v>12044.779798352758</v>
      </c>
      <c r="J46" s="1025">
        <f>+(PSUT_2013!H16)</f>
        <v>0</v>
      </c>
      <c r="K46" s="1025">
        <f>+(PSUT_2013!I16)</f>
        <v>0</v>
      </c>
      <c r="L46" s="1025">
        <f>+(PSUT_2013!J16)</f>
        <v>0</v>
      </c>
      <c r="M46" s="1025">
        <f>+(PSUT_2013!K16)</f>
        <v>0</v>
      </c>
      <c r="N46" s="1025">
        <f>+(PSUT_2013!L16)</f>
        <v>0</v>
      </c>
      <c r="O46" s="1025">
        <f>+(PSUT_2013!M16)</f>
        <v>0</v>
      </c>
      <c r="P46" s="1025">
        <f>+(PSUT_2013!N16)</f>
        <v>0</v>
      </c>
      <c r="Q46" s="1025">
        <f>+(PSUT_2013!O16)</f>
        <v>0</v>
      </c>
      <c r="R46" s="1025">
        <f>+(PSUT_2013!P16)</f>
        <v>0</v>
      </c>
      <c r="S46" s="1025">
        <f>+(PSUT_2013!Q16)</f>
        <v>0</v>
      </c>
      <c r="T46" s="1025">
        <f>+(PSUT_2013!R16)</f>
        <v>133.11539999999999</v>
      </c>
      <c r="U46" s="1025">
        <f>+(PSUT_2013!S16)</f>
        <v>90.790815573770487</v>
      </c>
      <c r="V46" s="1025">
        <f>+SUM(PSUT_2013!T16:'PSUT_2013'!V16)</f>
        <v>0</v>
      </c>
      <c r="W46" s="1025">
        <f>+(PSUT_2013!U16)</f>
        <v>0</v>
      </c>
      <c r="X46" s="1025">
        <f>+(PSUT_2013!V16)</f>
        <v>0</v>
      </c>
      <c r="Y46" s="1025">
        <f>+(PSUT_2013!W16)</f>
        <v>35093.001462378845</v>
      </c>
      <c r="Z46" s="1025">
        <f>+(PSUT_2013!X16)</f>
        <v>28781.255054329034</v>
      </c>
      <c r="AA46" s="1025">
        <f>+(PSUT_2013!AA16)</f>
        <v>63874.256516707879</v>
      </c>
    </row>
    <row r="47" spans="1:27" x14ac:dyDescent="0.25">
      <c r="A47" s="1491"/>
      <c r="B47" s="1198" t="str">
        <f>+(PSUT_2013!B19)</f>
        <v>1.i.3 Soil water (green water)</v>
      </c>
      <c r="D47" s="1025">
        <f>Y47</f>
        <v>12800177.039928293</v>
      </c>
      <c r="E47" s="1025">
        <f>+(PSUT_2013!C19)</f>
        <v>12800177.039928293</v>
      </c>
      <c r="F47" s="1025">
        <f>+(PSUT_2013!D19)</f>
        <v>0</v>
      </c>
      <c r="G47" s="1025">
        <f>+(PSUT_2013!E19)</f>
        <v>0</v>
      </c>
      <c r="H47" s="1025">
        <f>+(PSUT_2013!F19)</f>
        <v>0</v>
      </c>
      <c r="I47" s="1025">
        <f>+(PSUT_2013!G19)</f>
        <v>0</v>
      </c>
      <c r="J47" s="1025">
        <f>+(PSUT_2013!H19)</f>
        <v>0</v>
      </c>
      <c r="K47" s="1025">
        <f>+(PSUT_2013!I19)</f>
        <v>0</v>
      </c>
      <c r="L47" s="1025">
        <f>+(PSUT_2013!J19)</f>
        <v>0</v>
      </c>
      <c r="M47" s="1025">
        <f>+(PSUT_2013!K19)</f>
        <v>0</v>
      </c>
      <c r="N47" s="1025">
        <f>+(PSUT_2013!L19)</f>
        <v>0</v>
      </c>
      <c r="O47" s="1025">
        <f>+(PSUT_2013!M19)</f>
        <v>0</v>
      </c>
      <c r="P47" s="1025">
        <f>+(PSUT_2013!N19)</f>
        <v>0</v>
      </c>
      <c r="Q47" s="1025">
        <f>+(PSUT_2013!O19)</f>
        <v>0</v>
      </c>
      <c r="R47" s="1025">
        <f>+(PSUT_2013!P19)</f>
        <v>0</v>
      </c>
      <c r="S47" s="1025">
        <f>+(PSUT_2013!Q19)</f>
        <v>0</v>
      </c>
      <c r="T47" s="1025">
        <f>+(PSUT_2013!R19)</f>
        <v>0</v>
      </c>
      <c r="U47" s="1025">
        <f>+(PSUT_2013!S19)</f>
        <v>0</v>
      </c>
      <c r="V47" s="1025">
        <f>+SUM(PSUT_2013!T19:'PSUT_2013'!V19)</f>
        <v>0</v>
      </c>
      <c r="W47" s="1025">
        <f>+(PSUT_2013!U19)</f>
        <v>0</v>
      </c>
      <c r="X47" s="1025">
        <f>+(PSUT_2013!V19)</f>
        <v>0</v>
      </c>
      <c r="Y47" s="1025">
        <f>+(PSUT_2013!W19)</f>
        <v>12800177.039928293</v>
      </c>
      <c r="Z47" s="1025">
        <f>+(PSUT_2013!X19)</f>
        <v>0</v>
      </c>
      <c r="AA47" s="1025">
        <f>+(PSUT_2013!AA19)</f>
        <v>12800177.039928293</v>
      </c>
    </row>
    <row r="48" spans="1:27" x14ac:dyDescent="0.25">
      <c r="A48" s="1491"/>
      <c r="B48" s="1198" t="str">
        <f>+(PSUT_2013!B20)</f>
        <v xml:space="preserve">1.ii From other sources </v>
      </c>
      <c r="D48" s="1025"/>
      <c r="E48" s="1025">
        <f>+(PSUT_2013!C20)</f>
        <v>807</v>
      </c>
      <c r="F48" s="1025">
        <f>+(PSUT_2013!D20)</f>
        <v>21359.8</v>
      </c>
      <c r="G48" s="1025">
        <f>+(PSUT_2013!E20)</f>
        <v>28.2</v>
      </c>
      <c r="H48" s="1025">
        <f>+(PSUT_2013!F20)</f>
        <v>0</v>
      </c>
      <c r="I48" s="1025">
        <f>+(PSUT_2013!G20)</f>
        <v>0</v>
      </c>
      <c r="J48" s="1025">
        <f>+(PSUT_2013!H20)</f>
        <v>0</v>
      </c>
      <c r="K48" s="1025">
        <f>+(PSUT_2013!I20)</f>
        <v>0</v>
      </c>
      <c r="L48" s="1025">
        <f>+(PSUT_2013!J20)</f>
        <v>0</v>
      </c>
      <c r="M48" s="1025">
        <f>+(PSUT_2013!K20)</f>
        <v>0</v>
      </c>
      <c r="N48" s="1025">
        <f>+(PSUT_2013!L20)</f>
        <v>0</v>
      </c>
      <c r="O48" s="1025">
        <f>+(PSUT_2013!M20)</f>
        <v>0.06</v>
      </c>
      <c r="P48" s="1025">
        <f>+(PSUT_2013!N20)</f>
        <v>0</v>
      </c>
      <c r="Q48" s="1025">
        <f>+(PSUT_2013!O20)</f>
        <v>0</v>
      </c>
      <c r="R48" s="1025">
        <f>+(PSUT_2013!P20)</f>
        <v>0</v>
      </c>
      <c r="S48" s="1025">
        <f>+(PSUT_2013!Q20)</f>
        <v>0</v>
      </c>
      <c r="T48" s="1025">
        <f>+(PSUT_2013!R20)</f>
        <v>0</v>
      </c>
      <c r="U48" s="1025">
        <f>+(PSUT_2013!S20)</f>
        <v>497.98870000000005</v>
      </c>
      <c r="V48" s="1025">
        <f>+SUM(PSUT_2013!T20:'PSUT_2013'!V20)</f>
        <v>9.636000000000001</v>
      </c>
      <c r="W48" s="1025">
        <f>+(PSUT_2013!U20)</f>
        <v>9.636000000000001</v>
      </c>
      <c r="X48" s="1025">
        <f>+(PSUT_2013!V20)</f>
        <v>0</v>
      </c>
      <c r="Y48" s="1025">
        <f>+(PSUT_2013!W20)</f>
        <v>22702.684700000002</v>
      </c>
      <c r="Z48" s="1025">
        <f>+(PSUT_2013!X20)</f>
        <v>550</v>
      </c>
      <c r="AA48" s="1025">
        <f>+(PSUT_2013!AA20)</f>
        <v>23252.684700000002</v>
      </c>
    </row>
    <row r="49" spans="1:27" x14ac:dyDescent="0.25">
      <c r="A49" s="1491"/>
      <c r="B49" s="1198" t="str">
        <f>+(PSUT_2013!B21)</f>
        <v>1.ii.1 Collection of precipitation (rainwater harvesting; ..)</v>
      </c>
      <c r="D49" s="1025"/>
      <c r="E49" s="1025">
        <f>+(PSUT_2013!C21)</f>
        <v>807</v>
      </c>
      <c r="F49" s="1025">
        <f>+(PSUT_2013!D21)</f>
        <v>21359.8</v>
      </c>
      <c r="G49" s="1025">
        <f>+(PSUT_2013!E21)</f>
        <v>28.2</v>
      </c>
      <c r="H49" s="1025">
        <f>+(PSUT_2013!F21)</f>
        <v>0</v>
      </c>
      <c r="I49" s="1025">
        <f>+(PSUT_2013!G21)</f>
        <v>0</v>
      </c>
      <c r="J49" s="1025">
        <f>+(PSUT_2013!H21)</f>
        <v>0</v>
      </c>
      <c r="K49" s="1025">
        <f>+(PSUT_2013!I21)</f>
        <v>0</v>
      </c>
      <c r="L49" s="1025">
        <f>+(PSUT_2013!J21)</f>
        <v>0</v>
      </c>
      <c r="M49" s="1025">
        <f>+(PSUT_2013!K21)</f>
        <v>0</v>
      </c>
      <c r="N49" s="1025">
        <f>+(PSUT_2013!L21)</f>
        <v>0</v>
      </c>
      <c r="O49" s="1025">
        <f>+(PSUT_2013!M21)</f>
        <v>0.06</v>
      </c>
      <c r="P49" s="1025">
        <f>+(PSUT_2013!N21)</f>
        <v>0</v>
      </c>
      <c r="Q49" s="1025">
        <f>+(PSUT_2013!O21)</f>
        <v>0</v>
      </c>
      <c r="R49" s="1025">
        <f>+(PSUT_2013!P21)</f>
        <v>0</v>
      </c>
      <c r="S49" s="1025">
        <f>+(PSUT_2013!Q21)</f>
        <v>0</v>
      </c>
      <c r="T49" s="1025">
        <f>+(PSUT_2013!R21)</f>
        <v>0</v>
      </c>
      <c r="U49" s="1025">
        <f>+(PSUT_2013!S21)</f>
        <v>497.98870000000005</v>
      </c>
      <c r="V49" s="1025">
        <f>+SUM(PSUT_2013!T21:'PSUT_2013'!V21)</f>
        <v>9.636000000000001</v>
      </c>
      <c r="W49" s="1025">
        <f>+(PSUT_2013!U21)</f>
        <v>9.636000000000001</v>
      </c>
      <c r="X49" s="1025">
        <f>+(PSUT_2013!V21)</f>
        <v>0</v>
      </c>
      <c r="Y49" s="1025">
        <f>+(PSUT_2013!W21)</f>
        <v>22702.684700000002</v>
      </c>
      <c r="Z49" s="1025">
        <f>+(PSUT_2013!X21)</f>
        <v>550</v>
      </c>
      <c r="AA49" s="1025">
        <f>+(PSUT_2013!AA21)</f>
        <v>23252.684700000002</v>
      </c>
    </row>
    <row r="50" spans="1:27" x14ac:dyDescent="0.25">
      <c r="A50" s="1204"/>
      <c r="B50" s="1198" t="str">
        <f>+(PSUT_2013!B22)</f>
        <v>1.ii.2 Abstraction from the sea</v>
      </c>
      <c r="D50" s="1025"/>
      <c r="E50" s="1025">
        <f>+(PSUT_2013!C22)</f>
        <v>0</v>
      </c>
      <c r="F50" s="1025">
        <f>+(PSUT_2013!D22)</f>
        <v>0</v>
      </c>
      <c r="G50" s="1025">
        <f>+(PSUT_2013!E22)</f>
        <v>0</v>
      </c>
      <c r="H50" s="1025">
        <f>+(PSUT_2013!F22)</f>
        <v>0</v>
      </c>
      <c r="I50" s="1025">
        <f>+(PSUT_2013!G22)</f>
        <v>0</v>
      </c>
      <c r="J50" s="1025">
        <f>+(PSUT_2013!H22)</f>
        <v>0</v>
      </c>
      <c r="K50" s="1025">
        <f>+(PSUT_2013!I22)</f>
        <v>0</v>
      </c>
      <c r="L50" s="1025">
        <f>+(PSUT_2013!J22)</f>
        <v>0</v>
      </c>
      <c r="M50" s="1025">
        <f>+(PSUT_2013!K22)</f>
        <v>0</v>
      </c>
      <c r="N50" s="1025">
        <f>+(PSUT_2013!L22)</f>
        <v>0</v>
      </c>
      <c r="O50" s="1025">
        <f>+(PSUT_2013!M22)</f>
        <v>0</v>
      </c>
      <c r="P50" s="1025">
        <f>+(PSUT_2013!N22)</f>
        <v>0</v>
      </c>
      <c r="Q50" s="1025">
        <f>+(PSUT_2013!O22)</f>
        <v>0</v>
      </c>
      <c r="R50" s="1025">
        <f>+(PSUT_2013!P22)</f>
        <v>0</v>
      </c>
      <c r="S50" s="1025">
        <f>+(PSUT_2013!Q22)</f>
        <v>0</v>
      </c>
      <c r="T50" s="1025">
        <f>+(PSUT_2013!R22)</f>
        <v>0</v>
      </c>
      <c r="U50" s="1025">
        <f>+(PSUT_2013!S22)</f>
        <v>0</v>
      </c>
      <c r="V50" s="1025">
        <f>+SUM(PSUT_2013!T22:'PSUT_2013'!V22)</f>
        <v>0</v>
      </c>
      <c r="W50" s="1025">
        <f>+(PSUT_2013!U22)</f>
        <v>0</v>
      </c>
      <c r="X50" s="1025">
        <f>+(PSUT_2013!V22)</f>
        <v>0</v>
      </c>
      <c r="Y50" s="1025">
        <f>+(PSUT_2013!W22)</f>
        <v>0</v>
      </c>
      <c r="Z50" s="1025">
        <f>+(PSUT_2013!X22)</f>
        <v>0</v>
      </c>
      <c r="AA50" s="1025">
        <f>+(PSUT_2013!AA22)</f>
        <v>0</v>
      </c>
    </row>
    <row r="51" spans="1:27" x14ac:dyDescent="0.25">
      <c r="A51" s="1204"/>
      <c r="B51" s="1198" t="str">
        <f>+(PSUT_2013!B23)</f>
        <v>2. Use of water received from other economic units</v>
      </c>
      <c r="D51" s="1025"/>
      <c r="E51" s="1025">
        <f>+(PSUT_2013!C23)</f>
        <v>90250</v>
      </c>
      <c r="F51" s="1025">
        <f>+(PSUT_2013!D23)</f>
        <v>0</v>
      </c>
      <c r="G51" s="1025">
        <f>+(PSUT_2013!E23)</f>
        <v>642763.78523033194</v>
      </c>
      <c r="H51" s="1025">
        <f>+(PSUT_2013!F23)</f>
        <v>0</v>
      </c>
      <c r="I51" s="1025">
        <f>+(PSUT_2013!G23)</f>
        <v>0</v>
      </c>
      <c r="J51" s="1025">
        <f>+(PSUT_2013!H23)</f>
        <v>0</v>
      </c>
      <c r="K51" s="1025">
        <f>+(PSUT_2013!I23)</f>
        <v>0</v>
      </c>
      <c r="L51" s="1025">
        <f>+(PSUT_2013!J23)</f>
        <v>0</v>
      </c>
      <c r="M51" s="1025">
        <f>+(PSUT_2013!K23)</f>
        <v>16672.61</v>
      </c>
      <c r="N51" s="1025">
        <f>+(PSUT_2013!L23)</f>
        <v>0</v>
      </c>
      <c r="O51" s="1025">
        <f>+(PSUT_2013!M23)</f>
        <v>76.030545405347283</v>
      </c>
      <c r="P51" s="1025">
        <f>+(PSUT_2013!N23)</f>
        <v>0</v>
      </c>
      <c r="Q51" s="1025">
        <f>+(PSUT_2013!O23)</f>
        <v>0</v>
      </c>
      <c r="R51" s="1025">
        <f>+(PSUT_2013!P23)</f>
        <v>0</v>
      </c>
      <c r="S51" s="1025">
        <f>+(PSUT_2013!Q23)</f>
        <v>0</v>
      </c>
      <c r="T51" s="1025">
        <f>+(PSUT_2013!R23)</f>
        <v>224372.33</v>
      </c>
      <c r="U51" s="1025">
        <f>+(PSUT_2013!S23)</f>
        <v>3720.9427500000002</v>
      </c>
      <c r="V51" s="1025">
        <f>+SUM(PSUT_2013!T23:'PSUT_2013'!V23)</f>
        <v>131.69367175295594</v>
      </c>
      <c r="W51" s="1025">
        <f>+(PSUT_2013!U23)</f>
        <v>131.69367175295594</v>
      </c>
      <c r="X51" s="1025">
        <f>+(PSUT_2013!V23)</f>
        <v>0</v>
      </c>
      <c r="Y51" s="1025">
        <f>+(PSUT_2013!W23)</f>
        <v>977987.3921974902</v>
      </c>
      <c r="Z51" s="1025">
        <f>+(PSUT_2013!X23)</f>
        <v>176061</v>
      </c>
      <c r="AA51" s="1025">
        <f>+(PSUT_2013!AA23)</f>
        <v>1160562.9602874902</v>
      </c>
    </row>
    <row r="52" spans="1:27" x14ac:dyDescent="0.25">
      <c r="A52" s="1204"/>
      <c r="B52" s="1198" t="str">
        <f>+(PSUT_2013!A24)</f>
        <v>3. Total use of water (=1+2)</v>
      </c>
      <c r="D52" s="1025">
        <f>Y52</f>
        <v>14434313.075931363</v>
      </c>
      <c r="E52" s="1025">
        <f>+(PSUT_2013!C24)</f>
        <v>13100268.946100427</v>
      </c>
      <c r="F52" s="1025">
        <f>+(PSUT_2013!D24)</f>
        <v>22410.000272350058</v>
      </c>
      <c r="G52" s="1025">
        <f>+(PSUT_2013!E24)</f>
        <v>666701.76628212526</v>
      </c>
      <c r="H52" s="1025">
        <f>+(PSUT_2013!F24)</f>
        <v>345951.26144545968</v>
      </c>
      <c r="I52" s="1025">
        <f>+(PSUT_2013!G24)</f>
        <v>53273.830348271033</v>
      </c>
      <c r="J52" s="1025">
        <f>+(PSUT_2013!H24)</f>
        <v>0</v>
      </c>
      <c r="K52" s="1025">
        <f>+(PSUT_2013!I24)</f>
        <v>0</v>
      </c>
      <c r="L52" s="1025">
        <f>+(PSUT_2013!J24)</f>
        <v>0</v>
      </c>
      <c r="M52" s="1025">
        <f>+(PSUT_2013!K24)</f>
        <v>16672.61</v>
      </c>
      <c r="N52" s="1025">
        <f>+(PSUT_2013!L24)</f>
        <v>0</v>
      </c>
      <c r="O52" s="1025">
        <f>+(PSUT_2013!M24)</f>
        <v>76.090545405347285</v>
      </c>
      <c r="P52" s="1025">
        <f>+(PSUT_2013!N24)</f>
        <v>0</v>
      </c>
      <c r="Q52" s="1025">
        <f>+(PSUT_2013!O24)</f>
        <v>0</v>
      </c>
      <c r="R52" s="1025">
        <f>+(PSUT_2013!P24)</f>
        <v>0</v>
      </c>
      <c r="S52" s="1025">
        <f>+(PSUT_2013!Q24)</f>
        <v>0</v>
      </c>
      <c r="T52" s="1025">
        <f>+(PSUT_2013!R24)</f>
        <v>224505.4454</v>
      </c>
      <c r="U52" s="1025">
        <f>+(PSUT_2013!S24)</f>
        <v>4309.7222655737705</v>
      </c>
      <c r="V52" s="1025">
        <f>+SUM(PSUT_2013!T24:'PSUT_2013'!V24)</f>
        <v>143.40327175295593</v>
      </c>
      <c r="W52" s="1025">
        <f>+(PSUT_2013!U24)</f>
        <v>143.40327175295593</v>
      </c>
      <c r="X52" s="1025">
        <f>+(PSUT_2013!V24)</f>
        <v>0</v>
      </c>
      <c r="Y52" s="1025">
        <f>+(PSUT_2013!W24)</f>
        <v>14434313.075931363</v>
      </c>
      <c r="Z52" s="1025">
        <f>+(PSUT_2013!X24)</f>
        <v>216693.69650340232</v>
      </c>
      <c r="AA52" s="1025">
        <f>+(PSUT_2013!AA24)</f>
        <v>14657521.340524765</v>
      </c>
    </row>
    <row r="53" spans="1:27" x14ac:dyDescent="0.25">
      <c r="A53" s="1204"/>
      <c r="B53" s="1198" t="str">
        <f>+(PSUT_2013!B35)</f>
        <v>4. Supply of water to other economic units</v>
      </c>
      <c r="D53" s="1025"/>
      <c r="E53" s="1025">
        <f>+(PSUT_2013!C35)</f>
        <v>0</v>
      </c>
      <c r="F53" s="1025">
        <f>+(PSUT_2013!D35)</f>
        <v>21289.500258732554</v>
      </c>
      <c r="G53" s="1025">
        <f>+(PSUT_2013!E35)</f>
        <v>816.87563283886971</v>
      </c>
      <c r="H53" s="1025">
        <f>+(PSUT_2013!F35)</f>
        <v>0</v>
      </c>
      <c r="I53" s="1025">
        <f>+(PSUT_2013!G35)</f>
        <v>0</v>
      </c>
      <c r="J53" s="1025">
        <f>+(PSUT_2013!H35)</f>
        <v>0</v>
      </c>
      <c r="K53" s="1025">
        <f>+(PSUT_2013!I35)</f>
        <v>0</v>
      </c>
      <c r="L53" s="1025">
        <f>+(PSUT_2013!J35)</f>
        <v>0</v>
      </c>
      <c r="M53" s="1025">
        <f>+(PSUT_2013!K35)</f>
        <v>12671.183667903779</v>
      </c>
      <c r="N53" s="1025">
        <f>+(PSUT_2013!L35)</f>
        <v>0</v>
      </c>
      <c r="O53" s="1025">
        <f>+(PSUT_2013!M35)</f>
        <v>5.6106036082474233</v>
      </c>
      <c r="P53" s="1025">
        <f>+(PSUT_2013!N35)</f>
        <v>0</v>
      </c>
      <c r="Q53" s="1025">
        <f>+(PSUT_2013!O35)</f>
        <v>0</v>
      </c>
      <c r="R53" s="1025">
        <f>+(PSUT_2013!P35)</f>
        <v>0</v>
      </c>
      <c r="S53" s="1025">
        <f>+(PSUT_2013!Q35)</f>
        <v>0</v>
      </c>
      <c r="T53" s="1025">
        <f>+(PSUT_2013!R35)</f>
        <v>0</v>
      </c>
      <c r="U53" s="1025">
        <f>+(PSUT_2013!S35)</f>
        <v>0</v>
      </c>
      <c r="V53" s="1025">
        <f>+SUM(PSUT_2013!T35:'PSUT_2013'!V35)</f>
        <v>0</v>
      </c>
      <c r="W53" s="1025">
        <f>+(PSUT_2013!U35)</f>
        <v>0</v>
      </c>
      <c r="X53" s="1025">
        <f>+(PSUT_2013!V35)</f>
        <v>0</v>
      </c>
      <c r="Y53" s="1025">
        <f>+(PSUT_2013!W35)</f>
        <v>34783.17016308345</v>
      </c>
      <c r="Z53" s="1025">
        <f>+(PSUT_2013!X35)</f>
        <v>0</v>
      </c>
      <c r="AA53" s="1025">
        <f>+(PSUT_2013!AA35)</f>
        <v>34783.17016308345</v>
      </c>
    </row>
    <row r="54" spans="1:27" x14ac:dyDescent="0.25">
      <c r="A54" s="267"/>
      <c r="B54" s="1198" t="str">
        <f>+(PSUT_2013!B38)</f>
        <v>5. Total returns (= 5.a+5.b)</v>
      </c>
      <c r="D54" s="4"/>
      <c r="E54" s="1025">
        <f>+(PSUT_2013!C38)</f>
        <v>1474325.5673850428</v>
      </c>
      <c r="F54" s="1025">
        <f>+(PSUT_2013!D38)</f>
        <v>54.219910499999997</v>
      </c>
      <c r="G54" s="1025">
        <f>+(PSUT_2013!E38)</f>
        <v>514699.26072578493</v>
      </c>
      <c r="H54" s="1025">
        <f>+(PSUT_2013!F38)</f>
        <v>328653.69837318669</v>
      </c>
      <c r="I54" s="1025">
        <f>+(PSUT_2013!G38)</f>
        <v>2570.3302400000002</v>
      </c>
      <c r="J54" s="1025">
        <f>+(PSUT_2013!H38)</f>
        <v>0</v>
      </c>
      <c r="K54" s="1025">
        <f>+(PSUT_2013!I38)</f>
        <v>0</v>
      </c>
      <c r="L54" s="1025">
        <f>+(PSUT_2013!J38)</f>
        <v>0</v>
      </c>
      <c r="M54" s="1025">
        <f>+(PSUT_2013!K38)</f>
        <v>301.01142363711335</v>
      </c>
      <c r="N54" s="1025">
        <f>+(PSUT_2013!L38)</f>
        <v>0</v>
      </c>
      <c r="O54" s="1025">
        <f>+(PSUT_2013!M38)</f>
        <v>56.868619657611163</v>
      </c>
      <c r="P54" s="1025">
        <f>+(PSUT_2013!N38)</f>
        <v>0</v>
      </c>
      <c r="Q54" s="1025">
        <f>+(PSUT_2013!O38)</f>
        <v>0</v>
      </c>
      <c r="R54" s="1025">
        <f>+(PSUT_2013!P38)</f>
        <v>0</v>
      </c>
      <c r="S54" s="1025">
        <f>+(PSUT_2013!Q38)</f>
        <v>0</v>
      </c>
      <c r="T54" s="1025">
        <f>+(PSUT_2013!R38)</f>
        <v>179497.86400000003</v>
      </c>
      <c r="U54" s="1025">
        <f>+(PSUT_2013!S38)</f>
        <v>3447.7778158871602</v>
      </c>
      <c r="V54" s="1025">
        <f>+SUM(PSUT_2013!T38:'PSUT_2013'!V38)</f>
        <v>10.714873014735879</v>
      </c>
      <c r="W54" s="1025">
        <f>+(PSUT_2013!U38)</f>
        <v>10.714873014735879</v>
      </c>
      <c r="X54" s="1025">
        <f>+(PSUT_2013!V38)</f>
        <v>0</v>
      </c>
      <c r="Y54" s="1025">
        <f>+(PSUT_2013!W38)</f>
        <v>2503617.3133667116</v>
      </c>
      <c r="Z54" s="1025">
        <f>+(PSUT_2013!X38)</f>
        <v>82781</v>
      </c>
      <c r="AA54" s="1025">
        <f>+(PSUT_2013!AA38)</f>
        <v>2591609.9678420178</v>
      </c>
    </row>
    <row r="55" spans="1:27" x14ac:dyDescent="0.25">
      <c r="A55" s="267"/>
      <c r="B55" s="1198" t="str">
        <f>+(PSUT_2013!A44)</f>
        <v>6. Total supply of water (= 4+5)</v>
      </c>
      <c r="D55" s="4"/>
      <c r="E55" s="1025">
        <f>+(PSUT_2013!C44)</f>
        <v>1474325.5673850428</v>
      </c>
      <c r="F55" s="1025">
        <f>+(PSUT_2013!D44)</f>
        <v>21343.720169232554</v>
      </c>
      <c r="G55" s="1025">
        <f>+(PSUT_2013!E44)</f>
        <v>515516.1363586238</v>
      </c>
      <c r="H55" s="1025">
        <f>+(PSUT_2013!F44)</f>
        <v>328653.69837318669</v>
      </c>
      <c r="I55" s="1025">
        <f>+(PSUT_2013!G44)</f>
        <v>2570.3302400000002</v>
      </c>
      <c r="J55" s="1025">
        <f>+(PSUT_2013!H44)</f>
        <v>0</v>
      </c>
      <c r="K55" s="1025">
        <f>+(PSUT_2013!I44)</f>
        <v>0</v>
      </c>
      <c r="L55" s="1025">
        <f>+(PSUT_2013!J44)</f>
        <v>0</v>
      </c>
      <c r="M55" s="1025">
        <f>+(PSUT_2013!K44)</f>
        <v>12972.195091540892</v>
      </c>
      <c r="N55" s="1025">
        <f>+(PSUT_2013!L44)</f>
        <v>0</v>
      </c>
      <c r="O55" s="1025">
        <f>+(PSUT_2013!M44)</f>
        <v>62.479223265858586</v>
      </c>
      <c r="P55" s="1025">
        <f>+(PSUT_2013!N44)</f>
        <v>0</v>
      </c>
      <c r="Q55" s="1025">
        <f>+(PSUT_2013!O44)</f>
        <v>0</v>
      </c>
      <c r="R55" s="1025">
        <f>+(PSUT_2013!P44)</f>
        <v>0</v>
      </c>
      <c r="S55" s="1025">
        <f>+(PSUT_2013!Q44)</f>
        <v>0</v>
      </c>
      <c r="T55" s="1025">
        <f>+(PSUT_2013!R44)</f>
        <v>179497.86400000003</v>
      </c>
      <c r="U55" s="1025">
        <f>+(PSUT_2013!S44)</f>
        <v>3447.7778158871602</v>
      </c>
      <c r="V55" s="1025">
        <f>+SUM(PSUT_2013!T44:'PSUT_2013'!V44)</f>
        <v>10.714873014735879</v>
      </c>
      <c r="W55" s="1025">
        <f>+(PSUT_2013!U44)</f>
        <v>10.714873014735879</v>
      </c>
      <c r="X55" s="1025">
        <f>+(PSUT_2013!V44)</f>
        <v>0</v>
      </c>
      <c r="Y55" s="1025">
        <f>+(PSUT_2013!W44)</f>
        <v>2538400.483529795</v>
      </c>
      <c r="Z55" s="1025">
        <f>+(PSUT_2013!X44)</f>
        <v>82781</v>
      </c>
      <c r="AA55" s="1025">
        <f>+(PSUT_2013!AA44)</f>
        <v>2626393.1380051011</v>
      </c>
    </row>
    <row r="56" spans="1:27" x14ac:dyDescent="0.25">
      <c r="A56" s="1199"/>
      <c r="B56" s="1200" t="str">
        <f>+(PSUT_2013!A45)</f>
        <v>7. Consumption (3-6)</v>
      </c>
      <c r="C56" s="295"/>
      <c r="D56" s="1280">
        <f>Y56</f>
        <v>11895912.592401573</v>
      </c>
      <c r="E56" s="1028">
        <f>+(PSUT_2013!C45)</f>
        <v>11625943.378715385</v>
      </c>
      <c r="F56" s="1028">
        <f>+(PSUT_2013!D45)</f>
        <v>1066.280103117504</v>
      </c>
      <c r="G56" s="1028">
        <f>+(PSUT_2013!E45)</f>
        <v>151185.62992350146</v>
      </c>
      <c r="H56" s="1195">
        <f>+(PSUT_2013!F45)</f>
        <v>17297.563072272984</v>
      </c>
      <c r="I56" s="1028">
        <f>+(PSUT_2013!G45)</f>
        <v>50703.50010827103</v>
      </c>
      <c r="J56" s="1028">
        <f>+(PSUT_2013!H45)</f>
        <v>0</v>
      </c>
      <c r="K56" s="1028">
        <f>+(PSUT_2013!I45)</f>
        <v>0</v>
      </c>
      <c r="L56" s="1028">
        <f>+(PSUT_2013!J45)</f>
        <v>0</v>
      </c>
      <c r="M56" s="1028">
        <f>+(PSUT_2013!K45)</f>
        <v>3700.4149084591081</v>
      </c>
      <c r="N56" s="1028">
        <f>+(PSUT_2013!L45)</f>
        <v>0</v>
      </c>
      <c r="O56" s="1028">
        <f>+(PSUT_2013!M45)</f>
        <v>13.611322139488699</v>
      </c>
      <c r="P56" s="1028">
        <f>+(PSUT_2013!N45)</f>
        <v>0</v>
      </c>
      <c r="Q56" s="1028">
        <f>+(PSUT_2013!O45)</f>
        <v>0</v>
      </c>
      <c r="R56" s="1028">
        <f>+(PSUT_2013!P45)</f>
        <v>0</v>
      </c>
      <c r="S56" s="1028">
        <f>+(PSUT_2013!Q45)</f>
        <v>0</v>
      </c>
      <c r="T56" s="1028">
        <f>+(PSUT_2013!R45)</f>
        <v>45007.581399999966</v>
      </c>
      <c r="U56" s="1028">
        <f>+(PSUT_2013!S45)</f>
        <v>861.94444968661037</v>
      </c>
      <c r="V56" s="1028">
        <f>+SUM(PSUT_2013!T45:'PSUT_2013'!V45)</f>
        <v>132.68839873822006</v>
      </c>
      <c r="W56" s="1028">
        <f>+(PSUT_2013!U45)</f>
        <v>132.68839873822006</v>
      </c>
      <c r="X56" s="1028">
        <f>+(PSUT_2013!V45)</f>
        <v>0</v>
      </c>
      <c r="Y56" s="1028">
        <f>+(PSUT_2013!W45)</f>
        <v>11895912.592401573</v>
      </c>
      <c r="Z56" s="1028">
        <f>+(PSUT_2013!X45)</f>
        <v>133912.69650340232</v>
      </c>
      <c r="AA56" s="1028">
        <f>+(PSUT_2013!AA45)</f>
        <v>12031128.20251967</v>
      </c>
    </row>
    <row r="57" spans="1:27" x14ac:dyDescent="0.25">
      <c r="D57" s="1284">
        <f>SUM(E56:G56,H57,I56:X56)</f>
        <v>14396045.280800311</v>
      </c>
      <c r="H57" s="1284">
        <f>H56+2500000</f>
        <v>2517297.563072273</v>
      </c>
    </row>
    <row r="60" spans="1:27" ht="270" x14ac:dyDescent="0.25">
      <c r="A60" s="1503">
        <f>+(PSUT_2014!B2)</f>
        <v>2014</v>
      </c>
      <c r="B60" s="1207" t="s">
        <v>1406</v>
      </c>
      <c r="C60" s="297" t="s">
        <v>1050</v>
      </c>
      <c r="D60" s="297"/>
      <c r="E60" s="717" t="str">
        <f>PSUT_2014!C4</f>
        <v xml:space="preserve">A. Agriculture, forestry and fishing </v>
      </c>
      <c r="F60" s="717" t="str">
        <f>PSUT_2014!D4</f>
        <v xml:space="preserve">B. Mining and Quarrying </v>
      </c>
      <c r="G60" s="717" t="str">
        <f>PSUT_2014!E4</f>
        <v>C. Manufacturing</v>
      </c>
      <c r="H60" s="717" t="str">
        <f>PSUT_2014!F4</f>
        <v>D. Electricity, gas, steam and air conditioning supply</v>
      </c>
      <c r="I60" s="717" t="str">
        <f>PSUT_2014!G4</f>
        <v>E. Water supply (WASAC &amp; AquaVirunga)</v>
      </c>
      <c r="J60" s="717" t="str">
        <f>PSUT_2014!H4</f>
        <v>F. Construction</v>
      </c>
      <c r="K60" s="717" t="str">
        <f>PSUT_2014!I4</f>
        <v>G. Wholesale and retail trade; repair of motor vehicles and motorcycles</v>
      </c>
      <c r="L60" s="717" t="str">
        <f>PSUT_2014!J4</f>
        <v>H. Transportation and storage</v>
      </c>
      <c r="M60" s="717" t="str">
        <f>PSUT_2014!K4</f>
        <v>I. Accommodation and food service activities</v>
      </c>
      <c r="N60" s="717" t="str">
        <f>PSUT_2014!L4</f>
        <v>J. Information and communication</v>
      </c>
      <c r="O60" s="717" t="str">
        <f>PSUT_2014!M4</f>
        <v>K. Banking and insurance activities</v>
      </c>
      <c r="P60" s="717" t="str">
        <f>PSUT_2014!N4</f>
        <v>L. Real estate activities</v>
      </c>
      <c r="Q60" s="717" t="str">
        <f>PSUT_2014!O4</f>
        <v>M. Professional, scientific and technical activities</v>
      </c>
      <c r="R60" s="717" t="str">
        <f>PSUT_2014!P4</f>
        <v>N. Administrative and support service activities</v>
      </c>
      <c r="S60" s="717" t="str">
        <f>PSUT_2014!Q4</f>
        <v>O. Public administration and defence; compulsory social security</v>
      </c>
      <c r="T60" s="717" t="str">
        <f>PSUT_2014!R4</f>
        <v>P. Education</v>
      </c>
      <c r="U60" s="717" t="str">
        <f>PSUT_2014!S4</f>
        <v xml:space="preserve">Q. Human health and social work activities </v>
      </c>
      <c r="V60" s="717" t="str">
        <f>PSUT_2014!T4</f>
        <v>R. Arts, entertainment and recreation</v>
      </c>
      <c r="W60" s="717" t="str">
        <f>PSUT_2014!U4</f>
        <v>S. Other service activities (Religious &amp; Burial)</v>
      </c>
      <c r="X60" s="717" t="str">
        <f>PSUT_2014!V4</f>
        <v>T. Activities of households as employers; undifferentiated goods- and services-producing activities of households for own use</v>
      </c>
      <c r="Y60" s="717" t="str">
        <f>PSUT_2014!W3</f>
        <v xml:space="preserve">Total Production activities </v>
      </c>
      <c r="Z60" s="717" t="str">
        <f>PSUT_2014!X4</f>
        <v>Households</v>
      </c>
      <c r="AA60" s="717" t="str">
        <f>PSUT_2014!AA3</f>
        <v xml:space="preserve">Total </v>
      </c>
    </row>
    <row r="61" spans="1:27" x14ac:dyDescent="0.25">
      <c r="A61" s="1492" t="str">
        <f>+(PSUT_2014!A6)</f>
        <v>From the environment</v>
      </c>
      <c r="B61" s="1208" t="str">
        <f>+(PSUT_2014!B6)</f>
        <v>1 - Total abstraction (=1.a+1.b = 1.i+1.ii)</v>
      </c>
      <c r="D61" s="4">
        <f>Y61</f>
        <v>13964802.992576756</v>
      </c>
      <c r="E61" s="1025">
        <f>+(PSUT_2014!C6)</f>
        <v>13506848.022465833</v>
      </c>
      <c r="F61" s="1025">
        <f>+(PSUT_2014!D6)</f>
        <v>22429.728515197057</v>
      </c>
      <c r="G61" s="1025">
        <f>+(PSUT_2014!E6)</f>
        <v>24242.398478108429</v>
      </c>
      <c r="H61" s="1025">
        <f>+(PSUT_2014!F6)</f>
        <v>357008.97910203272</v>
      </c>
      <c r="I61" s="1025">
        <f>+(PSUT_2014!G6)</f>
        <v>53540.199500012386</v>
      </c>
      <c r="J61" s="1025">
        <f>+(PSUT_2014!H6)</f>
        <v>0</v>
      </c>
      <c r="K61" s="1025">
        <f>+(PSUT_2014!I6)</f>
        <v>0</v>
      </c>
      <c r="L61" s="1025">
        <f>+(PSUT_2014!J6)</f>
        <v>0</v>
      </c>
      <c r="M61" s="1025">
        <f>+(PSUT_2014!K6)</f>
        <v>0</v>
      </c>
      <c r="N61" s="1025">
        <f>+(PSUT_2014!L6)</f>
        <v>0</v>
      </c>
      <c r="O61" s="1025">
        <f>+(PSUT_2014!M6)</f>
        <v>0.06</v>
      </c>
      <c r="P61" s="1025">
        <f>+(PSUT_2014!N6)</f>
        <v>0</v>
      </c>
      <c r="Q61" s="1025">
        <f>+(PSUT_2014!O6)</f>
        <v>0</v>
      </c>
      <c r="R61" s="1025">
        <f>+(PSUT_2014!P6)</f>
        <v>0</v>
      </c>
      <c r="S61" s="1025">
        <f>+(PSUT_2014!Q6)</f>
        <v>0</v>
      </c>
      <c r="T61" s="1025">
        <f>+(PSUT_2014!R6)</f>
        <v>133.11539999999999</v>
      </c>
      <c r="U61" s="1025">
        <f>+(PSUT_2014!S6)</f>
        <v>588.7795155737706</v>
      </c>
      <c r="V61" s="1025">
        <f>+SUM(PSUT_2014!T6:'PSUT_2014'!V6)</f>
        <v>11.709600000000002</v>
      </c>
      <c r="W61" s="1025">
        <f>+(PSUT_2014!U6)</f>
        <v>11.709600000000002</v>
      </c>
      <c r="X61" s="1025">
        <f>+(PSUT_2014!V6)</f>
        <v>0</v>
      </c>
      <c r="Y61" s="1025">
        <f>+(PSUT_2014!W6)</f>
        <v>13964802.992576756</v>
      </c>
      <c r="Z61" s="1025">
        <f>+(PSUT_2014!X6)</f>
        <v>40832.697923868138</v>
      </c>
      <c r="AA61" s="1025">
        <f>+(PSUT_2014!AA6)</f>
        <v>14005635.690500624</v>
      </c>
    </row>
    <row r="62" spans="1:27" x14ac:dyDescent="0.25">
      <c r="A62" s="1492"/>
      <c r="B62" s="1208" t="str">
        <f>+(PSUT_2014!B9)</f>
        <v>1 - Total abstraction (1.i+1.ii)</v>
      </c>
      <c r="D62" s="4">
        <f>Y62</f>
        <v>13964802.992576756</v>
      </c>
      <c r="E62" s="1025">
        <f>+(PSUT_2014!C9)</f>
        <v>13506848.022465833</v>
      </c>
      <c r="F62" s="1025">
        <f>+(PSUT_2014!D9)</f>
        <v>22429.728515197057</v>
      </c>
      <c r="G62" s="1025">
        <f>+(PSUT_2014!E9)</f>
        <v>24242.398478108429</v>
      </c>
      <c r="H62" s="1025">
        <f>+(PSUT_2014!F9)</f>
        <v>357008.97910203272</v>
      </c>
      <c r="I62" s="1025">
        <f>+(PSUT_2014!G9)</f>
        <v>53540.199500012393</v>
      </c>
      <c r="J62" s="1025">
        <f>+(PSUT_2014!H9)</f>
        <v>0</v>
      </c>
      <c r="K62" s="1025">
        <f>+(PSUT_2014!I9)</f>
        <v>0</v>
      </c>
      <c r="L62" s="1025">
        <f>+(PSUT_2014!J9)</f>
        <v>0</v>
      </c>
      <c r="M62" s="1025">
        <f>+(PSUT_2014!K9)</f>
        <v>0</v>
      </c>
      <c r="N62" s="1025">
        <f>+(PSUT_2014!L9)</f>
        <v>0</v>
      </c>
      <c r="O62" s="1025">
        <f>+(PSUT_2014!M9)</f>
        <v>0.06</v>
      </c>
      <c r="P62" s="1025">
        <f>+(PSUT_2014!N9)</f>
        <v>0</v>
      </c>
      <c r="Q62" s="1025">
        <f>+(PSUT_2014!O9)</f>
        <v>0</v>
      </c>
      <c r="R62" s="1025">
        <f>+(PSUT_2014!P9)</f>
        <v>0</v>
      </c>
      <c r="S62" s="1025">
        <f>+(PSUT_2014!Q9)</f>
        <v>0</v>
      </c>
      <c r="T62" s="1025">
        <f>+(PSUT_2014!R9)</f>
        <v>133.11539999999999</v>
      </c>
      <c r="U62" s="1025">
        <f>+(PSUT_2014!S9)</f>
        <v>588.7795155737706</v>
      </c>
      <c r="V62" s="1025">
        <f>+SUM(PSUT_2014!T9:'PSUT_2014'!V9)</f>
        <v>11.709600000000002</v>
      </c>
      <c r="W62" s="1025">
        <f>+(PSUT_2014!U9)</f>
        <v>11.709600000000002</v>
      </c>
      <c r="X62" s="1025">
        <f>+(PSUT_2014!V9)</f>
        <v>0</v>
      </c>
      <c r="Y62" s="1025">
        <f>+(PSUT_2014!W9)</f>
        <v>13964802.992576756</v>
      </c>
      <c r="Z62" s="1025">
        <f>+(PSUT_2014!X9)</f>
        <v>40832.697923868138</v>
      </c>
      <c r="AA62" s="1025">
        <f>+(PSUT_2014!AA9)</f>
        <v>14005635.690500624</v>
      </c>
    </row>
    <row r="63" spans="1:27" x14ac:dyDescent="0.25">
      <c r="A63" s="1492"/>
      <c r="B63" s="1208" t="str">
        <f>+B64 &amp; " &amp; "&amp; B65</f>
        <v>1.i.1 Surface water &amp; 1.i.2 Groundwater</v>
      </c>
      <c r="D63" s="1025">
        <f>Y63</f>
        <v>655163.35443752783</v>
      </c>
      <c r="E63" s="1025">
        <f>+SUM(PSUT_2014!C11,PSUT_2014!C16)</f>
        <v>219104.06902660336</v>
      </c>
      <c r="F63" s="1025">
        <f>+SUM(PSUT_2014!D11,PSUT_2014!D16)</f>
        <v>1069.9285151970589</v>
      </c>
      <c r="G63" s="1025">
        <f>+SUM(PSUT_2014!E11,PSUT_2014!E16)</f>
        <v>24214.198478108428</v>
      </c>
      <c r="H63" s="1025">
        <f>+SUM(PSUT_2014!F11,PSUT_2014!F16)</f>
        <v>357008.97910203272</v>
      </c>
      <c r="I63" s="1025">
        <f>+SUM(PSUT_2014!G11,PSUT_2014!G16)</f>
        <v>53540.199500012393</v>
      </c>
      <c r="J63" s="1025">
        <f>+SUM(PSUT_2014!H11,PSUT_2014!H16)</f>
        <v>0</v>
      </c>
      <c r="K63" s="1025">
        <f>+SUM(PSUT_2014!I11,PSUT_2014!I16)</f>
        <v>0</v>
      </c>
      <c r="L63" s="1025">
        <f>+SUM(PSUT_2014!J11,PSUT_2014!J16)</f>
        <v>0</v>
      </c>
      <c r="M63" s="1025">
        <f>+SUM(PSUT_2014!K11,PSUT_2014!K16)</f>
        <v>0</v>
      </c>
      <c r="N63" s="1025">
        <f>+SUM(PSUT_2014!L11,PSUT_2014!L16)</f>
        <v>0</v>
      </c>
      <c r="O63" s="1025">
        <f>+SUM(PSUT_2014!M11,PSUT_2014!M16)</f>
        <v>0</v>
      </c>
      <c r="P63" s="1025">
        <f>+SUM(PSUT_2014!N11,PSUT_2014!N16)</f>
        <v>0</v>
      </c>
      <c r="Q63" s="1025">
        <f>+SUM(PSUT_2014!O11,PSUT_2014!O16)</f>
        <v>0</v>
      </c>
      <c r="R63" s="1025">
        <f>+SUM(PSUT_2014!P11,PSUT_2014!P16)</f>
        <v>0</v>
      </c>
      <c r="S63" s="1025">
        <f>+SUM(PSUT_2014!Q11,PSUT_2014!Q16)</f>
        <v>0</v>
      </c>
      <c r="T63" s="1025">
        <f>+SUM(PSUT_2014!R11,PSUT_2014!R16)</f>
        <v>133.11539999999999</v>
      </c>
      <c r="U63" s="1025">
        <f>+SUM(PSUT_2014!S11,PSUT_2014!S16)</f>
        <v>90.790815573770487</v>
      </c>
      <c r="V63" s="1025">
        <f>+SUM(PSUT_2014!T11,PSUT_2014!T16)</f>
        <v>0</v>
      </c>
      <c r="W63" s="1025">
        <f>+SUM(PSUT_2014!U11,PSUT_2014!U16)</f>
        <v>2.0736000000000003</v>
      </c>
      <c r="X63" s="1025">
        <f>+SUM(PSUT_2014!V11,PSUT_2014!V16)</f>
        <v>0</v>
      </c>
      <c r="Y63" s="1025">
        <f>+SUM(PSUT_2014!W11,PSUT_2014!W16)</f>
        <v>655163.35443752783</v>
      </c>
      <c r="Z63" s="1025">
        <f>+SUM(PSUT_2014!X11,PSUT_2014!X16)</f>
        <v>40282.697923868138</v>
      </c>
      <c r="AA63" s="1025">
        <f>+SUM(PSUT_2014!AA11,PSUT_2014!AA16)</f>
        <v>695446.05236139591</v>
      </c>
    </row>
    <row r="64" spans="1:27" x14ac:dyDescent="0.25">
      <c r="A64" s="1492"/>
      <c r="B64" s="1208" t="str">
        <f>+(PSUT_2014!B11)</f>
        <v>1.i.1 Surface water</v>
      </c>
      <c r="D64" s="1295"/>
      <c r="E64" s="1025">
        <f>+(PSUT_2014!C11)</f>
        <v>205178.23028145044</v>
      </c>
      <c r="F64" s="1025">
        <f>+(PSUT_2014!D11)</f>
        <v>1006.140385197059</v>
      </c>
      <c r="G64" s="1025">
        <f>+(PSUT_2014!E11)</f>
        <v>15211.48701906186</v>
      </c>
      <c r="H64" s="1025">
        <f>+(PSUT_2014!F11)</f>
        <v>357008.97910203272</v>
      </c>
      <c r="I64" s="1025">
        <f>+(PSUT_2014!G11)</f>
        <v>41435.195802667869</v>
      </c>
      <c r="J64" s="1025">
        <f>+(PSUT_2014!H11)</f>
        <v>0</v>
      </c>
      <c r="K64" s="1025">
        <f>+(PSUT_2014!I11)</f>
        <v>0</v>
      </c>
      <c r="L64" s="1025">
        <f>+(PSUT_2014!J11)</f>
        <v>0</v>
      </c>
      <c r="M64" s="1025">
        <f>+(PSUT_2014!K11)</f>
        <v>0</v>
      </c>
      <c r="N64" s="1025">
        <f>+(PSUT_2014!L11)</f>
        <v>0</v>
      </c>
      <c r="O64" s="1025">
        <f>+(PSUT_2014!M11)</f>
        <v>0</v>
      </c>
      <c r="P64" s="1025">
        <f>+(PSUT_2014!N11)</f>
        <v>0</v>
      </c>
      <c r="Q64" s="1025">
        <f>+(PSUT_2014!O11)</f>
        <v>0</v>
      </c>
      <c r="R64" s="1025">
        <f>+(PSUT_2014!P11)</f>
        <v>0</v>
      </c>
      <c r="S64" s="1025">
        <f>+(PSUT_2014!Q11)</f>
        <v>0</v>
      </c>
      <c r="T64" s="1025">
        <f>+(PSUT_2014!R11)</f>
        <v>0</v>
      </c>
      <c r="U64" s="1025">
        <f>+(PSUT_2014!S11)</f>
        <v>0</v>
      </c>
      <c r="V64" s="1025">
        <f>+SUM(PSUT_2014!T11:'PSUT_2014'!V11)</f>
        <v>2.0736000000000003</v>
      </c>
      <c r="W64" s="1025">
        <f>+(PSUT_2014!U11)</f>
        <v>2.0736000000000003</v>
      </c>
      <c r="X64" s="1025">
        <f>+(PSUT_2014!V11)</f>
        <v>0</v>
      </c>
      <c r="Y64" s="1025">
        <f>+(PSUT_2014!W11)</f>
        <v>619842.10619040998</v>
      </c>
      <c r="Z64" s="1025">
        <f>+(PSUT_2014!X11)</f>
        <v>11301.556149600257</v>
      </c>
      <c r="AA64" s="1025">
        <f>+(PSUT_2014!AA11)</f>
        <v>631143.66234001028</v>
      </c>
    </row>
    <row r="65" spans="1:27" x14ac:dyDescent="0.25">
      <c r="A65" s="1492"/>
      <c r="B65" s="1208" t="str">
        <f>+(PSUT_2014!B16)</f>
        <v>1.i.2 Groundwater</v>
      </c>
      <c r="D65" s="1025"/>
      <c r="E65" s="1025">
        <f>+(PSUT_2014!C16)</f>
        <v>13925.838745152938</v>
      </c>
      <c r="F65" s="1025">
        <f>+(PSUT_2014!D16)</f>
        <v>63.788130000000002</v>
      </c>
      <c r="G65" s="1025">
        <f>+(PSUT_2014!E16)</f>
        <v>9002.7114590465681</v>
      </c>
      <c r="H65" s="1025">
        <f>+(PSUT_2014!F16)</f>
        <v>0</v>
      </c>
      <c r="I65" s="1025">
        <f>+(PSUT_2014!G16)</f>
        <v>12105.003697344522</v>
      </c>
      <c r="J65" s="1025">
        <f>+(PSUT_2014!H16)</f>
        <v>0</v>
      </c>
      <c r="K65" s="1025">
        <f>+(PSUT_2014!I16)</f>
        <v>0</v>
      </c>
      <c r="L65" s="1025">
        <f>+(PSUT_2014!J16)</f>
        <v>0</v>
      </c>
      <c r="M65" s="1025">
        <f>+(PSUT_2014!K16)</f>
        <v>0</v>
      </c>
      <c r="N65" s="1025">
        <f>+(PSUT_2014!L16)</f>
        <v>0</v>
      </c>
      <c r="O65" s="1025">
        <f>+(PSUT_2014!M16)</f>
        <v>0</v>
      </c>
      <c r="P65" s="1025">
        <f>+(PSUT_2014!N16)</f>
        <v>0</v>
      </c>
      <c r="Q65" s="1025">
        <f>+(PSUT_2014!O16)</f>
        <v>0</v>
      </c>
      <c r="R65" s="1025">
        <f>+(PSUT_2014!P16)</f>
        <v>0</v>
      </c>
      <c r="S65" s="1025">
        <f>+(PSUT_2014!Q16)</f>
        <v>0</v>
      </c>
      <c r="T65" s="1025">
        <f>+(PSUT_2014!R16)</f>
        <v>133.11539999999999</v>
      </c>
      <c r="U65" s="1025">
        <f>+(PSUT_2014!S16)</f>
        <v>90.790815573770487</v>
      </c>
      <c r="V65" s="1025">
        <f>+SUM(PSUT_2014!T16:'PSUT_2014'!V16)</f>
        <v>0</v>
      </c>
      <c r="W65" s="1025">
        <f>+(PSUT_2014!U16)</f>
        <v>0</v>
      </c>
      <c r="X65" s="1025">
        <f>+(PSUT_2014!V16)</f>
        <v>0</v>
      </c>
      <c r="Y65" s="1025">
        <f>+(PSUT_2014!W16)</f>
        <v>35321.248247117801</v>
      </c>
      <c r="Z65" s="1025">
        <f>+(PSUT_2014!X16)</f>
        <v>28981.141774267882</v>
      </c>
      <c r="AA65" s="1025">
        <f>+(PSUT_2014!AA16)</f>
        <v>64302.390021385683</v>
      </c>
    </row>
    <row r="66" spans="1:27" x14ac:dyDescent="0.25">
      <c r="A66" s="1492"/>
      <c r="B66" s="1208" t="str">
        <f>+(PSUT_2014!B19)</f>
        <v>1.i.3 Soil water (green water)</v>
      </c>
      <c r="D66" s="1025">
        <f>Y66</f>
        <v>13286936.953439228</v>
      </c>
      <c r="E66" s="1025">
        <f>+(PSUT_2014!C19)</f>
        <v>13286936.953439228</v>
      </c>
      <c r="F66" s="1025">
        <f>+(PSUT_2014!D19)</f>
        <v>0</v>
      </c>
      <c r="G66" s="1025">
        <f>+(PSUT_2014!E19)</f>
        <v>0</v>
      </c>
      <c r="H66" s="1025">
        <f>+(PSUT_2014!F19)</f>
        <v>0</v>
      </c>
      <c r="I66" s="1025">
        <f>+(PSUT_2014!G19)</f>
        <v>0</v>
      </c>
      <c r="J66" s="1025">
        <f>+(PSUT_2014!H19)</f>
        <v>0</v>
      </c>
      <c r="K66" s="1025">
        <f>+(PSUT_2014!I19)</f>
        <v>0</v>
      </c>
      <c r="L66" s="1025">
        <f>+(PSUT_2014!J19)</f>
        <v>0</v>
      </c>
      <c r="M66" s="1025">
        <f>+(PSUT_2014!K19)</f>
        <v>0</v>
      </c>
      <c r="N66" s="1025">
        <f>+(PSUT_2014!L19)</f>
        <v>0</v>
      </c>
      <c r="O66" s="1025">
        <f>+(PSUT_2014!M19)</f>
        <v>0</v>
      </c>
      <c r="P66" s="1025">
        <f>+(PSUT_2014!N19)</f>
        <v>0</v>
      </c>
      <c r="Q66" s="1025">
        <f>+(PSUT_2014!O19)</f>
        <v>0</v>
      </c>
      <c r="R66" s="1025">
        <f>+(PSUT_2014!P19)</f>
        <v>0</v>
      </c>
      <c r="S66" s="1025">
        <f>+(PSUT_2014!Q19)</f>
        <v>0</v>
      </c>
      <c r="T66" s="1025">
        <f>+(PSUT_2014!R19)</f>
        <v>0</v>
      </c>
      <c r="U66" s="1025">
        <f>+(PSUT_2014!S19)</f>
        <v>0</v>
      </c>
      <c r="V66" s="1025">
        <f>+SUM(PSUT_2014!T19:'PSUT_2014'!V19)</f>
        <v>0</v>
      </c>
      <c r="W66" s="1025">
        <f>+(PSUT_2014!U19)</f>
        <v>0</v>
      </c>
      <c r="X66" s="1025">
        <f>+(PSUT_2014!V19)</f>
        <v>0</v>
      </c>
      <c r="Y66" s="1025">
        <f>+(PSUT_2014!W19)</f>
        <v>13286936.953439228</v>
      </c>
      <c r="Z66" s="1025">
        <f>+(PSUT_2014!X19)</f>
        <v>0</v>
      </c>
      <c r="AA66" s="1025">
        <f>+(PSUT_2014!AA19)</f>
        <v>13286936.953439228</v>
      </c>
    </row>
    <row r="67" spans="1:27" x14ac:dyDescent="0.25">
      <c r="A67" s="1492"/>
      <c r="B67" s="1208" t="str">
        <f>+(PSUT_2014!B20)</f>
        <v xml:space="preserve">1.ii From other sources </v>
      </c>
      <c r="D67" s="1025"/>
      <c r="E67" s="1025">
        <f>+(PSUT_2014!C20)</f>
        <v>807</v>
      </c>
      <c r="F67" s="1025">
        <f>+(PSUT_2014!D20)</f>
        <v>21359.8</v>
      </c>
      <c r="G67" s="1025">
        <f>+(PSUT_2014!E20)</f>
        <v>28.2</v>
      </c>
      <c r="H67" s="1025">
        <f>+(PSUT_2014!F20)</f>
        <v>0</v>
      </c>
      <c r="I67" s="1025">
        <f>+(PSUT_2014!G20)</f>
        <v>0</v>
      </c>
      <c r="J67" s="1025">
        <f>+(PSUT_2014!H20)</f>
        <v>0</v>
      </c>
      <c r="K67" s="1025">
        <f>+(PSUT_2014!I20)</f>
        <v>0</v>
      </c>
      <c r="L67" s="1025">
        <f>+(PSUT_2014!J20)</f>
        <v>0</v>
      </c>
      <c r="M67" s="1025">
        <f>+(PSUT_2014!K20)</f>
        <v>0</v>
      </c>
      <c r="N67" s="1025">
        <f>+(PSUT_2014!L20)</f>
        <v>0</v>
      </c>
      <c r="O67" s="1025">
        <f>+(PSUT_2014!M20)</f>
        <v>0.06</v>
      </c>
      <c r="P67" s="1025">
        <f>+(PSUT_2014!N20)</f>
        <v>0</v>
      </c>
      <c r="Q67" s="1025">
        <f>+(PSUT_2014!O20)</f>
        <v>0</v>
      </c>
      <c r="R67" s="1025">
        <f>+(PSUT_2014!P20)</f>
        <v>0</v>
      </c>
      <c r="S67" s="1025">
        <f>+(PSUT_2014!Q20)</f>
        <v>0</v>
      </c>
      <c r="T67" s="1025">
        <f>+(PSUT_2014!R20)</f>
        <v>0</v>
      </c>
      <c r="U67" s="1025">
        <f>+(PSUT_2014!S20)</f>
        <v>497.98870000000005</v>
      </c>
      <c r="V67" s="1025">
        <f>+SUM(PSUT_2014!T20:'PSUT_2014'!V20)</f>
        <v>9.636000000000001</v>
      </c>
      <c r="W67" s="1025">
        <f>+(PSUT_2014!U20)</f>
        <v>9.636000000000001</v>
      </c>
      <c r="X67" s="1025">
        <f>+(PSUT_2014!V20)</f>
        <v>0</v>
      </c>
      <c r="Y67" s="1025">
        <f>+(PSUT_2014!W20)</f>
        <v>22702.684700000002</v>
      </c>
      <c r="Z67" s="1025">
        <f>+(PSUT_2014!X20)</f>
        <v>550</v>
      </c>
      <c r="AA67" s="1025">
        <f>+(PSUT_2014!AA20)</f>
        <v>23252.684700000002</v>
      </c>
    </row>
    <row r="68" spans="1:27" x14ac:dyDescent="0.25">
      <c r="A68" s="1492"/>
      <c r="B68" s="1208" t="str">
        <f>+(PSUT_2014!B21)</f>
        <v>1.ii.1 Collection of precipitation (rainwater harvesting; ..)</v>
      </c>
      <c r="D68" s="1025"/>
      <c r="E68" s="1025">
        <f>+(PSUT_2014!C21)</f>
        <v>807</v>
      </c>
      <c r="F68" s="1025">
        <f>+(PSUT_2014!D21)</f>
        <v>21359.8</v>
      </c>
      <c r="G68" s="1025">
        <f>+(PSUT_2014!E21)</f>
        <v>28.2</v>
      </c>
      <c r="H68" s="1025">
        <f>+(PSUT_2014!F21)</f>
        <v>0</v>
      </c>
      <c r="I68" s="1025">
        <f>+(PSUT_2014!G21)</f>
        <v>0</v>
      </c>
      <c r="J68" s="1025">
        <f>+(PSUT_2014!H21)</f>
        <v>0</v>
      </c>
      <c r="K68" s="1025">
        <f>+(PSUT_2014!I21)</f>
        <v>0</v>
      </c>
      <c r="L68" s="1025">
        <f>+(PSUT_2014!J21)</f>
        <v>0</v>
      </c>
      <c r="M68" s="1025">
        <f>+(PSUT_2014!K21)</f>
        <v>0</v>
      </c>
      <c r="N68" s="1025">
        <f>+(PSUT_2014!L21)</f>
        <v>0</v>
      </c>
      <c r="O68" s="1025">
        <f>+(PSUT_2014!M21)</f>
        <v>0.06</v>
      </c>
      <c r="P68" s="1025">
        <f>+(PSUT_2014!N21)</f>
        <v>0</v>
      </c>
      <c r="Q68" s="1025">
        <f>+(PSUT_2014!O21)</f>
        <v>0</v>
      </c>
      <c r="R68" s="1025">
        <f>+(PSUT_2014!P21)</f>
        <v>0</v>
      </c>
      <c r="S68" s="1025">
        <f>+(PSUT_2014!Q21)</f>
        <v>0</v>
      </c>
      <c r="T68" s="1025">
        <f>+(PSUT_2014!R21)</f>
        <v>0</v>
      </c>
      <c r="U68" s="1025">
        <f>+(PSUT_2014!S21)</f>
        <v>497.98870000000005</v>
      </c>
      <c r="V68" s="1025">
        <f>+SUM(PSUT_2014!T21:'PSUT_2014'!V21)</f>
        <v>9.636000000000001</v>
      </c>
      <c r="W68" s="1025">
        <f>+(PSUT_2014!U21)</f>
        <v>9.636000000000001</v>
      </c>
      <c r="X68" s="1025">
        <f>+(PSUT_2014!V21)</f>
        <v>0</v>
      </c>
      <c r="Y68" s="1025">
        <f>+(PSUT_2014!W21)</f>
        <v>22702.684700000002</v>
      </c>
      <c r="Z68" s="1025">
        <f>+(PSUT_2014!X21)</f>
        <v>550</v>
      </c>
      <c r="AA68" s="1025">
        <f>+(PSUT_2014!AA21)</f>
        <v>23252.684700000002</v>
      </c>
    </row>
    <row r="69" spans="1:27" x14ac:dyDescent="0.25">
      <c r="A69" s="1209"/>
      <c r="B69" s="1208" t="str">
        <f>+(PSUT_2014!B22)</f>
        <v>1.ii.2 Abstraction from the sea</v>
      </c>
      <c r="D69" s="1025"/>
      <c r="E69" s="1025">
        <f>+(PSUT_2014!C22)</f>
        <v>0</v>
      </c>
      <c r="F69" s="1025">
        <f>+(PSUT_2014!D22)</f>
        <v>0</v>
      </c>
      <c r="G69" s="1025">
        <f>+(PSUT_2014!E22)</f>
        <v>0</v>
      </c>
      <c r="H69" s="1025">
        <f>+(PSUT_2014!F22)</f>
        <v>0</v>
      </c>
      <c r="I69" s="1025">
        <f>+(PSUT_2014!G22)</f>
        <v>0</v>
      </c>
      <c r="J69" s="1025">
        <f>+(PSUT_2014!H22)</f>
        <v>0</v>
      </c>
      <c r="K69" s="1025">
        <f>+(PSUT_2014!I22)</f>
        <v>0</v>
      </c>
      <c r="L69" s="1025">
        <f>+(PSUT_2014!J22)</f>
        <v>0</v>
      </c>
      <c r="M69" s="1025">
        <f>+(PSUT_2014!K22)</f>
        <v>0</v>
      </c>
      <c r="N69" s="1025">
        <f>+(PSUT_2014!L22)</f>
        <v>0</v>
      </c>
      <c r="O69" s="1025">
        <f>+(PSUT_2014!M22)</f>
        <v>0</v>
      </c>
      <c r="P69" s="1025">
        <f>+(PSUT_2014!N22)</f>
        <v>0</v>
      </c>
      <c r="Q69" s="1025">
        <f>+(PSUT_2014!O22)</f>
        <v>0</v>
      </c>
      <c r="R69" s="1025">
        <f>+(PSUT_2014!P22)</f>
        <v>0</v>
      </c>
      <c r="S69" s="1025">
        <f>+(PSUT_2014!Q22)</f>
        <v>0</v>
      </c>
      <c r="T69" s="1025">
        <f>+(PSUT_2014!R22)</f>
        <v>0</v>
      </c>
      <c r="U69" s="1025">
        <f>+(PSUT_2014!S22)</f>
        <v>0</v>
      </c>
      <c r="V69" s="1025">
        <f>+SUM(PSUT_2014!T22:'PSUT_2014'!V22)</f>
        <v>0</v>
      </c>
      <c r="W69" s="1025">
        <f>+(PSUT_2014!U22)</f>
        <v>0</v>
      </c>
      <c r="X69" s="1025">
        <f>+(PSUT_2014!V22)</f>
        <v>0</v>
      </c>
      <c r="Y69" s="1025">
        <f>+(PSUT_2014!W22)</f>
        <v>0</v>
      </c>
      <c r="Z69" s="1025">
        <f>+(PSUT_2014!X22)</f>
        <v>0</v>
      </c>
      <c r="AA69" s="1025">
        <f>+(PSUT_2014!AA22)</f>
        <v>0</v>
      </c>
    </row>
    <row r="70" spans="1:27" x14ac:dyDescent="0.25">
      <c r="A70" s="1209"/>
      <c r="B70" s="1208" t="str">
        <f>+(PSUT_2014!B23)</f>
        <v>2. Use of water received from other economic units</v>
      </c>
      <c r="D70" s="1025"/>
      <c r="E70" s="1025">
        <f>+(PSUT_2014!C23)</f>
        <v>90250</v>
      </c>
      <c r="F70" s="1025">
        <f>+(PSUT_2014!D23)</f>
        <v>0</v>
      </c>
      <c r="G70" s="1025">
        <f>+(PSUT_2014!E23)</f>
        <v>642763.78523033194</v>
      </c>
      <c r="H70" s="1025">
        <f>+(PSUT_2014!F23)</f>
        <v>0</v>
      </c>
      <c r="I70" s="1025">
        <f>+(PSUT_2014!G23)</f>
        <v>0</v>
      </c>
      <c r="J70" s="1025">
        <f>+(PSUT_2014!H23)</f>
        <v>0</v>
      </c>
      <c r="K70" s="1025">
        <f>+(PSUT_2014!I23)</f>
        <v>0</v>
      </c>
      <c r="L70" s="1025">
        <f>+(PSUT_2014!J23)</f>
        <v>0</v>
      </c>
      <c r="M70" s="1025">
        <f>+(PSUT_2014!K23)</f>
        <v>16672.61</v>
      </c>
      <c r="N70" s="1025">
        <f>+(PSUT_2014!L23)</f>
        <v>0</v>
      </c>
      <c r="O70" s="1025">
        <f>+(PSUT_2014!M23)</f>
        <v>76.030545405347283</v>
      </c>
      <c r="P70" s="1025">
        <f>+(PSUT_2014!N23)</f>
        <v>0</v>
      </c>
      <c r="Q70" s="1025">
        <f>+(PSUT_2014!O23)</f>
        <v>0</v>
      </c>
      <c r="R70" s="1025">
        <f>+(PSUT_2014!P23)</f>
        <v>0</v>
      </c>
      <c r="S70" s="1025">
        <f>+(PSUT_2014!Q23)</f>
        <v>0</v>
      </c>
      <c r="T70" s="1025">
        <f>+(PSUT_2014!R23)</f>
        <v>224372.33</v>
      </c>
      <c r="U70" s="1025">
        <f>+(PSUT_2014!S23)</f>
        <v>3720.9427500000002</v>
      </c>
      <c r="V70" s="1025">
        <f>+SUM(PSUT_2014!T23:'PSUT_2014'!V23)</f>
        <v>131.69367175295594</v>
      </c>
      <c r="W70" s="1025">
        <f>+(PSUT_2014!U23)</f>
        <v>131.69367175295594</v>
      </c>
      <c r="X70" s="1025">
        <f>+(PSUT_2014!V23)</f>
        <v>0</v>
      </c>
      <c r="Y70" s="1025">
        <f>+(PSUT_2014!W23)</f>
        <v>977987.3921974902</v>
      </c>
      <c r="Z70" s="1025">
        <f>+(PSUT_2014!X23)</f>
        <v>176061</v>
      </c>
      <c r="AA70" s="1025">
        <f>+(PSUT_2014!AA23)</f>
        <v>1160562.9602874902</v>
      </c>
    </row>
    <row r="71" spans="1:27" x14ac:dyDescent="0.25">
      <c r="A71" s="1209"/>
      <c r="B71" s="1208" t="str">
        <f>+(PSUT_2014!A24)</f>
        <v>3. Total use of water (=1+2)</v>
      </c>
      <c r="D71" s="1025">
        <f>Y71</f>
        <v>14942790.384774245</v>
      </c>
      <c r="E71" s="1025">
        <f>+(PSUT_2014!C24)</f>
        <v>13597098.022465833</v>
      </c>
      <c r="F71" s="1025">
        <f>+(PSUT_2014!D24)</f>
        <v>22429.728515197057</v>
      </c>
      <c r="G71" s="1025">
        <f>+(PSUT_2014!E24)</f>
        <v>667006.1837084404</v>
      </c>
      <c r="H71" s="1025">
        <f>+(PSUT_2014!F24)</f>
        <v>357008.97910203272</v>
      </c>
      <c r="I71" s="1025">
        <f>+(PSUT_2014!G24)</f>
        <v>53540.199500012386</v>
      </c>
      <c r="J71" s="1025">
        <f>+(PSUT_2014!H24)</f>
        <v>0</v>
      </c>
      <c r="K71" s="1025">
        <f>+(PSUT_2014!I24)</f>
        <v>0</v>
      </c>
      <c r="L71" s="1025">
        <f>+(PSUT_2014!J24)</f>
        <v>0</v>
      </c>
      <c r="M71" s="1025">
        <f>+(PSUT_2014!K24)</f>
        <v>16672.61</v>
      </c>
      <c r="N71" s="1025">
        <f>+(PSUT_2014!L24)</f>
        <v>0</v>
      </c>
      <c r="O71" s="1025">
        <f>+(PSUT_2014!M24)</f>
        <v>76.090545405347285</v>
      </c>
      <c r="P71" s="1025">
        <f>+(PSUT_2014!N24)</f>
        <v>0</v>
      </c>
      <c r="Q71" s="1025">
        <f>+(PSUT_2014!O24)</f>
        <v>0</v>
      </c>
      <c r="R71" s="1025">
        <f>+(PSUT_2014!P24)</f>
        <v>0</v>
      </c>
      <c r="S71" s="1025">
        <f>+(PSUT_2014!Q24)</f>
        <v>0</v>
      </c>
      <c r="T71" s="1025">
        <f>+(PSUT_2014!R24)</f>
        <v>224505.4454</v>
      </c>
      <c r="U71" s="1025">
        <f>+(PSUT_2014!S24)</f>
        <v>4309.7222655737705</v>
      </c>
      <c r="V71" s="1025">
        <f>+SUM(PSUT_2014!T24:'PSUT_2014'!V24)</f>
        <v>143.40327175295593</v>
      </c>
      <c r="W71" s="1025">
        <f>+(PSUT_2014!U24)</f>
        <v>143.40327175295593</v>
      </c>
      <c r="X71" s="1025">
        <f>+(PSUT_2014!V24)</f>
        <v>0</v>
      </c>
      <c r="Y71" s="1025">
        <f>+(PSUT_2014!W24)</f>
        <v>14942790.384774245</v>
      </c>
      <c r="Z71" s="1025">
        <f>+(PSUT_2014!X24)</f>
        <v>216893.69792386814</v>
      </c>
      <c r="AA71" s="1025">
        <f>+(PSUT_2014!AA24)</f>
        <v>15166198.650788113</v>
      </c>
    </row>
    <row r="72" spans="1:27" x14ac:dyDescent="0.25">
      <c r="A72" s="1209"/>
      <c r="B72" s="1208" t="str">
        <f>+(PSUT_2014!B35)</f>
        <v>4. Supply of water to other economic units</v>
      </c>
      <c r="D72" s="1025"/>
      <c r="E72" s="1025">
        <f>+(PSUT_2014!C35)</f>
        <v>0</v>
      </c>
      <c r="F72" s="1025">
        <f>+(PSUT_2014!D35)</f>
        <v>21308.242089437204</v>
      </c>
      <c r="G72" s="1025">
        <f>+(PSUT_2014!E35)</f>
        <v>816.87563283886971</v>
      </c>
      <c r="H72" s="1025">
        <f>+(PSUT_2014!F35)</f>
        <v>0</v>
      </c>
      <c r="I72" s="1025">
        <f>+(PSUT_2014!G35)</f>
        <v>0</v>
      </c>
      <c r="J72" s="1025">
        <f>+(PSUT_2014!H35)</f>
        <v>0</v>
      </c>
      <c r="K72" s="1025">
        <f>+(PSUT_2014!I35)</f>
        <v>0</v>
      </c>
      <c r="L72" s="1025">
        <f>+(PSUT_2014!J35)</f>
        <v>0</v>
      </c>
      <c r="M72" s="1025">
        <f>+(PSUT_2014!K35)</f>
        <v>12671.183667903779</v>
      </c>
      <c r="N72" s="1025">
        <f>+(PSUT_2014!L35)</f>
        <v>0</v>
      </c>
      <c r="O72" s="1025">
        <f>+(PSUT_2014!M35)</f>
        <v>5.6106036082474233</v>
      </c>
      <c r="P72" s="1025">
        <f>+(PSUT_2014!N35)</f>
        <v>0</v>
      </c>
      <c r="Q72" s="1025">
        <f>+(PSUT_2014!O35)</f>
        <v>0</v>
      </c>
      <c r="R72" s="1025">
        <f>+(PSUT_2014!P35)</f>
        <v>0</v>
      </c>
      <c r="S72" s="1025">
        <f>+(PSUT_2014!Q35)</f>
        <v>0</v>
      </c>
      <c r="T72" s="1025">
        <f>+(PSUT_2014!R35)</f>
        <v>0</v>
      </c>
      <c r="U72" s="1025">
        <f>+(PSUT_2014!S35)</f>
        <v>0</v>
      </c>
      <c r="V72" s="1025">
        <f>+SUM(PSUT_2014!T35:'PSUT_2014'!V35)</f>
        <v>0</v>
      </c>
      <c r="W72" s="1025">
        <f>+(PSUT_2014!U35)</f>
        <v>0</v>
      </c>
      <c r="X72" s="1025">
        <f>+(PSUT_2014!V35)</f>
        <v>0</v>
      </c>
      <c r="Y72" s="1025">
        <f>+(PSUT_2014!W35)</f>
        <v>34801.911993788104</v>
      </c>
      <c r="Z72" s="1025">
        <f>+(PSUT_2014!X35)</f>
        <v>0</v>
      </c>
      <c r="AA72" s="1025">
        <f>+(PSUT_2014!AA35)</f>
        <v>34801.911993788104</v>
      </c>
    </row>
    <row r="73" spans="1:27" x14ac:dyDescent="0.25">
      <c r="A73" s="1210"/>
      <c r="B73" s="1208" t="str">
        <f>+(PSUT_2014!B38)</f>
        <v>5. Total returns (= 5.a+5.b)</v>
      </c>
      <c r="D73" s="4"/>
      <c r="E73" s="1025">
        <f>+(PSUT_2014!C38)</f>
        <v>1524008.4750215835</v>
      </c>
      <c r="F73" s="1025">
        <f>+(PSUT_2014!D38)</f>
        <v>54.219910499999997</v>
      </c>
      <c r="G73" s="1025">
        <f>+(PSUT_2014!E38)</f>
        <v>514699.26072578493</v>
      </c>
      <c r="H73" s="1025">
        <f>+(PSUT_2014!F38)</f>
        <v>339158.53014693107</v>
      </c>
      <c r="I73" s="1025">
        <f>+(PSUT_2014!G38)</f>
        <v>2570.3302400000002</v>
      </c>
      <c r="J73" s="1025">
        <f>+(PSUT_2014!H38)</f>
        <v>0</v>
      </c>
      <c r="K73" s="1025">
        <f>+(PSUT_2014!I38)</f>
        <v>0</v>
      </c>
      <c r="L73" s="1025">
        <f>+(PSUT_2014!J38)</f>
        <v>0</v>
      </c>
      <c r="M73" s="1025">
        <f>+(PSUT_2014!K38)</f>
        <v>301.01142363711335</v>
      </c>
      <c r="N73" s="1025">
        <f>+(PSUT_2014!L38)</f>
        <v>0</v>
      </c>
      <c r="O73" s="1025">
        <f>+(PSUT_2014!M38)</f>
        <v>56.868619657611163</v>
      </c>
      <c r="P73" s="1025">
        <f>+(PSUT_2014!N38)</f>
        <v>0</v>
      </c>
      <c r="Q73" s="1025">
        <f>+(PSUT_2014!O38)</f>
        <v>0</v>
      </c>
      <c r="R73" s="1025">
        <f>+(PSUT_2014!P38)</f>
        <v>0</v>
      </c>
      <c r="S73" s="1025">
        <f>+(PSUT_2014!Q38)</f>
        <v>0</v>
      </c>
      <c r="T73" s="1025">
        <f>+(PSUT_2014!R38)</f>
        <v>179497.86400000003</v>
      </c>
      <c r="U73" s="1025">
        <f>+(PSUT_2014!S38)</f>
        <v>3447.7778158871602</v>
      </c>
      <c r="V73" s="1025">
        <f>+SUM(PSUT_2014!T38:'PSUT_2014'!V38)</f>
        <v>10.714873014735879</v>
      </c>
      <c r="W73" s="1025">
        <f>+(PSUT_2014!U38)</f>
        <v>10.714873014735879</v>
      </c>
      <c r="X73" s="1025">
        <f>+(PSUT_2014!V38)</f>
        <v>0</v>
      </c>
      <c r="Y73" s="1025">
        <f>+(PSUT_2014!W38)</f>
        <v>2563805.052776997</v>
      </c>
      <c r="Z73" s="1025">
        <f>+(PSUT_2014!X38)</f>
        <v>82781</v>
      </c>
      <c r="AA73" s="1025">
        <f>+(PSUT_2014!AA38)</f>
        <v>2651797.7072523031</v>
      </c>
    </row>
    <row r="74" spans="1:27" x14ac:dyDescent="0.25">
      <c r="A74" s="1210"/>
      <c r="B74" s="1208" t="str">
        <f>+(PSUT_2014!A44)</f>
        <v>6. Total supply of water (= 4+5)</v>
      </c>
      <c r="D74" s="4"/>
      <c r="E74" s="1025">
        <f>+(PSUT_2014!C44)</f>
        <v>1524008.4750215835</v>
      </c>
      <c r="F74" s="1025">
        <f>+(PSUT_2014!D44)</f>
        <v>21362.461999937204</v>
      </c>
      <c r="G74" s="1025">
        <f>+(PSUT_2014!E44)</f>
        <v>515516.1363586238</v>
      </c>
      <c r="H74" s="1025">
        <f>+(PSUT_2014!F44)</f>
        <v>339158.53014693107</v>
      </c>
      <c r="I74" s="1025">
        <f>+(PSUT_2014!G44)</f>
        <v>2570.3302400000002</v>
      </c>
      <c r="J74" s="1025">
        <f>+(PSUT_2014!H44)</f>
        <v>0</v>
      </c>
      <c r="K74" s="1025">
        <f>+(PSUT_2014!I44)</f>
        <v>0</v>
      </c>
      <c r="L74" s="1025">
        <f>+(PSUT_2014!J44)</f>
        <v>0</v>
      </c>
      <c r="M74" s="1025">
        <f>+(PSUT_2014!K44)</f>
        <v>12972.195091540892</v>
      </c>
      <c r="N74" s="1025">
        <f>+(PSUT_2014!L44)</f>
        <v>0</v>
      </c>
      <c r="O74" s="1025">
        <f>+(PSUT_2014!M44)</f>
        <v>62.479223265858586</v>
      </c>
      <c r="P74" s="1025">
        <f>+(PSUT_2014!N44)</f>
        <v>0</v>
      </c>
      <c r="Q74" s="1025">
        <f>+(PSUT_2014!O44)</f>
        <v>0</v>
      </c>
      <c r="R74" s="1025">
        <f>+(PSUT_2014!P44)</f>
        <v>0</v>
      </c>
      <c r="S74" s="1025">
        <f>+(PSUT_2014!Q44)</f>
        <v>0</v>
      </c>
      <c r="T74" s="1025">
        <f>+(PSUT_2014!R44)</f>
        <v>179497.86400000003</v>
      </c>
      <c r="U74" s="1025">
        <f>+(PSUT_2014!S44)</f>
        <v>3447.7778158871602</v>
      </c>
      <c r="V74" s="1025">
        <f>+SUM(PSUT_2014!T44:'PSUT_2014'!V44)</f>
        <v>10.714873014735879</v>
      </c>
      <c r="W74" s="1025">
        <f>+(PSUT_2014!U44)</f>
        <v>10.714873014735879</v>
      </c>
      <c r="X74" s="1025">
        <f>+(PSUT_2014!V44)</f>
        <v>0</v>
      </c>
      <c r="Y74" s="1025">
        <f>+(PSUT_2014!W44)</f>
        <v>2598606.9647707846</v>
      </c>
      <c r="Z74" s="1025">
        <f>+(PSUT_2014!X44)</f>
        <v>82781</v>
      </c>
      <c r="AA74" s="1025">
        <f>+(PSUT_2014!AA44)</f>
        <v>2686599.6192460908</v>
      </c>
    </row>
    <row r="75" spans="1:27" x14ac:dyDescent="0.25">
      <c r="A75" s="1211"/>
      <c r="B75" s="1212" t="str">
        <f>+(PSUT_2014!A45)</f>
        <v>7. Consumption (3-6)</v>
      </c>
      <c r="C75" s="295"/>
      <c r="D75" s="1280">
        <f>Y75</f>
        <v>12344183.420003464</v>
      </c>
      <c r="E75" s="1028">
        <f>+(PSUT_2014!C45)</f>
        <v>12073089.547444249</v>
      </c>
      <c r="F75" s="1028">
        <f>+(PSUT_2014!D45)</f>
        <v>1067.2665152598529</v>
      </c>
      <c r="G75" s="1028">
        <f>+(PSUT_2014!E45)</f>
        <v>151490.0473498166</v>
      </c>
      <c r="H75" s="1195">
        <f>+(PSUT_2014!F45)</f>
        <v>17850.44895510166</v>
      </c>
      <c r="I75" s="1028">
        <f>+(PSUT_2014!G45)</f>
        <v>50969.869260012383</v>
      </c>
      <c r="J75" s="1028">
        <f>+(PSUT_2014!H45)</f>
        <v>0</v>
      </c>
      <c r="K75" s="1028">
        <f>+(PSUT_2014!I45)</f>
        <v>0</v>
      </c>
      <c r="L75" s="1028">
        <f>+(PSUT_2014!J45)</f>
        <v>0</v>
      </c>
      <c r="M75" s="1028">
        <f>+(PSUT_2014!K45)</f>
        <v>3700.4149084591081</v>
      </c>
      <c r="N75" s="1028">
        <f>+(PSUT_2014!L45)</f>
        <v>0</v>
      </c>
      <c r="O75" s="1028">
        <f>+(PSUT_2014!M45)</f>
        <v>13.611322139488699</v>
      </c>
      <c r="P75" s="1028">
        <f>+(PSUT_2014!N45)</f>
        <v>0</v>
      </c>
      <c r="Q75" s="1028">
        <f>+(PSUT_2014!O45)</f>
        <v>0</v>
      </c>
      <c r="R75" s="1028">
        <f>+(PSUT_2014!P45)</f>
        <v>0</v>
      </c>
      <c r="S75" s="1028">
        <f>+(PSUT_2014!Q45)</f>
        <v>0</v>
      </c>
      <c r="T75" s="1028">
        <f>+(PSUT_2014!R45)</f>
        <v>45007.581399999966</v>
      </c>
      <c r="U75" s="1028">
        <f>+(PSUT_2014!S45)</f>
        <v>861.94444968661037</v>
      </c>
      <c r="V75" s="1028">
        <f>+SUM(PSUT_2014!T45:'PSUT_2014'!V45)</f>
        <v>132.68839873822006</v>
      </c>
      <c r="W75" s="1028">
        <f>+(PSUT_2014!U45)</f>
        <v>132.68839873822006</v>
      </c>
      <c r="X75" s="1028">
        <f>+(PSUT_2014!V45)</f>
        <v>0</v>
      </c>
      <c r="Y75" s="1028">
        <f>+(PSUT_2014!W45)</f>
        <v>12344183.420003464</v>
      </c>
      <c r="Z75" s="1028">
        <f>+(PSUT_2014!X45)</f>
        <v>134112.69792386814</v>
      </c>
      <c r="AA75" s="1028">
        <f>+(PSUT_2014!AA45)</f>
        <v>12479599.031542027</v>
      </c>
    </row>
    <row r="76" spans="1:27" x14ac:dyDescent="0.25">
      <c r="D76" s="1284">
        <f>SUM(E75:G75,H76,I75:X75)</f>
        <v>14844316.108402202</v>
      </c>
      <c r="H76" s="1284">
        <f>H75+2500000</f>
        <v>2517850.4489551019</v>
      </c>
    </row>
    <row r="79" spans="1:27" ht="270" x14ac:dyDescent="0.25">
      <c r="A79" s="1504">
        <f>+(PSUT_2015!B2)</f>
        <v>2015</v>
      </c>
      <c r="B79" s="1219" t="s">
        <v>1407</v>
      </c>
      <c r="C79" s="297" t="s">
        <v>1050</v>
      </c>
      <c r="D79" s="297"/>
      <c r="E79" s="717" t="str">
        <f>PSUT_2015!C4</f>
        <v xml:space="preserve">A. Agriculture, forestry and fishing </v>
      </c>
      <c r="F79" s="717" t="str">
        <f>PSUT_2015!D4</f>
        <v xml:space="preserve">B. Mining and Quarrying </v>
      </c>
      <c r="G79" s="717" t="str">
        <f>PSUT_2015!E4</f>
        <v>C. Manufacturing</v>
      </c>
      <c r="H79" s="717" t="str">
        <f>PSUT_2015!F4</f>
        <v>D. Electricity, gas, steam and air conditioning supply</v>
      </c>
      <c r="I79" s="717" t="str">
        <f>PSUT_2015!G4</f>
        <v>E. Water supply (WASAC &amp; AquaVirunga)</v>
      </c>
      <c r="J79" s="717" t="str">
        <f>PSUT_2015!H4</f>
        <v>F. Construction</v>
      </c>
      <c r="K79" s="717" t="str">
        <f>PSUT_2015!I4</f>
        <v>G. Wholesale and retail trade; repair of motor vehicles and motorcycles</v>
      </c>
      <c r="L79" s="717" t="str">
        <f>PSUT_2015!J4</f>
        <v>H. Transportation and storage</v>
      </c>
      <c r="M79" s="717" t="str">
        <f>PSUT_2015!K4</f>
        <v>I. Accommodation and food service activities</v>
      </c>
      <c r="N79" s="717" t="str">
        <f>PSUT_2015!L4</f>
        <v>J. Information and communication</v>
      </c>
      <c r="O79" s="717" t="str">
        <f>PSUT_2015!M4</f>
        <v>K. Banking and insurance activities</v>
      </c>
      <c r="P79" s="717" t="str">
        <f>PSUT_2015!N4</f>
        <v>L. Real estate activities</v>
      </c>
      <c r="Q79" s="717" t="str">
        <f>PSUT_2015!O4</f>
        <v>M. Professional, scientific and technical activities</v>
      </c>
      <c r="R79" s="717" t="str">
        <f>PSUT_2015!P4</f>
        <v>N. Administrative and support service activities</v>
      </c>
      <c r="S79" s="717" t="str">
        <f>PSUT_2015!Q4</f>
        <v>O. Public administration and defence; compulsory social security</v>
      </c>
      <c r="T79" s="717" t="str">
        <f>PSUT_2015!R4</f>
        <v>P. Education</v>
      </c>
      <c r="U79" s="717" t="str">
        <f>PSUT_2015!S4</f>
        <v xml:space="preserve">Q. Human health and social work activities </v>
      </c>
      <c r="V79" s="717" t="str">
        <f>PSUT_2015!T4</f>
        <v>R. Arts, entertainment and recreation</v>
      </c>
      <c r="W79" s="717" t="str">
        <f>PSUT_2015!U4</f>
        <v>S. Other service activities (Religious &amp; Burial)</v>
      </c>
      <c r="X79" s="717" t="str">
        <f>PSUT_2015!V4</f>
        <v>T. Activities of households as employers; undifferentiated goods- and services-producing activities of households for own use</v>
      </c>
      <c r="Y79" s="717" t="str">
        <f>PSUT_2015!W3</f>
        <v xml:space="preserve">Total Production activities </v>
      </c>
      <c r="Z79" s="717" t="str">
        <f>PSUT_2015!X4</f>
        <v>Households</v>
      </c>
      <c r="AA79" s="717" t="str">
        <f>PSUT_2015!AA3</f>
        <v xml:space="preserve">Total </v>
      </c>
    </row>
    <row r="80" spans="1:27" x14ac:dyDescent="0.25">
      <c r="A80" s="1275" t="str">
        <f>+(PSUT_2015!A6)</f>
        <v>From the environment</v>
      </c>
      <c r="B80" s="1220" t="str">
        <f>+(PSUT_2015!B6)</f>
        <v>1 - Total abstraction (=1.a+1.b = 1.i+1.ii)</v>
      </c>
      <c r="D80" s="4">
        <f>Y80</f>
        <v>14316588.392651882</v>
      </c>
      <c r="E80" s="1025">
        <f>+(PSUT_2015!C6)</f>
        <v>13846587.983314097</v>
      </c>
      <c r="F80" s="1025">
        <f>+(PSUT_2015!D6)</f>
        <v>22449.851322900999</v>
      </c>
      <c r="G80" s="1025">
        <f>+(PSUT_2015!E6)</f>
        <v>24551.455500526612</v>
      </c>
      <c r="H80" s="1025">
        <f>+(PSUT_2015!F6)</f>
        <v>368457.53750127146</v>
      </c>
      <c r="I80" s="1025">
        <f>+(PSUT_2015!G6)</f>
        <v>53807.900497512441</v>
      </c>
      <c r="J80" s="1025">
        <f>+(PSUT_2015!H6)</f>
        <v>0</v>
      </c>
      <c r="K80" s="1025">
        <f>+(PSUT_2015!I6)</f>
        <v>0</v>
      </c>
      <c r="L80" s="1025">
        <f>+(PSUT_2015!J6)</f>
        <v>0</v>
      </c>
      <c r="M80" s="1025">
        <f>+(PSUT_2015!K6)</f>
        <v>0</v>
      </c>
      <c r="N80" s="1025">
        <f>+(PSUT_2015!L6)</f>
        <v>0</v>
      </c>
      <c r="O80" s="1025">
        <f>+(PSUT_2015!M6)</f>
        <v>0.06</v>
      </c>
      <c r="P80" s="1025">
        <f>+(PSUT_2015!N6)</f>
        <v>0</v>
      </c>
      <c r="Q80" s="1025">
        <f>+(PSUT_2015!O6)</f>
        <v>0</v>
      </c>
      <c r="R80" s="1025">
        <f>+(PSUT_2015!P6)</f>
        <v>0</v>
      </c>
      <c r="S80" s="1025">
        <f>+(PSUT_2015!Q6)</f>
        <v>0</v>
      </c>
      <c r="T80" s="1025">
        <f>+(PSUT_2015!R6)</f>
        <v>133.11539999999999</v>
      </c>
      <c r="U80" s="1025">
        <f>+(PSUT_2015!S6)</f>
        <v>588.7795155737706</v>
      </c>
      <c r="V80" s="1025">
        <f>+SUM(PSUT_2015!T6:'PSUT_2015'!V6)</f>
        <v>11.709600000000002</v>
      </c>
      <c r="W80" s="1025">
        <f>+(PSUT_2015!U6)</f>
        <v>11.709600000000002</v>
      </c>
      <c r="X80" s="1025">
        <f>+(PSUT_2015!V6)</f>
        <v>0</v>
      </c>
      <c r="Y80" s="1025">
        <f>+(PSUT_2015!W6)</f>
        <v>14316588.392651882</v>
      </c>
      <c r="Z80" s="1025">
        <f>+(PSUT_2015!X6)</f>
        <v>41034.76146704804</v>
      </c>
      <c r="AA80" s="1025">
        <f>+(PSUT_2015!AA6)</f>
        <v>14357623.154118931</v>
      </c>
    </row>
    <row r="81" spans="1:27" x14ac:dyDescent="0.25">
      <c r="A81" s="1275"/>
      <c r="B81" s="1220" t="str">
        <f>+(PSUT_2015!B9)</f>
        <v>1 - Total abstraction (1.i+1.ii)</v>
      </c>
      <c r="D81" s="4">
        <f>Y81</f>
        <v>14316588.392651882</v>
      </c>
      <c r="E81" s="1025">
        <f>+(PSUT_2015!C9)</f>
        <v>13846587.983314097</v>
      </c>
      <c r="F81" s="1025">
        <f>+(PSUT_2015!D9)</f>
        <v>22449.851322900999</v>
      </c>
      <c r="G81" s="1025">
        <f>+(PSUT_2015!E9)</f>
        <v>24551.455500526612</v>
      </c>
      <c r="H81" s="1025">
        <f>+(PSUT_2015!F9)</f>
        <v>368457.53750127146</v>
      </c>
      <c r="I81" s="1025">
        <f>+(PSUT_2015!G9)</f>
        <v>53807.900497512448</v>
      </c>
      <c r="J81" s="1025">
        <f>+(PSUT_2015!H9)</f>
        <v>0</v>
      </c>
      <c r="K81" s="1025">
        <f>+(PSUT_2015!I9)</f>
        <v>0</v>
      </c>
      <c r="L81" s="1025">
        <f>+(PSUT_2015!J9)</f>
        <v>0</v>
      </c>
      <c r="M81" s="1025">
        <f>+(PSUT_2015!K9)</f>
        <v>0</v>
      </c>
      <c r="N81" s="1025">
        <f>+(PSUT_2015!L9)</f>
        <v>0</v>
      </c>
      <c r="O81" s="1025">
        <f>+(PSUT_2015!M9)</f>
        <v>0.06</v>
      </c>
      <c r="P81" s="1025">
        <f>+(PSUT_2015!N9)</f>
        <v>0</v>
      </c>
      <c r="Q81" s="1025">
        <f>+(PSUT_2015!O9)</f>
        <v>0</v>
      </c>
      <c r="R81" s="1025">
        <f>+(PSUT_2015!P9)</f>
        <v>0</v>
      </c>
      <c r="S81" s="1025">
        <f>+(PSUT_2015!Q9)</f>
        <v>0</v>
      </c>
      <c r="T81" s="1025">
        <f>+(PSUT_2015!R9)</f>
        <v>133.11539999999999</v>
      </c>
      <c r="U81" s="1025">
        <f>+(PSUT_2015!S9)</f>
        <v>588.7795155737706</v>
      </c>
      <c r="V81" s="1025">
        <f>+SUM(PSUT_2015!T9:'PSUT_2015'!V9)</f>
        <v>11.709600000000002</v>
      </c>
      <c r="W81" s="1025">
        <f>+(PSUT_2015!U9)</f>
        <v>11.709600000000002</v>
      </c>
      <c r="X81" s="1025">
        <f>+(PSUT_2015!V9)</f>
        <v>0</v>
      </c>
      <c r="Y81" s="1025">
        <f>+(PSUT_2015!W9)</f>
        <v>14316588.392651882</v>
      </c>
      <c r="Z81" s="1025">
        <f>+(PSUT_2015!X9)</f>
        <v>41034.76146704804</v>
      </c>
      <c r="AA81" s="1025">
        <f>+(PSUT_2015!AA9)</f>
        <v>14357623.154118931</v>
      </c>
    </row>
    <row r="82" spans="1:27" x14ac:dyDescent="0.25">
      <c r="A82" s="1275"/>
      <c r="B82" s="1220" t="str">
        <f>+B83 &amp; " &amp; "&amp; B84</f>
        <v>1.i.1 Surface water &amp; 1.i.2 Groundwater</v>
      </c>
      <c r="D82" s="1025">
        <f>Y82</f>
        <v>675668.889519113</v>
      </c>
      <c r="E82" s="1025">
        <f>+SUM(PSUT_2015!C11,PSUT_2015!C16)</f>
        <v>227564.16488132768</v>
      </c>
      <c r="F82" s="1025">
        <f>+SUM(PSUT_2015!D11,PSUT_2015!D16)</f>
        <v>1090.051322901</v>
      </c>
      <c r="G82" s="1025">
        <f>+SUM(PSUT_2015!E11,PSUT_2015!E16)</f>
        <v>24523.255500526611</v>
      </c>
      <c r="H82" s="1025">
        <f>+SUM(PSUT_2015!F11,PSUT_2015!F16)</f>
        <v>368457.53750127146</v>
      </c>
      <c r="I82" s="1025">
        <f>+SUM(PSUT_2015!G11,PSUT_2015!G16)</f>
        <v>53807.900497512448</v>
      </c>
      <c r="J82" s="1025">
        <f>+SUM(PSUT_2015!H11,PSUT_2015!H16)</f>
        <v>0</v>
      </c>
      <c r="K82" s="1025">
        <f>+SUM(PSUT_2015!I11,PSUT_2015!I16)</f>
        <v>0</v>
      </c>
      <c r="L82" s="1025">
        <f>+SUM(PSUT_2015!J11,PSUT_2015!J16)</f>
        <v>0</v>
      </c>
      <c r="M82" s="1025">
        <f>+SUM(PSUT_2015!K11,PSUT_2015!K16)</f>
        <v>0</v>
      </c>
      <c r="N82" s="1025">
        <f>+SUM(PSUT_2015!L11,PSUT_2015!L16)</f>
        <v>0</v>
      </c>
      <c r="O82" s="1025">
        <f>+SUM(PSUT_2015!M11,PSUT_2015!M16)</f>
        <v>0</v>
      </c>
      <c r="P82" s="1025">
        <f>+SUM(PSUT_2015!N11,PSUT_2015!N16)</f>
        <v>0</v>
      </c>
      <c r="Q82" s="1025">
        <f>+SUM(PSUT_2015!O11,PSUT_2015!O16)</f>
        <v>0</v>
      </c>
      <c r="R82" s="1025">
        <f>+SUM(PSUT_2015!P11,PSUT_2015!P16)</f>
        <v>0</v>
      </c>
      <c r="S82" s="1025">
        <f>+SUM(PSUT_2015!Q11,PSUT_2015!Q16)</f>
        <v>0</v>
      </c>
      <c r="T82" s="1025">
        <f>+SUM(PSUT_2015!R11,PSUT_2015!R16)</f>
        <v>133.11539999999999</v>
      </c>
      <c r="U82" s="1025">
        <f>+SUM(PSUT_2015!S11,PSUT_2015!S16)</f>
        <v>90.790815573770487</v>
      </c>
      <c r="V82" s="1025">
        <f>+SUM(PSUT_2015!T11,PSUT_2015!T16)</f>
        <v>0</v>
      </c>
      <c r="W82" s="1025">
        <f>+SUM(PSUT_2015!U11,PSUT_2015!U16)</f>
        <v>2.0736000000000003</v>
      </c>
      <c r="X82" s="1025">
        <f>+SUM(PSUT_2015!V11,PSUT_2015!V16)</f>
        <v>0</v>
      </c>
      <c r="Y82" s="1025">
        <f>+SUM(PSUT_2015!W11,PSUT_2015!W16)</f>
        <v>675668.889519113</v>
      </c>
      <c r="Z82" s="1025">
        <f>+SUM(PSUT_2015!X11,PSUT_2015!X16)</f>
        <v>40484.76146704804</v>
      </c>
      <c r="AA82" s="1025">
        <f>+SUM(PSUT_2015!AA11,PSUT_2015!AA16)</f>
        <v>716153.65098616108</v>
      </c>
    </row>
    <row r="83" spans="1:27" x14ac:dyDescent="0.25">
      <c r="A83" s="1275"/>
      <c r="B83" s="1220" t="str">
        <f>+(PSUT_2015!B11)</f>
        <v>1.i.1 Surface water</v>
      </c>
      <c r="D83" s="1295"/>
      <c r="E83" s="1025">
        <f>+(PSUT_2015!C11)</f>
        <v>213589.91369091149</v>
      </c>
      <c r="F83" s="1025">
        <f>+(PSUT_2015!D11)</f>
        <v>1026.2631929010001</v>
      </c>
      <c r="G83" s="1025">
        <f>+(PSUT_2015!E11)</f>
        <v>15398.58474661503</v>
      </c>
      <c r="H83" s="1025">
        <f>+(PSUT_2015!F11)</f>
        <v>368457.53750127146</v>
      </c>
      <c r="I83" s="1025">
        <f>+(PSUT_2015!G11)</f>
        <v>41642.371781681206</v>
      </c>
      <c r="J83" s="1025">
        <f>+(PSUT_2015!H11)</f>
        <v>0</v>
      </c>
      <c r="K83" s="1025">
        <f>+(PSUT_2015!I11)</f>
        <v>0</v>
      </c>
      <c r="L83" s="1025">
        <f>+(PSUT_2015!J11)</f>
        <v>0</v>
      </c>
      <c r="M83" s="1025">
        <f>+(PSUT_2015!K11)</f>
        <v>0</v>
      </c>
      <c r="N83" s="1025">
        <f>+(PSUT_2015!L11)</f>
        <v>0</v>
      </c>
      <c r="O83" s="1025">
        <f>+(PSUT_2015!M11)</f>
        <v>0</v>
      </c>
      <c r="P83" s="1025">
        <f>+(PSUT_2015!N11)</f>
        <v>0</v>
      </c>
      <c r="Q83" s="1025">
        <f>+(PSUT_2015!O11)</f>
        <v>0</v>
      </c>
      <c r="R83" s="1025">
        <f>+(PSUT_2015!P11)</f>
        <v>0</v>
      </c>
      <c r="S83" s="1025">
        <f>+(PSUT_2015!Q11)</f>
        <v>0</v>
      </c>
      <c r="T83" s="1025">
        <f>+(PSUT_2015!R11)</f>
        <v>0</v>
      </c>
      <c r="U83" s="1025">
        <f>+(PSUT_2015!S11)</f>
        <v>0</v>
      </c>
      <c r="V83" s="1025">
        <f>+SUM(PSUT_2015!T11:'PSUT_2015'!V11)</f>
        <v>2.0736000000000003</v>
      </c>
      <c r="W83" s="1025">
        <f>+(PSUT_2015!U11)</f>
        <v>2.0736000000000003</v>
      </c>
      <c r="X83" s="1025">
        <f>+(PSUT_2015!V11)</f>
        <v>0</v>
      </c>
      <c r="Y83" s="1025">
        <f>+(PSUT_2015!W11)</f>
        <v>640116.74451338022</v>
      </c>
      <c r="Z83" s="1025">
        <f>+(PSUT_2015!X11)</f>
        <v>11301.61393034826</v>
      </c>
      <c r="AA83" s="1025">
        <f>+(PSUT_2015!AA11)</f>
        <v>651418.35844372853</v>
      </c>
    </row>
    <row r="84" spans="1:27" x14ac:dyDescent="0.25">
      <c r="A84" s="1275"/>
      <c r="B84" s="1220" t="str">
        <f>+(PSUT_2015!B16)</f>
        <v>1.i.2 Groundwater</v>
      </c>
      <c r="D84" s="1025"/>
      <c r="E84" s="1025">
        <f>+(PSUT_2015!C16)</f>
        <v>13974.251190416202</v>
      </c>
      <c r="F84" s="1025">
        <f>+(PSUT_2015!D16)</f>
        <v>63.788130000000002</v>
      </c>
      <c r="G84" s="1025">
        <f>+(PSUT_2015!E16)</f>
        <v>9124.6707539115796</v>
      </c>
      <c r="H84" s="1025">
        <f>+(PSUT_2015!F16)</f>
        <v>0</v>
      </c>
      <c r="I84" s="1025">
        <f>+(PSUT_2015!G16)</f>
        <v>12165.528715831242</v>
      </c>
      <c r="J84" s="1025">
        <f>+(PSUT_2015!H16)</f>
        <v>0</v>
      </c>
      <c r="K84" s="1025">
        <f>+(PSUT_2015!I16)</f>
        <v>0</v>
      </c>
      <c r="L84" s="1025">
        <f>+(PSUT_2015!J16)</f>
        <v>0</v>
      </c>
      <c r="M84" s="1025">
        <f>+(PSUT_2015!K16)</f>
        <v>0</v>
      </c>
      <c r="N84" s="1025">
        <f>+(PSUT_2015!L16)</f>
        <v>0</v>
      </c>
      <c r="O84" s="1025">
        <f>+(PSUT_2015!M16)</f>
        <v>0</v>
      </c>
      <c r="P84" s="1025">
        <f>+(PSUT_2015!N16)</f>
        <v>0</v>
      </c>
      <c r="Q84" s="1025">
        <f>+(PSUT_2015!O16)</f>
        <v>0</v>
      </c>
      <c r="R84" s="1025">
        <f>+(PSUT_2015!P16)</f>
        <v>0</v>
      </c>
      <c r="S84" s="1025">
        <f>+(PSUT_2015!Q16)</f>
        <v>0</v>
      </c>
      <c r="T84" s="1025">
        <f>+(PSUT_2015!R16)</f>
        <v>133.11539999999999</v>
      </c>
      <c r="U84" s="1025">
        <f>+(PSUT_2015!S16)</f>
        <v>90.790815573770487</v>
      </c>
      <c r="V84" s="1025">
        <f>+SUM(PSUT_2015!T16:'PSUT_2015'!V16)</f>
        <v>0</v>
      </c>
      <c r="W84" s="1025">
        <f>+(PSUT_2015!U16)</f>
        <v>0</v>
      </c>
      <c r="X84" s="1025">
        <f>+(PSUT_2015!V16)</f>
        <v>0</v>
      </c>
      <c r="Y84" s="1025">
        <f>+(PSUT_2015!W16)</f>
        <v>35552.145005732797</v>
      </c>
      <c r="Z84" s="1025">
        <f>+(PSUT_2015!X16)</f>
        <v>29183.147536699777</v>
      </c>
      <c r="AA84" s="1025">
        <f>+(PSUT_2015!AA16)</f>
        <v>64735.292542432573</v>
      </c>
    </row>
    <row r="85" spans="1:27" x14ac:dyDescent="0.25">
      <c r="A85" s="1275"/>
      <c r="B85" s="1220" t="str">
        <f>+(PSUT_2015!B19)</f>
        <v>1.i.3 Soil water (green water)</v>
      </c>
      <c r="D85" s="1025">
        <f>Y85</f>
        <v>13618216.818432769</v>
      </c>
      <c r="E85" s="1025">
        <f>+(PSUT_2015!C19)</f>
        <v>13618216.818432769</v>
      </c>
      <c r="F85" s="1025">
        <f>+(PSUT_2015!D19)</f>
        <v>0</v>
      </c>
      <c r="G85" s="1025">
        <f>+(PSUT_2015!E19)</f>
        <v>0</v>
      </c>
      <c r="H85" s="1025">
        <f>+(PSUT_2015!F19)</f>
        <v>0</v>
      </c>
      <c r="I85" s="1025">
        <f>+(PSUT_2015!G19)</f>
        <v>0</v>
      </c>
      <c r="J85" s="1025">
        <f>+(PSUT_2015!H19)</f>
        <v>0</v>
      </c>
      <c r="K85" s="1025">
        <f>+(PSUT_2015!I19)</f>
        <v>0</v>
      </c>
      <c r="L85" s="1025">
        <f>+(PSUT_2015!J19)</f>
        <v>0</v>
      </c>
      <c r="M85" s="1025">
        <f>+(PSUT_2015!K19)</f>
        <v>0</v>
      </c>
      <c r="N85" s="1025">
        <f>+(PSUT_2015!L19)</f>
        <v>0</v>
      </c>
      <c r="O85" s="1025">
        <f>+(PSUT_2015!M19)</f>
        <v>0</v>
      </c>
      <c r="P85" s="1025">
        <f>+(PSUT_2015!N19)</f>
        <v>0</v>
      </c>
      <c r="Q85" s="1025">
        <f>+(PSUT_2015!O19)</f>
        <v>0</v>
      </c>
      <c r="R85" s="1025">
        <f>+(PSUT_2015!P19)</f>
        <v>0</v>
      </c>
      <c r="S85" s="1025">
        <f>+(PSUT_2015!Q19)</f>
        <v>0</v>
      </c>
      <c r="T85" s="1025">
        <f>+(PSUT_2015!R19)</f>
        <v>0</v>
      </c>
      <c r="U85" s="1025">
        <f>+(PSUT_2015!S19)</f>
        <v>0</v>
      </c>
      <c r="V85" s="1025">
        <f>+SUM(PSUT_2015!T19:'PSUT_2015'!V19)</f>
        <v>0</v>
      </c>
      <c r="W85" s="1025">
        <f>+(PSUT_2015!U19)</f>
        <v>0</v>
      </c>
      <c r="X85" s="1025">
        <f>+(PSUT_2015!V19)</f>
        <v>0</v>
      </c>
      <c r="Y85" s="1025">
        <f>+(PSUT_2015!W19)</f>
        <v>13618216.818432769</v>
      </c>
      <c r="Z85" s="1025">
        <f>+(PSUT_2015!X19)</f>
        <v>0</v>
      </c>
      <c r="AA85" s="1025">
        <f>+(PSUT_2015!AA19)</f>
        <v>13618216.818432769</v>
      </c>
    </row>
    <row r="86" spans="1:27" x14ac:dyDescent="0.25">
      <c r="A86" s="1275"/>
      <c r="B86" s="1220" t="str">
        <f>+(PSUT_2015!B20)</f>
        <v xml:space="preserve">1.ii From other sources </v>
      </c>
      <c r="D86" s="1025"/>
      <c r="E86" s="1025">
        <f>+(PSUT_2015!C20)</f>
        <v>807</v>
      </c>
      <c r="F86" s="1025">
        <f>+(PSUT_2015!D20)</f>
        <v>21359.8</v>
      </c>
      <c r="G86" s="1025">
        <f>+(PSUT_2015!E20)</f>
        <v>28.2</v>
      </c>
      <c r="H86" s="1025">
        <f>+(PSUT_2015!F20)</f>
        <v>0</v>
      </c>
      <c r="I86" s="1025">
        <f>+(PSUT_2015!G20)</f>
        <v>0</v>
      </c>
      <c r="J86" s="1025">
        <f>+(PSUT_2015!H20)</f>
        <v>0</v>
      </c>
      <c r="K86" s="1025">
        <f>+(PSUT_2015!I20)</f>
        <v>0</v>
      </c>
      <c r="L86" s="1025">
        <f>+(PSUT_2015!J20)</f>
        <v>0</v>
      </c>
      <c r="M86" s="1025">
        <f>+(PSUT_2015!K20)</f>
        <v>0</v>
      </c>
      <c r="N86" s="1025">
        <f>+(PSUT_2015!L20)</f>
        <v>0</v>
      </c>
      <c r="O86" s="1025">
        <f>+(PSUT_2015!M20)</f>
        <v>0.06</v>
      </c>
      <c r="P86" s="1025">
        <f>+(PSUT_2015!N20)</f>
        <v>0</v>
      </c>
      <c r="Q86" s="1025">
        <f>+(PSUT_2015!O20)</f>
        <v>0</v>
      </c>
      <c r="R86" s="1025">
        <f>+(PSUT_2015!P20)</f>
        <v>0</v>
      </c>
      <c r="S86" s="1025">
        <f>+(PSUT_2015!Q20)</f>
        <v>0</v>
      </c>
      <c r="T86" s="1025">
        <f>+(PSUT_2015!R20)</f>
        <v>0</v>
      </c>
      <c r="U86" s="1025">
        <f>+(PSUT_2015!S20)</f>
        <v>497.98870000000005</v>
      </c>
      <c r="V86" s="1025">
        <f>+SUM(PSUT_2015!T20:'PSUT_2015'!V20)</f>
        <v>9.636000000000001</v>
      </c>
      <c r="W86" s="1025">
        <f>+(PSUT_2015!U20)</f>
        <v>9.636000000000001</v>
      </c>
      <c r="X86" s="1025">
        <f>+(PSUT_2015!V20)</f>
        <v>0</v>
      </c>
      <c r="Y86" s="1025">
        <f>+(PSUT_2015!W20)</f>
        <v>22702.684700000002</v>
      </c>
      <c r="Z86" s="1025">
        <f>+(PSUT_2015!X20)</f>
        <v>550</v>
      </c>
      <c r="AA86" s="1025">
        <f>+(PSUT_2015!AA20)</f>
        <v>23252.684700000002</v>
      </c>
    </row>
    <row r="87" spans="1:27" x14ac:dyDescent="0.25">
      <c r="A87" s="1275"/>
      <c r="B87" s="1220" t="str">
        <f>+(PSUT_2015!B21)</f>
        <v>1.ii.1 Collection of precipitation (rainwater harvesting; ..)</v>
      </c>
      <c r="D87" s="1025"/>
      <c r="E87" s="1025">
        <f>+(PSUT_2015!C21)</f>
        <v>807</v>
      </c>
      <c r="F87" s="1025">
        <f>+(PSUT_2015!D21)</f>
        <v>21359.8</v>
      </c>
      <c r="G87" s="1025">
        <f>+(PSUT_2015!E21)</f>
        <v>28.2</v>
      </c>
      <c r="H87" s="1025">
        <f>+(PSUT_2015!F21)</f>
        <v>0</v>
      </c>
      <c r="I87" s="1025">
        <f>+(PSUT_2015!G21)</f>
        <v>0</v>
      </c>
      <c r="J87" s="1025">
        <f>+(PSUT_2015!H21)</f>
        <v>0</v>
      </c>
      <c r="K87" s="1025">
        <f>+(PSUT_2015!I21)</f>
        <v>0</v>
      </c>
      <c r="L87" s="1025">
        <f>+(PSUT_2015!J21)</f>
        <v>0</v>
      </c>
      <c r="M87" s="1025">
        <f>+(PSUT_2015!K21)</f>
        <v>0</v>
      </c>
      <c r="N87" s="1025">
        <f>+(PSUT_2015!L21)</f>
        <v>0</v>
      </c>
      <c r="O87" s="1025">
        <f>+(PSUT_2015!M21)</f>
        <v>0.06</v>
      </c>
      <c r="P87" s="1025">
        <f>+(PSUT_2015!N21)</f>
        <v>0</v>
      </c>
      <c r="Q87" s="1025">
        <f>+(PSUT_2015!O21)</f>
        <v>0</v>
      </c>
      <c r="R87" s="1025">
        <f>+(PSUT_2015!P21)</f>
        <v>0</v>
      </c>
      <c r="S87" s="1025">
        <f>+(PSUT_2015!Q21)</f>
        <v>0</v>
      </c>
      <c r="T87" s="1025">
        <f>+(PSUT_2015!R21)</f>
        <v>0</v>
      </c>
      <c r="U87" s="1025">
        <f>+(PSUT_2015!S21)</f>
        <v>497.98870000000005</v>
      </c>
      <c r="V87" s="1025">
        <f>+SUM(PSUT_2015!T21:'PSUT_2015'!V21)</f>
        <v>9.636000000000001</v>
      </c>
      <c r="W87" s="1025">
        <f>+(PSUT_2015!U21)</f>
        <v>9.636000000000001</v>
      </c>
      <c r="X87" s="1025">
        <f>+(PSUT_2015!V21)</f>
        <v>0</v>
      </c>
      <c r="Y87" s="1025">
        <f>+(PSUT_2015!W21)</f>
        <v>22702.684700000002</v>
      </c>
      <c r="Z87" s="1025">
        <f>+(PSUT_2015!X21)</f>
        <v>550</v>
      </c>
      <c r="AA87" s="1025">
        <f>+(PSUT_2015!AA21)</f>
        <v>23252.684700000002</v>
      </c>
    </row>
    <row r="88" spans="1:27" x14ac:dyDescent="0.25">
      <c r="A88" s="1221"/>
      <c r="B88" s="1220" t="str">
        <f>+(PSUT_2015!B22)</f>
        <v>1.ii.2 Abstraction from the sea</v>
      </c>
      <c r="D88" s="1025"/>
      <c r="E88" s="1025">
        <f>+(PSUT_2015!C22)</f>
        <v>0</v>
      </c>
      <c r="F88" s="1025">
        <f>+(PSUT_2015!D22)</f>
        <v>0</v>
      </c>
      <c r="G88" s="1025">
        <f>+(PSUT_2015!E22)</f>
        <v>0</v>
      </c>
      <c r="H88" s="1025">
        <f>+(PSUT_2015!F22)</f>
        <v>0</v>
      </c>
      <c r="I88" s="1025">
        <f>+(PSUT_2015!G22)</f>
        <v>0</v>
      </c>
      <c r="J88" s="1025">
        <f>+(PSUT_2015!H22)</f>
        <v>0</v>
      </c>
      <c r="K88" s="1025">
        <f>+(PSUT_2015!I22)</f>
        <v>0</v>
      </c>
      <c r="L88" s="1025">
        <f>+(PSUT_2015!J22)</f>
        <v>0</v>
      </c>
      <c r="M88" s="1025">
        <f>+(PSUT_2015!K22)</f>
        <v>0</v>
      </c>
      <c r="N88" s="1025">
        <f>+(PSUT_2015!L22)</f>
        <v>0</v>
      </c>
      <c r="O88" s="1025">
        <f>+(PSUT_2015!M22)</f>
        <v>0</v>
      </c>
      <c r="P88" s="1025">
        <f>+(PSUT_2015!N22)</f>
        <v>0</v>
      </c>
      <c r="Q88" s="1025">
        <f>+(PSUT_2015!O22)</f>
        <v>0</v>
      </c>
      <c r="R88" s="1025">
        <f>+(PSUT_2015!P22)</f>
        <v>0</v>
      </c>
      <c r="S88" s="1025">
        <f>+(PSUT_2015!Q22)</f>
        <v>0</v>
      </c>
      <c r="T88" s="1025">
        <f>+(PSUT_2015!R22)</f>
        <v>0</v>
      </c>
      <c r="U88" s="1025">
        <f>+(PSUT_2015!S22)</f>
        <v>0</v>
      </c>
      <c r="V88" s="1025">
        <f>+SUM(PSUT_2015!T22:'PSUT_2015'!V22)</f>
        <v>0</v>
      </c>
      <c r="W88" s="1025">
        <f>+(PSUT_2015!U22)</f>
        <v>0</v>
      </c>
      <c r="X88" s="1025">
        <f>+(PSUT_2015!V22)</f>
        <v>0</v>
      </c>
      <c r="Y88" s="1025">
        <f>+(PSUT_2015!W22)</f>
        <v>0</v>
      </c>
      <c r="Z88" s="1025">
        <f>+(PSUT_2015!X22)</f>
        <v>0</v>
      </c>
      <c r="AA88" s="1025">
        <f>+(PSUT_2015!AA22)</f>
        <v>0</v>
      </c>
    </row>
    <row r="89" spans="1:27" x14ac:dyDescent="0.25">
      <c r="A89" s="1221"/>
      <c r="B89" s="1220" t="str">
        <f>+(PSUT_2015!B23)</f>
        <v>2. Use of water received from other economic units</v>
      </c>
      <c r="D89" s="1025"/>
      <c r="E89" s="1025">
        <f>+(PSUT_2015!C23)</f>
        <v>90250</v>
      </c>
      <c r="F89" s="1025">
        <f>+(PSUT_2015!D23)</f>
        <v>0</v>
      </c>
      <c r="G89" s="1025">
        <f>+(PSUT_2015!E23)</f>
        <v>642763.78523033194</v>
      </c>
      <c r="H89" s="1025">
        <f>+(PSUT_2015!F23)</f>
        <v>0</v>
      </c>
      <c r="I89" s="1025">
        <f>+(PSUT_2015!G23)</f>
        <v>0</v>
      </c>
      <c r="J89" s="1025">
        <f>+(PSUT_2015!H23)</f>
        <v>0</v>
      </c>
      <c r="K89" s="1025">
        <f>+(PSUT_2015!I23)</f>
        <v>0</v>
      </c>
      <c r="L89" s="1025">
        <f>+(PSUT_2015!J23)</f>
        <v>0</v>
      </c>
      <c r="M89" s="1025">
        <f>+(PSUT_2015!K23)</f>
        <v>16672.61</v>
      </c>
      <c r="N89" s="1025">
        <f>+(PSUT_2015!L23)</f>
        <v>0</v>
      </c>
      <c r="O89" s="1025">
        <f>+(PSUT_2015!M23)</f>
        <v>76.030545405347283</v>
      </c>
      <c r="P89" s="1025">
        <f>+(PSUT_2015!N23)</f>
        <v>0</v>
      </c>
      <c r="Q89" s="1025">
        <f>+(PSUT_2015!O23)</f>
        <v>0</v>
      </c>
      <c r="R89" s="1025">
        <f>+(PSUT_2015!P23)</f>
        <v>0</v>
      </c>
      <c r="S89" s="1025">
        <f>+(PSUT_2015!Q23)</f>
        <v>0</v>
      </c>
      <c r="T89" s="1025">
        <f>+(PSUT_2015!R23)</f>
        <v>224372.33</v>
      </c>
      <c r="U89" s="1025">
        <f>+(PSUT_2015!S23)</f>
        <v>3720.9427500000002</v>
      </c>
      <c r="V89" s="1025">
        <f>+SUM(PSUT_2015!T23:'PSUT_2015'!V23)</f>
        <v>131.69367175295594</v>
      </c>
      <c r="W89" s="1025">
        <f>+(PSUT_2015!U23)</f>
        <v>131.69367175295594</v>
      </c>
      <c r="X89" s="1025">
        <f>+(PSUT_2015!V23)</f>
        <v>0</v>
      </c>
      <c r="Y89" s="1025">
        <f>+(PSUT_2015!W23)</f>
        <v>977987.3921974902</v>
      </c>
      <c r="Z89" s="1025">
        <f>+(PSUT_2015!X23)</f>
        <v>176061</v>
      </c>
      <c r="AA89" s="1025">
        <f>+(PSUT_2015!AA23)</f>
        <v>1160562.9602874902</v>
      </c>
    </row>
    <row r="90" spans="1:27" x14ac:dyDescent="0.25">
      <c r="A90" s="1221"/>
      <c r="B90" s="1220" t="str">
        <f>+(PSUT_2015!A24)</f>
        <v>3. Total use of water (=1+2)</v>
      </c>
      <c r="D90" s="1025">
        <f>Y90</f>
        <v>15294575.784849372</v>
      </c>
      <c r="E90" s="1025">
        <f>+(PSUT_2015!C24)</f>
        <v>13936837.983314097</v>
      </c>
      <c r="F90" s="1025">
        <f>+(PSUT_2015!D24)</f>
        <v>22449.851322900999</v>
      </c>
      <c r="G90" s="1025">
        <f>+(PSUT_2015!E24)</f>
        <v>667315.24073085852</v>
      </c>
      <c r="H90" s="1025">
        <f>+(PSUT_2015!F24)</f>
        <v>368457.53750127146</v>
      </c>
      <c r="I90" s="1025">
        <f>+(PSUT_2015!G24)</f>
        <v>53807.900497512441</v>
      </c>
      <c r="J90" s="1025">
        <f>+(PSUT_2015!H24)</f>
        <v>0</v>
      </c>
      <c r="K90" s="1025">
        <f>+(PSUT_2015!I24)</f>
        <v>0</v>
      </c>
      <c r="L90" s="1025">
        <f>+(PSUT_2015!J24)</f>
        <v>0</v>
      </c>
      <c r="M90" s="1025">
        <f>+(PSUT_2015!K24)</f>
        <v>16672.61</v>
      </c>
      <c r="N90" s="1025">
        <f>+(PSUT_2015!L24)</f>
        <v>0</v>
      </c>
      <c r="O90" s="1025">
        <f>+(PSUT_2015!M24)</f>
        <v>76.090545405347285</v>
      </c>
      <c r="P90" s="1025">
        <f>+(PSUT_2015!N24)</f>
        <v>0</v>
      </c>
      <c r="Q90" s="1025">
        <f>+(PSUT_2015!O24)</f>
        <v>0</v>
      </c>
      <c r="R90" s="1025">
        <f>+(PSUT_2015!P24)</f>
        <v>0</v>
      </c>
      <c r="S90" s="1025">
        <f>+(PSUT_2015!Q24)</f>
        <v>0</v>
      </c>
      <c r="T90" s="1025">
        <f>+(PSUT_2015!R24)</f>
        <v>224505.4454</v>
      </c>
      <c r="U90" s="1025">
        <f>+(PSUT_2015!S24)</f>
        <v>4309.7222655737705</v>
      </c>
      <c r="V90" s="1025">
        <f>+SUM(PSUT_2015!T24:'PSUT_2015'!V24)</f>
        <v>143.40327175295593</v>
      </c>
      <c r="W90" s="1025">
        <f>+(PSUT_2015!U24)</f>
        <v>143.40327175295593</v>
      </c>
      <c r="X90" s="1025">
        <f>+(PSUT_2015!V24)</f>
        <v>0</v>
      </c>
      <c r="Y90" s="1025">
        <f>+(PSUT_2015!W24)</f>
        <v>15294575.784849372</v>
      </c>
      <c r="Z90" s="1025">
        <f>+(PSUT_2015!X24)</f>
        <v>217095.76146704803</v>
      </c>
      <c r="AA90" s="1025">
        <f>+(PSUT_2015!AA24)</f>
        <v>15518186.11440642</v>
      </c>
    </row>
    <row r="91" spans="1:27" x14ac:dyDescent="0.25">
      <c r="A91" s="1221"/>
      <c r="B91" s="1220" t="str">
        <f>+(PSUT_2015!B35)</f>
        <v>4. Supply of water to other economic units</v>
      </c>
      <c r="D91" s="1025"/>
      <c r="E91" s="1025">
        <f>+(PSUT_2015!C35)</f>
        <v>0</v>
      </c>
      <c r="F91" s="1025">
        <f>+(PSUT_2015!D35)</f>
        <v>21327.358756755948</v>
      </c>
      <c r="G91" s="1025">
        <f>+(PSUT_2015!E35)</f>
        <v>816.87563283886971</v>
      </c>
      <c r="H91" s="1025">
        <f>+(PSUT_2015!F35)</f>
        <v>0</v>
      </c>
      <c r="I91" s="1025">
        <f>+(PSUT_2015!G35)</f>
        <v>0</v>
      </c>
      <c r="J91" s="1025">
        <f>+(PSUT_2015!H35)</f>
        <v>0</v>
      </c>
      <c r="K91" s="1025">
        <f>+(PSUT_2015!I35)</f>
        <v>0</v>
      </c>
      <c r="L91" s="1025">
        <f>+(PSUT_2015!J35)</f>
        <v>0</v>
      </c>
      <c r="M91" s="1025">
        <f>+(PSUT_2015!K35)</f>
        <v>12671.183667903779</v>
      </c>
      <c r="N91" s="1025">
        <f>+(PSUT_2015!L35)</f>
        <v>0</v>
      </c>
      <c r="O91" s="1025">
        <f>+(PSUT_2015!M35)</f>
        <v>5.6106036082474233</v>
      </c>
      <c r="P91" s="1025">
        <f>+(PSUT_2015!N35)</f>
        <v>0</v>
      </c>
      <c r="Q91" s="1025">
        <f>+(PSUT_2015!O35)</f>
        <v>0</v>
      </c>
      <c r="R91" s="1025">
        <f>+(PSUT_2015!P35)</f>
        <v>0</v>
      </c>
      <c r="S91" s="1025">
        <f>+(PSUT_2015!Q35)</f>
        <v>0</v>
      </c>
      <c r="T91" s="1025">
        <f>+(PSUT_2015!R35)</f>
        <v>0</v>
      </c>
      <c r="U91" s="1025">
        <f>+(PSUT_2015!S35)</f>
        <v>0</v>
      </c>
      <c r="V91" s="1025">
        <f>+SUM(PSUT_2015!T35:'PSUT_2015'!V35)</f>
        <v>0</v>
      </c>
      <c r="W91" s="1025">
        <f>+(PSUT_2015!U35)</f>
        <v>0</v>
      </c>
      <c r="X91" s="1025">
        <f>+(PSUT_2015!V35)</f>
        <v>0</v>
      </c>
      <c r="Y91" s="1025">
        <f>+(PSUT_2015!W35)</f>
        <v>34821.028661106844</v>
      </c>
      <c r="Z91" s="1025">
        <f>+(PSUT_2015!X35)</f>
        <v>0</v>
      </c>
      <c r="AA91" s="1025">
        <f>+(PSUT_2015!AA35)</f>
        <v>34821.028661106844</v>
      </c>
    </row>
    <row r="92" spans="1:27" x14ac:dyDescent="0.25">
      <c r="A92" s="1222"/>
      <c r="B92" s="1220" t="str">
        <f>+(PSUT_2015!B38)</f>
        <v>5. Total returns (= 5.a+5.b)</v>
      </c>
      <c r="D92" s="4"/>
      <c r="E92" s="1025">
        <f>+(PSUT_2015!C38)</f>
        <v>1557982.4711064098</v>
      </c>
      <c r="F92" s="1025">
        <f>+(PSUT_2015!D38)</f>
        <v>54.219910499999997</v>
      </c>
      <c r="G92" s="1025">
        <f>+(PSUT_2015!E38)</f>
        <v>514699.26072578516</v>
      </c>
      <c r="H92" s="1025">
        <f>+(PSUT_2015!F38)</f>
        <v>350034.66062620789</v>
      </c>
      <c r="I92" s="1025">
        <f>+(PSUT_2015!G38)</f>
        <v>2570.3302400000002</v>
      </c>
      <c r="J92" s="1025">
        <f>+(PSUT_2015!H38)</f>
        <v>0</v>
      </c>
      <c r="K92" s="1025">
        <f>+(PSUT_2015!I38)</f>
        <v>0</v>
      </c>
      <c r="L92" s="1025">
        <f>+(PSUT_2015!J38)</f>
        <v>0</v>
      </c>
      <c r="M92" s="1025">
        <f>+(PSUT_2015!K38)</f>
        <v>301.01142363711335</v>
      </c>
      <c r="N92" s="1025">
        <f>+(PSUT_2015!L38)</f>
        <v>0</v>
      </c>
      <c r="O92" s="1025">
        <f>+(PSUT_2015!M38)</f>
        <v>56.868619657611163</v>
      </c>
      <c r="P92" s="1025">
        <f>+(PSUT_2015!N38)</f>
        <v>0</v>
      </c>
      <c r="Q92" s="1025">
        <f>+(PSUT_2015!O38)</f>
        <v>0</v>
      </c>
      <c r="R92" s="1025">
        <f>+(PSUT_2015!P38)</f>
        <v>0</v>
      </c>
      <c r="S92" s="1025">
        <f>+(PSUT_2015!Q38)</f>
        <v>0</v>
      </c>
      <c r="T92" s="1025">
        <f>+(PSUT_2015!R38)</f>
        <v>179497.86400000003</v>
      </c>
      <c r="U92" s="1025">
        <f>+(PSUT_2015!S38)</f>
        <v>3447.7778158871602</v>
      </c>
      <c r="V92" s="1025">
        <f>+SUM(PSUT_2015!T38:'PSUT_2015'!V38)</f>
        <v>10.714873014735879</v>
      </c>
      <c r="W92" s="1025">
        <f>+(PSUT_2015!U38)</f>
        <v>10.714873014735879</v>
      </c>
      <c r="X92" s="1025">
        <f>+(PSUT_2015!V38)</f>
        <v>0</v>
      </c>
      <c r="Y92" s="1025">
        <f>+(PSUT_2015!W38)</f>
        <v>2608655.1793411002</v>
      </c>
      <c r="Z92" s="1025">
        <f>+(PSUT_2015!X38)</f>
        <v>82781</v>
      </c>
      <c r="AA92" s="1025">
        <f>+(PSUT_2015!AA38)</f>
        <v>2696647.8338164063</v>
      </c>
    </row>
    <row r="93" spans="1:27" x14ac:dyDescent="0.25">
      <c r="A93" s="1222"/>
      <c r="B93" s="1220" t="str">
        <f>+(PSUT_2015!A44)</f>
        <v>6. Total supply of water (= 4+5)</v>
      </c>
      <c r="D93" s="4"/>
      <c r="E93" s="1025">
        <f>+(PSUT_2015!C44)</f>
        <v>1557982.4711064098</v>
      </c>
      <c r="F93" s="1025">
        <f>+(PSUT_2015!D44)</f>
        <v>21381.578667255948</v>
      </c>
      <c r="G93" s="1025">
        <f>+(PSUT_2015!E44)</f>
        <v>515516.13635862403</v>
      </c>
      <c r="H93" s="1025">
        <f>+(PSUT_2015!F44)</f>
        <v>350034.66062620789</v>
      </c>
      <c r="I93" s="1025">
        <f>+(PSUT_2015!G44)</f>
        <v>2570.3302400000002</v>
      </c>
      <c r="J93" s="1025">
        <f>+(PSUT_2015!H44)</f>
        <v>0</v>
      </c>
      <c r="K93" s="1025">
        <f>+(PSUT_2015!I44)</f>
        <v>0</v>
      </c>
      <c r="L93" s="1025">
        <f>+(PSUT_2015!J44)</f>
        <v>0</v>
      </c>
      <c r="M93" s="1025">
        <f>+(PSUT_2015!K44)</f>
        <v>12972.195091540892</v>
      </c>
      <c r="N93" s="1025">
        <f>+(PSUT_2015!L44)</f>
        <v>0</v>
      </c>
      <c r="O93" s="1025">
        <f>+(PSUT_2015!M44)</f>
        <v>62.479223265858586</v>
      </c>
      <c r="P93" s="1025">
        <f>+(PSUT_2015!N44)</f>
        <v>0</v>
      </c>
      <c r="Q93" s="1025">
        <f>+(PSUT_2015!O44)</f>
        <v>0</v>
      </c>
      <c r="R93" s="1025">
        <f>+(PSUT_2015!P44)</f>
        <v>0</v>
      </c>
      <c r="S93" s="1025">
        <f>+(PSUT_2015!Q44)</f>
        <v>0</v>
      </c>
      <c r="T93" s="1025">
        <f>+(PSUT_2015!R44)</f>
        <v>179497.86400000003</v>
      </c>
      <c r="U93" s="1025">
        <f>+(PSUT_2015!S44)</f>
        <v>3447.7778158871602</v>
      </c>
      <c r="V93" s="1025">
        <f>+SUM(PSUT_2015!T44:'PSUT_2015'!V44)</f>
        <v>10.714873014735879</v>
      </c>
      <c r="W93" s="1025">
        <f>+(PSUT_2015!U44)</f>
        <v>10.714873014735879</v>
      </c>
      <c r="X93" s="1025">
        <f>+(PSUT_2015!V44)</f>
        <v>0</v>
      </c>
      <c r="Y93" s="1025">
        <f>+(PSUT_2015!W44)</f>
        <v>2643476.2080022069</v>
      </c>
      <c r="Z93" s="1025">
        <f>+(PSUT_2015!X44)</f>
        <v>82781</v>
      </c>
      <c r="AA93" s="1025">
        <f>+(PSUT_2015!AA44)</f>
        <v>2731468.862477513</v>
      </c>
    </row>
    <row r="94" spans="1:27" x14ac:dyDescent="0.25">
      <c r="A94" s="1223"/>
      <c r="B94" s="1224" t="str">
        <f>+(PSUT_2015!A45)</f>
        <v>7. Consumption (3-6)</v>
      </c>
      <c r="C94" s="295"/>
      <c r="D94" s="1280">
        <f>Y94</f>
        <v>12651099.576847168</v>
      </c>
      <c r="E94" s="1028">
        <f>+(PSUT_2015!C45)</f>
        <v>12378855.512207687</v>
      </c>
      <c r="F94" s="1028">
        <f>+(PSUT_2015!D45)</f>
        <v>1068.2726556450507</v>
      </c>
      <c r="G94" s="1028">
        <f>+(PSUT_2015!E45)</f>
        <v>151799.10437223449</v>
      </c>
      <c r="H94" s="1195">
        <f>+(PSUT_2015!F45)</f>
        <v>18422.876875063579</v>
      </c>
      <c r="I94" s="1028">
        <f>+(PSUT_2015!G45)</f>
        <v>51237.570257512438</v>
      </c>
      <c r="J94" s="1028">
        <f>+(PSUT_2015!H45)</f>
        <v>0</v>
      </c>
      <c r="K94" s="1028">
        <f>+(PSUT_2015!I45)</f>
        <v>0</v>
      </c>
      <c r="L94" s="1028">
        <f>+(PSUT_2015!J45)</f>
        <v>0</v>
      </c>
      <c r="M94" s="1028">
        <f>+(PSUT_2015!K45)</f>
        <v>3700.4149084591081</v>
      </c>
      <c r="N94" s="1028">
        <f>+(PSUT_2015!L45)</f>
        <v>0</v>
      </c>
      <c r="O94" s="1028">
        <f>+(PSUT_2015!M45)</f>
        <v>13.611322139488699</v>
      </c>
      <c r="P94" s="1028">
        <f>+(PSUT_2015!N45)</f>
        <v>0</v>
      </c>
      <c r="Q94" s="1028">
        <f>+(PSUT_2015!O45)</f>
        <v>0</v>
      </c>
      <c r="R94" s="1028">
        <f>+(PSUT_2015!P45)</f>
        <v>0</v>
      </c>
      <c r="S94" s="1028">
        <f>+(PSUT_2015!Q45)</f>
        <v>0</v>
      </c>
      <c r="T94" s="1028">
        <f>+(PSUT_2015!R45)</f>
        <v>45007.581399999966</v>
      </c>
      <c r="U94" s="1028">
        <f>+(PSUT_2015!S45)</f>
        <v>861.94444968661037</v>
      </c>
      <c r="V94" s="1028">
        <f>+SUM(PSUT_2015!T45:'PSUT_2015'!V45)</f>
        <v>132.68839873822006</v>
      </c>
      <c r="W94" s="1028">
        <f>+(PSUT_2015!U45)</f>
        <v>132.68839873822006</v>
      </c>
      <c r="X94" s="1028">
        <f>+(PSUT_2015!V45)</f>
        <v>0</v>
      </c>
      <c r="Y94" s="1028">
        <f>+(PSUT_2015!W45)</f>
        <v>12651099.576847168</v>
      </c>
      <c r="Z94" s="1028">
        <f>+(PSUT_2015!X45)</f>
        <v>134314.76146704803</v>
      </c>
      <c r="AA94" s="1028">
        <f>+(PSUT_2015!AA45)</f>
        <v>12786717.251928911</v>
      </c>
    </row>
    <row r="95" spans="1:27" x14ac:dyDescent="0.25">
      <c r="D95" s="1284">
        <f>SUM(E94:G94,H95,I94:X94)</f>
        <v>15151232.265245905</v>
      </c>
      <c r="H95" s="1284">
        <f>H94+2500000</f>
        <v>2518422.8768750634</v>
      </c>
    </row>
    <row r="97" spans="1:27" x14ac:dyDescent="0.25">
      <c r="D97" s="1025"/>
    </row>
    <row r="98" spans="1:27" x14ac:dyDescent="0.25">
      <c r="A98">
        <f>A$22</f>
        <v>2012</v>
      </c>
      <c r="B98" t="str">
        <f>B$22</f>
        <v>From PSUT_2012: 'Wateruse category'</v>
      </c>
      <c r="C98" t="str">
        <f>C$22</f>
        <v>Check ISIC on PSUT</v>
      </c>
      <c r="D98" s="1025">
        <f>D$22</f>
        <v>0</v>
      </c>
      <c r="E98" s="1025" t="str">
        <f>E$22</f>
        <v xml:space="preserve">A. Agriculture, forestry and fishing </v>
      </c>
      <c r="F98" s="1025" t="str">
        <f t="shared" ref="F98:X98" si="3">F$22</f>
        <v xml:space="preserve">B. Mining and Quarrying </v>
      </c>
      <c r="G98" s="1025" t="str">
        <f t="shared" si="3"/>
        <v>C. Manufacturing</v>
      </c>
      <c r="H98" s="1025" t="str">
        <f t="shared" si="3"/>
        <v>D. Electricity, gas, steam and air conditioning supply</v>
      </c>
      <c r="I98" s="1025" t="str">
        <f t="shared" si="3"/>
        <v>E. Water supply (WASAC &amp; AquaVirunga)</v>
      </c>
      <c r="J98" s="1025" t="str">
        <f t="shared" si="3"/>
        <v>F. Construction</v>
      </c>
      <c r="K98" s="1025" t="str">
        <f t="shared" si="3"/>
        <v>G. Wholesale and retail trade; repair of motor vehicles and motorcycles</v>
      </c>
      <c r="L98" s="1025" t="str">
        <f t="shared" si="3"/>
        <v>H. Transportation and storage</v>
      </c>
      <c r="M98" s="1025" t="str">
        <f t="shared" si="3"/>
        <v>I. Accommodation and food service activities</v>
      </c>
      <c r="N98" s="1025" t="str">
        <f t="shared" si="3"/>
        <v>J. Information and communication</v>
      </c>
      <c r="O98" s="1025" t="str">
        <f t="shared" si="3"/>
        <v>K. Banking and insurance activities</v>
      </c>
      <c r="P98" s="1025" t="str">
        <f t="shared" si="3"/>
        <v>L. Real estate activities</v>
      </c>
      <c r="Q98" s="1025" t="str">
        <f t="shared" si="3"/>
        <v>M. Professional, scientific and technical activities</v>
      </c>
      <c r="R98" s="1025" t="str">
        <f t="shared" si="3"/>
        <v>N. Administrative and support service activities</v>
      </c>
      <c r="S98" s="1025" t="str">
        <f t="shared" si="3"/>
        <v>O. Public administration and defence; compulsory social security</v>
      </c>
      <c r="T98" s="1025" t="str">
        <f t="shared" si="3"/>
        <v>P. Education</v>
      </c>
      <c r="U98" s="1025" t="str">
        <f t="shared" si="3"/>
        <v xml:space="preserve">Q. Human health and social work activities </v>
      </c>
      <c r="V98" s="1025" t="str">
        <f t="shared" si="3"/>
        <v>R. Arts, entertainment and recreation</v>
      </c>
      <c r="W98" s="1025" t="str">
        <f t="shared" si="3"/>
        <v>S. Other service activities (Religious &amp; Burial)</v>
      </c>
      <c r="X98" s="1025" t="str">
        <f t="shared" si="3"/>
        <v>T. Activities of households as employers; undifferentiated goods- and services-producing activities of households for own use</v>
      </c>
      <c r="Y98" s="1025" t="str">
        <f>Y$22</f>
        <v xml:space="preserve">Total Production activities </v>
      </c>
      <c r="Z98" s="1025" t="str">
        <f>Z$22</f>
        <v>Households</v>
      </c>
      <c r="AA98" s="1025" t="str">
        <f>AA$22</f>
        <v xml:space="preserve">Total </v>
      </c>
    </row>
    <row r="99" spans="1:27" x14ac:dyDescent="0.25">
      <c r="A99">
        <f>A$22</f>
        <v>2012</v>
      </c>
      <c r="B99" s="1025" t="str">
        <f>B23</f>
        <v>1 - Total abstraction (=1.a+1.b = 1.i+1.ii)</v>
      </c>
      <c r="C99" s="1025"/>
      <c r="D99" s="1025">
        <f>(SUM(D23))</f>
        <v>13998421.908640916</v>
      </c>
      <c r="E99" s="1025">
        <f t="shared" ref="E99:X99" si="4">(SUM(E23))</f>
        <v>13563380.505039312</v>
      </c>
      <c r="F99" s="1025">
        <f t="shared" si="4"/>
        <v>22390.658857794173</v>
      </c>
      <c r="G99" s="1025">
        <f t="shared" si="4"/>
        <v>23638.124916130942</v>
      </c>
      <c r="H99" s="1025">
        <f t="shared" si="4"/>
        <v>335270.16889591428</v>
      </c>
      <c r="I99" s="1025">
        <f t="shared" si="4"/>
        <v>53008.786416190094</v>
      </c>
      <c r="J99" s="1025">
        <f t="shared" si="4"/>
        <v>0</v>
      </c>
      <c r="K99" s="1025">
        <f t="shared" si="4"/>
        <v>0</v>
      </c>
      <c r="L99" s="1025">
        <f t="shared" si="4"/>
        <v>0</v>
      </c>
      <c r="M99" s="1025">
        <f t="shared" si="4"/>
        <v>0</v>
      </c>
      <c r="N99" s="1025">
        <f t="shared" si="4"/>
        <v>0</v>
      </c>
      <c r="O99" s="1025">
        <f t="shared" si="4"/>
        <v>0.06</v>
      </c>
      <c r="P99" s="1025">
        <f t="shared" si="4"/>
        <v>0</v>
      </c>
      <c r="Q99" s="1025">
        <f t="shared" si="4"/>
        <v>0</v>
      </c>
      <c r="R99" s="1025">
        <f t="shared" si="4"/>
        <v>0</v>
      </c>
      <c r="S99" s="1025">
        <f t="shared" si="4"/>
        <v>0</v>
      </c>
      <c r="T99" s="1025">
        <f t="shared" si="4"/>
        <v>133.11539999999999</v>
      </c>
      <c r="U99" s="1025">
        <f t="shared" si="4"/>
        <v>588.7795155737706</v>
      </c>
      <c r="V99" s="1025">
        <f t="shared" si="4"/>
        <v>11.709600000000002</v>
      </c>
      <c r="W99" s="1025">
        <f t="shared" si="4"/>
        <v>11.709600000000002</v>
      </c>
      <c r="X99" s="1025">
        <f t="shared" si="4"/>
        <v>0</v>
      </c>
      <c r="Y99" s="1025"/>
      <c r="Z99" s="1025">
        <f>(SUM(Z23))</f>
        <v>40434.896439560478</v>
      </c>
      <c r="AA99" s="1025">
        <f>(SUM(AA23))</f>
        <v>14038856.805080475</v>
      </c>
    </row>
    <row r="100" spans="1:27" x14ac:dyDescent="0.25">
      <c r="A100">
        <f>A$41</f>
        <v>2013</v>
      </c>
      <c r="B100" s="1025" t="str">
        <f>B42</f>
        <v>1 - Total abstraction (=1.a+1.b = 1.i+1.ii)</v>
      </c>
      <c r="C100" s="1025"/>
      <c r="D100" s="1025">
        <f t="shared" ref="D100:X100" si="5">(SUM(D42))</f>
        <v>13456325.683733875</v>
      </c>
      <c r="E100" s="1025">
        <f t="shared" si="5"/>
        <v>13010018.946100427</v>
      </c>
      <c r="F100" s="1025">
        <f t="shared" si="5"/>
        <v>22410.000272350058</v>
      </c>
      <c r="G100" s="1025">
        <f t="shared" si="5"/>
        <v>23937.981051793297</v>
      </c>
      <c r="H100" s="1025">
        <f t="shared" si="5"/>
        <v>345951.26144545968</v>
      </c>
      <c r="I100" s="1025">
        <f t="shared" si="5"/>
        <v>53273.830348271033</v>
      </c>
      <c r="J100" s="1025">
        <f t="shared" si="5"/>
        <v>0</v>
      </c>
      <c r="K100" s="1025">
        <f t="shared" si="5"/>
        <v>0</v>
      </c>
      <c r="L100" s="1025">
        <f t="shared" si="5"/>
        <v>0</v>
      </c>
      <c r="M100" s="1025">
        <f t="shared" si="5"/>
        <v>0</v>
      </c>
      <c r="N100" s="1025">
        <f t="shared" si="5"/>
        <v>0</v>
      </c>
      <c r="O100" s="1025">
        <f t="shared" si="5"/>
        <v>0.06</v>
      </c>
      <c r="P100" s="1025">
        <f t="shared" si="5"/>
        <v>0</v>
      </c>
      <c r="Q100" s="1025">
        <f t="shared" si="5"/>
        <v>0</v>
      </c>
      <c r="R100" s="1025">
        <f t="shared" si="5"/>
        <v>0</v>
      </c>
      <c r="S100" s="1025">
        <f t="shared" si="5"/>
        <v>0</v>
      </c>
      <c r="T100" s="1025">
        <f t="shared" si="5"/>
        <v>133.11539999999999</v>
      </c>
      <c r="U100" s="1025">
        <f t="shared" si="5"/>
        <v>588.7795155737706</v>
      </c>
      <c r="V100" s="1025">
        <f t="shared" si="5"/>
        <v>11.709600000000002</v>
      </c>
      <c r="W100" s="1025">
        <f t="shared" si="5"/>
        <v>11.709600000000002</v>
      </c>
      <c r="X100" s="1025">
        <f t="shared" si="5"/>
        <v>0</v>
      </c>
      <c r="Y100" s="1025"/>
      <c r="Z100" s="1025">
        <f>(SUM(Z42))</f>
        <v>40632.696503402331</v>
      </c>
      <c r="AA100" s="1025">
        <f>(SUM(AA42))</f>
        <v>13496958.380237278</v>
      </c>
    </row>
    <row r="101" spans="1:27" x14ac:dyDescent="0.25">
      <c r="A101">
        <f>A$60</f>
        <v>2014</v>
      </c>
      <c r="B101" s="1025" t="str">
        <f>B61</f>
        <v>1 - Total abstraction (=1.a+1.b = 1.i+1.ii)</v>
      </c>
      <c r="C101" s="1025"/>
      <c r="D101" s="1025">
        <f t="shared" ref="D101:X101" si="6">(SUM(D61))</f>
        <v>13964802.992576756</v>
      </c>
      <c r="E101" s="1025">
        <f t="shared" si="6"/>
        <v>13506848.022465833</v>
      </c>
      <c r="F101" s="1025">
        <f t="shared" si="6"/>
        <v>22429.728515197057</v>
      </c>
      <c r="G101" s="1025">
        <f t="shared" si="6"/>
        <v>24242.398478108429</v>
      </c>
      <c r="H101" s="1025">
        <f t="shared" si="6"/>
        <v>357008.97910203272</v>
      </c>
      <c r="I101" s="1025">
        <f t="shared" si="6"/>
        <v>53540.199500012386</v>
      </c>
      <c r="J101" s="1025">
        <f t="shared" si="6"/>
        <v>0</v>
      </c>
      <c r="K101" s="1025">
        <f t="shared" si="6"/>
        <v>0</v>
      </c>
      <c r="L101" s="1025">
        <f t="shared" si="6"/>
        <v>0</v>
      </c>
      <c r="M101" s="1025">
        <f t="shared" si="6"/>
        <v>0</v>
      </c>
      <c r="N101" s="1025">
        <f t="shared" si="6"/>
        <v>0</v>
      </c>
      <c r="O101" s="1025">
        <f t="shared" si="6"/>
        <v>0.06</v>
      </c>
      <c r="P101" s="1025">
        <f t="shared" si="6"/>
        <v>0</v>
      </c>
      <c r="Q101" s="1025">
        <f t="shared" si="6"/>
        <v>0</v>
      </c>
      <c r="R101" s="1025">
        <f t="shared" si="6"/>
        <v>0</v>
      </c>
      <c r="S101" s="1025">
        <f t="shared" si="6"/>
        <v>0</v>
      </c>
      <c r="T101" s="1025">
        <f t="shared" si="6"/>
        <v>133.11539999999999</v>
      </c>
      <c r="U101" s="1025">
        <f t="shared" si="6"/>
        <v>588.7795155737706</v>
      </c>
      <c r="V101" s="1025">
        <f t="shared" si="6"/>
        <v>11.709600000000002</v>
      </c>
      <c r="W101" s="1025">
        <f t="shared" si="6"/>
        <v>11.709600000000002</v>
      </c>
      <c r="X101" s="1025">
        <f t="shared" si="6"/>
        <v>0</v>
      </c>
      <c r="Y101" s="1025"/>
      <c r="Z101" s="1025">
        <f>(SUM(Z61))</f>
        <v>40832.697923868138</v>
      </c>
      <c r="AA101" s="1025">
        <f>(SUM(AA61))</f>
        <v>14005635.690500624</v>
      </c>
    </row>
    <row r="102" spans="1:27" x14ac:dyDescent="0.25">
      <c r="A102">
        <f>A$79</f>
        <v>2015</v>
      </c>
      <c r="B102" s="1025" t="str">
        <f>B80</f>
        <v>1 - Total abstraction (=1.a+1.b = 1.i+1.ii)</v>
      </c>
      <c r="C102" s="1025"/>
      <c r="D102" s="1025">
        <f t="shared" ref="D102:X102" si="7">(SUM(D80))</f>
        <v>14316588.392651882</v>
      </c>
      <c r="E102" s="1025">
        <f t="shared" si="7"/>
        <v>13846587.983314097</v>
      </c>
      <c r="F102" s="1025">
        <f t="shared" si="7"/>
        <v>22449.851322900999</v>
      </c>
      <c r="G102" s="1025">
        <f t="shared" si="7"/>
        <v>24551.455500526612</v>
      </c>
      <c r="H102" s="1025">
        <f t="shared" si="7"/>
        <v>368457.53750127146</v>
      </c>
      <c r="I102" s="1025">
        <f t="shared" si="7"/>
        <v>53807.900497512441</v>
      </c>
      <c r="J102" s="1025">
        <f t="shared" si="7"/>
        <v>0</v>
      </c>
      <c r="K102" s="1025">
        <f t="shared" si="7"/>
        <v>0</v>
      </c>
      <c r="L102" s="1025">
        <f t="shared" si="7"/>
        <v>0</v>
      </c>
      <c r="M102" s="1025">
        <f t="shared" si="7"/>
        <v>0</v>
      </c>
      <c r="N102" s="1025">
        <f t="shared" si="7"/>
        <v>0</v>
      </c>
      <c r="O102" s="1025">
        <f t="shared" si="7"/>
        <v>0.06</v>
      </c>
      <c r="P102" s="1025">
        <f t="shared" si="7"/>
        <v>0</v>
      </c>
      <c r="Q102" s="1025">
        <f t="shared" si="7"/>
        <v>0</v>
      </c>
      <c r="R102" s="1025">
        <f t="shared" si="7"/>
        <v>0</v>
      </c>
      <c r="S102" s="1025">
        <f t="shared" si="7"/>
        <v>0</v>
      </c>
      <c r="T102" s="1025">
        <f t="shared" si="7"/>
        <v>133.11539999999999</v>
      </c>
      <c r="U102" s="1025">
        <f t="shared" si="7"/>
        <v>588.7795155737706</v>
      </c>
      <c r="V102" s="1025">
        <f t="shared" si="7"/>
        <v>11.709600000000002</v>
      </c>
      <c r="W102" s="1025">
        <f t="shared" si="7"/>
        <v>11.709600000000002</v>
      </c>
      <c r="X102" s="1025">
        <f t="shared" si="7"/>
        <v>0</v>
      </c>
      <c r="Y102" s="1025"/>
      <c r="Z102" s="1025">
        <f>(SUM(Z80))</f>
        <v>41034.76146704804</v>
      </c>
      <c r="AA102" s="1025">
        <f>(SUM(AA80))</f>
        <v>14357623.154118931</v>
      </c>
    </row>
    <row r="105" spans="1:27" x14ac:dyDescent="0.25">
      <c r="A105">
        <f>A$22</f>
        <v>2012</v>
      </c>
      <c r="B105" t="str">
        <f>B$22</f>
        <v>From PSUT_2012: 'Wateruse category'</v>
      </c>
      <c r="C105" t="str">
        <f>C$22</f>
        <v>Check ISIC on PSUT</v>
      </c>
      <c r="D105" s="1025">
        <f>D$22</f>
        <v>0</v>
      </c>
      <c r="E105" s="1025" t="str">
        <f>E$22</f>
        <v xml:space="preserve">A. Agriculture, forestry and fishing </v>
      </c>
      <c r="F105" s="1025" t="str">
        <f t="shared" ref="F105:X105" si="8">F$22</f>
        <v xml:space="preserve">B. Mining and Quarrying </v>
      </c>
      <c r="G105" s="1025" t="str">
        <f t="shared" si="8"/>
        <v>C. Manufacturing</v>
      </c>
      <c r="H105" s="1025" t="str">
        <f t="shared" si="8"/>
        <v>D. Electricity, gas, steam and air conditioning supply</v>
      </c>
      <c r="I105" s="1025" t="str">
        <f t="shared" si="8"/>
        <v>E. Water supply (WASAC &amp; AquaVirunga)</v>
      </c>
      <c r="J105" s="1025" t="str">
        <f t="shared" si="8"/>
        <v>F. Construction</v>
      </c>
      <c r="K105" s="1025" t="str">
        <f t="shared" si="8"/>
        <v>G. Wholesale and retail trade; repair of motor vehicles and motorcycles</v>
      </c>
      <c r="L105" s="1025" t="str">
        <f t="shared" si="8"/>
        <v>H. Transportation and storage</v>
      </c>
      <c r="M105" s="1025" t="str">
        <f t="shared" si="8"/>
        <v>I. Accommodation and food service activities</v>
      </c>
      <c r="N105" s="1025" t="str">
        <f t="shared" si="8"/>
        <v>J. Information and communication</v>
      </c>
      <c r="O105" s="1025" t="str">
        <f t="shared" si="8"/>
        <v>K. Banking and insurance activities</v>
      </c>
      <c r="P105" s="1025" t="str">
        <f t="shared" si="8"/>
        <v>L. Real estate activities</v>
      </c>
      <c r="Q105" s="1025" t="str">
        <f t="shared" si="8"/>
        <v>M. Professional, scientific and technical activities</v>
      </c>
      <c r="R105" s="1025" t="str">
        <f t="shared" si="8"/>
        <v>N. Administrative and support service activities</v>
      </c>
      <c r="S105" s="1025" t="str">
        <f t="shared" si="8"/>
        <v>O. Public administration and defence; compulsory social security</v>
      </c>
      <c r="T105" s="1025" t="str">
        <f t="shared" si="8"/>
        <v>P. Education</v>
      </c>
      <c r="U105" s="1025" t="str">
        <f t="shared" si="8"/>
        <v xml:space="preserve">Q. Human health and social work activities </v>
      </c>
      <c r="V105" s="1025" t="str">
        <f t="shared" si="8"/>
        <v>R. Arts, entertainment and recreation</v>
      </c>
      <c r="W105" s="1025" t="str">
        <f t="shared" si="8"/>
        <v>S. Other service activities (Religious &amp; Burial)</v>
      </c>
      <c r="X105" s="1025" t="str">
        <f t="shared" si="8"/>
        <v>T. Activities of households as employers; undifferentiated goods- and services-producing activities of households for own use</v>
      </c>
      <c r="Y105" s="1025" t="str">
        <f>Y$22</f>
        <v xml:space="preserve">Total Production activities </v>
      </c>
      <c r="Z105" s="1025" t="str">
        <f>Z$22</f>
        <v>Households</v>
      </c>
      <c r="AA105" s="1025" t="str">
        <f>AA$22</f>
        <v xml:space="preserve">Total </v>
      </c>
    </row>
    <row r="106" spans="1:27" x14ac:dyDescent="0.25">
      <c r="A106">
        <f>A$22</f>
        <v>2012</v>
      </c>
      <c r="B106" s="1025" t="str">
        <f>B24</f>
        <v>1 - Total abstraction (1.i+1.ii)</v>
      </c>
      <c r="C106" s="1025"/>
      <c r="D106" s="1025">
        <f t="shared" ref="D106:X106" si="9">(SUM(D24))</f>
        <v>13998421.908640916</v>
      </c>
      <c r="E106" s="1025">
        <f t="shared" si="9"/>
        <v>13563380.505039312</v>
      </c>
      <c r="F106" s="1025">
        <f t="shared" si="9"/>
        <v>22390.658857794173</v>
      </c>
      <c r="G106" s="1025">
        <f>(SUM(G24))</f>
        <v>23638.124916130942</v>
      </c>
      <c r="H106" s="1025">
        <f t="shared" si="9"/>
        <v>335270.16889591428</v>
      </c>
      <c r="I106" s="1025">
        <f t="shared" si="9"/>
        <v>53008.786416190094</v>
      </c>
      <c r="J106" s="1025">
        <f t="shared" si="9"/>
        <v>0</v>
      </c>
      <c r="K106" s="1025">
        <f t="shared" si="9"/>
        <v>0</v>
      </c>
      <c r="L106" s="1025">
        <f t="shared" si="9"/>
        <v>0</v>
      </c>
      <c r="M106" s="1025">
        <f t="shared" si="9"/>
        <v>0</v>
      </c>
      <c r="N106" s="1025">
        <f t="shared" si="9"/>
        <v>0</v>
      </c>
      <c r="O106" s="1025">
        <f t="shared" si="9"/>
        <v>0.06</v>
      </c>
      <c r="P106" s="1025">
        <f t="shared" si="9"/>
        <v>0</v>
      </c>
      <c r="Q106" s="1025">
        <f t="shared" si="9"/>
        <v>0</v>
      </c>
      <c r="R106" s="1025">
        <f t="shared" si="9"/>
        <v>0</v>
      </c>
      <c r="S106" s="1025">
        <f t="shared" si="9"/>
        <v>0</v>
      </c>
      <c r="T106" s="1025">
        <f t="shared" si="9"/>
        <v>133.11539999999999</v>
      </c>
      <c r="U106" s="1025">
        <f t="shared" si="9"/>
        <v>588.7795155737706</v>
      </c>
      <c r="V106" s="1025">
        <f t="shared" si="9"/>
        <v>11.709600000000002</v>
      </c>
      <c r="W106" s="1025">
        <f t="shared" si="9"/>
        <v>11.709600000000002</v>
      </c>
      <c r="X106" s="1025">
        <f t="shared" si="9"/>
        <v>0</v>
      </c>
      <c r="Y106" s="1025"/>
      <c r="Z106" s="1025">
        <f>(SUM(Z24))</f>
        <v>40434.896439560478</v>
      </c>
      <c r="AA106" s="1025">
        <f>(SUM(AA24))</f>
        <v>14038856.805080475</v>
      </c>
    </row>
    <row r="107" spans="1:27" x14ac:dyDescent="0.25">
      <c r="A107">
        <f>A$41</f>
        <v>2013</v>
      </c>
      <c r="B107" s="1025" t="str">
        <f>B43</f>
        <v>1 - Total abstraction (1.i+1.ii)</v>
      </c>
      <c r="C107" s="1025"/>
      <c r="D107" s="1025">
        <f t="shared" ref="D107:X107" si="10">(SUM(D43))</f>
        <v>13456120.564079396</v>
      </c>
      <c r="E107" s="1025">
        <f t="shared" si="10"/>
        <v>13010018.946100427</v>
      </c>
      <c r="F107" s="1025">
        <f t="shared" si="10"/>
        <v>22410.000272350058</v>
      </c>
      <c r="G107" s="1025">
        <f t="shared" si="10"/>
        <v>23937.981051793297</v>
      </c>
      <c r="H107" s="1025">
        <f t="shared" si="10"/>
        <v>345951.26144545968</v>
      </c>
      <c r="I107" s="1025">
        <f t="shared" si="10"/>
        <v>53068.710693793837</v>
      </c>
      <c r="J107" s="1025">
        <f t="shared" si="10"/>
        <v>0</v>
      </c>
      <c r="K107" s="1025">
        <f t="shared" si="10"/>
        <v>0</v>
      </c>
      <c r="L107" s="1025">
        <f t="shared" si="10"/>
        <v>0</v>
      </c>
      <c r="M107" s="1025">
        <f t="shared" si="10"/>
        <v>0</v>
      </c>
      <c r="N107" s="1025">
        <f t="shared" si="10"/>
        <v>0</v>
      </c>
      <c r="O107" s="1025">
        <f t="shared" si="10"/>
        <v>0.06</v>
      </c>
      <c r="P107" s="1025">
        <f t="shared" si="10"/>
        <v>0</v>
      </c>
      <c r="Q107" s="1025">
        <f t="shared" si="10"/>
        <v>0</v>
      </c>
      <c r="R107" s="1025">
        <f t="shared" si="10"/>
        <v>0</v>
      </c>
      <c r="S107" s="1025">
        <f t="shared" si="10"/>
        <v>0</v>
      </c>
      <c r="T107" s="1025">
        <f t="shared" si="10"/>
        <v>133.11539999999999</v>
      </c>
      <c r="U107" s="1025">
        <f t="shared" si="10"/>
        <v>588.7795155737706</v>
      </c>
      <c r="V107" s="1025">
        <f t="shared" si="10"/>
        <v>11.709600000000002</v>
      </c>
      <c r="W107" s="1025">
        <f t="shared" si="10"/>
        <v>11.709600000000002</v>
      </c>
      <c r="X107" s="1025">
        <f t="shared" si="10"/>
        <v>0</v>
      </c>
      <c r="Y107" s="1025"/>
      <c r="Z107" s="1025">
        <f>(SUM(Z43))</f>
        <v>40632.696503402331</v>
      </c>
      <c r="AA107" s="1025">
        <f>(SUM(AA43))</f>
        <v>13496753.260582799</v>
      </c>
    </row>
    <row r="108" spans="1:27" x14ac:dyDescent="0.25">
      <c r="A108">
        <f>A$60</f>
        <v>2014</v>
      </c>
      <c r="B108" s="1025" t="str">
        <f>B62</f>
        <v>1 - Total abstraction (1.i+1.ii)</v>
      </c>
      <c r="C108" s="1025"/>
      <c r="D108" s="1025">
        <f t="shared" ref="D108:X108" si="11">(SUM(D62))</f>
        <v>13964802.992576756</v>
      </c>
      <c r="E108" s="1025">
        <f t="shared" si="11"/>
        <v>13506848.022465833</v>
      </c>
      <c r="F108" s="1025">
        <f t="shared" si="11"/>
        <v>22429.728515197057</v>
      </c>
      <c r="G108" s="1025">
        <f t="shared" si="11"/>
        <v>24242.398478108429</v>
      </c>
      <c r="H108" s="1025">
        <f t="shared" si="11"/>
        <v>357008.97910203272</v>
      </c>
      <c r="I108" s="1025">
        <f t="shared" si="11"/>
        <v>53540.199500012393</v>
      </c>
      <c r="J108" s="1025">
        <f t="shared" si="11"/>
        <v>0</v>
      </c>
      <c r="K108" s="1025">
        <f t="shared" si="11"/>
        <v>0</v>
      </c>
      <c r="L108" s="1025">
        <f t="shared" si="11"/>
        <v>0</v>
      </c>
      <c r="M108" s="1025">
        <f t="shared" si="11"/>
        <v>0</v>
      </c>
      <c r="N108" s="1025">
        <f t="shared" si="11"/>
        <v>0</v>
      </c>
      <c r="O108" s="1025">
        <f t="shared" si="11"/>
        <v>0.06</v>
      </c>
      <c r="P108" s="1025">
        <f t="shared" si="11"/>
        <v>0</v>
      </c>
      <c r="Q108" s="1025">
        <f t="shared" si="11"/>
        <v>0</v>
      </c>
      <c r="R108" s="1025">
        <f t="shared" si="11"/>
        <v>0</v>
      </c>
      <c r="S108" s="1025">
        <f t="shared" si="11"/>
        <v>0</v>
      </c>
      <c r="T108" s="1025">
        <f t="shared" si="11"/>
        <v>133.11539999999999</v>
      </c>
      <c r="U108" s="1025">
        <f t="shared" si="11"/>
        <v>588.7795155737706</v>
      </c>
      <c r="V108" s="1025">
        <f t="shared" si="11"/>
        <v>11.709600000000002</v>
      </c>
      <c r="W108" s="1025">
        <f t="shared" si="11"/>
        <v>11.709600000000002</v>
      </c>
      <c r="X108" s="1025">
        <f t="shared" si="11"/>
        <v>0</v>
      </c>
      <c r="Y108" s="1025"/>
      <c r="Z108" s="1025">
        <f>(SUM(Z62))</f>
        <v>40832.697923868138</v>
      </c>
      <c r="AA108" s="1025">
        <f>(SUM(AA62))</f>
        <v>14005635.690500624</v>
      </c>
    </row>
    <row r="109" spans="1:27" x14ac:dyDescent="0.25">
      <c r="A109">
        <f>A$79</f>
        <v>2015</v>
      </c>
      <c r="B109" s="1025" t="str">
        <f>B81</f>
        <v>1 - Total abstraction (1.i+1.ii)</v>
      </c>
      <c r="C109" s="1025"/>
      <c r="D109" s="1025">
        <f t="shared" ref="D109:X109" si="12">(SUM(D81))</f>
        <v>14316588.392651882</v>
      </c>
      <c r="E109" s="1025">
        <f t="shared" si="12"/>
        <v>13846587.983314097</v>
      </c>
      <c r="F109" s="1025">
        <f t="shared" si="12"/>
        <v>22449.851322900999</v>
      </c>
      <c r="G109" s="1025">
        <f t="shared" si="12"/>
        <v>24551.455500526612</v>
      </c>
      <c r="H109" s="1025">
        <f t="shared" si="12"/>
        <v>368457.53750127146</v>
      </c>
      <c r="I109" s="1025">
        <f t="shared" si="12"/>
        <v>53807.900497512448</v>
      </c>
      <c r="J109" s="1025">
        <f t="shared" si="12"/>
        <v>0</v>
      </c>
      <c r="K109" s="1025">
        <f t="shared" si="12"/>
        <v>0</v>
      </c>
      <c r="L109" s="1025">
        <f t="shared" si="12"/>
        <v>0</v>
      </c>
      <c r="M109" s="1025">
        <f t="shared" si="12"/>
        <v>0</v>
      </c>
      <c r="N109" s="1025">
        <f t="shared" si="12"/>
        <v>0</v>
      </c>
      <c r="O109" s="1025">
        <f t="shared" si="12"/>
        <v>0.06</v>
      </c>
      <c r="P109" s="1025">
        <f t="shared" si="12"/>
        <v>0</v>
      </c>
      <c r="Q109" s="1025">
        <f t="shared" si="12"/>
        <v>0</v>
      </c>
      <c r="R109" s="1025">
        <f t="shared" si="12"/>
        <v>0</v>
      </c>
      <c r="S109" s="1025">
        <f t="shared" si="12"/>
        <v>0</v>
      </c>
      <c r="T109" s="1025">
        <f t="shared" si="12"/>
        <v>133.11539999999999</v>
      </c>
      <c r="U109" s="1025">
        <f t="shared" si="12"/>
        <v>588.7795155737706</v>
      </c>
      <c r="V109" s="1025">
        <f t="shared" si="12"/>
        <v>11.709600000000002</v>
      </c>
      <c r="W109" s="1025">
        <f t="shared" si="12"/>
        <v>11.709600000000002</v>
      </c>
      <c r="X109" s="1025">
        <f t="shared" si="12"/>
        <v>0</v>
      </c>
      <c r="Y109" s="1025"/>
      <c r="Z109" s="1025">
        <f>(SUM(Z81))</f>
        <v>41034.76146704804</v>
      </c>
      <c r="AA109" s="1025">
        <f>(SUM(AA81))</f>
        <v>14357623.154118931</v>
      </c>
    </row>
    <row r="112" spans="1:27" x14ac:dyDescent="0.25">
      <c r="A112">
        <f>A$22</f>
        <v>2012</v>
      </c>
      <c r="B112" t="str">
        <f>B$22</f>
        <v>From PSUT_2012: 'Wateruse category'</v>
      </c>
      <c r="C112" t="str">
        <f>C$22</f>
        <v>Check ISIC on PSUT</v>
      </c>
      <c r="D112" s="1025">
        <f>D$22</f>
        <v>0</v>
      </c>
      <c r="E112" s="1025" t="str">
        <f>E$22</f>
        <v xml:space="preserve">A. Agriculture, forestry and fishing </v>
      </c>
      <c r="F112" s="1025" t="str">
        <f t="shared" ref="F112:X112" si="13">F$22</f>
        <v xml:space="preserve">B. Mining and Quarrying </v>
      </c>
      <c r="G112" s="1025" t="str">
        <f t="shared" si="13"/>
        <v>C. Manufacturing</v>
      </c>
      <c r="H112" s="1025" t="str">
        <f t="shared" si="13"/>
        <v>D. Electricity, gas, steam and air conditioning supply</v>
      </c>
      <c r="I112" s="1025" t="str">
        <f t="shared" si="13"/>
        <v>E. Water supply (WASAC &amp; AquaVirunga)</v>
      </c>
      <c r="J112" s="1025" t="str">
        <f t="shared" si="13"/>
        <v>F. Construction</v>
      </c>
      <c r="K112" s="1025" t="str">
        <f t="shared" si="13"/>
        <v>G. Wholesale and retail trade; repair of motor vehicles and motorcycles</v>
      </c>
      <c r="L112" s="1025" t="str">
        <f t="shared" si="13"/>
        <v>H. Transportation and storage</v>
      </c>
      <c r="M112" s="1025" t="str">
        <f t="shared" si="13"/>
        <v>I. Accommodation and food service activities</v>
      </c>
      <c r="N112" s="1025" t="str">
        <f t="shared" si="13"/>
        <v>J. Information and communication</v>
      </c>
      <c r="O112" s="1025" t="str">
        <f t="shared" si="13"/>
        <v>K. Banking and insurance activities</v>
      </c>
      <c r="P112" s="1025" t="str">
        <f t="shared" si="13"/>
        <v>L. Real estate activities</v>
      </c>
      <c r="Q112" s="1025" t="str">
        <f t="shared" si="13"/>
        <v>M. Professional, scientific and technical activities</v>
      </c>
      <c r="R112" s="1025" t="str">
        <f t="shared" si="13"/>
        <v>N. Administrative and support service activities</v>
      </c>
      <c r="S112" s="1025" t="str">
        <f t="shared" si="13"/>
        <v>O. Public administration and defence; compulsory social security</v>
      </c>
      <c r="T112" s="1025" t="str">
        <f t="shared" si="13"/>
        <v>P. Education</v>
      </c>
      <c r="U112" s="1025" t="str">
        <f t="shared" si="13"/>
        <v xml:space="preserve">Q. Human health and social work activities </v>
      </c>
      <c r="V112" s="1025" t="str">
        <f t="shared" si="13"/>
        <v>R. Arts, entertainment and recreation</v>
      </c>
      <c r="W112" s="1025" t="str">
        <f t="shared" si="13"/>
        <v>S. Other service activities (Religious &amp; Burial)</v>
      </c>
      <c r="X112" s="1025" t="str">
        <f t="shared" si="13"/>
        <v>T. Activities of households as employers; undifferentiated goods- and services-producing activities of households for own use</v>
      </c>
      <c r="Y112" s="1025" t="str">
        <f>Y$22</f>
        <v xml:space="preserve">Total Production activities </v>
      </c>
      <c r="Z112" s="1025" t="str">
        <f>Z$22</f>
        <v>Households</v>
      </c>
      <c r="AA112" s="1025" t="str">
        <f>AA$22</f>
        <v xml:space="preserve">Total </v>
      </c>
    </row>
    <row r="113" spans="1:27" x14ac:dyDescent="0.25">
      <c r="A113">
        <f>A$22</f>
        <v>2012</v>
      </c>
      <c r="B113" s="1025" t="str">
        <f>B26</f>
        <v>1.i.1 Surface water</v>
      </c>
      <c r="C113" s="1025"/>
      <c r="D113" s="1025">
        <f t="shared" ref="D113:X113" si="14">(SUM(D26))</f>
        <v>0</v>
      </c>
      <c r="E113" s="1025">
        <f t="shared" si="14"/>
        <v>189335.69415585385</v>
      </c>
      <c r="F113" s="1025">
        <f t="shared" si="14"/>
        <v>967.07072779417433</v>
      </c>
      <c r="G113" s="1025">
        <f t="shared" si="14"/>
        <v>14844.847980982084</v>
      </c>
      <c r="H113" s="1025">
        <f t="shared" si="14"/>
        <v>335270.16889591428</v>
      </c>
      <c r="I113" s="1025">
        <f t="shared" si="14"/>
        <v>41023.930895441081</v>
      </c>
      <c r="J113" s="1025">
        <f t="shared" si="14"/>
        <v>0</v>
      </c>
      <c r="K113" s="1025">
        <f t="shared" si="14"/>
        <v>0</v>
      </c>
      <c r="L113" s="1025">
        <f t="shared" si="14"/>
        <v>0</v>
      </c>
      <c r="M113" s="1025">
        <f t="shared" si="14"/>
        <v>0</v>
      </c>
      <c r="N113" s="1025">
        <f t="shared" si="14"/>
        <v>0</v>
      </c>
      <c r="O113" s="1025">
        <f t="shared" si="14"/>
        <v>0</v>
      </c>
      <c r="P113" s="1025">
        <f t="shared" si="14"/>
        <v>0</v>
      </c>
      <c r="Q113" s="1025">
        <f t="shared" si="14"/>
        <v>0</v>
      </c>
      <c r="R113" s="1025">
        <f t="shared" si="14"/>
        <v>0</v>
      </c>
      <c r="S113" s="1025">
        <f t="shared" si="14"/>
        <v>0</v>
      </c>
      <c r="T113" s="1025">
        <f t="shared" si="14"/>
        <v>0</v>
      </c>
      <c r="U113" s="1025">
        <f t="shared" si="14"/>
        <v>0</v>
      </c>
      <c r="V113" s="1025">
        <f t="shared" si="14"/>
        <v>2.0736000000000003</v>
      </c>
      <c r="W113" s="1025">
        <f t="shared" si="14"/>
        <v>2.0736000000000003</v>
      </c>
      <c r="X113" s="1025">
        <f t="shared" si="14"/>
        <v>0</v>
      </c>
      <c r="Y113" s="1025"/>
      <c r="Z113" s="1025">
        <f>(SUM(Z26))</f>
        <v>11301.441449073298</v>
      </c>
      <c r="AA113" s="1025">
        <f>(SUM(AA26))</f>
        <v>592745.22770505876</v>
      </c>
    </row>
    <row r="114" spans="1:27" x14ac:dyDescent="0.25">
      <c r="A114">
        <f>A$41</f>
        <v>2013</v>
      </c>
      <c r="B114" s="1025" t="str">
        <f>B45</f>
        <v>1.i.1 Surface water</v>
      </c>
      <c r="C114" s="1025"/>
      <c r="D114" s="1025">
        <f t="shared" ref="D114:X114" si="15">(SUM(D45))</f>
        <v>0</v>
      </c>
      <c r="E114" s="1025">
        <f t="shared" si="15"/>
        <v>195157.23901430785</v>
      </c>
      <c r="F114" s="1025">
        <f t="shared" si="15"/>
        <v>986.41214235005782</v>
      </c>
      <c r="G114" s="1025">
        <f t="shared" si="15"/>
        <v>15026.920891167292</v>
      </c>
      <c r="H114" s="1025">
        <f t="shared" si="15"/>
        <v>345951.26144545968</v>
      </c>
      <c r="I114" s="1025">
        <f t="shared" si="15"/>
        <v>41023.930895441081</v>
      </c>
      <c r="J114" s="1025">
        <f t="shared" si="15"/>
        <v>0</v>
      </c>
      <c r="K114" s="1025">
        <f t="shared" si="15"/>
        <v>0</v>
      </c>
      <c r="L114" s="1025">
        <f t="shared" si="15"/>
        <v>0</v>
      </c>
      <c r="M114" s="1025">
        <f t="shared" si="15"/>
        <v>0</v>
      </c>
      <c r="N114" s="1025">
        <f t="shared" si="15"/>
        <v>0</v>
      </c>
      <c r="O114" s="1025">
        <f t="shared" si="15"/>
        <v>0</v>
      </c>
      <c r="P114" s="1025">
        <f t="shared" si="15"/>
        <v>0</v>
      </c>
      <c r="Q114" s="1025">
        <f t="shared" si="15"/>
        <v>0</v>
      </c>
      <c r="R114" s="1025">
        <f t="shared" si="15"/>
        <v>0</v>
      </c>
      <c r="S114" s="1025">
        <f t="shared" si="15"/>
        <v>0</v>
      </c>
      <c r="T114" s="1025">
        <f t="shared" si="15"/>
        <v>0</v>
      </c>
      <c r="U114" s="1025">
        <f t="shared" si="15"/>
        <v>0</v>
      </c>
      <c r="V114" s="1025">
        <f t="shared" si="15"/>
        <v>2.0736000000000003</v>
      </c>
      <c r="W114" s="1025">
        <f t="shared" si="15"/>
        <v>2.0736000000000003</v>
      </c>
      <c r="X114" s="1025">
        <f t="shared" si="15"/>
        <v>0</v>
      </c>
      <c r="Y114" s="1025"/>
      <c r="Z114" s="1025">
        <f>(SUM(Z45))</f>
        <v>11301.441449073298</v>
      </c>
      <c r="AA114" s="1025">
        <f>(SUM(AA45))</f>
        <v>609449.27943779924</v>
      </c>
    </row>
    <row r="115" spans="1:27" x14ac:dyDescent="0.25">
      <c r="A115">
        <f>A$60</f>
        <v>2014</v>
      </c>
      <c r="B115" s="1025" t="str">
        <f>B64</f>
        <v>1.i.1 Surface water</v>
      </c>
      <c r="C115" s="1025"/>
      <c r="D115" s="1025">
        <f t="shared" ref="D115:X115" si="16">(SUM(D64))</f>
        <v>0</v>
      </c>
      <c r="E115" s="1025">
        <f t="shared" si="16"/>
        <v>205178.23028145044</v>
      </c>
      <c r="F115" s="1025">
        <f t="shared" si="16"/>
        <v>1006.140385197059</v>
      </c>
      <c r="G115" s="1025">
        <f t="shared" si="16"/>
        <v>15211.48701906186</v>
      </c>
      <c r="H115" s="1025">
        <f t="shared" si="16"/>
        <v>357008.97910203272</v>
      </c>
      <c r="I115" s="1025">
        <f t="shared" si="16"/>
        <v>41435.195802667869</v>
      </c>
      <c r="J115" s="1025">
        <f t="shared" si="16"/>
        <v>0</v>
      </c>
      <c r="K115" s="1025">
        <f t="shared" si="16"/>
        <v>0</v>
      </c>
      <c r="L115" s="1025">
        <f t="shared" si="16"/>
        <v>0</v>
      </c>
      <c r="M115" s="1025">
        <f t="shared" si="16"/>
        <v>0</v>
      </c>
      <c r="N115" s="1025">
        <f t="shared" si="16"/>
        <v>0</v>
      </c>
      <c r="O115" s="1025">
        <f t="shared" si="16"/>
        <v>0</v>
      </c>
      <c r="P115" s="1025">
        <f t="shared" si="16"/>
        <v>0</v>
      </c>
      <c r="Q115" s="1025">
        <f t="shared" si="16"/>
        <v>0</v>
      </c>
      <c r="R115" s="1025">
        <f t="shared" si="16"/>
        <v>0</v>
      </c>
      <c r="S115" s="1025">
        <f t="shared" si="16"/>
        <v>0</v>
      </c>
      <c r="T115" s="1025">
        <f t="shared" si="16"/>
        <v>0</v>
      </c>
      <c r="U115" s="1025">
        <f t="shared" si="16"/>
        <v>0</v>
      </c>
      <c r="V115" s="1025">
        <f t="shared" si="16"/>
        <v>2.0736000000000003</v>
      </c>
      <c r="W115" s="1025">
        <f t="shared" si="16"/>
        <v>2.0736000000000003</v>
      </c>
      <c r="X115" s="1025">
        <f t="shared" si="16"/>
        <v>0</v>
      </c>
      <c r="Y115" s="1025"/>
      <c r="Z115" s="1025">
        <f>(SUM(Z64))</f>
        <v>11301.556149600257</v>
      </c>
      <c r="AA115" s="1025">
        <f>(SUM(AA64))</f>
        <v>631143.66234001028</v>
      </c>
    </row>
    <row r="116" spans="1:27" x14ac:dyDescent="0.25">
      <c r="A116">
        <f>A$79</f>
        <v>2015</v>
      </c>
      <c r="B116" s="1025" t="str">
        <f>B83</f>
        <v>1.i.1 Surface water</v>
      </c>
      <c r="C116" s="1025"/>
      <c r="D116" s="1025">
        <f t="shared" ref="D116:X116" si="17">(SUM(D83))</f>
        <v>0</v>
      </c>
      <c r="E116" s="1025">
        <f t="shared" si="17"/>
        <v>213589.91369091149</v>
      </c>
      <c r="F116" s="1025">
        <f t="shared" si="17"/>
        <v>1026.2631929010001</v>
      </c>
      <c r="G116" s="1025">
        <f t="shared" si="17"/>
        <v>15398.58474661503</v>
      </c>
      <c r="H116" s="1025">
        <f t="shared" si="17"/>
        <v>368457.53750127146</v>
      </c>
      <c r="I116" s="1025">
        <f t="shared" si="17"/>
        <v>41642.371781681206</v>
      </c>
      <c r="J116" s="1025">
        <f t="shared" si="17"/>
        <v>0</v>
      </c>
      <c r="K116" s="1025">
        <f t="shared" si="17"/>
        <v>0</v>
      </c>
      <c r="L116" s="1025">
        <f t="shared" si="17"/>
        <v>0</v>
      </c>
      <c r="M116" s="1025">
        <f t="shared" si="17"/>
        <v>0</v>
      </c>
      <c r="N116" s="1025">
        <f t="shared" si="17"/>
        <v>0</v>
      </c>
      <c r="O116" s="1025">
        <f t="shared" si="17"/>
        <v>0</v>
      </c>
      <c r="P116" s="1025">
        <f t="shared" si="17"/>
        <v>0</v>
      </c>
      <c r="Q116" s="1025">
        <f t="shared" si="17"/>
        <v>0</v>
      </c>
      <c r="R116" s="1025">
        <f t="shared" si="17"/>
        <v>0</v>
      </c>
      <c r="S116" s="1025">
        <f t="shared" si="17"/>
        <v>0</v>
      </c>
      <c r="T116" s="1025">
        <f t="shared" si="17"/>
        <v>0</v>
      </c>
      <c r="U116" s="1025">
        <f t="shared" si="17"/>
        <v>0</v>
      </c>
      <c r="V116" s="1025">
        <f t="shared" si="17"/>
        <v>2.0736000000000003</v>
      </c>
      <c r="W116" s="1025">
        <f t="shared" si="17"/>
        <v>2.0736000000000003</v>
      </c>
      <c r="X116" s="1025">
        <f t="shared" si="17"/>
        <v>0</v>
      </c>
      <c r="Y116" s="1025"/>
      <c r="Z116" s="1025">
        <f>(SUM(Z83))</f>
        <v>11301.61393034826</v>
      </c>
      <c r="AA116" s="1025">
        <f>(SUM(AA83))</f>
        <v>651418.35844372853</v>
      </c>
    </row>
    <row r="117" spans="1:27" x14ac:dyDescent="0.25">
      <c r="B117" s="1025"/>
      <c r="C117" s="1025"/>
      <c r="D117" s="1025"/>
      <c r="E117" s="1025"/>
      <c r="F117" s="1025"/>
      <c r="G117" s="1025"/>
      <c r="H117" s="1025"/>
      <c r="I117" s="1025"/>
      <c r="J117" s="1025"/>
      <c r="K117" s="1025"/>
      <c r="L117" s="1025"/>
      <c r="M117" s="1025"/>
      <c r="N117" s="1025"/>
      <c r="O117" s="1025"/>
      <c r="P117" s="1025"/>
      <c r="Q117" s="1025"/>
      <c r="R117" s="1025"/>
      <c r="S117" s="1025"/>
      <c r="T117" s="1025"/>
      <c r="U117" s="1025"/>
      <c r="V117" s="1025"/>
      <c r="W117" s="1025"/>
      <c r="X117" s="1025"/>
      <c r="Y117" s="1025"/>
      <c r="Z117" s="1025"/>
      <c r="AA117" s="1025"/>
    </row>
    <row r="118" spans="1:27" x14ac:dyDescent="0.25">
      <c r="B118" s="1025"/>
      <c r="C118" s="1025"/>
      <c r="D118" s="1025"/>
      <c r="E118" s="1025"/>
      <c r="F118" s="1025"/>
      <c r="G118" s="1025"/>
      <c r="H118" s="1025"/>
      <c r="I118" s="1025"/>
      <c r="J118" s="1025"/>
      <c r="K118" s="1025"/>
      <c r="L118" s="1025"/>
      <c r="M118" s="1025"/>
      <c r="N118" s="1025"/>
      <c r="O118" s="1025"/>
      <c r="P118" s="1025"/>
      <c r="Q118" s="1025"/>
      <c r="R118" s="1025"/>
      <c r="S118" s="1025"/>
      <c r="T118" s="1025"/>
      <c r="U118" s="1025"/>
      <c r="V118" s="1025"/>
      <c r="W118" s="1025"/>
      <c r="X118" s="1025"/>
      <c r="Y118" s="1025"/>
      <c r="Z118" s="1025"/>
      <c r="AA118" s="1025"/>
    </row>
    <row r="119" spans="1:27" x14ac:dyDescent="0.25">
      <c r="A119">
        <f>A$22</f>
        <v>2012</v>
      </c>
      <c r="B119" t="str">
        <f>B$22</f>
        <v>From PSUT_2012: 'Wateruse category'</v>
      </c>
      <c r="C119" t="str">
        <f>C$22</f>
        <v>Check ISIC on PSUT</v>
      </c>
      <c r="D119" s="1025">
        <f>D$22</f>
        <v>0</v>
      </c>
      <c r="E119" s="1025" t="str">
        <f>E$22</f>
        <v xml:space="preserve">A. Agriculture, forestry and fishing </v>
      </c>
      <c r="F119" s="1025" t="str">
        <f t="shared" ref="F119:X119" si="18">F$22</f>
        <v xml:space="preserve">B. Mining and Quarrying </v>
      </c>
      <c r="G119" s="1025" t="str">
        <f t="shared" si="18"/>
        <v>C. Manufacturing</v>
      </c>
      <c r="H119" s="1025" t="str">
        <f t="shared" si="18"/>
        <v>D. Electricity, gas, steam and air conditioning supply</v>
      </c>
      <c r="I119" s="1025" t="str">
        <f t="shared" si="18"/>
        <v>E. Water supply (WASAC &amp; AquaVirunga)</v>
      </c>
      <c r="J119" s="1025" t="str">
        <f t="shared" si="18"/>
        <v>F. Construction</v>
      </c>
      <c r="K119" s="1025" t="str">
        <f t="shared" si="18"/>
        <v>G. Wholesale and retail trade; repair of motor vehicles and motorcycles</v>
      </c>
      <c r="L119" s="1025" t="str">
        <f t="shared" si="18"/>
        <v>H. Transportation and storage</v>
      </c>
      <c r="M119" s="1025" t="str">
        <f t="shared" si="18"/>
        <v>I. Accommodation and food service activities</v>
      </c>
      <c r="N119" s="1025" t="str">
        <f t="shared" si="18"/>
        <v>J. Information and communication</v>
      </c>
      <c r="O119" s="1025" t="str">
        <f t="shared" si="18"/>
        <v>K. Banking and insurance activities</v>
      </c>
      <c r="P119" s="1025" t="str">
        <f t="shared" si="18"/>
        <v>L. Real estate activities</v>
      </c>
      <c r="Q119" s="1025" t="str">
        <f t="shared" si="18"/>
        <v>M. Professional, scientific and technical activities</v>
      </c>
      <c r="R119" s="1025" t="str">
        <f t="shared" si="18"/>
        <v>N. Administrative and support service activities</v>
      </c>
      <c r="S119" s="1025" t="str">
        <f t="shared" si="18"/>
        <v>O. Public administration and defence; compulsory social security</v>
      </c>
      <c r="T119" s="1025" t="str">
        <f t="shared" si="18"/>
        <v>P. Education</v>
      </c>
      <c r="U119" s="1025" t="str">
        <f t="shared" si="18"/>
        <v xml:space="preserve">Q. Human health and social work activities </v>
      </c>
      <c r="V119" s="1025" t="str">
        <f t="shared" si="18"/>
        <v>R. Arts, entertainment and recreation</v>
      </c>
      <c r="W119" s="1025" t="str">
        <f t="shared" si="18"/>
        <v>S. Other service activities (Religious &amp; Burial)</v>
      </c>
      <c r="X119" s="1025" t="str">
        <f t="shared" si="18"/>
        <v>T. Activities of households as employers; undifferentiated goods- and services-producing activities of households for own use</v>
      </c>
      <c r="Y119" s="1025" t="str">
        <f>Y$22</f>
        <v xml:space="preserve">Total Production activities </v>
      </c>
      <c r="Z119" s="1025" t="str">
        <f>Z$22</f>
        <v>Households</v>
      </c>
      <c r="AA119" s="1025" t="str">
        <f>AA$22</f>
        <v xml:space="preserve">Total </v>
      </c>
    </row>
    <row r="120" spans="1:27" x14ac:dyDescent="0.25">
      <c r="A120">
        <f>A$22</f>
        <v>2012</v>
      </c>
      <c r="B120" s="1025" t="str">
        <f>B27</f>
        <v>1.i.2 Groundwater</v>
      </c>
      <c r="C120" s="1025"/>
      <c r="D120" s="1025">
        <f t="shared" ref="D120:X120" si="19">(SUM(D27))</f>
        <v>0</v>
      </c>
      <c r="E120" s="1025">
        <f t="shared" si="19"/>
        <v>13829.735230138118</v>
      </c>
      <c r="F120" s="1025">
        <f t="shared" si="19"/>
        <v>63.788130000000002</v>
      </c>
      <c r="G120" s="1025">
        <f t="shared" si="19"/>
        <v>8765.0769351488561</v>
      </c>
      <c r="H120" s="1025">
        <f t="shared" si="19"/>
        <v>0</v>
      </c>
      <c r="I120" s="1025">
        <f t="shared" si="19"/>
        <v>11984.855520749015</v>
      </c>
      <c r="J120" s="1025">
        <f t="shared" si="19"/>
        <v>0</v>
      </c>
      <c r="K120" s="1025">
        <f t="shared" si="19"/>
        <v>0</v>
      </c>
      <c r="L120" s="1025">
        <f t="shared" si="19"/>
        <v>0</v>
      </c>
      <c r="M120" s="1025">
        <f t="shared" si="19"/>
        <v>0</v>
      </c>
      <c r="N120" s="1025">
        <f t="shared" si="19"/>
        <v>0</v>
      </c>
      <c r="O120" s="1025">
        <f t="shared" si="19"/>
        <v>0</v>
      </c>
      <c r="P120" s="1025">
        <f t="shared" si="19"/>
        <v>0</v>
      </c>
      <c r="Q120" s="1025">
        <f t="shared" si="19"/>
        <v>0</v>
      </c>
      <c r="R120" s="1025">
        <f t="shared" si="19"/>
        <v>0</v>
      </c>
      <c r="S120" s="1025">
        <f t="shared" si="19"/>
        <v>0</v>
      </c>
      <c r="T120" s="1025">
        <f t="shared" si="19"/>
        <v>133.11539999999999</v>
      </c>
      <c r="U120" s="1025">
        <f t="shared" si="19"/>
        <v>90.790815573770487</v>
      </c>
      <c r="V120" s="1025">
        <f t="shared" si="19"/>
        <v>0</v>
      </c>
      <c r="W120" s="1025">
        <f t="shared" si="19"/>
        <v>0</v>
      </c>
      <c r="X120" s="1025">
        <f t="shared" si="19"/>
        <v>0</v>
      </c>
      <c r="Y120" s="1025"/>
      <c r="Z120" s="1025">
        <f>(SUM(Z27))</f>
        <v>28583.454990487178</v>
      </c>
      <c r="AA120" s="1025">
        <f>(SUM(AA27))</f>
        <v>63450.817022096933</v>
      </c>
    </row>
    <row r="121" spans="1:27" x14ac:dyDescent="0.25">
      <c r="A121">
        <f>A$41</f>
        <v>2013</v>
      </c>
      <c r="B121" s="1025" t="str">
        <f>B46</f>
        <v>1.i.2 Groundwater</v>
      </c>
      <c r="C121" s="1025"/>
      <c r="D121" s="1025">
        <f t="shared" ref="D121:X121" si="20">(SUM(D46))</f>
        <v>0</v>
      </c>
      <c r="E121" s="1025">
        <f t="shared" si="20"/>
        <v>13877.667157826309</v>
      </c>
      <c r="F121" s="1025">
        <f t="shared" si="20"/>
        <v>63.788130000000002</v>
      </c>
      <c r="G121" s="1025">
        <f t="shared" si="20"/>
        <v>8882.8601606260054</v>
      </c>
      <c r="H121" s="1025">
        <f t="shared" si="20"/>
        <v>0</v>
      </c>
      <c r="I121" s="1025">
        <f t="shared" si="20"/>
        <v>12044.779798352758</v>
      </c>
      <c r="J121" s="1025">
        <f t="shared" si="20"/>
        <v>0</v>
      </c>
      <c r="K121" s="1025">
        <f t="shared" si="20"/>
        <v>0</v>
      </c>
      <c r="L121" s="1025">
        <f t="shared" si="20"/>
        <v>0</v>
      </c>
      <c r="M121" s="1025">
        <f t="shared" si="20"/>
        <v>0</v>
      </c>
      <c r="N121" s="1025">
        <f t="shared" si="20"/>
        <v>0</v>
      </c>
      <c r="O121" s="1025">
        <f t="shared" si="20"/>
        <v>0</v>
      </c>
      <c r="P121" s="1025">
        <f t="shared" si="20"/>
        <v>0</v>
      </c>
      <c r="Q121" s="1025">
        <f t="shared" si="20"/>
        <v>0</v>
      </c>
      <c r="R121" s="1025">
        <f t="shared" si="20"/>
        <v>0</v>
      </c>
      <c r="S121" s="1025">
        <f t="shared" si="20"/>
        <v>0</v>
      </c>
      <c r="T121" s="1025">
        <f t="shared" si="20"/>
        <v>133.11539999999999</v>
      </c>
      <c r="U121" s="1025">
        <f t="shared" si="20"/>
        <v>90.790815573770487</v>
      </c>
      <c r="V121" s="1025">
        <f t="shared" si="20"/>
        <v>0</v>
      </c>
      <c r="W121" s="1025">
        <f t="shared" si="20"/>
        <v>0</v>
      </c>
      <c r="X121" s="1025">
        <f t="shared" si="20"/>
        <v>0</v>
      </c>
      <c r="Y121" s="1025"/>
      <c r="Z121" s="1025">
        <f>(SUM(Z46))</f>
        <v>28781.255054329034</v>
      </c>
      <c r="AA121" s="1025">
        <f>(SUM(AA46))</f>
        <v>63874.256516707879</v>
      </c>
    </row>
    <row r="122" spans="1:27" x14ac:dyDescent="0.25">
      <c r="A122">
        <f>A$60</f>
        <v>2014</v>
      </c>
      <c r="B122" s="1025" t="str">
        <f>B65</f>
        <v>1.i.2 Groundwater</v>
      </c>
      <c r="C122" s="1025"/>
      <c r="D122" s="1025">
        <f t="shared" ref="D122:X122" si="21">(SUM(D65))</f>
        <v>0</v>
      </c>
      <c r="E122" s="1025">
        <f t="shared" si="21"/>
        <v>13925.838745152938</v>
      </c>
      <c r="F122" s="1025">
        <f t="shared" si="21"/>
        <v>63.788130000000002</v>
      </c>
      <c r="G122" s="1025">
        <f t="shared" si="21"/>
        <v>9002.7114590465681</v>
      </c>
      <c r="H122" s="1025">
        <f t="shared" si="21"/>
        <v>0</v>
      </c>
      <c r="I122" s="1025">
        <f t="shared" si="21"/>
        <v>12105.003697344522</v>
      </c>
      <c r="J122" s="1025">
        <f t="shared" si="21"/>
        <v>0</v>
      </c>
      <c r="K122" s="1025">
        <f t="shared" si="21"/>
        <v>0</v>
      </c>
      <c r="L122" s="1025">
        <f t="shared" si="21"/>
        <v>0</v>
      </c>
      <c r="M122" s="1025">
        <f t="shared" si="21"/>
        <v>0</v>
      </c>
      <c r="N122" s="1025">
        <f t="shared" si="21"/>
        <v>0</v>
      </c>
      <c r="O122" s="1025">
        <f t="shared" si="21"/>
        <v>0</v>
      </c>
      <c r="P122" s="1025">
        <f t="shared" si="21"/>
        <v>0</v>
      </c>
      <c r="Q122" s="1025">
        <f t="shared" si="21"/>
        <v>0</v>
      </c>
      <c r="R122" s="1025">
        <f t="shared" si="21"/>
        <v>0</v>
      </c>
      <c r="S122" s="1025">
        <f t="shared" si="21"/>
        <v>0</v>
      </c>
      <c r="T122" s="1025">
        <f t="shared" si="21"/>
        <v>133.11539999999999</v>
      </c>
      <c r="U122" s="1025">
        <f t="shared" si="21"/>
        <v>90.790815573770487</v>
      </c>
      <c r="V122" s="1025">
        <f t="shared" si="21"/>
        <v>0</v>
      </c>
      <c r="W122" s="1025">
        <f t="shared" si="21"/>
        <v>0</v>
      </c>
      <c r="X122" s="1025">
        <f t="shared" si="21"/>
        <v>0</v>
      </c>
      <c r="Y122" s="1025"/>
      <c r="Z122" s="1025">
        <f>(SUM(Z65))</f>
        <v>28981.141774267882</v>
      </c>
      <c r="AA122" s="1025">
        <f>(SUM(AA65))</f>
        <v>64302.390021385683</v>
      </c>
    </row>
    <row r="123" spans="1:27" x14ac:dyDescent="0.25">
      <c r="A123">
        <f>A$79</f>
        <v>2015</v>
      </c>
      <c r="B123" s="1025" t="str">
        <f>B84</f>
        <v>1.i.2 Groundwater</v>
      </c>
      <c r="C123" s="1025"/>
      <c r="D123" s="1025">
        <f t="shared" ref="D123:X123" si="22">(SUM(D84))</f>
        <v>0</v>
      </c>
      <c r="E123" s="1025">
        <f t="shared" si="22"/>
        <v>13974.251190416202</v>
      </c>
      <c r="F123" s="1025">
        <f t="shared" si="22"/>
        <v>63.788130000000002</v>
      </c>
      <c r="G123" s="1025">
        <f t="shared" si="22"/>
        <v>9124.6707539115796</v>
      </c>
      <c r="H123" s="1025">
        <f t="shared" si="22"/>
        <v>0</v>
      </c>
      <c r="I123" s="1025">
        <f t="shared" si="22"/>
        <v>12165.528715831242</v>
      </c>
      <c r="J123" s="1025">
        <f t="shared" si="22"/>
        <v>0</v>
      </c>
      <c r="K123" s="1025">
        <f t="shared" si="22"/>
        <v>0</v>
      </c>
      <c r="L123" s="1025">
        <f t="shared" si="22"/>
        <v>0</v>
      </c>
      <c r="M123" s="1025">
        <f t="shared" si="22"/>
        <v>0</v>
      </c>
      <c r="N123" s="1025">
        <f t="shared" si="22"/>
        <v>0</v>
      </c>
      <c r="O123" s="1025">
        <f t="shared" si="22"/>
        <v>0</v>
      </c>
      <c r="P123" s="1025">
        <f t="shared" si="22"/>
        <v>0</v>
      </c>
      <c r="Q123" s="1025">
        <f t="shared" si="22"/>
        <v>0</v>
      </c>
      <c r="R123" s="1025">
        <f t="shared" si="22"/>
        <v>0</v>
      </c>
      <c r="S123" s="1025">
        <f t="shared" si="22"/>
        <v>0</v>
      </c>
      <c r="T123" s="1025">
        <f t="shared" si="22"/>
        <v>133.11539999999999</v>
      </c>
      <c r="U123" s="1025">
        <f t="shared" si="22"/>
        <v>90.790815573770487</v>
      </c>
      <c r="V123" s="1025">
        <f t="shared" si="22"/>
        <v>0</v>
      </c>
      <c r="W123" s="1025">
        <f t="shared" si="22"/>
        <v>0</v>
      </c>
      <c r="X123" s="1025">
        <f t="shared" si="22"/>
        <v>0</v>
      </c>
      <c r="Y123" s="1025"/>
      <c r="Z123" s="1025">
        <f>(SUM(Z84))</f>
        <v>29183.147536699777</v>
      </c>
      <c r="AA123" s="1025">
        <f>(SUM(AA84))</f>
        <v>64735.292542432573</v>
      </c>
    </row>
    <row r="124" spans="1:27" x14ac:dyDescent="0.25">
      <c r="B124" s="1025"/>
      <c r="C124" s="1025"/>
      <c r="D124" s="1025">
        <f t="shared" ref="D124:Z124" si="23">AVERAGE(D120:D123)</f>
        <v>0</v>
      </c>
      <c r="E124" s="1025">
        <f t="shared" si="23"/>
        <v>13901.873080883392</v>
      </c>
      <c r="F124" s="1025">
        <f t="shared" si="23"/>
        <v>63.788130000000002</v>
      </c>
      <c r="G124" s="1025">
        <f t="shared" si="23"/>
        <v>8943.8298271832518</v>
      </c>
      <c r="H124" s="1025">
        <f t="shared" si="23"/>
        <v>0</v>
      </c>
      <c r="I124" s="1025">
        <f t="shared" si="23"/>
        <v>12075.041933069384</v>
      </c>
      <c r="J124" s="1025">
        <f t="shared" si="23"/>
        <v>0</v>
      </c>
      <c r="K124" s="1025">
        <f t="shared" si="23"/>
        <v>0</v>
      </c>
      <c r="L124" s="1025">
        <f t="shared" si="23"/>
        <v>0</v>
      </c>
      <c r="M124" s="1025">
        <f t="shared" si="23"/>
        <v>0</v>
      </c>
      <c r="N124" s="1025">
        <f t="shared" si="23"/>
        <v>0</v>
      </c>
      <c r="O124" s="1025">
        <f t="shared" si="23"/>
        <v>0</v>
      </c>
      <c r="P124" s="1025">
        <f t="shared" si="23"/>
        <v>0</v>
      </c>
      <c r="Q124" s="1025">
        <f t="shared" si="23"/>
        <v>0</v>
      </c>
      <c r="R124" s="1025">
        <f t="shared" si="23"/>
        <v>0</v>
      </c>
      <c r="S124" s="1025">
        <f t="shared" si="23"/>
        <v>0</v>
      </c>
      <c r="T124" s="1025">
        <f t="shared" si="23"/>
        <v>133.11539999999999</v>
      </c>
      <c r="U124" s="1025">
        <f t="shared" si="23"/>
        <v>90.790815573770487</v>
      </c>
      <c r="V124" s="1025">
        <f t="shared" si="23"/>
        <v>0</v>
      </c>
      <c r="W124" s="1025">
        <f t="shared" si="23"/>
        <v>0</v>
      </c>
      <c r="X124" s="1025">
        <f t="shared" si="23"/>
        <v>0</v>
      </c>
      <c r="Y124" s="1025" t="e">
        <f t="shared" si="23"/>
        <v>#DIV/0!</v>
      </c>
      <c r="Z124" s="1025">
        <f t="shared" si="23"/>
        <v>28882.249838945965</v>
      </c>
      <c r="AA124" s="1025">
        <f>AVERAGE(AA120:AA123)</f>
        <v>64090.689025655767</v>
      </c>
    </row>
    <row r="125" spans="1:27" x14ac:dyDescent="0.25">
      <c r="B125" s="1025"/>
      <c r="C125" s="1025"/>
      <c r="D125" s="1025"/>
      <c r="E125" s="1688">
        <f t="shared" ref="E125" si="24">+E124/$AA124</f>
        <v>0.21690940278888896</v>
      </c>
      <c r="F125" s="1688">
        <f t="shared" ref="F125" si="25">+F124/$AA124</f>
        <v>9.9527920466677068E-4</v>
      </c>
      <c r="G125" s="1688">
        <f t="shared" ref="G125" si="26">+G124/$AA124</f>
        <v>0.13954959703433675</v>
      </c>
      <c r="H125" s="1688">
        <f t="shared" ref="H125" si="27">+H124/$AA124</f>
        <v>0</v>
      </c>
      <c r="I125" s="1688">
        <f t="shared" ref="I125" si="28">+I124/$AA124</f>
        <v>0.18840555651126945</v>
      </c>
      <c r="J125" s="1025"/>
      <c r="K125" s="1025"/>
      <c r="L125" s="1025"/>
      <c r="M125" s="1025"/>
      <c r="N125" s="1025"/>
      <c r="O125" s="1025"/>
      <c r="P125" s="1025"/>
      <c r="Q125" s="1025"/>
      <c r="R125" s="1025"/>
      <c r="S125" s="1025"/>
      <c r="T125" s="1688">
        <f t="shared" ref="T125:U125" si="29">+T124/$AA124</f>
        <v>2.0769850039638886E-3</v>
      </c>
      <c r="U125" s="1688">
        <f t="shared" si="29"/>
        <v>1.4165991496428842E-3</v>
      </c>
      <c r="V125" s="1025"/>
      <c r="W125" s="1025"/>
      <c r="X125" s="1025"/>
      <c r="Y125" s="1025"/>
      <c r="Z125" s="1688">
        <f>+Z124/$AA124</f>
        <v>0.45064658030723126</v>
      </c>
      <c r="AA125" s="1688">
        <f>+AA124/$AA124</f>
        <v>1</v>
      </c>
    </row>
    <row r="126" spans="1:27" x14ac:dyDescent="0.25">
      <c r="A126">
        <f>A$22</f>
        <v>2012</v>
      </c>
      <c r="B126" t="str">
        <f>B$22</f>
        <v>From PSUT_2012: 'Wateruse category'</v>
      </c>
      <c r="C126" t="str">
        <f>C$22</f>
        <v>Check ISIC on PSUT</v>
      </c>
      <c r="D126" s="1025">
        <f>D$22</f>
        <v>0</v>
      </c>
      <c r="E126" s="1025" t="str">
        <f>E$22</f>
        <v xml:space="preserve">A. Agriculture, forestry and fishing </v>
      </c>
      <c r="F126" s="1025" t="str">
        <f t="shared" ref="F126:X126" si="30">F$22</f>
        <v xml:space="preserve">B. Mining and Quarrying </v>
      </c>
      <c r="G126" s="1025" t="str">
        <f t="shared" si="30"/>
        <v>C. Manufacturing</v>
      </c>
      <c r="H126" s="1025" t="str">
        <f t="shared" si="30"/>
        <v>D. Electricity, gas, steam and air conditioning supply</v>
      </c>
      <c r="I126" s="1025" t="str">
        <f t="shared" si="30"/>
        <v>E. Water supply (WASAC &amp; AquaVirunga)</v>
      </c>
      <c r="J126" s="1025" t="str">
        <f t="shared" si="30"/>
        <v>F. Construction</v>
      </c>
      <c r="K126" s="1025" t="str">
        <f t="shared" si="30"/>
        <v>G. Wholesale and retail trade; repair of motor vehicles and motorcycles</v>
      </c>
      <c r="L126" s="1025" t="str">
        <f t="shared" si="30"/>
        <v>H. Transportation and storage</v>
      </c>
      <c r="M126" s="1025" t="str">
        <f t="shared" si="30"/>
        <v>I. Accommodation and food service activities</v>
      </c>
      <c r="N126" s="1025" t="str">
        <f t="shared" si="30"/>
        <v>J. Information and communication</v>
      </c>
      <c r="O126" s="1025" t="str">
        <f t="shared" si="30"/>
        <v>K. Banking and insurance activities</v>
      </c>
      <c r="P126" s="1025" t="str">
        <f t="shared" si="30"/>
        <v>L. Real estate activities</v>
      </c>
      <c r="Q126" s="1025" t="str">
        <f t="shared" si="30"/>
        <v>M. Professional, scientific and technical activities</v>
      </c>
      <c r="R126" s="1025" t="str">
        <f t="shared" si="30"/>
        <v>N. Administrative and support service activities</v>
      </c>
      <c r="S126" s="1025" t="str">
        <f t="shared" si="30"/>
        <v>O. Public administration and defence; compulsory social security</v>
      </c>
      <c r="T126" s="1025" t="str">
        <f t="shared" si="30"/>
        <v>P. Education</v>
      </c>
      <c r="U126" s="1025" t="str">
        <f t="shared" si="30"/>
        <v xml:space="preserve">Q. Human health and social work activities </v>
      </c>
      <c r="V126" s="1025" t="str">
        <f t="shared" si="30"/>
        <v>R. Arts, entertainment and recreation</v>
      </c>
      <c r="W126" s="1025" t="str">
        <f t="shared" si="30"/>
        <v>S. Other service activities (Religious &amp; Burial)</v>
      </c>
      <c r="X126" s="1025" t="str">
        <f t="shared" si="30"/>
        <v>T. Activities of households as employers; undifferentiated goods- and services-producing activities of households for own use</v>
      </c>
      <c r="Y126" s="1025" t="str">
        <f>Y$22</f>
        <v xml:space="preserve">Total Production activities </v>
      </c>
      <c r="Z126" s="1025" t="str">
        <f>Z$22</f>
        <v>Households</v>
      </c>
      <c r="AA126" s="1025" t="str">
        <f>AA$22</f>
        <v xml:space="preserve">Total </v>
      </c>
    </row>
    <row r="127" spans="1:27" x14ac:dyDescent="0.25">
      <c r="A127">
        <f>A$22</f>
        <v>2012</v>
      </c>
      <c r="B127" s="1025" t="str">
        <f>B30</f>
        <v>1.ii.1 Collection of precipitation (rainwater harvesting; ..)</v>
      </c>
      <c r="C127" s="1025"/>
      <c r="D127" s="1025">
        <f t="shared" ref="D127:X127" si="31">(SUM(D30))</f>
        <v>0</v>
      </c>
      <c r="E127" s="1025">
        <f t="shared" si="31"/>
        <v>807</v>
      </c>
      <c r="F127" s="1025">
        <f t="shared" si="31"/>
        <v>21359.8</v>
      </c>
      <c r="G127" s="1025">
        <f t="shared" si="31"/>
        <v>28.2</v>
      </c>
      <c r="H127" s="1025">
        <f t="shared" si="31"/>
        <v>0</v>
      </c>
      <c r="I127" s="1025">
        <f t="shared" si="31"/>
        <v>0</v>
      </c>
      <c r="J127" s="1025">
        <f t="shared" si="31"/>
        <v>0</v>
      </c>
      <c r="K127" s="1025">
        <f t="shared" si="31"/>
        <v>0</v>
      </c>
      <c r="L127" s="1025">
        <f t="shared" si="31"/>
        <v>0</v>
      </c>
      <c r="M127" s="1025">
        <f t="shared" si="31"/>
        <v>0</v>
      </c>
      <c r="N127" s="1025">
        <f t="shared" si="31"/>
        <v>0</v>
      </c>
      <c r="O127" s="1025">
        <f t="shared" si="31"/>
        <v>0.06</v>
      </c>
      <c r="P127" s="1025">
        <f t="shared" si="31"/>
        <v>0</v>
      </c>
      <c r="Q127" s="1025">
        <f t="shared" si="31"/>
        <v>0</v>
      </c>
      <c r="R127" s="1025">
        <f t="shared" si="31"/>
        <v>0</v>
      </c>
      <c r="S127" s="1025">
        <f t="shared" si="31"/>
        <v>0</v>
      </c>
      <c r="T127" s="1025">
        <f t="shared" si="31"/>
        <v>0</v>
      </c>
      <c r="U127" s="1025">
        <f t="shared" si="31"/>
        <v>497.98870000000005</v>
      </c>
      <c r="V127" s="1025">
        <f t="shared" si="31"/>
        <v>9.636000000000001</v>
      </c>
      <c r="W127" s="1025">
        <f t="shared" si="31"/>
        <v>9.636000000000001</v>
      </c>
      <c r="X127" s="1025">
        <f t="shared" si="31"/>
        <v>0</v>
      </c>
      <c r="Y127" s="1025"/>
      <c r="Z127" s="1025">
        <f>(SUM(Z30))</f>
        <v>550</v>
      </c>
      <c r="AA127" s="1025">
        <f>(SUM(AA30))</f>
        <v>23252.684700000002</v>
      </c>
    </row>
    <row r="128" spans="1:27" x14ac:dyDescent="0.25">
      <c r="A128">
        <f>A$41</f>
        <v>2013</v>
      </c>
      <c r="B128" s="1025" t="str">
        <f>B49</f>
        <v>1.ii.1 Collection of precipitation (rainwater harvesting; ..)</v>
      </c>
      <c r="C128" s="1025"/>
      <c r="D128" s="1025">
        <f t="shared" ref="D128:X128" si="32">(SUM(D49))</f>
        <v>0</v>
      </c>
      <c r="E128" s="1025">
        <f t="shared" si="32"/>
        <v>807</v>
      </c>
      <c r="F128" s="1025">
        <f t="shared" si="32"/>
        <v>21359.8</v>
      </c>
      <c r="G128" s="1025">
        <f t="shared" si="32"/>
        <v>28.2</v>
      </c>
      <c r="H128" s="1025">
        <f t="shared" si="32"/>
        <v>0</v>
      </c>
      <c r="I128" s="1025">
        <f t="shared" si="32"/>
        <v>0</v>
      </c>
      <c r="J128" s="1025">
        <f t="shared" si="32"/>
        <v>0</v>
      </c>
      <c r="K128" s="1025">
        <f t="shared" si="32"/>
        <v>0</v>
      </c>
      <c r="L128" s="1025">
        <f t="shared" si="32"/>
        <v>0</v>
      </c>
      <c r="M128" s="1025">
        <f t="shared" si="32"/>
        <v>0</v>
      </c>
      <c r="N128" s="1025">
        <f t="shared" si="32"/>
        <v>0</v>
      </c>
      <c r="O128" s="1025">
        <f t="shared" si="32"/>
        <v>0.06</v>
      </c>
      <c r="P128" s="1025">
        <f t="shared" si="32"/>
        <v>0</v>
      </c>
      <c r="Q128" s="1025">
        <f t="shared" si="32"/>
        <v>0</v>
      </c>
      <c r="R128" s="1025">
        <f t="shared" si="32"/>
        <v>0</v>
      </c>
      <c r="S128" s="1025">
        <f t="shared" si="32"/>
        <v>0</v>
      </c>
      <c r="T128" s="1025">
        <f t="shared" si="32"/>
        <v>0</v>
      </c>
      <c r="U128" s="1025">
        <f t="shared" si="32"/>
        <v>497.98870000000005</v>
      </c>
      <c r="V128" s="1025">
        <f t="shared" si="32"/>
        <v>9.636000000000001</v>
      </c>
      <c r="W128" s="1025">
        <f t="shared" si="32"/>
        <v>9.636000000000001</v>
      </c>
      <c r="X128" s="1025">
        <f t="shared" si="32"/>
        <v>0</v>
      </c>
      <c r="Y128" s="1025"/>
      <c r="Z128" s="1025">
        <f>(SUM(Z49))</f>
        <v>550</v>
      </c>
      <c r="AA128" s="1025">
        <f>(SUM(AA49))</f>
        <v>23252.684700000002</v>
      </c>
    </row>
    <row r="129" spans="1:48" x14ac:dyDescent="0.25">
      <c r="A129">
        <f>A$60</f>
        <v>2014</v>
      </c>
      <c r="B129" s="1025" t="str">
        <f>B68</f>
        <v>1.ii.1 Collection of precipitation (rainwater harvesting; ..)</v>
      </c>
      <c r="C129" s="1025"/>
      <c r="D129" s="1025">
        <f t="shared" ref="D129:X129" si="33">(SUM(D68))</f>
        <v>0</v>
      </c>
      <c r="E129" s="1025">
        <f t="shared" si="33"/>
        <v>807</v>
      </c>
      <c r="F129" s="1025">
        <f t="shared" si="33"/>
        <v>21359.8</v>
      </c>
      <c r="G129" s="1025">
        <f t="shared" si="33"/>
        <v>28.2</v>
      </c>
      <c r="H129" s="1025">
        <f t="shared" si="33"/>
        <v>0</v>
      </c>
      <c r="I129" s="1025">
        <f t="shared" si="33"/>
        <v>0</v>
      </c>
      <c r="J129" s="1025">
        <f t="shared" si="33"/>
        <v>0</v>
      </c>
      <c r="K129" s="1025">
        <f t="shared" si="33"/>
        <v>0</v>
      </c>
      <c r="L129" s="1025">
        <f t="shared" si="33"/>
        <v>0</v>
      </c>
      <c r="M129" s="1025">
        <f t="shared" si="33"/>
        <v>0</v>
      </c>
      <c r="N129" s="1025">
        <f t="shared" si="33"/>
        <v>0</v>
      </c>
      <c r="O129" s="1025">
        <f t="shared" si="33"/>
        <v>0.06</v>
      </c>
      <c r="P129" s="1025">
        <f t="shared" si="33"/>
        <v>0</v>
      </c>
      <c r="Q129" s="1025">
        <f t="shared" si="33"/>
        <v>0</v>
      </c>
      <c r="R129" s="1025">
        <f t="shared" si="33"/>
        <v>0</v>
      </c>
      <c r="S129" s="1025">
        <f t="shared" si="33"/>
        <v>0</v>
      </c>
      <c r="T129" s="1025">
        <f t="shared" si="33"/>
        <v>0</v>
      </c>
      <c r="U129" s="1025">
        <f t="shared" si="33"/>
        <v>497.98870000000005</v>
      </c>
      <c r="V129" s="1025">
        <f t="shared" si="33"/>
        <v>9.636000000000001</v>
      </c>
      <c r="W129" s="1025">
        <f t="shared" si="33"/>
        <v>9.636000000000001</v>
      </c>
      <c r="X129" s="1025">
        <f t="shared" si="33"/>
        <v>0</v>
      </c>
      <c r="Y129" s="1025"/>
      <c r="Z129" s="1025">
        <f>(SUM(Z68))</f>
        <v>550</v>
      </c>
      <c r="AA129" s="1025">
        <f>(SUM(AA68))</f>
        <v>23252.684700000002</v>
      </c>
    </row>
    <row r="130" spans="1:48" x14ac:dyDescent="0.25">
      <c r="A130">
        <f>A$79</f>
        <v>2015</v>
      </c>
      <c r="B130" s="1025" t="str">
        <f>B87</f>
        <v>1.ii.1 Collection of precipitation (rainwater harvesting; ..)</v>
      </c>
      <c r="C130" s="1025"/>
      <c r="D130" s="1025">
        <f t="shared" ref="D130:X130" si="34">(SUM(D87))</f>
        <v>0</v>
      </c>
      <c r="E130" s="1025">
        <f t="shared" si="34"/>
        <v>807</v>
      </c>
      <c r="F130" s="1025">
        <f t="shared" si="34"/>
        <v>21359.8</v>
      </c>
      <c r="G130" s="1025">
        <f t="shared" si="34"/>
        <v>28.2</v>
      </c>
      <c r="H130" s="1025">
        <f t="shared" si="34"/>
        <v>0</v>
      </c>
      <c r="I130" s="1025">
        <f t="shared" si="34"/>
        <v>0</v>
      </c>
      <c r="J130" s="1025">
        <f t="shared" si="34"/>
        <v>0</v>
      </c>
      <c r="K130" s="1025">
        <f t="shared" si="34"/>
        <v>0</v>
      </c>
      <c r="L130" s="1025">
        <f t="shared" si="34"/>
        <v>0</v>
      </c>
      <c r="M130" s="1025">
        <f t="shared" si="34"/>
        <v>0</v>
      </c>
      <c r="N130" s="1025">
        <f t="shared" si="34"/>
        <v>0</v>
      </c>
      <c r="O130" s="1025">
        <f t="shared" si="34"/>
        <v>0.06</v>
      </c>
      <c r="P130" s="1025">
        <f t="shared" si="34"/>
        <v>0</v>
      </c>
      <c r="Q130" s="1025">
        <f t="shared" si="34"/>
        <v>0</v>
      </c>
      <c r="R130" s="1025">
        <f t="shared" si="34"/>
        <v>0</v>
      </c>
      <c r="S130" s="1025">
        <f t="shared" si="34"/>
        <v>0</v>
      </c>
      <c r="T130" s="1025">
        <f t="shared" si="34"/>
        <v>0</v>
      </c>
      <c r="U130" s="1025">
        <f t="shared" si="34"/>
        <v>497.98870000000005</v>
      </c>
      <c r="V130" s="1025">
        <f t="shared" si="34"/>
        <v>9.636000000000001</v>
      </c>
      <c r="W130" s="1025">
        <f t="shared" si="34"/>
        <v>9.636000000000001</v>
      </c>
      <c r="X130" s="1025">
        <f t="shared" si="34"/>
        <v>0</v>
      </c>
      <c r="Y130" s="1025"/>
      <c r="Z130" s="1025">
        <f>(SUM(Z87))</f>
        <v>550</v>
      </c>
      <c r="AA130" s="1025">
        <f>(SUM(AA87))</f>
        <v>23252.684700000002</v>
      </c>
    </row>
    <row r="133" spans="1:48" x14ac:dyDescent="0.25">
      <c r="A133">
        <f>A$22</f>
        <v>2012</v>
      </c>
      <c r="B133" t="str">
        <f>B$22</f>
        <v>From PSUT_2012: 'Wateruse category'</v>
      </c>
      <c r="C133" t="str">
        <f>C$22</f>
        <v>Check ISIC on PSUT</v>
      </c>
      <c r="D133" s="1025">
        <f>D$22</f>
        <v>0</v>
      </c>
      <c r="E133" s="1025" t="str">
        <f>E$22</f>
        <v xml:space="preserve">A. Agriculture, forestry and fishing </v>
      </c>
      <c r="F133" s="1025" t="str">
        <f t="shared" ref="F133:X133" si="35">F$22</f>
        <v xml:space="preserve">B. Mining and Quarrying </v>
      </c>
      <c r="G133" s="1025" t="str">
        <f t="shared" si="35"/>
        <v>C. Manufacturing</v>
      </c>
      <c r="H133" s="1025" t="str">
        <f t="shared" si="35"/>
        <v>D. Electricity, gas, steam and air conditioning supply</v>
      </c>
      <c r="I133" s="1025" t="str">
        <f t="shared" si="35"/>
        <v>E. Water supply (WASAC &amp; AquaVirunga)</v>
      </c>
      <c r="J133" s="1025" t="str">
        <f t="shared" si="35"/>
        <v>F. Construction</v>
      </c>
      <c r="K133" s="1025" t="str">
        <f t="shared" si="35"/>
        <v>G. Wholesale and retail trade; repair of motor vehicles and motorcycles</v>
      </c>
      <c r="L133" s="1025" t="str">
        <f t="shared" si="35"/>
        <v>H. Transportation and storage</v>
      </c>
      <c r="M133" s="1025" t="str">
        <f t="shared" si="35"/>
        <v>I. Accommodation and food service activities</v>
      </c>
      <c r="N133" s="1025" t="str">
        <f t="shared" si="35"/>
        <v>J. Information and communication</v>
      </c>
      <c r="O133" s="1025" t="str">
        <f t="shared" si="35"/>
        <v>K. Banking and insurance activities</v>
      </c>
      <c r="P133" s="1025" t="str">
        <f t="shared" si="35"/>
        <v>L. Real estate activities</v>
      </c>
      <c r="Q133" s="1025" t="str">
        <f t="shared" si="35"/>
        <v>M. Professional, scientific and technical activities</v>
      </c>
      <c r="R133" s="1025" t="str">
        <f t="shared" si="35"/>
        <v>N. Administrative and support service activities</v>
      </c>
      <c r="S133" s="1025" t="str">
        <f t="shared" si="35"/>
        <v>O. Public administration and defence; compulsory social security</v>
      </c>
      <c r="T133" s="1025" t="str">
        <f t="shared" si="35"/>
        <v>P. Education</v>
      </c>
      <c r="U133" s="1025" t="str">
        <f t="shared" si="35"/>
        <v xml:space="preserve">Q. Human health and social work activities </v>
      </c>
      <c r="V133" s="1025" t="str">
        <f t="shared" si="35"/>
        <v>R. Arts, entertainment and recreation</v>
      </c>
      <c r="W133" s="1025" t="str">
        <f t="shared" si="35"/>
        <v>S. Other service activities (Religious &amp; Burial)</v>
      </c>
      <c r="X133" s="1025" t="str">
        <f t="shared" si="35"/>
        <v>T. Activities of households as employers; undifferentiated goods- and services-producing activities of households for own use</v>
      </c>
      <c r="Y133" s="1025" t="str">
        <f>Y$22</f>
        <v xml:space="preserve">Total Production activities </v>
      </c>
      <c r="Z133" s="1025" t="str">
        <f>Z$22</f>
        <v>Households</v>
      </c>
      <c r="AA133" s="1025" t="str">
        <f>AA$22</f>
        <v xml:space="preserve">Total </v>
      </c>
    </row>
    <row r="134" spans="1:48" x14ac:dyDescent="0.25">
      <c r="A134">
        <f>A$22</f>
        <v>2012</v>
      </c>
      <c r="B134" s="1025" t="str">
        <f>B37</f>
        <v>7. Consumption (3-6)</v>
      </c>
      <c r="C134" s="1025"/>
      <c r="D134" s="1025">
        <f t="shared" ref="D134:X134" si="36">(SUM(D37))</f>
        <v>12392838.073680619</v>
      </c>
      <c r="E134" s="1025">
        <f t="shared" si="36"/>
        <v>12123968.78176038</v>
      </c>
      <c r="F134" s="1025">
        <f t="shared" si="36"/>
        <v>1065.3130323897094</v>
      </c>
      <c r="G134" s="1025">
        <f t="shared" si="36"/>
        <v>150885.77378783905</v>
      </c>
      <c r="H134" s="1025">
        <f t="shared" si="36"/>
        <v>16763.508444795734</v>
      </c>
      <c r="I134" s="1025">
        <f t="shared" si="36"/>
        <v>50438.456176190091</v>
      </c>
      <c r="J134" s="1025">
        <f t="shared" si="36"/>
        <v>0</v>
      </c>
      <c r="K134" s="1025">
        <f t="shared" si="36"/>
        <v>0</v>
      </c>
      <c r="L134" s="1025">
        <f t="shared" si="36"/>
        <v>0</v>
      </c>
      <c r="M134" s="1025">
        <f t="shared" si="36"/>
        <v>3700.4149084591081</v>
      </c>
      <c r="N134" s="1025">
        <f t="shared" si="36"/>
        <v>0</v>
      </c>
      <c r="O134" s="1025">
        <f t="shared" si="36"/>
        <v>13.611322139488699</v>
      </c>
      <c r="P134" s="1025">
        <f t="shared" si="36"/>
        <v>0</v>
      </c>
      <c r="Q134" s="1025">
        <f t="shared" si="36"/>
        <v>0</v>
      </c>
      <c r="R134" s="1025">
        <f t="shared" si="36"/>
        <v>0</v>
      </c>
      <c r="S134" s="1025">
        <f t="shared" si="36"/>
        <v>0</v>
      </c>
      <c r="T134" s="1025">
        <f t="shared" si="36"/>
        <v>45007.581399999966</v>
      </c>
      <c r="U134" s="1025">
        <f t="shared" si="36"/>
        <v>861.94444968661037</v>
      </c>
      <c r="V134" s="1025">
        <f t="shared" si="36"/>
        <v>132.68839873822006</v>
      </c>
      <c r="W134" s="1025">
        <f t="shared" si="36"/>
        <v>132.68839873822006</v>
      </c>
      <c r="X134" s="1025">
        <f t="shared" si="36"/>
        <v>0</v>
      </c>
      <c r="Y134" s="1025"/>
      <c r="Z134" s="1025">
        <f>(SUM(Z37))</f>
        <v>133714.89643956049</v>
      </c>
      <c r="AA134" s="1025">
        <f>(SUM(AA37))</f>
        <v>12527855.883734873</v>
      </c>
    </row>
    <row r="135" spans="1:48" x14ac:dyDescent="0.25">
      <c r="A135">
        <f>A$41</f>
        <v>2013</v>
      </c>
      <c r="B135" s="1025" t="str">
        <f>B56</f>
        <v>7. Consumption (3-6)</v>
      </c>
      <c r="C135" s="1025"/>
      <c r="D135" s="1025">
        <f t="shared" ref="D135:X135" si="37">(SUM(D56))</f>
        <v>11895912.592401573</v>
      </c>
      <c r="E135" s="1025">
        <f t="shared" si="37"/>
        <v>11625943.378715385</v>
      </c>
      <c r="F135" s="1025">
        <f t="shared" si="37"/>
        <v>1066.280103117504</v>
      </c>
      <c r="G135" s="1025">
        <f t="shared" si="37"/>
        <v>151185.62992350146</v>
      </c>
      <c r="H135" s="1025">
        <f t="shared" si="37"/>
        <v>17297.563072272984</v>
      </c>
      <c r="I135" s="1025">
        <f t="shared" si="37"/>
        <v>50703.50010827103</v>
      </c>
      <c r="J135" s="1025">
        <f t="shared" si="37"/>
        <v>0</v>
      </c>
      <c r="K135" s="1025">
        <f t="shared" si="37"/>
        <v>0</v>
      </c>
      <c r="L135" s="1025">
        <f t="shared" si="37"/>
        <v>0</v>
      </c>
      <c r="M135" s="1025">
        <f t="shared" si="37"/>
        <v>3700.4149084591081</v>
      </c>
      <c r="N135" s="1025">
        <f t="shared" si="37"/>
        <v>0</v>
      </c>
      <c r="O135" s="1025">
        <f t="shared" si="37"/>
        <v>13.611322139488699</v>
      </c>
      <c r="P135" s="1025">
        <f t="shared" si="37"/>
        <v>0</v>
      </c>
      <c r="Q135" s="1025">
        <f t="shared" si="37"/>
        <v>0</v>
      </c>
      <c r="R135" s="1025">
        <f t="shared" si="37"/>
        <v>0</v>
      </c>
      <c r="S135" s="1025">
        <f t="shared" si="37"/>
        <v>0</v>
      </c>
      <c r="T135" s="1025">
        <f t="shared" si="37"/>
        <v>45007.581399999966</v>
      </c>
      <c r="U135" s="1025">
        <f t="shared" si="37"/>
        <v>861.94444968661037</v>
      </c>
      <c r="V135" s="1025">
        <f t="shared" si="37"/>
        <v>132.68839873822006</v>
      </c>
      <c r="W135" s="1025">
        <f t="shared" si="37"/>
        <v>132.68839873822006</v>
      </c>
      <c r="X135" s="1025">
        <f t="shared" si="37"/>
        <v>0</v>
      </c>
      <c r="Y135" s="1025"/>
      <c r="Z135" s="1025">
        <f>(SUM(Z56))</f>
        <v>133912.69650340232</v>
      </c>
      <c r="AA135" s="1025">
        <f>(SUM(AA56))</f>
        <v>12031128.20251967</v>
      </c>
    </row>
    <row r="136" spans="1:48" x14ac:dyDescent="0.25">
      <c r="A136">
        <f>A$60</f>
        <v>2014</v>
      </c>
      <c r="B136" s="1025" t="str">
        <f>B75</f>
        <v>7. Consumption (3-6)</v>
      </c>
      <c r="C136" s="1025"/>
      <c r="D136" s="1025">
        <f t="shared" ref="D136:X136" si="38">(SUM(D75))</f>
        <v>12344183.420003464</v>
      </c>
      <c r="E136" s="1025">
        <f t="shared" si="38"/>
        <v>12073089.547444249</v>
      </c>
      <c r="F136" s="1025">
        <f t="shared" si="38"/>
        <v>1067.2665152598529</v>
      </c>
      <c r="G136" s="1025">
        <f t="shared" si="38"/>
        <v>151490.0473498166</v>
      </c>
      <c r="H136" s="1025">
        <f t="shared" si="38"/>
        <v>17850.44895510166</v>
      </c>
      <c r="I136" s="1025">
        <f t="shared" si="38"/>
        <v>50969.869260012383</v>
      </c>
      <c r="J136" s="1025">
        <f t="shared" si="38"/>
        <v>0</v>
      </c>
      <c r="K136" s="1025">
        <f t="shared" si="38"/>
        <v>0</v>
      </c>
      <c r="L136" s="1025">
        <f t="shared" si="38"/>
        <v>0</v>
      </c>
      <c r="M136" s="1025">
        <f t="shared" si="38"/>
        <v>3700.4149084591081</v>
      </c>
      <c r="N136" s="1025">
        <f t="shared" si="38"/>
        <v>0</v>
      </c>
      <c r="O136" s="1025">
        <f t="shared" si="38"/>
        <v>13.611322139488699</v>
      </c>
      <c r="P136" s="1025">
        <f t="shared" si="38"/>
        <v>0</v>
      </c>
      <c r="Q136" s="1025">
        <f t="shared" si="38"/>
        <v>0</v>
      </c>
      <c r="R136" s="1025">
        <f t="shared" si="38"/>
        <v>0</v>
      </c>
      <c r="S136" s="1025">
        <f t="shared" si="38"/>
        <v>0</v>
      </c>
      <c r="T136" s="1025">
        <f t="shared" si="38"/>
        <v>45007.581399999966</v>
      </c>
      <c r="U136" s="1025">
        <f t="shared" si="38"/>
        <v>861.94444968661037</v>
      </c>
      <c r="V136" s="1025">
        <f t="shared" si="38"/>
        <v>132.68839873822006</v>
      </c>
      <c r="W136" s="1025">
        <f t="shared" si="38"/>
        <v>132.68839873822006</v>
      </c>
      <c r="X136" s="1025">
        <f t="shared" si="38"/>
        <v>0</v>
      </c>
      <c r="Y136" s="1025"/>
      <c r="Z136" s="1025">
        <f>(SUM(Z75))</f>
        <v>134112.69792386814</v>
      </c>
      <c r="AA136" s="1025">
        <f>(SUM(AA75))</f>
        <v>12479599.031542027</v>
      </c>
    </row>
    <row r="137" spans="1:48" x14ac:dyDescent="0.25">
      <c r="A137">
        <f>A$79</f>
        <v>2015</v>
      </c>
      <c r="B137" s="1025" t="str">
        <f>B94</f>
        <v>7. Consumption (3-6)</v>
      </c>
      <c r="C137" s="1025"/>
      <c r="D137" s="1025">
        <f t="shared" ref="D137:X137" si="39">(SUM(D94))</f>
        <v>12651099.576847168</v>
      </c>
      <c r="E137" s="1025">
        <f t="shared" si="39"/>
        <v>12378855.512207687</v>
      </c>
      <c r="F137" s="1025">
        <f t="shared" si="39"/>
        <v>1068.2726556450507</v>
      </c>
      <c r="G137" s="1025">
        <f t="shared" si="39"/>
        <v>151799.10437223449</v>
      </c>
      <c r="H137" s="1025">
        <f t="shared" si="39"/>
        <v>18422.876875063579</v>
      </c>
      <c r="I137" s="1025">
        <f t="shared" si="39"/>
        <v>51237.570257512438</v>
      </c>
      <c r="J137" s="1025">
        <f t="shared" si="39"/>
        <v>0</v>
      </c>
      <c r="K137" s="1025">
        <f t="shared" si="39"/>
        <v>0</v>
      </c>
      <c r="L137" s="1025">
        <f t="shared" si="39"/>
        <v>0</v>
      </c>
      <c r="M137" s="1025">
        <f t="shared" si="39"/>
        <v>3700.4149084591081</v>
      </c>
      <c r="N137" s="1025">
        <f t="shared" si="39"/>
        <v>0</v>
      </c>
      <c r="O137" s="1025">
        <f t="shared" si="39"/>
        <v>13.611322139488699</v>
      </c>
      <c r="P137" s="1025">
        <f t="shared" si="39"/>
        <v>0</v>
      </c>
      <c r="Q137" s="1025">
        <f t="shared" si="39"/>
        <v>0</v>
      </c>
      <c r="R137" s="1025">
        <f t="shared" si="39"/>
        <v>0</v>
      </c>
      <c r="S137" s="1025">
        <f t="shared" si="39"/>
        <v>0</v>
      </c>
      <c r="T137" s="1025">
        <f t="shared" si="39"/>
        <v>45007.581399999966</v>
      </c>
      <c r="U137" s="1025">
        <f t="shared" si="39"/>
        <v>861.94444968661037</v>
      </c>
      <c r="V137" s="1025">
        <f t="shared" si="39"/>
        <v>132.68839873822006</v>
      </c>
      <c r="W137" s="1025">
        <f t="shared" si="39"/>
        <v>132.68839873822006</v>
      </c>
      <c r="X137" s="1025">
        <f t="shared" si="39"/>
        <v>0</v>
      </c>
      <c r="Y137" s="1025"/>
      <c r="Z137" s="1025">
        <f>(SUM(Z94))</f>
        <v>134314.76146704803</v>
      </c>
      <c r="AA137" s="1025">
        <f>(SUM(AA94))</f>
        <v>12786717.251928911</v>
      </c>
      <c r="AU137" s="584"/>
      <c r="AV137" s="584"/>
    </row>
    <row r="138" spans="1:48" x14ac:dyDescent="0.25">
      <c r="AU138" s="604"/>
      <c r="AV138" s="604"/>
    </row>
    <row r="139" spans="1:48" x14ac:dyDescent="0.25">
      <c r="AU139" s="584"/>
      <c r="AV139" s="584"/>
    </row>
    <row r="140" spans="1:48" x14ac:dyDescent="0.25">
      <c r="AU140" s="584"/>
      <c r="AV140" s="584"/>
    </row>
    <row r="141" spans="1:48" x14ac:dyDescent="0.25">
      <c r="AU141" s="584"/>
      <c r="AV141" s="584"/>
    </row>
    <row r="142" spans="1:48" x14ac:dyDescent="0.25">
      <c r="AU142" s="584"/>
      <c r="AV142" s="584"/>
    </row>
    <row r="143" spans="1:48" x14ac:dyDescent="0.25">
      <c r="AU143" s="584"/>
      <c r="AV143" s="584"/>
    </row>
  </sheetData>
  <mergeCells count="3">
    <mergeCell ref="A3:A5"/>
    <mergeCell ref="A12:A13"/>
    <mergeCell ref="A14:A15"/>
  </mergeCells>
  <pageMargins left="0.51181102362204722" right="0.51181102362204722" top="0.74803149606299213" bottom="0.74803149606299213" header="0.31496062992125984" footer="0.31496062992125984"/>
  <pageSetup paperSize="9" scale="18" orientation="landscape" r:id="rId1"/>
  <headerFooter>
    <oddHeader>&amp;L&amp;F    &amp;&amp;&amp;A&amp;C
&amp;D&amp;RPage &amp;P of &amp;N</oddHeader>
  </headerFooter>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pageSetUpPr fitToPage="1"/>
  </sheetPr>
  <dimension ref="B1:B25"/>
  <sheetViews>
    <sheetView zoomScale="115" zoomScaleNormal="115" workbookViewId="0">
      <selection activeCell="Y26" sqref="Y26"/>
    </sheetView>
  </sheetViews>
  <sheetFormatPr defaultRowHeight="15" x14ac:dyDescent="0.25"/>
  <cols>
    <col min="2" max="2" width="42.42578125" bestFit="1" customWidth="1"/>
  </cols>
  <sheetData>
    <row r="1" spans="2:2" x14ac:dyDescent="0.25">
      <c r="B1" s="187" t="s">
        <v>1233</v>
      </c>
    </row>
    <row r="3" spans="2:2" x14ac:dyDescent="0.25">
      <c r="B3" s="322" t="s">
        <v>607</v>
      </c>
    </row>
    <row r="4" spans="2:2" x14ac:dyDescent="0.25">
      <c r="B4" s="322" t="s">
        <v>608</v>
      </c>
    </row>
    <row r="5" spans="2:2" x14ac:dyDescent="0.25">
      <c r="B5" s="322" t="s">
        <v>1320</v>
      </c>
    </row>
    <row r="6" spans="2:2" x14ac:dyDescent="0.25">
      <c r="B6" t="s">
        <v>1336</v>
      </c>
    </row>
    <row r="7" spans="2:2" x14ac:dyDescent="0.25">
      <c r="B7" s="322" t="s">
        <v>1321</v>
      </c>
    </row>
    <row r="8" spans="2:2" x14ac:dyDescent="0.25">
      <c r="B8" s="322" t="s">
        <v>1322</v>
      </c>
    </row>
    <row r="9" spans="2:2" x14ac:dyDescent="0.25">
      <c r="B9" s="322" t="s">
        <v>1323</v>
      </c>
    </row>
    <row r="10" spans="2:2" x14ac:dyDescent="0.25">
      <c r="B10" t="s">
        <v>1336</v>
      </c>
    </row>
    <row r="12" spans="2:2" x14ac:dyDescent="0.25">
      <c r="B12" t="s">
        <v>1034</v>
      </c>
    </row>
    <row r="13" spans="2:2" ht="17.25" x14ac:dyDescent="0.25">
      <c r="B13" t="s">
        <v>1035</v>
      </c>
    </row>
    <row r="14" spans="2:2" ht="17.25" x14ac:dyDescent="0.25">
      <c r="B14" t="s">
        <v>1037</v>
      </c>
    </row>
    <row r="15" spans="2:2" ht="17.25" x14ac:dyDescent="0.25">
      <c r="B15" t="s">
        <v>1036</v>
      </c>
    </row>
    <row r="16" spans="2:2" ht="17.25" x14ac:dyDescent="0.25">
      <c r="B16" t="s">
        <v>1038</v>
      </c>
    </row>
    <row r="17" spans="2:2" x14ac:dyDescent="0.25">
      <c r="B17" t="s">
        <v>1033</v>
      </c>
    </row>
    <row r="19" spans="2:2" x14ac:dyDescent="0.25">
      <c r="B19" t="s">
        <v>1027</v>
      </c>
    </row>
    <row r="20" spans="2:2" x14ac:dyDescent="0.25">
      <c r="B20" t="s">
        <v>1028</v>
      </c>
    </row>
    <row r="21" spans="2:2" x14ac:dyDescent="0.25">
      <c r="B21" t="s">
        <v>1032</v>
      </c>
    </row>
    <row r="23" spans="2:2" x14ac:dyDescent="0.25">
      <c r="B23" t="s">
        <v>1030</v>
      </c>
    </row>
    <row r="24" spans="2:2" x14ac:dyDescent="0.25">
      <c r="B24" t="s">
        <v>1029</v>
      </c>
    </row>
    <row r="25" spans="2:2" x14ac:dyDescent="0.25">
      <c r="B25" t="s">
        <v>1031</v>
      </c>
    </row>
  </sheetData>
  <hyperlinks>
    <hyperlink ref="B3" location="IRWR!B1" display="IRWR"/>
    <hyperlink ref="B4" location="TRWR!B1" display="TRWR"/>
    <hyperlink ref="B5" location="Water_availability_per_capita!B1" display="Water availability per capita"/>
    <hyperlink ref="B7" location="SDG_6.4.1!B1" display="SDG 6.4.1"/>
    <hyperlink ref="B8" location="SDG_6.4.2!B1" display="SDG 6.4.2"/>
    <hyperlink ref="B9" location="SDG_Resources_Sheet!L18" display="SDG Resources Sheet"/>
  </hyperlinks>
  <pageMargins left="0.51181102362204722" right="0.51181102362204722" top="0.74803149606299213" bottom="0.74803149606299213" header="0.31496062992125984" footer="0.31496062992125984"/>
  <pageSetup paperSize="9" orientation="landscape" r:id="rId1"/>
  <headerFooter>
    <oddHeader>&amp;L&amp;F    &amp;&amp;&amp;A&amp;C
&amp;D&amp;RPage &amp;P of &amp;N</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pageSetUpPr fitToPage="1"/>
  </sheetPr>
  <dimension ref="B1:K41"/>
  <sheetViews>
    <sheetView view="pageBreakPreview" topLeftCell="A4" zoomScale="80" zoomScaleNormal="90" zoomScaleSheetLayoutView="80" workbookViewId="0">
      <selection activeCell="D20" sqref="D20"/>
    </sheetView>
  </sheetViews>
  <sheetFormatPr defaultRowHeight="15" x14ac:dyDescent="0.25"/>
  <cols>
    <col min="2" max="2" width="53.5703125" customWidth="1"/>
    <col min="3" max="7" width="17.7109375" customWidth="1"/>
    <col min="8" max="8" width="9.85546875" bestFit="1" customWidth="1"/>
  </cols>
  <sheetData>
    <row r="1" spans="2:11" x14ac:dyDescent="0.25">
      <c r="G1" s="232" t="s">
        <v>1302</v>
      </c>
      <c r="H1" s="232"/>
      <c r="I1" s="232"/>
      <c r="J1" s="232"/>
      <c r="K1" s="232"/>
    </row>
    <row r="2" spans="2:11" ht="15.75" thickBot="1" x14ac:dyDescent="0.3">
      <c r="B2" t="s">
        <v>1259</v>
      </c>
    </row>
    <row r="3" spans="2:11" ht="31.5" customHeight="1" thickBot="1" x14ac:dyDescent="0.3">
      <c r="B3" s="983" t="s">
        <v>69</v>
      </c>
      <c r="C3" s="1799" t="s">
        <v>1261</v>
      </c>
      <c r="D3" s="1799"/>
      <c r="E3" s="1799"/>
      <c r="F3" s="1799"/>
      <c r="G3" s="1800"/>
    </row>
    <row r="4" spans="2:11" ht="15.75" thickBot="1" x14ac:dyDescent="0.3">
      <c r="B4" s="984" t="s">
        <v>1236</v>
      </c>
      <c r="C4" s="985">
        <v>2012</v>
      </c>
      <c r="D4" s="985">
        <v>2013</v>
      </c>
      <c r="E4" s="985">
        <v>2014</v>
      </c>
      <c r="F4" s="985">
        <v>2015</v>
      </c>
      <c r="G4" s="985">
        <v>2016</v>
      </c>
      <c r="H4" s="1686" t="s">
        <v>1777</v>
      </c>
    </row>
    <row r="5" spans="2:11" ht="15.75" thickBot="1" x14ac:dyDescent="0.3">
      <c r="B5" s="986" t="s">
        <v>55</v>
      </c>
      <c r="C5" s="981"/>
      <c r="D5" s="981"/>
      <c r="E5" s="981"/>
      <c r="F5" s="981"/>
      <c r="G5" s="981"/>
    </row>
    <row r="6" spans="2:11" ht="15.75" thickBot="1" x14ac:dyDescent="0.3">
      <c r="B6" s="987" t="s">
        <v>56</v>
      </c>
      <c r="C6" s="998"/>
      <c r="D6" s="998"/>
      <c r="E6" s="998"/>
      <c r="F6" s="998"/>
      <c r="G6" s="998"/>
    </row>
    <row r="7" spans="2:11" ht="15.75" thickBot="1" x14ac:dyDescent="0.3">
      <c r="B7" s="987" t="s">
        <v>48</v>
      </c>
      <c r="C7" s="999">
        <f>+(Asset_Tbl_Balance_2012!$J9)</f>
        <v>33559.8796</v>
      </c>
      <c r="D7" s="999">
        <f>+(Asset_Tbl_Balance_2013!$J9)</f>
        <v>31934.824999999993</v>
      </c>
      <c r="E7" s="999">
        <f>+(Asset_Tbl_Balance_2014!$J9)</f>
        <v>31966.4306</v>
      </c>
      <c r="F7" s="999">
        <f>+(Asset_Tbl_Balance_2015!$J9)</f>
        <v>32027.008000000002</v>
      </c>
      <c r="G7" s="999"/>
      <c r="H7" s="1679">
        <f>AVERAGE(C7:F7)</f>
        <v>32372.035799999998</v>
      </c>
      <c r="I7" s="232" t="s">
        <v>1301</v>
      </c>
    </row>
    <row r="8" spans="2:11" ht="15.75" thickBot="1" x14ac:dyDescent="0.3">
      <c r="B8" s="987" t="s">
        <v>57</v>
      </c>
      <c r="C8" s="999">
        <f>+(Asset_Tbl_Balance_2012!$J10)</f>
        <v>0</v>
      </c>
      <c r="D8" s="999">
        <f>+(Asset_Tbl_Balance_2013!$J10)</f>
        <v>0</v>
      </c>
      <c r="E8" s="999">
        <f>+(Asset_Tbl_Balance_2014!$J10)</f>
        <v>0</v>
      </c>
      <c r="F8" s="999">
        <f>+(Asset_Tbl_Balance_2015!$J10)</f>
        <v>0</v>
      </c>
      <c r="G8" s="999"/>
      <c r="H8" s="1679">
        <f>AVERAGE(C8:F8)</f>
        <v>0</v>
      </c>
      <c r="I8" s="232" t="s">
        <v>1301</v>
      </c>
    </row>
    <row r="9" spans="2:11" ht="15.75" thickBot="1" x14ac:dyDescent="0.3">
      <c r="B9" s="987" t="s">
        <v>58</v>
      </c>
      <c r="C9" s="998"/>
      <c r="D9" s="998"/>
      <c r="E9" s="998"/>
      <c r="F9" s="998"/>
      <c r="G9" s="998"/>
      <c r="H9" s="1680">
        <f>+H8/H10</f>
        <v>0</v>
      </c>
    </row>
    <row r="10" spans="2:11" ht="15.75" thickBot="1" x14ac:dyDescent="0.3">
      <c r="B10" s="986" t="s">
        <v>59</v>
      </c>
      <c r="C10" s="1000">
        <f>SUM(C6:C9)</f>
        <v>33559.8796</v>
      </c>
      <c r="D10" s="1000">
        <f t="shared" ref="D10:G10" si="0">SUM(D6:D9)</f>
        <v>31934.824999999993</v>
      </c>
      <c r="E10" s="1000">
        <f t="shared" si="0"/>
        <v>31966.4306</v>
      </c>
      <c r="F10" s="1000">
        <f t="shared" si="0"/>
        <v>32027.008000000002</v>
      </c>
      <c r="G10" s="1000">
        <f t="shared" si="0"/>
        <v>0</v>
      </c>
      <c r="H10" s="1679">
        <f>AVERAGE(C10:F10)</f>
        <v>32372.035799999998</v>
      </c>
    </row>
    <row r="11" spans="2:11" ht="15.75" thickBot="1" x14ac:dyDescent="0.3">
      <c r="B11" s="982"/>
      <c r="C11" s="1001"/>
      <c r="D11" s="1001"/>
      <c r="E11" s="1001"/>
      <c r="F11" s="1001"/>
      <c r="G11" s="1001"/>
    </row>
    <row r="12" spans="2:11" ht="15.75" thickBot="1" x14ac:dyDescent="0.3">
      <c r="B12" s="988" t="s">
        <v>60</v>
      </c>
      <c r="C12" s="1002"/>
      <c r="D12" s="1002"/>
      <c r="E12" s="1002"/>
      <c r="F12" s="1002"/>
      <c r="G12" s="1002"/>
    </row>
    <row r="13" spans="2:11" ht="15.75" thickBot="1" x14ac:dyDescent="0.3">
      <c r="B13" s="987" t="s">
        <v>61</v>
      </c>
      <c r="C13" s="998"/>
      <c r="D13" s="998"/>
      <c r="E13" s="998"/>
      <c r="F13" s="998"/>
      <c r="G13" s="998"/>
    </row>
    <row r="14" spans="2:11" ht="15.75" thickBot="1" x14ac:dyDescent="0.3">
      <c r="B14" s="987" t="s">
        <v>62</v>
      </c>
      <c r="C14" s="999">
        <f>+(Asset_Tbl_Balance_2012!$J16)</f>
        <v>22750.7644</v>
      </c>
      <c r="D14" s="999">
        <f>+(Asset_Tbl_Balance_2013!$J16)</f>
        <v>22455.7788</v>
      </c>
      <c r="E14" s="999">
        <f>+(Asset_Tbl_Balance_2014!$J16)</f>
        <v>20891.301599999999</v>
      </c>
      <c r="F14" s="999">
        <f>+(Asset_Tbl_Balance_2015!$J16)</f>
        <v>21620.8642</v>
      </c>
      <c r="G14" s="999"/>
      <c r="H14" s="1679">
        <f>AVERAGE(C14:F14)</f>
        <v>21929.677249999997</v>
      </c>
      <c r="I14" s="232" t="s">
        <v>1301</v>
      </c>
    </row>
    <row r="15" spans="2:11" ht="15.75" thickBot="1" x14ac:dyDescent="0.3">
      <c r="B15" s="987" t="s">
        <v>65</v>
      </c>
      <c r="C15" s="998"/>
      <c r="D15" s="998"/>
      <c r="E15" s="998"/>
      <c r="F15" s="998"/>
      <c r="G15" s="998"/>
    </row>
    <row r="16" spans="2:11" ht="15.75" thickBot="1" x14ac:dyDescent="0.3">
      <c r="B16" s="987" t="s">
        <v>66</v>
      </c>
      <c r="C16" s="998"/>
      <c r="D16" s="998"/>
      <c r="E16" s="998"/>
      <c r="F16" s="998"/>
      <c r="G16" s="998"/>
    </row>
    <row r="17" spans="2:8" ht="15.75" thickBot="1" x14ac:dyDescent="0.3">
      <c r="B17" s="987" t="s">
        <v>67</v>
      </c>
      <c r="C17" s="998"/>
      <c r="D17" s="998"/>
      <c r="E17" s="998"/>
      <c r="F17" s="998"/>
      <c r="G17" s="998"/>
    </row>
    <row r="18" spans="2:8" ht="15.75" thickBot="1" x14ac:dyDescent="0.3">
      <c r="B18" s="989" t="s">
        <v>63</v>
      </c>
      <c r="C18" s="1003">
        <f>SUM(C13:C17)</f>
        <v>22750.7644</v>
      </c>
      <c r="D18" s="1003">
        <f t="shared" ref="D18:G18" si="1">SUM(D13:D17)</f>
        <v>22455.7788</v>
      </c>
      <c r="E18" s="1003">
        <f t="shared" si="1"/>
        <v>20891.301599999999</v>
      </c>
      <c r="F18" s="1003">
        <f t="shared" si="1"/>
        <v>21620.8642</v>
      </c>
      <c r="G18" s="1003">
        <f t="shared" si="1"/>
        <v>0</v>
      </c>
      <c r="H18" s="1679">
        <f>AVERAGE(C18:F18)</f>
        <v>21929.677249999997</v>
      </c>
    </row>
    <row r="19" spans="2:8" ht="15.75" thickBot="1" x14ac:dyDescent="0.3">
      <c r="B19" s="982"/>
      <c r="C19" s="1001"/>
      <c r="D19" s="1001"/>
      <c r="E19" s="1001"/>
      <c r="F19" s="1001"/>
      <c r="G19" s="1001"/>
    </row>
    <row r="20" spans="2:8" ht="15.75" thickBot="1" x14ac:dyDescent="0.3">
      <c r="B20" s="983" t="s">
        <v>1416</v>
      </c>
      <c r="C20" s="1004">
        <f>SUM(C10,-C18)</f>
        <v>10809.1152</v>
      </c>
      <c r="D20" s="1004">
        <f t="shared" ref="D20:G20" si="2">SUM(D10,-D18)</f>
        <v>9479.0461999999934</v>
      </c>
      <c r="E20" s="1004">
        <f t="shared" si="2"/>
        <v>11075.129000000001</v>
      </c>
      <c r="F20" s="1004">
        <f t="shared" si="2"/>
        <v>10406.143800000002</v>
      </c>
      <c r="G20" s="1004">
        <f t="shared" si="2"/>
        <v>0</v>
      </c>
      <c r="H20" s="1679">
        <f>AVERAGE(C20:F20)</f>
        <v>10442.358549999999</v>
      </c>
    </row>
    <row r="21" spans="2:8" x14ac:dyDescent="0.25">
      <c r="B21" s="700"/>
      <c r="C21" s="700"/>
      <c r="D21" s="700"/>
      <c r="E21" s="700"/>
      <c r="F21" s="700"/>
      <c r="G21" s="700"/>
    </row>
    <row r="22" spans="2:8" x14ac:dyDescent="0.25">
      <c r="B22" s="700"/>
      <c r="C22" s="700"/>
      <c r="D22" s="700"/>
      <c r="E22" s="700"/>
      <c r="F22" s="700"/>
      <c r="G22" s="700"/>
    </row>
    <row r="23" spans="2:8" ht="15.75" thickBot="1" x14ac:dyDescent="0.3">
      <c r="B23" s="700" t="s">
        <v>1409</v>
      </c>
      <c r="C23" s="700"/>
      <c r="D23" s="700"/>
      <c r="E23" s="700"/>
      <c r="F23" s="700"/>
      <c r="G23" s="700"/>
    </row>
    <row r="24" spans="2:8" ht="15.75" thickBot="1" x14ac:dyDescent="0.3">
      <c r="B24" s="983" t="s">
        <v>69</v>
      </c>
      <c r="C24" s="1799" t="s">
        <v>1261</v>
      </c>
      <c r="D24" s="1799"/>
      <c r="E24" s="1799"/>
      <c r="F24" s="1799"/>
      <c r="G24" s="1800"/>
    </row>
    <row r="25" spans="2:8" ht="15.75" thickBot="1" x14ac:dyDescent="0.3">
      <c r="B25" s="984" t="s">
        <v>1236</v>
      </c>
      <c r="C25" s="985">
        <v>2012</v>
      </c>
      <c r="D25" s="985">
        <v>2013</v>
      </c>
      <c r="E25" s="985">
        <v>2014</v>
      </c>
      <c r="F25" s="985">
        <v>2015</v>
      </c>
      <c r="G25" s="985">
        <v>2016</v>
      </c>
    </row>
    <row r="26" spans="2:8" ht="15.75" thickBot="1" x14ac:dyDescent="0.3">
      <c r="B26" s="986" t="s">
        <v>55</v>
      </c>
      <c r="C26" s="992"/>
      <c r="D26" s="992"/>
      <c r="E26" s="992"/>
      <c r="F26" s="992"/>
      <c r="G26" s="992"/>
    </row>
    <row r="27" spans="2:8" ht="15.75" thickBot="1" x14ac:dyDescent="0.3">
      <c r="B27" s="987" t="s">
        <v>56</v>
      </c>
      <c r="C27" s="990"/>
      <c r="D27" s="990"/>
      <c r="E27" s="990"/>
      <c r="F27" s="990"/>
      <c r="G27" s="990"/>
    </row>
    <row r="28" spans="2:8" ht="15.75" thickBot="1" x14ac:dyDescent="0.3">
      <c r="B28" s="987" t="s">
        <v>48</v>
      </c>
      <c r="C28" s="991" t="s">
        <v>1237</v>
      </c>
      <c r="D28" s="991" t="s">
        <v>1238</v>
      </c>
      <c r="E28" s="991" t="s">
        <v>1239</v>
      </c>
      <c r="F28" s="991" t="s">
        <v>1240</v>
      </c>
      <c r="G28" s="991" t="s">
        <v>1241</v>
      </c>
    </row>
    <row r="29" spans="2:8" ht="15.75" thickBot="1" x14ac:dyDescent="0.3">
      <c r="B29" s="987" t="s">
        <v>57</v>
      </c>
      <c r="C29" s="991" t="s">
        <v>1242</v>
      </c>
      <c r="D29" s="991" t="s">
        <v>1243</v>
      </c>
      <c r="E29" s="991" t="s">
        <v>1243</v>
      </c>
      <c r="F29" s="991" t="s">
        <v>1243</v>
      </c>
      <c r="G29" s="991" t="s">
        <v>1243</v>
      </c>
    </row>
    <row r="30" spans="2:8" ht="15.75" thickBot="1" x14ac:dyDescent="0.3">
      <c r="B30" s="987" t="s">
        <v>58</v>
      </c>
      <c r="C30" s="990"/>
      <c r="D30" s="990"/>
      <c r="E30" s="990"/>
      <c r="F30" s="990"/>
      <c r="G30" s="990"/>
    </row>
    <row r="31" spans="2:8" ht="15.75" thickBot="1" x14ac:dyDescent="0.3">
      <c r="B31" s="986" t="s">
        <v>59</v>
      </c>
      <c r="C31" s="992" t="s">
        <v>1244</v>
      </c>
      <c r="D31" s="992" t="s">
        <v>1245</v>
      </c>
      <c r="E31" s="992" t="s">
        <v>1246</v>
      </c>
      <c r="F31" s="992" t="s">
        <v>1247</v>
      </c>
      <c r="G31" s="992" t="s">
        <v>1248</v>
      </c>
    </row>
    <row r="32" spans="2:8" ht="15.75" thickBot="1" x14ac:dyDescent="0.3">
      <c r="B32" s="982"/>
      <c r="C32" s="993"/>
      <c r="D32" s="994"/>
      <c r="E32" s="994"/>
      <c r="F32" s="994"/>
      <c r="G32" s="994"/>
    </row>
    <row r="33" spans="2:7" ht="15.75" thickBot="1" x14ac:dyDescent="0.3">
      <c r="B33" s="988" t="s">
        <v>60</v>
      </c>
      <c r="C33" s="995"/>
      <c r="D33" s="995"/>
      <c r="E33" s="995"/>
      <c r="F33" s="995"/>
      <c r="G33" s="995"/>
    </row>
    <row r="34" spans="2:7" ht="15.75" thickBot="1" x14ac:dyDescent="0.3">
      <c r="B34" s="987" t="s">
        <v>61</v>
      </c>
      <c r="C34" s="990"/>
      <c r="D34" s="990"/>
      <c r="E34" s="990"/>
      <c r="F34" s="990"/>
      <c r="G34" s="990"/>
    </row>
    <row r="35" spans="2:7" ht="15.75" thickBot="1" x14ac:dyDescent="0.3">
      <c r="B35" s="987" t="s">
        <v>62</v>
      </c>
      <c r="C35" s="991" t="s">
        <v>1249</v>
      </c>
      <c r="D35" s="991" t="s">
        <v>1250</v>
      </c>
      <c r="E35" s="991" t="s">
        <v>1251</v>
      </c>
      <c r="F35" s="991" t="s">
        <v>1252</v>
      </c>
      <c r="G35" s="991" t="s">
        <v>1253</v>
      </c>
    </row>
    <row r="36" spans="2:7" ht="15.75" thickBot="1" x14ac:dyDescent="0.3">
      <c r="B36" s="987" t="s">
        <v>65</v>
      </c>
      <c r="C36" s="990"/>
      <c r="D36" s="990"/>
      <c r="E36" s="990"/>
      <c r="F36" s="990"/>
      <c r="G36" s="990"/>
    </row>
    <row r="37" spans="2:7" ht="15.75" thickBot="1" x14ac:dyDescent="0.3">
      <c r="B37" s="987" t="s">
        <v>66</v>
      </c>
      <c r="C37" s="990"/>
      <c r="D37" s="990"/>
      <c r="E37" s="990"/>
      <c r="F37" s="990"/>
      <c r="G37" s="990"/>
    </row>
    <row r="38" spans="2:7" ht="15.75" thickBot="1" x14ac:dyDescent="0.3">
      <c r="B38" s="987" t="s">
        <v>67</v>
      </c>
      <c r="C38" s="990"/>
      <c r="D38" s="990"/>
      <c r="E38" s="990"/>
      <c r="F38" s="990"/>
      <c r="G38" s="990"/>
    </row>
    <row r="39" spans="2:7" ht="15.75" thickBot="1" x14ac:dyDescent="0.3">
      <c r="B39" s="989" t="s">
        <v>63</v>
      </c>
      <c r="C39" s="996" t="s">
        <v>1249</v>
      </c>
      <c r="D39" s="996" t="s">
        <v>1250</v>
      </c>
      <c r="E39" s="996" t="s">
        <v>1251</v>
      </c>
      <c r="F39" s="996" t="s">
        <v>1252</v>
      </c>
      <c r="G39" s="996" t="s">
        <v>1253</v>
      </c>
    </row>
    <row r="40" spans="2:7" ht="15.75" thickBot="1" x14ac:dyDescent="0.3">
      <c r="B40" s="982"/>
      <c r="C40" s="993"/>
      <c r="D40" s="994"/>
      <c r="E40" s="994"/>
      <c r="F40" s="994"/>
      <c r="G40" s="994"/>
    </row>
    <row r="41" spans="2:7" ht="15.75" thickBot="1" x14ac:dyDescent="0.3">
      <c r="B41" s="983" t="s">
        <v>3</v>
      </c>
      <c r="C41" s="997" t="s">
        <v>1254</v>
      </c>
      <c r="D41" s="997" t="s">
        <v>1255</v>
      </c>
      <c r="E41" s="997" t="s">
        <v>1256</v>
      </c>
      <c r="F41" s="997" t="s">
        <v>1257</v>
      </c>
      <c r="G41" s="997" t="s">
        <v>1258</v>
      </c>
    </row>
  </sheetData>
  <mergeCells count="2">
    <mergeCell ref="C3:G3"/>
    <mergeCell ref="C24:G24"/>
  </mergeCells>
  <pageMargins left="0.51181102362204722" right="0.51181102362204722" top="0.74803149606299213" bottom="0.74803149606299213" header="0.31496062992125984" footer="0.31496062992125984"/>
  <pageSetup paperSize="9" scale="47" orientation="landscape" r:id="rId1"/>
  <headerFooter>
    <oddHeader>&amp;L&amp;F    &amp;&amp;&amp;A&amp;C
&amp;D&amp;RPage &amp;P of &amp;N</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pageSetUpPr fitToPage="1"/>
  </sheetPr>
  <dimension ref="B1:I39"/>
  <sheetViews>
    <sheetView zoomScale="90" zoomScaleNormal="90" workbookViewId="0">
      <selection activeCell="H14" sqref="H14"/>
    </sheetView>
  </sheetViews>
  <sheetFormatPr defaultRowHeight="15" x14ac:dyDescent="0.25"/>
  <cols>
    <col min="2" max="2" width="38.140625" customWidth="1"/>
    <col min="3" max="7" width="15.5703125" customWidth="1"/>
    <col min="8" max="8" width="10" bestFit="1" customWidth="1"/>
  </cols>
  <sheetData>
    <row r="1" spans="2:9" x14ac:dyDescent="0.25">
      <c r="G1" s="232" t="s">
        <v>1415</v>
      </c>
    </row>
    <row r="2" spans="2:9" ht="15.75" thickBot="1" x14ac:dyDescent="0.3">
      <c r="B2" s="187" t="s">
        <v>1259</v>
      </c>
    </row>
    <row r="3" spans="2:9" ht="31.5" customHeight="1" thickBot="1" x14ac:dyDescent="0.3">
      <c r="B3" s="983" t="s">
        <v>69</v>
      </c>
      <c r="C3" s="1799" t="s">
        <v>1260</v>
      </c>
      <c r="D3" s="1799"/>
      <c r="E3" s="1799"/>
      <c r="F3" s="1799"/>
      <c r="G3" s="1800"/>
    </row>
    <row r="4" spans="2:9" ht="15.75" thickBot="1" x14ac:dyDescent="0.3">
      <c r="B4" s="984" t="s">
        <v>1236</v>
      </c>
      <c r="C4" s="985">
        <v>2012</v>
      </c>
      <c r="D4" s="985">
        <v>2013</v>
      </c>
      <c r="E4" s="985">
        <v>2014</v>
      </c>
      <c r="F4" s="985">
        <v>2015</v>
      </c>
      <c r="G4" s="1265">
        <v>2016</v>
      </c>
      <c r="H4" s="1686" t="s">
        <v>1777</v>
      </c>
    </row>
    <row r="5" spans="2:9" ht="15.75" thickBot="1" x14ac:dyDescent="0.3">
      <c r="B5" s="986" t="s">
        <v>55</v>
      </c>
      <c r="C5" s="981"/>
      <c r="D5" s="981"/>
      <c r="E5" s="981"/>
      <c r="F5" s="981"/>
      <c r="G5" s="981"/>
    </row>
    <row r="6" spans="2:9" ht="15.75" thickBot="1" x14ac:dyDescent="0.3">
      <c r="B6" s="987" t="s">
        <v>56</v>
      </c>
      <c r="C6" s="998"/>
      <c r="D6" s="998"/>
      <c r="E6" s="998"/>
      <c r="F6" s="998"/>
      <c r="G6" s="998"/>
    </row>
    <row r="7" spans="2:9" ht="15.75" thickBot="1" x14ac:dyDescent="0.3">
      <c r="B7" s="987" t="s">
        <v>48</v>
      </c>
      <c r="C7" s="999">
        <f>+(Asset_Tbl_Balance_2012!$K9)</f>
        <v>33559.8796</v>
      </c>
      <c r="D7" s="999">
        <f>+(Asset_Tbl_Balance_2013!$K9)</f>
        <v>31934.824999999993</v>
      </c>
      <c r="E7" s="999">
        <f>+(Asset_Tbl_Balance_2014!$K9)</f>
        <v>31966.4306</v>
      </c>
      <c r="F7" s="999">
        <f>+(Asset_Tbl_Balance_2015!$K9)</f>
        <v>32027.008000000002</v>
      </c>
      <c r="G7" s="999"/>
      <c r="H7" s="1679">
        <f>AVERAGE(C7:F7)</f>
        <v>32372.035799999998</v>
      </c>
      <c r="I7" s="232" t="s">
        <v>1301</v>
      </c>
    </row>
    <row r="8" spans="2:9" ht="15.75" thickBot="1" x14ac:dyDescent="0.3">
      <c r="B8" s="987" t="s">
        <v>57</v>
      </c>
      <c r="C8" s="999">
        <f>+(Asset_Tbl_Balance_2012!$K10)</f>
        <v>850.20267600000011</v>
      </c>
      <c r="D8" s="999">
        <f>+(Asset_Tbl_Balance_2013!$K10)</f>
        <v>850.20267600000011</v>
      </c>
      <c r="E8" s="999">
        <f>+(Asset_Tbl_Balance_2014!$K10)</f>
        <v>850.20267600000011</v>
      </c>
      <c r="F8" s="999">
        <f>+(Asset_Tbl_Balance_2015!$K10)</f>
        <v>850.20267600000011</v>
      </c>
      <c r="G8" s="999"/>
      <c r="H8" s="1679">
        <f>AVERAGE(C8:F8)</f>
        <v>850.20267600000011</v>
      </c>
      <c r="I8" s="232" t="s">
        <v>1301</v>
      </c>
    </row>
    <row r="9" spans="2:9" ht="15.75" thickBot="1" x14ac:dyDescent="0.3">
      <c r="B9" s="987" t="s">
        <v>58</v>
      </c>
      <c r="C9" s="998"/>
      <c r="D9" s="998"/>
      <c r="E9" s="998"/>
      <c r="F9" s="998"/>
      <c r="G9" s="998"/>
      <c r="H9" s="1680">
        <f>+H8/H10</f>
        <v>2.5591372375891923E-2</v>
      </c>
    </row>
    <row r="10" spans="2:9" ht="15.75" thickBot="1" x14ac:dyDescent="0.3">
      <c r="B10" s="986" t="s">
        <v>59</v>
      </c>
      <c r="C10" s="1000">
        <f>SUM(C6:C9)</f>
        <v>34410.082276000001</v>
      </c>
      <c r="D10" s="1000">
        <f t="shared" ref="D10:G10" si="0">SUM(D6:D9)</f>
        <v>32785.027675999991</v>
      </c>
      <c r="E10" s="1000">
        <f t="shared" si="0"/>
        <v>32816.633276</v>
      </c>
      <c r="F10" s="1000">
        <f t="shared" si="0"/>
        <v>32877.210676000002</v>
      </c>
      <c r="G10" s="1000">
        <f t="shared" si="0"/>
        <v>0</v>
      </c>
      <c r="H10" s="1679">
        <f>AVERAGE(C10:F10)</f>
        <v>33222.238475999999</v>
      </c>
    </row>
    <row r="11" spans="2:9" ht="15.75" thickBot="1" x14ac:dyDescent="0.3">
      <c r="B11" s="982"/>
      <c r="C11" s="1001"/>
      <c r="D11" s="1001"/>
      <c r="E11" s="1001"/>
      <c r="F11" s="1001"/>
      <c r="G11" s="1001"/>
    </row>
    <row r="12" spans="2:9" ht="15.75" thickBot="1" x14ac:dyDescent="0.3">
      <c r="B12" s="988" t="s">
        <v>60</v>
      </c>
      <c r="C12" s="1002"/>
      <c r="D12" s="1002"/>
      <c r="E12" s="1002"/>
      <c r="F12" s="1002"/>
      <c r="G12" s="1002"/>
    </row>
    <row r="13" spans="2:9" ht="15.75" thickBot="1" x14ac:dyDescent="0.3">
      <c r="B13" s="987" t="s">
        <v>61</v>
      </c>
      <c r="C13" s="998"/>
      <c r="D13" s="998"/>
      <c r="E13" s="998"/>
      <c r="F13" s="998"/>
      <c r="G13" s="998"/>
    </row>
    <row r="14" spans="2:9" ht="15.75" thickBot="1" x14ac:dyDescent="0.3">
      <c r="B14" s="987" t="s">
        <v>62</v>
      </c>
      <c r="C14" s="999">
        <f>+(Asset_Tbl_Balance_2012!$K16)</f>
        <v>22750.7644</v>
      </c>
      <c r="D14" s="999">
        <f>+(Asset_Tbl_Balance_2013!$K16)</f>
        <v>22455.7788</v>
      </c>
      <c r="E14" s="999">
        <f>+(Asset_Tbl_Balance_2014!$K16)</f>
        <v>20891.301599999999</v>
      </c>
      <c r="F14" s="999">
        <f>+(Asset_Tbl_Balance_2015!$K16)</f>
        <v>21620.8642</v>
      </c>
      <c r="G14" s="999"/>
      <c r="H14" s="1679">
        <f>AVERAGE(C14:F14)</f>
        <v>21929.677249999997</v>
      </c>
      <c r="I14" s="232" t="s">
        <v>1301</v>
      </c>
    </row>
    <row r="15" spans="2:9" ht="15.75" thickBot="1" x14ac:dyDescent="0.3">
      <c r="B15" s="987" t="s">
        <v>65</v>
      </c>
      <c r="C15" s="998"/>
      <c r="D15" s="998"/>
      <c r="E15" s="998"/>
      <c r="F15" s="998"/>
      <c r="G15" s="998"/>
    </row>
    <row r="16" spans="2:9" ht="15.75" thickBot="1" x14ac:dyDescent="0.3">
      <c r="B16" s="987" t="s">
        <v>66</v>
      </c>
      <c r="C16" s="998"/>
      <c r="D16" s="998"/>
      <c r="E16" s="998"/>
      <c r="F16" s="998"/>
      <c r="G16" s="998"/>
    </row>
    <row r="17" spans="2:8" ht="15.75" thickBot="1" x14ac:dyDescent="0.3">
      <c r="B17" s="987" t="s">
        <v>67</v>
      </c>
      <c r="C17" s="998"/>
      <c r="D17" s="998"/>
      <c r="E17" s="998"/>
      <c r="F17" s="998"/>
      <c r="G17" s="998"/>
    </row>
    <row r="18" spans="2:8" ht="15.75" thickBot="1" x14ac:dyDescent="0.3">
      <c r="B18" s="989" t="s">
        <v>63</v>
      </c>
      <c r="C18" s="1003">
        <f>SUM(C13:C17)</f>
        <v>22750.7644</v>
      </c>
      <c r="D18" s="1003">
        <f t="shared" ref="D18:G18" si="1">SUM(D13:D17)</f>
        <v>22455.7788</v>
      </c>
      <c r="E18" s="1003">
        <f t="shared" si="1"/>
        <v>20891.301599999999</v>
      </c>
      <c r="F18" s="1003">
        <f t="shared" si="1"/>
        <v>21620.8642</v>
      </c>
      <c r="G18" s="1003">
        <f t="shared" si="1"/>
        <v>0</v>
      </c>
      <c r="H18" s="1679">
        <f>AVERAGE(C18:F18)</f>
        <v>21929.677249999997</v>
      </c>
    </row>
    <row r="19" spans="2:8" ht="15.75" thickBot="1" x14ac:dyDescent="0.3">
      <c r="B19" s="982"/>
      <c r="C19" s="1001"/>
      <c r="D19" s="1001"/>
      <c r="E19" s="1001"/>
      <c r="F19" s="1001"/>
      <c r="G19" s="1001"/>
    </row>
    <row r="20" spans="2:8" ht="15.75" thickBot="1" x14ac:dyDescent="0.3">
      <c r="B20" s="983" t="s">
        <v>1417</v>
      </c>
      <c r="C20" s="1004">
        <f>SUM(C10,-C18)</f>
        <v>11659.317876000001</v>
      </c>
      <c r="D20" s="1004">
        <f t="shared" ref="D20:G20" si="2">SUM(D10,-D18)</f>
        <v>10329.248875999991</v>
      </c>
      <c r="E20" s="1004">
        <f t="shared" si="2"/>
        <v>11925.331676000002</v>
      </c>
      <c r="F20" s="1004">
        <f t="shared" si="2"/>
        <v>11256.346476000002</v>
      </c>
      <c r="G20" s="1004">
        <f t="shared" si="2"/>
        <v>0</v>
      </c>
      <c r="H20" s="1679">
        <f>AVERAGE(C20:F20)</f>
        <v>11292.561225999998</v>
      </c>
    </row>
    <row r="21" spans="2:8" x14ac:dyDescent="0.25">
      <c r="B21" s="700"/>
      <c r="C21" s="1678">
        <f>+C20/C7</f>
        <v>0.34741834639955027</v>
      </c>
      <c r="D21" s="1678">
        <f t="shared" ref="D21:F21" si="3">+D20/D7</f>
        <v>0.32344779957303643</v>
      </c>
      <c r="E21" s="1678">
        <f t="shared" si="3"/>
        <v>0.37305796900577326</v>
      </c>
      <c r="F21" s="1678">
        <f t="shared" si="3"/>
        <v>0.35146419159729192</v>
      </c>
      <c r="G21" s="1678" t="e">
        <f t="shared" ref="G21" si="4">+G20/G7</f>
        <v>#DIV/0!</v>
      </c>
      <c r="H21" s="1678">
        <f t="shared" ref="H21" si="5">+H20/H7</f>
        <v>0.34883691886934087</v>
      </c>
    </row>
    <row r="22" spans="2:8" x14ac:dyDescent="0.25">
      <c r="B22" s="700"/>
      <c r="C22" s="700"/>
      <c r="D22" s="700"/>
      <c r="E22" s="700"/>
      <c r="F22" s="700"/>
      <c r="G22" s="700"/>
    </row>
    <row r="23" spans="2:8" x14ac:dyDescent="0.25">
      <c r="B23" s="495" t="s">
        <v>1409</v>
      </c>
      <c r="C23" s="700"/>
      <c r="D23" s="700"/>
      <c r="E23" s="700"/>
      <c r="F23" s="700"/>
      <c r="G23" s="700"/>
    </row>
    <row r="24" spans="2:8" x14ac:dyDescent="0.25">
      <c r="B24" s="1104" t="s">
        <v>69</v>
      </c>
      <c r="C24" s="1801" t="s">
        <v>1260</v>
      </c>
      <c r="D24" s="1801"/>
      <c r="E24" s="1801"/>
      <c r="F24" s="1801"/>
      <c r="G24" s="1801"/>
    </row>
    <row r="25" spans="2:8" x14ac:dyDescent="0.25">
      <c r="B25" s="1103" t="s">
        <v>1236</v>
      </c>
      <c r="C25" s="1103">
        <v>2012</v>
      </c>
      <c r="D25" s="1103">
        <v>2013</v>
      </c>
      <c r="E25" s="1103">
        <v>2014</v>
      </c>
      <c r="F25" s="1103">
        <v>2015</v>
      </c>
      <c r="G25" s="1103">
        <v>2016</v>
      </c>
    </row>
    <row r="26" spans="2:8" x14ac:dyDescent="0.25">
      <c r="B26" s="1105" t="s">
        <v>55</v>
      </c>
      <c r="C26" s="1106"/>
      <c r="D26" s="1106"/>
      <c r="E26" s="1106"/>
      <c r="F26" s="1106"/>
      <c r="G26" s="1106"/>
    </row>
    <row r="27" spans="2:8" x14ac:dyDescent="0.25">
      <c r="B27" s="1111" t="s">
        <v>56</v>
      </c>
      <c r="C27" s="1112"/>
      <c r="D27" s="1112"/>
      <c r="E27" s="1112"/>
      <c r="F27" s="1112"/>
      <c r="G27" s="1112"/>
    </row>
    <row r="28" spans="2:8" x14ac:dyDescent="0.25">
      <c r="B28" s="264" t="s">
        <v>48</v>
      </c>
      <c r="C28" s="1257">
        <v>33559.8796</v>
      </c>
      <c r="D28" s="1257">
        <v>31934.824999999993</v>
      </c>
      <c r="E28" s="1257">
        <v>31966.4306</v>
      </c>
      <c r="F28" s="1257">
        <v>32027.008000000002</v>
      </c>
      <c r="G28" s="1113"/>
    </row>
    <row r="29" spans="2:8" x14ac:dyDescent="0.25">
      <c r="B29" s="264" t="s">
        <v>57</v>
      </c>
      <c r="C29" s="1257">
        <v>850.20267600000011</v>
      </c>
      <c r="D29" s="1257">
        <v>850.20267600000011</v>
      </c>
      <c r="E29" s="1257">
        <v>850.20267600000011</v>
      </c>
      <c r="F29" s="1257">
        <v>850.20267600000011</v>
      </c>
      <c r="G29" s="1113"/>
    </row>
    <row r="30" spans="2:8" x14ac:dyDescent="0.25">
      <c r="B30" s="1114" t="s">
        <v>58</v>
      </c>
      <c r="C30" s="1258"/>
      <c r="D30" s="1258"/>
      <c r="E30" s="1258"/>
      <c r="F30" s="1258"/>
      <c r="G30" s="1115"/>
    </row>
    <row r="31" spans="2:8" x14ac:dyDescent="0.25">
      <c r="B31" s="1105" t="s">
        <v>59</v>
      </c>
      <c r="C31" s="1259">
        <v>34410.082276000001</v>
      </c>
      <c r="D31" s="1259">
        <v>32785.027675999991</v>
      </c>
      <c r="E31" s="1259">
        <v>32816.633276</v>
      </c>
      <c r="F31" s="1259">
        <v>32877.210676000002</v>
      </c>
      <c r="G31" s="1106"/>
    </row>
    <row r="32" spans="2:8" x14ac:dyDescent="0.25">
      <c r="B32" s="1108" t="s">
        <v>60</v>
      </c>
      <c r="C32" s="1109"/>
      <c r="D32" s="1109"/>
      <c r="E32" s="1109"/>
      <c r="F32" s="1109"/>
      <c r="G32" s="1109"/>
    </row>
    <row r="33" spans="2:7" x14ac:dyDescent="0.25">
      <c r="B33" s="1111" t="s">
        <v>61</v>
      </c>
      <c r="C33" s="1112"/>
      <c r="D33" s="1112"/>
      <c r="E33" s="1112"/>
      <c r="F33" s="1112"/>
      <c r="G33" s="1112"/>
    </row>
    <row r="34" spans="2:7" x14ac:dyDescent="0.25">
      <c r="B34" s="264" t="s">
        <v>62</v>
      </c>
      <c r="C34" s="1257">
        <v>22750.7644</v>
      </c>
      <c r="D34" s="1257">
        <v>22455.7788</v>
      </c>
      <c r="E34" s="1257">
        <v>20891.301599999999</v>
      </c>
      <c r="F34" s="1257">
        <v>21620.8642</v>
      </c>
      <c r="G34" s="1113"/>
    </row>
    <row r="35" spans="2:7" x14ac:dyDescent="0.25">
      <c r="B35" s="264" t="s">
        <v>65</v>
      </c>
      <c r="C35" s="1116"/>
      <c r="D35" s="1116"/>
      <c r="E35" s="1116"/>
      <c r="F35" s="1116"/>
      <c r="G35" s="1116"/>
    </row>
    <row r="36" spans="2:7" x14ac:dyDescent="0.25">
      <c r="B36" s="264" t="s">
        <v>66</v>
      </c>
      <c r="C36" s="1116"/>
      <c r="D36" s="1116"/>
      <c r="E36" s="1116"/>
      <c r="F36" s="1116"/>
      <c r="G36" s="1116"/>
    </row>
    <row r="37" spans="2:7" x14ac:dyDescent="0.25">
      <c r="B37" s="1114" t="s">
        <v>67</v>
      </c>
      <c r="C37" s="1115"/>
      <c r="D37" s="1115"/>
      <c r="E37" s="1115"/>
      <c r="F37" s="1115"/>
      <c r="G37" s="1115"/>
    </row>
    <row r="38" spans="2:7" x14ac:dyDescent="0.25">
      <c r="B38" s="1108" t="s">
        <v>63</v>
      </c>
      <c r="C38" s="1260">
        <v>22750.7644</v>
      </c>
      <c r="D38" s="1260">
        <v>22455.7788</v>
      </c>
      <c r="E38" s="1260">
        <v>20891.301599999999</v>
      </c>
      <c r="F38" s="1260">
        <v>21620.8642</v>
      </c>
      <c r="G38" s="1109"/>
    </row>
    <row r="39" spans="2:7" x14ac:dyDescent="0.25">
      <c r="B39" s="1110" t="s">
        <v>3</v>
      </c>
      <c r="C39" s="1261">
        <v>11659.317876000001</v>
      </c>
      <c r="D39" s="1261">
        <v>10329.248875999991</v>
      </c>
      <c r="E39" s="1261">
        <v>11925.331676000002</v>
      </c>
      <c r="F39" s="1261">
        <v>11256.346476000002</v>
      </c>
      <c r="G39" s="1107"/>
    </row>
  </sheetData>
  <mergeCells count="2">
    <mergeCell ref="C3:G3"/>
    <mergeCell ref="C24:G24"/>
  </mergeCells>
  <pageMargins left="0.51181102362204722" right="0.51181102362204722" top="0.74803149606299213" bottom="0.74803149606299213" header="0.31496062992125984" footer="0.31496062992125984"/>
  <pageSetup paperSize="9" scale="52" orientation="landscape" r:id="rId1"/>
  <headerFooter>
    <oddHeader>&amp;L&amp;F    &amp;&amp;&amp;A&amp;C
&amp;D&amp;RPage &amp;P of &amp;N</oddHeader>
  </headerFooter>
  <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pageSetUpPr fitToPage="1"/>
  </sheetPr>
  <dimension ref="B2:N34"/>
  <sheetViews>
    <sheetView topLeftCell="A5" zoomScale="90" zoomScaleNormal="90" workbookViewId="0">
      <selection activeCell="C7" sqref="C7"/>
    </sheetView>
  </sheetViews>
  <sheetFormatPr defaultRowHeight="15" x14ac:dyDescent="0.25"/>
  <cols>
    <col min="2" max="7" width="18.140625" customWidth="1"/>
  </cols>
  <sheetData>
    <row r="2" spans="2:12" x14ac:dyDescent="0.25">
      <c r="B2" t="s">
        <v>1262</v>
      </c>
    </row>
    <row r="3" spans="2:12" ht="15.75" thickBot="1" x14ac:dyDescent="0.3">
      <c r="B3" s="1041" t="s">
        <v>1267</v>
      </c>
      <c r="C3" s="1005"/>
      <c r="D3" s="1005"/>
      <c r="E3" s="1005"/>
      <c r="F3" s="1005"/>
      <c r="G3" s="1005"/>
    </row>
    <row r="4" spans="2:12" ht="42" customHeight="1" x14ac:dyDescent="0.25">
      <c r="B4" s="1007" t="s">
        <v>1236</v>
      </c>
      <c r="C4" s="1008" t="s">
        <v>608</v>
      </c>
      <c r="D4" s="1007" t="s">
        <v>1264</v>
      </c>
      <c r="E4" s="1007" t="s">
        <v>1271</v>
      </c>
      <c r="F4" s="1008" t="s">
        <v>1263</v>
      </c>
      <c r="G4" s="1007" t="s">
        <v>612</v>
      </c>
    </row>
    <row r="5" spans="2:12" ht="39" thickBot="1" x14ac:dyDescent="0.3">
      <c r="B5" s="1009"/>
      <c r="C5" s="1010" t="s">
        <v>1269</v>
      </c>
      <c r="D5" s="1009" t="s">
        <v>1265</v>
      </c>
      <c r="E5" s="1009" t="s">
        <v>1270</v>
      </c>
      <c r="F5" s="1010" t="s">
        <v>1269</v>
      </c>
      <c r="G5" s="1011" t="s">
        <v>1776</v>
      </c>
      <c r="H5" s="1663">
        <v>21.9</v>
      </c>
    </row>
    <row r="6" spans="2:12" ht="15.75" thickBot="1" x14ac:dyDescent="0.3">
      <c r="B6" s="1012">
        <v>2012</v>
      </c>
      <c r="C6" s="1013">
        <f>+(TRWR!C20)</f>
        <v>11659.317876000001</v>
      </c>
      <c r="D6" s="1013">
        <v>10482641</v>
      </c>
      <c r="E6" s="1018">
        <f>+ROUND((C6/D6*1000000),0)</f>
        <v>1112</v>
      </c>
      <c r="F6" s="1013">
        <f>+SUM(PSUT_2012!$AA$11,PSUT_2012!$AA$16)/1000</f>
        <v>656.19604472715571</v>
      </c>
      <c r="G6" s="1019">
        <f>+(F6/(C6*(100-$H$5)/100))</f>
        <v>7.2062517732417231E-2</v>
      </c>
    </row>
    <row r="7" spans="2:12" ht="15.75" thickBot="1" x14ac:dyDescent="0.3">
      <c r="B7" s="1012">
        <v>2013</v>
      </c>
      <c r="C7" s="1013">
        <f>+(TRWR!D20)</f>
        <v>10329.248875999991</v>
      </c>
      <c r="D7" s="1013">
        <v>10978053</v>
      </c>
      <c r="E7" s="1018">
        <f>+ROUND((C7/D7*1000000),0)</f>
        <v>941</v>
      </c>
      <c r="F7" s="1013">
        <f>+SUM(PSUT_2013!$AA$11,PSUT_2013!$AA$16)/1000</f>
        <v>673.32353595450707</v>
      </c>
      <c r="G7" s="1019">
        <f t="shared" ref="G7:G10" si="0">+(F7/(C7*(100-$H$5)/100))</f>
        <v>8.3464927408939474E-2</v>
      </c>
    </row>
    <row r="8" spans="2:12" ht="15.75" thickBot="1" x14ac:dyDescent="0.3">
      <c r="B8" s="1012">
        <v>2014</v>
      </c>
      <c r="C8" s="1013">
        <f>+(TRWR!E20)</f>
        <v>11925.331676000002</v>
      </c>
      <c r="D8" s="1013">
        <v>11002628</v>
      </c>
      <c r="E8" s="1018">
        <f>+ROUND((C8/D8*1000000),0)</f>
        <v>1084</v>
      </c>
      <c r="F8" s="1013">
        <f>+SUM(PSUT_2014!$AA$11,PSUT_2014!$AA$16)/1000</f>
        <v>695.44605236139591</v>
      </c>
      <c r="G8" s="1019">
        <f t="shared" si="0"/>
        <v>7.4669276888992539E-2</v>
      </c>
    </row>
    <row r="9" spans="2:12" ht="15.75" thickBot="1" x14ac:dyDescent="0.3">
      <c r="B9" s="1012">
        <v>2015</v>
      </c>
      <c r="C9" s="1013">
        <f>+(TRWR!F20)</f>
        <v>11256.346476000002</v>
      </c>
      <c r="D9" s="1013">
        <v>11262564</v>
      </c>
      <c r="E9" s="1018">
        <f>+ROUND((C9/D9*1000000),0)</f>
        <v>999</v>
      </c>
      <c r="F9" s="1013">
        <f>+SUM(PSUT_2015!$AA$11,PSUT_2015!$AA$16)/1000</f>
        <v>716.1536509861611</v>
      </c>
      <c r="G9" s="1019">
        <f t="shared" si="0"/>
        <v>8.1462498124997174E-2</v>
      </c>
    </row>
    <row r="10" spans="2:12" ht="15.75" thickBot="1" x14ac:dyDescent="0.3">
      <c r="B10" s="1014">
        <v>2016</v>
      </c>
      <c r="C10" s="1015">
        <f>8816.5</f>
        <v>8816.5</v>
      </c>
      <c r="D10" s="1015">
        <v>11774133</v>
      </c>
      <c r="E10" s="1016">
        <f>+ROUND((C10/D10*1000000),0)</f>
        <v>749</v>
      </c>
      <c r="F10" s="1262">
        <v>499.5</v>
      </c>
      <c r="G10" s="1682">
        <f t="shared" si="0"/>
        <v>7.2541786501607364E-2</v>
      </c>
      <c r="I10" s="232" t="s">
        <v>1412</v>
      </c>
      <c r="J10" s="232"/>
      <c r="K10" s="232"/>
      <c r="L10" s="232"/>
    </row>
    <row r="11" spans="2:12" x14ac:dyDescent="0.25">
      <c r="C11" s="1006"/>
      <c r="D11" s="1683" t="s">
        <v>1410</v>
      </c>
      <c r="E11" s="232"/>
      <c r="F11" s="1263"/>
      <c r="G11" s="1681"/>
      <c r="I11" s="232" t="s">
        <v>1411</v>
      </c>
      <c r="J11" s="232"/>
      <c r="K11" s="232"/>
      <c r="L11" s="232"/>
    </row>
    <row r="12" spans="2:12" x14ac:dyDescent="0.25">
      <c r="B12" s="1017" t="s">
        <v>1268</v>
      </c>
      <c r="F12" s="1684">
        <f>AVERAGE(F6:F9)</f>
        <v>685.27982100730492</v>
      </c>
      <c r="G12" s="1685">
        <f>+(F12/(C10*(100-$H$5)/100))</f>
        <v>9.9522367306049297E-2</v>
      </c>
    </row>
    <row r="13" spans="2:12" x14ac:dyDescent="0.25">
      <c r="B13" t="s">
        <v>1413</v>
      </c>
    </row>
    <row r="14" spans="2:12" x14ac:dyDescent="0.25">
      <c r="B14" t="s">
        <v>1414</v>
      </c>
      <c r="D14" s="1264"/>
      <c r="F14" s="1263"/>
    </row>
    <row r="15" spans="2:12" x14ac:dyDescent="0.25">
      <c r="D15" s="1264"/>
      <c r="F15" s="1263"/>
    </row>
    <row r="17" spans="2:14" x14ac:dyDescent="0.25">
      <c r="B17" s="1040" t="s">
        <v>1303</v>
      </c>
      <c r="C17" s="295"/>
      <c r="D17" s="295"/>
      <c r="E17" s="295"/>
      <c r="F17" s="295"/>
      <c r="G17" s="295"/>
    </row>
    <row r="18" spans="2:14" ht="39" x14ac:dyDescent="0.25">
      <c r="B18" s="1189" t="s">
        <v>1236</v>
      </c>
      <c r="C18" s="1167" t="s">
        <v>608</v>
      </c>
      <c r="D18" s="1167" t="s">
        <v>1264</v>
      </c>
      <c r="E18" s="1167" t="s">
        <v>608</v>
      </c>
      <c r="F18" s="1167" t="s">
        <v>1263</v>
      </c>
      <c r="G18" s="1167" t="s">
        <v>612</v>
      </c>
    </row>
    <row r="19" spans="2:14" ht="25.5" x14ac:dyDescent="0.25">
      <c r="B19" s="1183"/>
      <c r="C19" s="1184" t="s">
        <v>1403</v>
      </c>
      <c r="D19" s="1183" t="s">
        <v>1265</v>
      </c>
      <c r="E19" s="1183" t="s">
        <v>1404</v>
      </c>
      <c r="F19" s="1184" t="s">
        <v>1403</v>
      </c>
      <c r="G19" s="1185" t="s">
        <v>1266</v>
      </c>
    </row>
    <row r="20" spans="2:14" x14ac:dyDescent="0.25">
      <c r="B20" s="1186">
        <v>2012</v>
      </c>
      <c r="C20" s="1168">
        <v>11659.317876000001</v>
      </c>
      <c r="D20" s="1169">
        <v>10482641</v>
      </c>
      <c r="E20" s="1170">
        <v>1112</v>
      </c>
      <c r="F20" s="1171">
        <v>704.86651151108379</v>
      </c>
      <c r="G20" s="1172">
        <v>6.0455210073825053E-2</v>
      </c>
    </row>
    <row r="21" spans="2:14" x14ac:dyDescent="0.25">
      <c r="B21" s="1187">
        <v>2013</v>
      </c>
      <c r="C21" s="1173">
        <v>10329.248875999991</v>
      </c>
      <c r="D21" s="1174">
        <v>10978053</v>
      </c>
      <c r="E21" s="1175">
        <v>941</v>
      </c>
      <c r="F21" s="1176">
        <v>712.14933896275795</v>
      </c>
      <c r="G21" s="1177">
        <v>6.8944929831000284E-2</v>
      </c>
    </row>
    <row r="22" spans="2:14" x14ac:dyDescent="0.25">
      <c r="B22" s="1187">
        <v>2014</v>
      </c>
      <c r="C22" s="1173">
        <v>11925.331676000002</v>
      </c>
      <c r="D22" s="1174">
        <v>11002628</v>
      </c>
      <c r="E22" s="1175">
        <v>1084</v>
      </c>
      <c r="F22" s="1176">
        <v>721.02067236375501</v>
      </c>
      <c r="G22" s="1177">
        <v>6.0461267824929797E-2</v>
      </c>
    </row>
    <row r="23" spans="2:14" x14ac:dyDescent="0.25">
      <c r="B23" s="1187">
        <v>2015</v>
      </c>
      <c r="C23" s="1173">
        <v>11256.346476000002</v>
      </c>
      <c r="D23" s="1174">
        <v>11262564</v>
      </c>
      <c r="E23" s="1175">
        <v>999</v>
      </c>
      <c r="F23" s="1176">
        <v>729.26404163300663</v>
      </c>
      <c r="G23" s="1177">
        <v>6.4786922043301762E-2</v>
      </c>
    </row>
    <row r="24" spans="2:14" x14ac:dyDescent="0.25">
      <c r="B24" s="1188">
        <v>2016</v>
      </c>
      <c r="C24" s="1178">
        <v>0</v>
      </c>
      <c r="D24" s="1179">
        <v>11774133</v>
      </c>
      <c r="E24" s="1180">
        <v>0</v>
      </c>
      <c r="F24" s="1181">
        <v>499.5</v>
      </c>
      <c r="G24" s="1182"/>
    </row>
    <row r="27" spans="2:14" x14ac:dyDescent="0.25">
      <c r="B27" s="1040" t="s">
        <v>1303</v>
      </c>
      <c r="C27" s="295"/>
      <c r="D27" s="295"/>
      <c r="E27" s="295"/>
      <c r="F27" s="295"/>
      <c r="G27" s="295"/>
    </row>
    <row r="28" spans="2:14" ht="39" x14ac:dyDescent="0.25">
      <c r="B28" s="1189" t="s">
        <v>1236</v>
      </c>
      <c r="C28" s="1167" t="s">
        <v>608</v>
      </c>
      <c r="D28" s="1167" t="s">
        <v>1264</v>
      </c>
      <c r="E28" s="1167" t="s">
        <v>608</v>
      </c>
      <c r="F28" s="1167" t="s">
        <v>1263</v>
      </c>
      <c r="G28" s="1167" t="s">
        <v>612</v>
      </c>
    </row>
    <row r="29" spans="2:14" ht="25.5" x14ac:dyDescent="0.25">
      <c r="B29" s="1183"/>
      <c r="C29" s="1184" t="s">
        <v>1403</v>
      </c>
      <c r="D29" s="1183" t="s">
        <v>1265</v>
      </c>
      <c r="E29" s="1183" t="s">
        <v>1404</v>
      </c>
      <c r="F29" s="1184" t="s">
        <v>1403</v>
      </c>
      <c r="G29" s="1185" t="s">
        <v>1266</v>
      </c>
    </row>
    <row r="30" spans="2:14" x14ac:dyDescent="0.25">
      <c r="B30" s="1186">
        <v>2012</v>
      </c>
      <c r="C30" s="1168">
        <v>11659.317876000001</v>
      </c>
      <c r="D30" s="1169">
        <v>10482641</v>
      </c>
      <c r="E30" s="1170">
        <v>1112</v>
      </c>
      <c r="F30" s="1171">
        <v>151.6</v>
      </c>
      <c r="G30" s="1172">
        <v>1.2999999999999999E-2</v>
      </c>
    </row>
    <row r="31" spans="2:14" x14ac:dyDescent="0.25">
      <c r="B31" s="1187">
        <v>2013</v>
      </c>
      <c r="C31" s="1173">
        <v>10585.2</v>
      </c>
      <c r="D31" s="1174">
        <v>10978053</v>
      </c>
      <c r="E31" s="1175">
        <v>964</v>
      </c>
      <c r="F31" s="1176">
        <v>197.1</v>
      </c>
      <c r="G31" s="1177">
        <v>2.4E-2</v>
      </c>
      <c r="N31" t="s">
        <v>1418</v>
      </c>
    </row>
    <row r="32" spans="2:14" x14ac:dyDescent="0.25">
      <c r="B32" s="1187">
        <v>2014</v>
      </c>
      <c r="C32" s="1173">
        <v>12181.5</v>
      </c>
      <c r="D32" s="1174">
        <v>11002628</v>
      </c>
      <c r="E32" s="1175">
        <v>1107</v>
      </c>
      <c r="F32" s="1176">
        <v>256.2</v>
      </c>
      <c r="G32" s="1177">
        <v>2.7E-2</v>
      </c>
    </row>
    <row r="33" spans="2:7" x14ac:dyDescent="0.25">
      <c r="B33" s="1187">
        <v>2015</v>
      </c>
      <c r="C33" s="1173">
        <v>11515.1</v>
      </c>
      <c r="D33" s="1174">
        <v>11262564</v>
      </c>
      <c r="E33" s="1175">
        <v>1022</v>
      </c>
      <c r="F33" s="1176">
        <v>333.1</v>
      </c>
      <c r="G33" s="1177">
        <v>3.6999999999999998E-2</v>
      </c>
    </row>
    <row r="34" spans="2:7" x14ac:dyDescent="0.25">
      <c r="B34" s="1188">
        <v>2016</v>
      </c>
      <c r="C34" s="1178">
        <v>8816.5</v>
      </c>
      <c r="D34" s="1179">
        <v>11774133</v>
      </c>
      <c r="E34" s="1180">
        <v>749</v>
      </c>
      <c r="F34" s="1181">
        <v>499.5</v>
      </c>
      <c r="G34" s="1182">
        <v>7.1999999999999995E-2</v>
      </c>
    </row>
  </sheetData>
  <pageMargins left="0.51181102362204722" right="0.51181102362204722" top="0.74803149606299213" bottom="0.74803149606299213" header="0.31496062992125984" footer="0.31496062992125984"/>
  <pageSetup paperSize="9" scale="55" orientation="landscape" r:id="rId1"/>
  <headerFooter>
    <oddHeader>&amp;L&amp;F    &amp;&amp;&amp;A&amp;C
&amp;D&amp;RPage &amp;P of &amp;N</oddHeader>
  </headerFooter>
  <drawing r:id="rId2"/>
  <legacy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pageSetUpPr fitToPage="1"/>
  </sheetPr>
  <dimension ref="B1:S137"/>
  <sheetViews>
    <sheetView topLeftCell="A13" zoomScale="80" zoomScaleNormal="80" workbookViewId="0">
      <selection activeCell="I13" sqref="I13"/>
    </sheetView>
  </sheetViews>
  <sheetFormatPr defaultColWidth="8.85546875" defaultRowHeight="15" x14ac:dyDescent="0.25"/>
  <cols>
    <col min="1" max="1" width="1.7109375" style="94" customWidth="1"/>
    <col min="2" max="3" width="5.42578125" style="94" customWidth="1"/>
    <col min="4" max="4" width="7.7109375" style="94" customWidth="1"/>
    <col min="5" max="5" width="53.85546875" style="94" customWidth="1"/>
    <col min="6" max="6" width="6.140625" style="762" customWidth="1"/>
    <col min="7" max="7" width="24.7109375" style="763" customWidth="1"/>
    <col min="8" max="8" width="8.5703125" style="764" customWidth="1"/>
    <col min="9" max="9" width="36" style="765" customWidth="1"/>
    <col min="10" max="10" width="30.5703125" style="764" bestFit="1" customWidth="1"/>
    <col min="11" max="11" width="35.42578125" style="94" customWidth="1"/>
    <col min="12" max="12" width="15.140625" style="94" bestFit="1" customWidth="1"/>
    <col min="13" max="13" width="8.85546875" style="94"/>
    <col min="14" max="14" width="10.7109375" style="94" customWidth="1"/>
    <col min="15" max="15" width="16.85546875" style="94" bestFit="1" customWidth="1"/>
    <col min="16" max="16" width="13.85546875" style="94" bestFit="1" customWidth="1"/>
    <col min="17" max="17" width="8.85546875" style="94"/>
    <col min="18" max="18" width="17.7109375" style="94" bestFit="1" customWidth="1"/>
    <col min="19" max="19" width="15.140625" style="94" bestFit="1" customWidth="1"/>
    <col min="20" max="16384" width="8.85546875" style="94"/>
  </cols>
  <sheetData>
    <row r="1" spans="2:18" ht="19.5" customHeight="1" x14ac:dyDescent="0.25">
      <c r="B1" s="760" t="s">
        <v>1090</v>
      </c>
      <c r="C1" s="761"/>
      <c r="D1" s="761"/>
      <c r="E1" s="761"/>
    </row>
    <row r="2" spans="2:18" ht="17.25" customHeight="1" x14ac:dyDescent="0.25">
      <c r="B2" s="766" t="s">
        <v>1091</v>
      </c>
      <c r="C2" s="761"/>
      <c r="D2" s="761"/>
      <c r="E2" s="761"/>
    </row>
    <row r="3" spans="2:18" ht="15" customHeight="1" x14ac:dyDescent="0.25">
      <c r="B3" s="767"/>
      <c r="C3" s="761"/>
      <c r="D3" s="761"/>
      <c r="E3" s="761"/>
    </row>
    <row r="4" spans="2:18" ht="20.25" customHeight="1" x14ac:dyDescent="0.25">
      <c r="B4" s="768" t="s">
        <v>1092</v>
      </c>
      <c r="C4" s="761"/>
      <c r="D4" s="769"/>
      <c r="E4" s="761" t="s">
        <v>1093</v>
      </c>
      <c r="G4" s="770"/>
      <c r="J4" s="771">
        <v>43182</v>
      </c>
    </row>
    <row r="5" spans="2:18" ht="20.25" customHeight="1" x14ac:dyDescent="0.25">
      <c r="B5" s="768"/>
      <c r="C5" s="761"/>
      <c r="D5" s="769"/>
      <c r="E5" s="761"/>
      <c r="G5" s="770"/>
      <c r="J5" s="772"/>
      <c r="K5" s="789">
        <v>2012</v>
      </c>
      <c r="L5" s="789"/>
      <c r="P5" s="789">
        <v>2012</v>
      </c>
    </row>
    <row r="6" spans="2:18" ht="15" customHeight="1" x14ac:dyDescent="0.25">
      <c r="B6" s="768" t="s">
        <v>1094</v>
      </c>
      <c r="C6" s="761"/>
      <c r="D6" s="769"/>
      <c r="E6" s="761"/>
      <c r="G6" s="770"/>
      <c r="J6" s="772"/>
      <c r="K6" s="1057" t="s">
        <v>1325</v>
      </c>
      <c r="L6" s="1057"/>
      <c r="P6" s="1057" t="s">
        <v>1325</v>
      </c>
    </row>
    <row r="7" spans="2:18" ht="15" customHeight="1" thickBot="1" x14ac:dyDescent="0.3">
      <c r="B7" s="773"/>
      <c r="C7" s="761"/>
      <c r="D7" s="761"/>
      <c r="E7" s="761"/>
      <c r="J7" s="765"/>
      <c r="K7" s="1057" t="s">
        <v>1329</v>
      </c>
      <c r="L7" s="1057"/>
      <c r="P7" s="1060" t="s">
        <v>1327</v>
      </c>
    </row>
    <row r="8" spans="2:18" ht="15" customHeight="1" x14ac:dyDescent="0.25">
      <c r="B8" s="774" t="s">
        <v>1095</v>
      </c>
      <c r="C8" s="775"/>
      <c r="D8" s="775"/>
      <c r="E8" s="775"/>
      <c r="F8" s="776"/>
      <c r="G8" s="777"/>
      <c r="H8" s="778" t="s">
        <v>1096</v>
      </c>
      <c r="I8" s="779" t="s">
        <v>1097</v>
      </c>
      <c r="J8" s="780" t="s">
        <v>1098</v>
      </c>
      <c r="N8" s="781" t="s">
        <v>1099</v>
      </c>
      <c r="O8"/>
      <c r="Q8" s="782" t="s">
        <v>1100</v>
      </c>
    </row>
    <row r="9" spans="2:18" ht="15" customHeight="1" thickBot="1" x14ac:dyDescent="0.3">
      <c r="B9" s="783"/>
      <c r="C9" s="761"/>
      <c r="D9" s="761"/>
      <c r="E9" s="761"/>
      <c r="G9" s="784"/>
      <c r="I9" s="785"/>
      <c r="J9" s="786"/>
      <c r="O9" s="787">
        <v>8095980014</v>
      </c>
      <c r="P9" s="1059">
        <f>+SUM(CYGDP_KP__Transpo__I!D$21)</f>
        <v>4852</v>
      </c>
      <c r="Q9" s="788" t="s">
        <v>178</v>
      </c>
      <c r="R9" s="789" t="s">
        <v>1101</v>
      </c>
    </row>
    <row r="10" spans="2:18" ht="15" customHeight="1" thickBot="1" x14ac:dyDescent="0.3">
      <c r="B10" s="783"/>
      <c r="C10" s="790" t="s">
        <v>1102</v>
      </c>
      <c r="D10" s="790"/>
      <c r="E10" s="791"/>
      <c r="F10" s="762" t="s">
        <v>1103</v>
      </c>
      <c r="G10" s="792">
        <v>0.375</v>
      </c>
      <c r="H10" s="764" t="s">
        <v>1104</v>
      </c>
      <c r="I10" s="785" t="s">
        <v>1105</v>
      </c>
      <c r="J10" s="786" t="s">
        <v>1106</v>
      </c>
      <c r="N10" s="94" t="s">
        <v>1107</v>
      </c>
      <c r="O10" s="787">
        <f>O9*0.31</f>
        <v>2509753804.3400002</v>
      </c>
      <c r="P10" s="1059">
        <f>+SUM(CYGDP_KP__Transpo__I!F$21)</f>
        <v>1427</v>
      </c>
      <c r="Q10" s="788" t="s">
        <v>178</v>
      </c>
      <c r="R10" s="789" t="s">
        <v>1108</v>
      </c>
    </row>
    <row r="11" spans="2:18" ht="15" customHeight="1" thickBot="1" x14ac:dyDescent="0.3">
      <c r="B11" s="783"/>
      <c r="C11" s="790"/>
      <c r="D11" s="790"/>
      <c r="E11" s="791"/>
      <c r="G11" s="784"/>
      <c r="I11" s="785"/>
      <c r="J11" s="786"/>
      <c r="Q11" s="788"/>
    </row>
    <row r="12" spans="2:18" ht="15" customHeight="1" thickBot="1" x14ac:dyDescent="0.3">
      <c r="B12" s="783"/>
      <c r="C12" s="793" t="s">
        <v>1109</v>
      </c>
      <c r="D12" s="790"/>
      <c r="E12" s="791"/>
      <c r="F12" s="762" t="s">
        <v>1110</v>
      </c>
      <c r="G12" s="794">
        <f>IF(G13="",0,(G13/G14))</f>
        <v>2.0392411747979039E-2</v>
      </c>
      <c r="H12" s="764" t="s">
        <v>1104</v>
      </c>
      <c r="I12" s="785"/>
      <c r="J12" s="795" t="s">
        <v>1111</v>
      </c>
      <c r="M12" s="796">
        <f>(G13/G14)</f>
        <v>2.0392411747979039E-2</v>
      </c>
      <c r="N12" s="94" t="s">
        <v>1112</v>
      </c>
      <c r="O12" s="787">
        <f>O9*0.15</f>
        <v>1214397002.0999999</v>
      </c>
      <c r="P12" s="1059">
        <f>+SUM(CYGDP_KP__Transpo__I!M$21,CYGDP_KP__Transpo__I!N$21,CYGDP_KP__Transpo__I!W$21)</f>
        <v>423</v>
      </c>
      <c r="Q12" s="788" t="s">
        <v>178</v>
      </c>
      <c r="R12" s="789" t="s">
        <v>1108</v>
      </c>
    </row>
    <row r="13" spans="2:18" s="804" customFormat="1" ht="31.5" customHeight="1" thickBot="1" x14ac:dyDescent="0.3">
      <c r="B13" s="797"/>
      <c r="C13" s="790"/>
      <c r="D13" s="790" t="s">
        <v>1113</v>
      </c>
      <c r="E13" s="798"/>
      <c r="F13" s="799" t="s">
        <v>1114</v>
      </c>
      <c r="G13" s="800">
        <v>23092</v>
      </c>
      <c r="H13" s="801" t="s">
        <v>178</v>
      </c>
      <c r="I13" s="802" t="s">
        <v>1115</v>
      </c>
      <c r="J13" s="803">
        <f>+G13/G14</f>
        <v>2.0392411747979039E-2</v>
      </c>
      <c r="Q13" s="805"/>
    </row>
    <row r="14" spans="2:18" s="804" customFormat="1" ht="53.25" customHeight="1" thickBot="1" x14ac:dyDescent="0.3">
      <c r="B14" s="797"/>
      <c r="C14" s="790"/>
      <c r="D14" s="790" t="s">
        <v>1116</v>
      </c>
      <c r="E14" s="798"/>
      <c r="F14" s="799" t="s">
        <v>1117</v>
      </c>
      <c r="G14" s="800">
        <f>2461700*46%</f>
        <v>1132382</v>
      </c>
      <c r="H14" s="801" t="s">
        <v>178</v>
      </c>
      <c r="I14" s="802" t="s">
        <v>1118</v>
      </c>
      <c r="J14" s="786"/>
      <c r="K14" s="806" t="s">
        <v>1119</v>
      </c>
      <c r="L14" s="806"/>
      <c r="N14" s="804" t="s">
        <v>1120</v>
      </c>
      <c r="O14" s="787">
        <f>O9*0.049</f>
        <v>396703020.68599999</v>
      </c>
      <c r="P14" s="1059">
        <f>+SUM(CYGDP_KP__Transpo__I!X$21,CYGDP_KP__Transpo__I!Z$21)</f>
        <v>2318</v>
      </c>
      <c r="Q14" s="788" t="s">
        <v>178</v>
      </c>
      <c r="R14" s="789" t="s">
        <v>1108</v>
      </c>
    </row>
    <row r="15" spans="2:18" s="804" customFormat="1" ht="15" customHeight="1" thickBot="1" x14ac:dyDescent="0.3">
      <c r="B15" s="797"/>
      <c r="C15" s="790"/>
      <c r="D15" s="790"/>
      <c r="E15" s="798"/>
      <c r="F15" s="799"/>
      <c r="G15" s="784"/>
      <c r="H15" s="764"/>
      <c r="I15" s="785"/>
      <c r="J15" s="786"/>
    </row>
    <row r="16" spans="2:18" ht="15" customHeight="1" thickBot="1" x14ac:dyDescent="0.3">
      <c r="B16" s="807"/>
      <c r="C16" s="793" t="s">
        <v>1121</v>
      </c>
      <c r="D16" s="790"/>
      <c r="E16" s="761"/>
      <c r="F16" s="808" t="s">
        <v>1122</v>
      </c>
      <c r="G16" s="809">
        <f>IF(AND(G10="",G12=0),0,IF(AND(G10="",G12&lt;&gt;0),(1/(1+(G12/((1-G12)*0.375)))),(1/(1+(G12/((1-G12)*G10))))))</f>
        <v>0.9474077081232567</v>
      </c>
      <c r="H16" s="764" t="s">
        <v>1104</v>
      </c>
      <c r="I16" s="785" t="s">
        <v>1123</v>
      </c>
      <c r="J16" s="786" t="s">
        <v>1124</v>
      </c>
      <c r="M16" s="796">
        <f>(1/(1+(G12/((1-G12)*0.375))))</f>
        <v>0.9474077081232567</v>
      </c>
      <c r="N16" s="796">
        <f>(1/(1+(G12/((1-G12)*G10))))</f>
        <v>0.9474077081232567</v>
      </c>
    </row>
    <row r="17" spans="2:19" ht="15" customHeight="1" thickBot="1" x14ac:dyDescent="0.3">
      <c r="B17" s="783"/>
      <c r="C17" s="790"/>
      <c r="D17" s="790"/>
      <c r="E17" s="761"/>
      <c r="F17" s="799"/>
      <c r="G17" s="810"/>
      <c r="I17" s="785"/>
      <c r="J17" s="803">
        <f>1-G16</f>
        <v>5.2592291876743302E-2</v>
      </c>
      <c r="M17" s="811">
        <f>1-G16</f>
        <v>5.2592291876743302E-2</v>
      </c>
      <c r="P17" s="812">
        <v>20</v>
      </c>
    </row>
    <row r="18" spans="2:19" ht="23.25" thickBot="1" x14ac:dyDescent="0.3">
      <c r="B18" s="783"/>
      <c r="C18" s="790" t="s">
        <v>1125</v>
      </c>
      <c r="D18" s="790"/>
      <c r="E18" s="761"/>
      <c r="F18" s="799" t="s">
        <v>1126</v>
      </c>
      <c r="G18" s="812">
        <v>3.1537000000000003E-2</v>
      </c>
      <c r="H18" s="813" t="s">
        <v>1127</v>
      </c>
      <c r="I18" s="802" t="s">
        <v>1128</v>
      </c>
      <c r="J18" s="786" t="s">
        <v>178</v>
      </c>
      <c r="K18" s="1055">
        <f>+SUM(PSUT_2012!C11,PSUT_2012!C16)/1000/1000</f>
        <v>0.203165429385992</v>
      </c>
      <c r="L18" s="1056" t="s">
        <v>1329</v>
      </c>
      <c r="P18" s="812">
        <v>0.16950000000000001</v>
      </c>
    </row>
    <row r="19" spans="2:19" ht="15" customHeight="1" thickBot="1" x14ac:dyDescent="0.3">
      <c r="B19" s="783"/>
      <c r="C19" s="790"/>
      <c r="D19" s="790" t="s">
        <v>1129</v>
      </c>
      <c r="E19" s="761"/>
      <c r="F19" s="799"/>
      <c r="G19" s="814"/>
      <c r="I19" s="785" t="s">
        <v>1130</v>
      </c>
      <c r="J19" s="786"/>
      <c r="P19" s="812">
        <v>0.2034</v>
      </c>
    </row>
    <row r="20" spans="2:19" ht="15" customHeight="1" thickBot="1" x14ac:dyDescent="0.3">
      <c r="B20" s="783"/>
      <c r="C20" s="790"/>
      <c r="D20" s="790"/>
      <c r="E20" s="761"/>
      <c r="F20" s="799"/>
      <c r="G20" s="814"/>
      <c r="I20" s="785"/>
      <c r="J20" s="786"/>
      <c r="P20" s="815">
        <f>SUM(P17:P19)</f>
        <v>20.372899999999998</v>
      </c>
    </row>
    <row r="21" spans="2:19" ht="15" customHeight="1" thickBot="1" x14ac:dyDescent="0.3">
      <c r="B21" s="783"/>
      <c r="C21" s="790" t="s">
        <v>1131</v>
      </c>
      <c r="D21" s="790"/>
      <c r="E21" s="761"/>
      <c r="F21" s="765" t="s">
        <v>1132</v>
      </c>
      <c r="G21" s="800">
        <f>O10</f>
        <v>2509753804.3400002</v>
      </c>
      <c r="H21" s="816" t="s">
        <v>1133</v>
      </c>
      <c r="I21" s="785"/>
      <c r="J21" s="795"/>
      <c r="K21" s="1059">
        <f>P10</f>
        <v>1427</v>
      </c>
      <c r="L21" s="1056" t="s">
        <v>1330</v>
      </c>
      <c r="N21" s="815">
        <f>(G18)</f>
        <v>3.1537000000000003E-2</v>
      </c>
      <c r="O21" s="94" t="s">
        <v>1134</v>
      </c>
    </row>
    <row r="22" spans="2:19" ht="15" customHeight="1" x14ac:dyDescent="0.25">
      <c r="B22" s="783"/>
      <c r="C22" s="790"/>
      <c r="D22" s="790" t="s">
        <v>1135</v>
      </c>
      <c r="E22" s="761"/>
      <c r="F22" s="799"/>
      <c r="G22" s="810"/>
      <c r="I22" s="785"/>
      <c r="J22" s="786"/>
      <c r="M22" s="94" t="s">
        <v>178</v>
      </c>
      <c r="N22" s="796">
        <f>(G16)</f>
        <v>0.9474077081232567</v>
      </c>
      <c r="O22" s="94" t="s">
        <v>1136</v>
      </c>
    </row>
    <row r="23" spans="2:19" ht="15" customHeight="1" thickBot="1" x14ac:dyDescent="0.3">
      <c r="B23" s="783"/>
      <c r="C23" s="761"/>
      <c r="D23" s="790"/>
      <c r="E23" s="761"/>
      <c r="F23" s="799"/>
      <c r="G23" s="810"/>
      <c r="I23" s="785"/>
      <c r="J23" s="786"/>
      <c r="M23" s="94" t="s">
        <v>178</v>
      </c>
      <c r="N23" s="796">
        <f>(1-G16)</f>
        <v>5.2592291876743302E-2</v>
      </c>
      <c r="O23" s="94" t="s">
        <v>1137</v>
      </c>
    </row>
    <row r="24" spans="2:19" ht="15" customHeight="1" thickBot="1" x14ac:dyDescent="0.3">
      <c r="B24" s="783"/>
      <c r="C24" s="817" t="s">
        <v>1138</v>
      </c>
      <c r="D24" s="761"/>
      <c r="E24" s="761"/>
      <c r="F24" s="799" t="s">
        <v>1139</v>
      </c>
      <c r="G24" s="818">
        <f>IF(AND(G18="", G18="", G16=0), 0, (G21*(1-G16))/G18/1000000000)</f>
        <v>4.1853601996580583</v>
      </c>
      <c r="H24" s="819" t="s">
        <v>1140</v>
      </c>
      <c r="I24" s="820"/>
      <c r="J24" s="795" t="s">
        <v>1141</v>
      </c>
      <c r="K24" s="1061">
        <f>+(K18/K21)</f>
        <v>1.4237241022143797E-4</v>
      </c>
      <c r="L24" s="1056" t="s">
        <v>1328</v>
      </c>
      <c r="M24" s="94" t="s">
        <v>178</v>
      </c>
      <c r="N24" s="796">
        <f>((G21*(1-G16))/G18/1000000000)</f>
        <v>4.1853601996580583</v>
      </c>
      <c r="O24" s="94" t="s">
        <v>1142</v>
      </c>
    </row>
    <row r="25" spans="2:19" s="828" customFormat="1" ht="15" customHeight="1" thickBot="1" x14ac:dyDescent="0.3">
      <c r="B25" s="821"/>
      <c r="C25" s="822"/>
      <c r="D25" s="822"/>
      <c r="E25" s="822"/>
      <c r="F25" s="823"/>
      <c r="G25" s="824"/>
      <c r="H25" s="825"/>
      <c r="I25" s="826"/>
      <c r="J25" s="827"/>
    </row>
    <row r="26" spans="2:19" ht="15" customHeight="1" x14ac:dyDescent="0.25">
      <c r="B26" s="829" t="s">
        <v>1143</v>
      </c>
      <c r="C26" s="775"/>
      <c r="D26" s="775"/>
      <c r="E26" s="775"/>
      <c r="F26" s="830"/>
      <c r="G26" s="831" t="s">
        <v>3</v>
      </c>
      <c r="H26" s="831" t="s">
        <v>1144</v>
      </c>
      <c r="I26" s="832"/>
      <c r="J26" s="833"/>
    </row>
    <row r="27" spans="2:19" ht="9.9499999999999993" customHeight="1" thickBot="1" x14ac:dyDescent="0.3">
      <c r="B27" s="834"/>
      <c r="C27" s="761"/>
      <c r="D27" s="761"/>
      <c r="E27" s="761"/>
      <c r="F27" s="799"/>
      <c r="I27" s="785"/>
      <c r="J27" s="786"/>
    </row>
    <row r="28" spans="2:19" ht="15" customHeight="1" thickBot="1" x14ac:dyDescent="0.3">
      <c r="B28" s="783"/>
      <c r="C28" s="790" t="s">
        <v>1145</v>
      </c>
      <c r="F28" s="799" t="s">
        <v>1146</v>
      </c>
      <c r="G28" s="800">
        <f>O12</f>
        <v>1214397002.0999999</v>
      </c>
      <c r="H28" s="816" t="s">
        <v>1133</v>
      </c>
      <c r="I28" s="785"/>
      <c r="J28" s="786"/>
      <c r="K28" s="1059">
        <f>P12</f>
        <v>423</v>
      </c>
    </row>
    <row r="29" spans="2:19" ht="15" customHeight="1" thickBot="1" x14ac:dyDescent="0.3">
      <c r="B29" s="783"/>
      <c r="D29" s="835"/>
      <c r="F29" s="799"/>
      <c r="G29" s="836"/>
      <c r="H29" s="837"/>
      <c r="I29" s="785"/>
      <c r="J29" s="795"/>
    </row>
    <row r="30" spans="2:19" ht="23.25" thickBot="1" x14ac:dyDescent="0.3">
      <c r="B30" s="783"/>
      <c r="C30" s="835" t="s">
        <v>1147</v>
      </c>
      <c r="F30" s="762" t="s">
        <v>1148</v>
      </c>
      <c r="G30" s="812">
        <v>2.0500000000000001E-2</v>
      </c>
      <c r="H30" s="813" t="s">
        <v>1127</v>
      </c>
      <c r="I30" s="802" t="s">
        <v>1128</v>
      </c>
      <c r="J30" s="795"/>
      <c r="K30" s="1055">
        <f>+SUM(PSUT_2012!D11:F11,PSUT_2012!D16:F16)/1000/1000</f>
        <v>0.35991095266983941</v>
      </c>
      <c r="L30" s="1056" t="s">
        <v>1329</v>
      </c>
      <c r="S30" s="1058">
        <f>(G30*1000*1000*1000)</f>
        <v>20500000</v>
      </c>
    </row>
    <row r="31" spans="2:19" s="804" customFormat="1" ht="15" customHeight="1" thickBot="1" x14ac:dyDescent="0.3">
      <c r="B31" s="797"/>
      <c r="C31" s="835"/>
      <c r="F31" s="799"/>
      <c r="G31" s="838"/>
      <c r="H31" s="764"/>
      <c r="I31" s="785"/>
      <c r="J31" s="795"/>
    </row>
    <row r="32" spans="2:19" ht="15" customHeight="1" thickBot="1" x14ac:dyDescent="0.3">
      <c r="B32" s="783"/>
      <c r="C32" s="817" t="s">
        <v>1149</v>
      </c>
      <c r="F32" s="799" t="s">
        <v>1150</v>
      </c>
      <c r="G32" s="818">
        <f>IF(G28="", IF(G30="", 0, 0), G28/ G30/1000000000)</f>
        <v>59.238878151219502</v>
      </c>
      <c r="H32" s="819" t="s">
        <v>1140</v>
      </c>
      <c r="I32" s="785"/>
      <c r="J32" s="795" t="s">
        <v>1151</v>
      </c>
      <c r="K32" s="1055">
        <f>+(K28/K30)</f>
        <v>1175.2907125003076</v>
      </c>
      <c r="L32" s="1056" t="s">
        <v>1328</v>
      </c>
      <c r="M32" s="839">
        <f>(G28/G30/1000000000)</f>
        <v>59.238878151219502</v>
      </c>
    </row>
    <row r="33" spans="2:18" ht="15" customHeight="1" thickBot="1" x14ac:dyDescent="0.3">
      <c r="B33" s="783"/>
      <c r="C33" s="840"/>
      <c r="E33" s="761"/>
      <c r="F33" s="799"/>
      <c r="G33" s="810"/>
      <c r="H33" s="837"/>
      <c r="I33" s="841"/>
      <c r="J33" s="795"/>
      <c r="M33" s="839">
        <f>IF(G28="", IF(G30="",0,0),G28/G30/1000000000)</f>
        <v>59.238878151219502</v>
      </c>
    </row>
    <row r="34" spans="2:18" ht="15" customHeight="1" x14ac:dyDescent="0.25">
      <c r="B34" s="774" t="s">
        <v>1152</v>
      </c>
      <c r="C34" s="842"/>
      <c r="D34" s="775"/>
      <c r="E34" s="775"/>
      <c r="F34" s="830"/>
      <c r="G34" s="777"/>
      <c r="H34" s="843"/>
      <c r="I34" s="844"/>
      <c r="J34" s="845"/>
      <c r="M34" s="782"/>
    </row>
    <row r="35" spans="2:18" ht="9.9499999999999993" customHeight="1" thickBot="1" x14ac:dyDescent="0.3">
      <c r="B35" s="783"/>
      <c r="D35" s="761"/>
      <c r="E35" s="761"/>
      <c r="F35" s="799"/>
      <c r="I35" s="785"/>
      <c r="J35" s="786"/>
      <c r="M35" s="782"/>
    </row>
    <row r="36" spans="2:18" ht="15" customHeight="1" thickBot="1" x14ac:dyDescent="0.3">
      <c r="B36" s="783"/>
      <c r="C36" s="790" t="s">
        <v>1153</v>
      </c>
      <c r="E36" s="835"/>
      <c r="F36" s="799" t="s">
        <v>1154</v>
      </c>
      <c r="G36" s="800">
        <f>O14</f>
        <v>396703020.68599999</v>
      </c>
      <c r="H36" s="816" t="s">
        <v>1133</v>
      </c>
      <c r="I36" s="785"/>
      <c r="J36" s="786"/>
      <c r="K36" s="1059">
        <f>P14</f>
        <v>2318</v>
      </c>
      <c r="L36" s="1056" t="s">
        <v>1330</v>
      </c>
      <c r="M36" s="782"/>
    </row>
    <row r="37" spans="2:18" s="847" customFormat="1" ht="15" customHeight="1" thickBot="1" x14ac:dyDescent="0.3">
      <c r="B37" s="846"/>
      <c r="F37" s="799"/>
      <c r="G37" s="848"/>
      <c r="H37" s="764"/>
      <c r="I37" s="785"/>
      <c r="J37" s="786"/>
      <c r="M37" s="849"/>
    </row>
    <row r="38" spans="2:18" ht="23.25" thickBot="1" x14ac:dyDescent="0.3">
      <c r="B38" s="783"/>
      <c r="C38" s="850" t="s">
        <v>1155</v>
      </c>
      <c r="F38" s="799" t="s">
        <v>1156</v>
      </c>
      <c r="G38" s="812">
        <v>6.1400000000000003E-2</v>
      </c>
      <c r="H38" s="813" t="s">
        <v>1127</v>
      </c>
      <c r="I38" s="802" t="s">
        <v>1128</v>
      </c>
      <c r="J38" s="786"/>
      <c r="K38" s="1055">
        <f>+SUM(PSUT_2012!G11,PSUT_2012!G16)/1000/1000</f>
        <v>5.3008786416190092E-2</v>
      </c>
      <c r="L38" s="1056" t="s">
        <v>1329</v>
      </c>
      <c r="M38" s="782"/>
    </row>
    <row r="39" spans="2:18" ht="15" customHeight="1" thickBot="1" x14ac:dyDescent="0.3">
      <c r="B39" s="783"/>
      <c r="C39" s="761"/>
      <c r="D39" s="761"/>
      <c r="E39" s="761"/>
      <c r="F39" s="799"/>
      <c r="G39" s="851"/>
      <c r="I39" s="785"/>
      <c r="J39" s="786"/>
      <c r="M39" s="782"/>
    </row>
    <row r="40" spans="2:18" ht="15" customHeight="1" thickBot="1" x14ac:dyDescent="0.3">
      <c r="B40" s="783"/>
      <c r="C40" s="817" t="s">
        <v>1157</v>
      </c>
      <c r="F40" s="799" t="s">
        <v>1158</v>
      </c>
      <c r="G40" s="818">
        <f>IF(G36="", IF(G38="", 0, 0), G36/G38/1000000000)</f>
        <v>6.4609612489576538</v>
      </c>
      <c r="H40" s="819" t="s">
        <v>1140</v>
      </c>
      <c r="I40" s="785"/>
      <c r="J40" s="795" t="s">
        <v>1159</v>
      </c>
      <c r="K40" s="1055">
        <f>+(K36/K38)</f>
        <v>43728.599666489063</v>
      </c>
      <c r="L40" s="1056" t="s">
        <v>1328</v>
      </c>
      <c r="M40" s="839">
        <f>(G36/G38/1000000000)</f>
        <v>6.4609612489576538</v>
      </c>
      <c r="R40" s="94" t="str">
        <f>IF(G18="","G18 - Not Empty !","G18 - Not Empty !")</f>
        <v>G18 - Not Empty !</v>
      </c>
    </row>
    <row r="41" spans="2:18" s="853" customFormat="1" ht="15" customHeight="1" thickBot="1" x14ac:dyDescent="0.3">
      <c r="B41" s="852"/>
      <c r="F41" s="799"/>
      <c r="G41" s="838"/>
      <c r="H41" s="764"/>
      <c r="I41" s="785"/>
      <c r="J41" s="786"/>
      <c r="K41" s="1055">
        <f>SUM(K18,K30,K38)</f>
        <v>0.61608516847202155</v>
      </c>
      <c r="L41" s="1056" t="s">
        <v>1331</v>
      </c>
      <c r="M41" s="839">
        <f>IF(G36="",IF(G38="",0,0),G36/G38/1000000000)</f>
        <v>6.4609612489576538</v>
      </c>
      <c r="R41" s="94" t="b">
        <f>+AND(1-2=3,1+2=3,1*2-3)</f>
        <v>0</v>
      </c>
    </row>
    <row r="42" spans="2:18" ht="15" customHeight="1" x14ac:dyDescent="0.25">
      <c r="B42" s="774" t="s">
        <v>1160</v>
      </c>
      <c r="C42" s="842"/>
      <c r="D42" s="842"/>
      <c r="E42" s="842"/>
      <c r="F42" s="830"/>
      <c r="G42" s="777"/>
      <c r="H42" s="843"/>
      <c r="I42" s="844"/>
      <c r="J42" s="845"/>
      <c r="M42" s="782"/>
      <c r="R42" s="94" t="b">
        <f>+AND(1-2=3,1+2=3,1*2-3)</f>
        <v>0</v>
      </c>
    </row>
    <row r="43" spans="2:18" s="763" customFormat="1" ht="15" customHeight="1" thickBot="1" x14ac:dyDescent="0.3">
      <c r="B43" s="854"/>
      <c r="C43" s="835"/>
      <c r="D43" s="835"/>
      <c r="E43" s="835"/>
      <c r="F43" s="762"/>
      <c r="G43" s="855"/>
      <c r="H43" s="764"/>
      <c r="I43" s="785"/>
      <c r="J43" s="786"/>
      <c r="M43" s="856"/>
      <c r="R43" s="763" t="b">
        <f>+OR(1-2=3,1+2=3,1*2-3)</f>
        <v>1</v>
      </c>
    </row>
    <row r="44" spans="2:18" s="763" customFormat="1" ht="15" customHeight="1" thickBot="1" x14ac:dyDescent="0.3">
      <c r="B44" s="854"/>
      <c r="C44" s="793" t="s">
        <v>1161</v>
      </c>
      <c r="D44" s="835"/>
      <c r="E44" s="835"/>
      <c r="F44" s="762" t="s">
        <v>1162</v>
      </c>
      <c r="G44" s="857">
        <f>IF(G18="", IF(G30="", IF(G38="", 0, G18/(G18+G30)), G18/(G18+G38)), G18/(G18+G30+G38))</f>
        <v>0.27801334661530186</v>
      </c>
      <c r="H44" s="764" t="s">
        <v>1104</v>
      </c>
      <c r="I44" s="785"/>
      <c r="J44" s="795" t="s">
        <v>1163</v>
      </c>
      <c r="M44" s="839">
        <f>IF(G18="",IF(G30="",IF(G38="",0,G18/(G18+G30)),G18/(G18+G38)),G18/(G18+G30+G38))</f>
        <v>0.27801334661530186</v>
      </c>
      <c r="N44" s="839">
        <f>IF(G18="",IF(G30="",IF(G38="",0,G18/(G18+G30)),G18/(G18+G38)),G18/(G18+G30+G38))</f>
        <v>0.27801334661530186</v>
      </c>
      <c r="O44" s="839" t="b">
        <f>IF(G18="",IF(G30="",IF(G38="",0,"Formule")))</f>
        <v>0</v>
      </c>
      <c r="P44" s="839" t="b">
        <f>IF(H18="",IF(H30="",IF(H38="",0,"Formule")))</f>
        <v>0</v>
      </c>
      <c r="R44" s="839" t="b">
        <f>IF(G18="",IF(G30="",IF(G38="",0,"Formule")))</f>
        <v>0</v>
      </c>
    </row>
    <row r="45" spans="2:18" s="763" customFormat="1" ht="15" customHeight="1" thickBot="1" x14ac:dyDescent="0.3">
      <c r="B45" s="854"/>
      <c r="C45" s="835"/>
      <c r="D45" s="835"/>
      <c r="E45" s="835"/>
      <c r="F45" s="762"/>
      <c r="G45" s="858"/>
      <c r="H45" s="764"/>
      <c r="I45" s="785"/>
      <c r="J45" s="786"/>
      <c r="M45" s="856"/>
    </row>
    <row r="46" spans="2:18" s="763" customFormat="1" ht="15" customHeight="1" thickBot="1" x14ac:dyDescent="0.3">
      <c r="B46" s="854"/>
      <c r="C46" s="793" t="s">
        <v>1164</v>
      </c>
      <c r="D46" s="835"/>
      <c r="E46" s="835"/>
      <c r="F46" s="762" t="s">
        <v>1165</v>
      </c>
      <c r="G46" s="857">
        <f>IF(G18="", IF(G30="", IF(G38="", 0, G30/(G18+G30)), G30/(G30+G38)), G30/(G18+G30+G38))</f>
        <v>0.18071704999250685</v>
      </c>
      <c r="H46" s="764" t="s">
        <v>1104</v>
      </c>
      <c r="I46" s="785"/>
      <c r="J46" s="795" t="s">
        <v>1166</v>
      </c>
      <c r="M46" s="839">
        <f>IF(G18="",IF(G30="",IF(G38="",0,G30/(G18+G30)),G30/(G30+G38)),G30/(G18+G30+G38))</f>
        <v>0.18071704999250685</v>
      </c>
    </row>
    <row r="47" spans="2:18" s="763" customFormat="1" ht="15" customHeight="1" thickBot="1" x14ac:dyDescent="0.3">
      <c r="B47" s="854"/>
      <c r="C47" s="835"/>
      <c r="D47" s="835"/>
      <c r="E47" s="835"/>
      <c r="F47" s="762"/>
      <c r="G47" s="858"/>
      <c r="H47" s="764"/>
      <c r="I47" s="785"/>
      <c r="J47" s="786"/>
      <c r="M47" s="856"/>
    </row>
    <row r="48" spans="2:18" s="763" customFormat="1" ht="15" customHeight="1" thickBot="1" x14ac:dyDescent="0.3">
      <c r="B48" s="854"/>
      <c r="C48" s="793" t="s">
        <v>1167</v>
      </c>
      <c r="D48" s="835"/>
      <c r="E48" s="835"/>
      <c r="F48" s="762" t="s">
        <v>1168</v>
      </c>
      <c r="G48" s="857">
        <f>IF(G18="", IF(G30="", IF(G38="", 0, G38/(G18+G30)), G38/(G18+G38)), G38/(G18+G30+G38))</f>
        <v>0.54126960339219121</v>
      </c>
      <c r="H48" s="764" t="s">
        <v>1104</v>
      </c>
      <c r="I48" s="785"/>
      <c r="J48" s="795" t="s">
        <v>1169</v>
      </c>
      <c r="M48" s="839">
        <f>IF(G18="",IF(G30="",IF(G38="",0,G38/(G18+G30)),G38/(G18+G38)),G38/(G18+G30+G38))</f>
        <v>0.54126960339219121</v>
      </c>
    </row>
    <row r="49" spans="2:13" s="763" customFormat="1" ht="15" customHeight="1" thickBot="1" x14ac:dyDescent="0.3">
      <c r="B49" s="854"/>
      <c r="C49" s="835"/>
      <c r="D49" s="835"/>
      <c r="E49" s="835"/>
      <c r="F49" s="762"/>
      <c r="G49" s="855"/>
      <c r="H49" s="764"/>
      <c r="I49" s="785"/>
      <c r="J49" s="786"/>
      <c r="M49" s="856"/>
    </row>
    <row r="50" spans="2:13" s="763" customFormat="1" ht="15" customHeight="1" thickBot="1" x14ac:dyDescent="0.3">
      <c r="B50" s="854"/>
      <c r="C50" s="817" t="s">
        <v>1170</v>
      </c>
      <c r="D50" s="835"/>
      <c r="E50" s="835"/>
      <c r="F50" s="799" t="s">
        <v>1171</v>
      </c>
      <c r="G50" s="859">
        <f>IF(G44+G46+G48=1,G44*G24+G46*G32+G48*G40,"ERROR!")</f>
        <v>15.366183233007007</v>
      </c>
      <c r="H50" s="819" t="s">
        <v>1140</v>
      </c>
      <c r="I50" s="785"/>
      <c r="J50" s="795" t="s">
        <v>1172</v>
      </c>
      <c r="M50" s="839">
        <f>IF(G44+G46+G48=1,G44*G24+G46*G32+G48*G40,"ERROR!")</f>
        <v>15.366183233007007</v>
      </c>
    </row>
    <row r="51" spans="2:13" s="763" customFormat="1" ht="15" customHeight="1" thickBot="1" x14ac:dyDescent="0.3">
      <c r="B51" s="860"/>
      <c r="C51" s="861"/>
      <c r="D51" s="861"/>
      <c r="E51" s="861"/>
      <c r="F51" s="862"/>
      <c r="G51" s="863"/>
      <c r="H51" s="825"/>
      <c r="I51" s="826"/>
      <c r="J51" s="864"/>
      <c r="M51" s="839" t="str">
        <f>IF(G44+G46+G48=1,"Correct","FALSE)")</f>
        <v>Correct</v>
      </c>
    </row>
    <row r="52" spans="2:13" ht="15" customHeight="1" x14ac:dyDescent="0.25">
      <c r="B52" s="761"/>
      <c r="M52" s="839">
        <f>(G44*G24+G46*G32+G48*G40)</f>
        <v>15.366183233007007</v>
      </c>
    </row>
    <row r="53" spans="2:13" ht="15" customHeight="1" x14ac:dyDescent="0.25">
      <c r="B53" s="865" t="s">
        <v>1173</v>
      </c>
      <c r="C53" s="866"/>
      <c r="D53" s="866"/>
      <c r="E53" s="866"/>
      <c r="G53" s="867"/>
      <c r="M53" s="839">
        <f>(G44*G24)+(G46*G32)+(G48*G40)</f>
        <v>15.366183233007007</v>
      </c>
    </row>
    <row r="54" spans="2:13" ht="15" customHeight="1" x14ac:dyDescent="0.25">
      <c r="B54" s="866"/>
      <c r="C54" s="866" t="s">
        <v>1174</v>
      </c>
      <c r="D54" s="866"/>
      <c r="E54" s="866"/>
      <c r="G54" s="867"/>
      <c r="M54" s="839"/>
    </row>
    <row r="55" spans="2:13" ht="15" customHeight="1" x14ac:dyDescent="0.25">
      <c r="B55" s="866"/>
      <c r="C55" s="866" t="s">
        <v>1175</v>
      </c>
      <c r="D55" s="866"/>
      <c r="E55" s="866"/>
      <c r="G55" s="867"/>
    </row>
    <row r="56" spans="2:13" ht="15" customHeight="1" x14ac:dyDescent="0.25">
      <c r="B56" s="866"/>
      <c r="C56" s="866"/>
      <c r="D56" s="866"/>
      <c r="E56" s="866"/>
      <c r="G56" s="867"/>
    </row>
    <row r="57" spans="2:13" ht="15" customHeight="1" x14ac:dyDescent="0.25">
      <c r="B57" s="866"/>
      <c r="C57" s="866"/>
      <c r="D57" s="866"/>
      <c r="E57" s="866"/>
      <c r="G57" s="867"/>
    </row>
    <row r="58" spans="2:13" ht="15" customHeight="1" x14ac:dyDescent="0.25">
      <c r="B58" s="866"/>
      <c r="C58" s="866"/>
      <c r="D58" s="866"/>
      <c r="E58" s="866"/>
      <c r="G58" s="867"/>
    </row>
    <row r="59" spans="2:13" ht="15" customHeight="1" x14ac:dyDescent="0.25">
      <c r="B59" s="866"/>
      <c r="C59" s="866"/>
      <c r="D59" s="866"/>
      <c r="E59" s="866"/>
      <c r="G59" s="867"/>
    </row>
    <row r="60" spans="2:13" ht="15" customHeight="1" x14ac:dyDescent="0.25">
      <c r="B60" s="866"/>
      <c r="C60" s="866"/>
      <c r="D60" s="866"/>
      <c r="E60" s="866"/>
      <c r="G60" s="867"/>
    </row>
    <row r="61" spans="2:13" ht="15" customHeight="1" x14ac:dyDescent="0.25">
      <c r="B61" s="866"/>
      <c r="C61" s="866"/>
      <c r="D61" s="866"/>
      <c r="E61" s="866"/>
      <c r="G61" s="867"/>
    </row>
    <row r="62" spans="2:13" ht="15" customHeight="1" x14ac:dyDescent="0.25">
      <c r="B62" s="866"/>
      <c r="C62" s="866"/>
      <c r="D62" s="866"/>
      <c r="E62" s="866"/>
      <c r="G62" s="867"/>
    </row>
    <row r="63" spans="2:13" ht="15" customHeight="1" x14ac:dyDescent="0.25">
      <c r="B63" s="866"/>
      <c r="C63" s="866"/>
      <c r="D63" s="866"/>
      <c r="E63" s="866"/>
      <c r="G63" s="867"/>
    </row>
    <row r="64" spans="2:13" ht="15" customHeight="1" x14ac:dyDescent="0.25">
      <c r="B64" s="866"/>
      <c r="C64" s="866"/>
      <c r="D64" s="866"/>
      <c r="E64" s="866"/>
      <c r="G64" s="867"/>
    </row>
    <row r="65" spans="2:7" ht="15" customHeight="1" x14ac:dyDescent="0.25">
      <c r="B65" s="866"/>
      <c r="C65" s="866"/>
      <c r="D65" s="866"/>
      <c r="E65" s="866"/>
      <c r="G65" s="867"/>
    </row>
    <row r="66" spans="2:7" ht="15" customHeight="1" x14ac:dyDescent="0.25">
      <c r="B66" s="866"/>
      <c r="C66" s="866"/>
      <c r="D66" s="866"/>
      <c r="E66" s="866"/>
      <c r="G66" s="867"/>
    </row>
    <row r="67" spans="2:7" ht="15" customHeight="1" x14ac:dyDescent="0.25">
      <c r="B67" s="866"/>
      <c r="C67" s="866"/>
      <c r="D67" s="866"/>
      <c r="E67" s="866"/>
      <c r="G67" s="867"/>
    </row>
    <row r="68" spans="2:7" ht="15" customHeight="1" x14ac:dyDescent="0.25">
      <c r="B68" s="866"/>
      <c r="C68" s="866"/>
      <c r="D68" s="866"/>
      <c r="E68" s="866"/>
      <c r="G68" s="867"/>
    </row>
    <row r="69" spans="2:7" ht="15" customHeight="1" x14ac:dyDescent="0.25">
      <c r="B69" s="866"/>
      <c r="C69" s="866"/>
      <c r="D69" s="866"/>
      <c r="E69" s="866"/>
      <c r="G69" s="867"/>
    </row>
    <row r="70" spans="2:7" ht="15" customHeight="1" x14ac:dyDescent="0.25">
      <c r="B70" s="866"/>
      <c r="C70" s="866"/>
      <c r="D70" s="866"/>
      <c r="E70" s="866"/>
      <c r="G70" s="867"/>
    </row>
    <row r="71" spans="2:7" ht="15" customHeight="1" x14ac:dyDescent="0.25">
      <c r="B71" s="866"/>
      <c r="C71" s="866"/>
      <c r="D71" s="866"/>
      <c r="E71" s="866"/>
      <c r="G71" s="867"/>
    </row>
    <row r="72" spans="2:7" ht="15" customHeight="1" x14ac:dyDescent="0.25">
      <c r="B72" s="866"/>
      <c r="C72" s="866"/>
      <c r="D72" s="866"/>
      <c r="E72" s="866"/>
      <c r="G72" s="867"/>
    </row>
    <row r="73" spans="2:7" ht="15" customHeight="1" x14ac:dyDescent="0.25">
      <c r="B73" s="866"/>
      <c r="C73" s="866"/>
      <c r="D73" s="866"/>
      <c r="E73" s="866"/>
      <c r="G73" s="867"/>
    </row>
    <row r="74" spans="2:7" ht="15" customHeight="1" x14ac:dyDescent="0.25">
      <c r="B74" s="866"/>
      <c r="C74" s="866"/>
      <c r="D74" s="866"/>
      <c r="E74" s="866"/>
      <c r="G74" s="867"/>
    </row>
    <row r="75" spans="2:7" ht="15" customHeight="1" x14ac:dyDescent="0.25">
      <c r="B75" s="866"/>
      <c r="C75" s="866"/>
      <c r="D75" s="866"/>
      <c r="E75" s="866"/>
      <c r="G75" s="867"/>
    </row>
    <row r="76" spans="2:7" ht="15" customHeight="1" x14ac:dyDescent="0.25">
      <c r="B76" s="866"/>
      <c r="C76" s="866"/>
      <c r="D76" s="866"/>
      <c r="E76" s="866"/>
      <c r="G76" s="867"/>
    </row>
    <row r="77" spans="2:7" ht="15" customHeight="1" x14ac:dyDescent="0.25">
      <c r="B77" s="866"/>
      <c r="C77" s="866"/>
      <c r="D77" s="866"/>
      <c r="E77" s="866"/>
      <c r="G77" s="867"/>
    </row>
    <row r="78" spans="2:7" ht="15" customHeight="1" x14ac:dyDescent="0.25">
      <c r="B78" s="866"/>
      <c r="C78" s="866"/>
      <c r="D78" s="866"/>
      <c r="E78" s="866"/>
      <c r="G78" s="867"/>
    </row>
    <row r="79" spans="2:7" ht="15" customHeight="1" x14ac:dyDescent="0.25">
      <c r="B79" s="866"/>
      <c r="C79" s="866"/>
      <c r="D79" s="866"/>
      <c r="E79" s="866"/>
      <c r="G79" s="867"/>
    </row>
    <row r="80" spans="2:7" ht="15" customHeight="1" x14ac:dyDescent="0.25">
      <c r="B80" s="866"/>
      <c r="C80" s="866"/>
      <c r="D80" s="866"/>
      <c r="E80" s="866"/>
      <c r="G80" s="867"/>
    </row>
    <row r="81" spans="2:7" ht="15" customHeight="1" x14ac:dyDescent="0.25">
      <c r="B81" s="866"/>
      <c r="C81" s="866"/>
      <c r="D81" s="866"/>
      <c r="E81" s="866"/>
      <c r="G81" s="867"/>
    </row>
    <row r="82" spans="2:7" ht="15" customHeight="1" x14ac:dyDescent="0.25">
      <c r="B82" s="866"/>
      <c r="C82" s="866"/>
      <c r="D82" s="866"/>
      <c r="E82" s="866"/>
      <c r="G82" s="867"/>
    </row>
    <row r="83" spans="2:7" ht="15" customHeight="1" x14ac:dyDescent="0.25">
      <c r="B83" s="866"/>
      <c r="C83" s="866"/>
      <c r="D83" s="866"/>
      <c r="E83" s="866"/>
      <c r="G83" s="867"/>
    </row>
    <row r="84" spans="2:7" ht="15" customHeight="1" x14ac:dyDescent="0.25">
      <c r="B84" s="866"/>
      <c r="C84" s="866"/>
      <c r="D84" s="866"/>
      <c r="E84" s="866"/>
      <c r="G84" s="867"/>
    </row>
    <row r="85" spans="2:7" ht="15" customHeight="1" x14ac:dyDescent="0.25">
      <c r="B85" s="866"/>
      <c r="C85" s="866"/>
      <c r="D85" s="866"/>
      <c r="E85" s="866"/>
      <c r="G85" s="867"/>
    </row>
    <row r="86" spans="2:7" ht="15" customHeight="1" x14ac:dyDescent="0.25">
      <c r="B86" s="866"/>
      <c r="C86" s="866"/>
      <c r="D86" s="866"/>
      <c r="E86" s="866"/>
      <c r="G86" s="867"/>
    </row>
    <row r="87" spans="2:7" ht="15" customHeight="1" x14ac:dyDescent="0.25">
      <c r="B87" s="866"/>
      <c r="C87" s="866"/>
      <c r="D87" s="866"/>
      <c r="E87" s="866"/>
      <c r="G87" s="867"/>
    </row>
    <row r="88" spans="2:7" ht="15" customHeight="1" x14ac:dyDescent="0.25">
      <c r="B88" s="866"/>
      <c r="C88" s="866"/>
      <c r="D88" s="866"/>
      <c r="E88" s="866"/>
      <c r="G88" s="867"/>
    </row>
    <row r="89" spans="2:7" ht="15" customHeight="1" x14ac:dyDescent="0.25">
      <c r="B89" s="866"/>
      <c r="C89" s="866"/>
      <c r="D89" s="866"/>
      <c r="E89" s="866"/>
      <c r="G89" s="867"/>
    </row>
    <row r="90" spans="2:7" ht="15" customHeight="1" x14ac:dyDescent="0.25">
      <c r="B90" s="866"/>
      <c r="C90" s="866"/>
      <c r="D90" s="866"/>
      <c r="E90" s="866"/>
      <c r="G90" s="867"/>
    </row>
    <row r="91" spans="2:7" ht="15" customHeight="1" x14ac:dyDescent="0.25">
      <c r="B91" s="866"/>
      <c r="C91" s="866"/>
      <c r="D91" s="866"/>
      <c r="E91" s="866"/>
      <c r="G91" s="867"/>
    </row>
    <row r="92" spans="2:7" ht="15" customHeight="1" x14ac:dyDescent="0.25">
      <c r="B92" s="866"/>
      <c r="C92" s="866"/>
      <c r="D92" s="866"/>
      <c r="E92" s="866"/>
      <c r="G92" s="867"/>
    </row>
    <row r="93" spans="2:7" ht="15" customHeight="1" x14ac:dyDescent="0.25">
      <c r="B93" s="866"/>
      <c r="C93" s="866"/>
      <c r="D93" s="866"/>
      <c r="E93" s="866"/>
      <c r="G93" s="867"/>
    </row>
    <row r="94" spans="2:7" ht="15" customHeight="1" x14ac:dyDescent="0.25">
      <c r="B94" s="866"/>
      <c r="C94" s="866"/>
      <c r="D94" s="866"/>
      <c r="E94" s="866"/>
      <c r="G94" s="867"/>
    </row>
    <row r="95" spans="2:7" ht="15" customHeight="1" x14ac:dyDescent="0.25">
      <c r="B95" s="866"/>
      <c r="C95" s="866"/>
      <c r="D95" s="866"/>
      <c r="E95" s="866"/>
      <c r="G95" s="867"/>
    </row>
    <row r="96" spans="2:7" ht="15" customHeight="1" x14ac:dyDescent="0.25">
      <c r="B96" s="866"/>
      <c r="C96" s="866"/>
      <c r="D96" s="866"/>
      <c r="E96" s="866"/>
      <c r="G96" s="867"/>
    </row>
    <row r="97" spans="2:7" ht="15" customHeight="1" x14ac:dyDescent="0.25">
      <c r="B97" s="866"/>
      <c r="C97" s="866"/>
      <c r="D97" s="866"/>
      <c r="E97" s="866"/>
      <c r="G97" s="867"/>
    </row>
    <row r="98" spans="2:7" ht="15" customHeight="1" x14ac:dyDescent="0.25">
      <c r="B98" s="866"/>
      <c r="C98" s="866"/>
      <c r="D98" s="866"/>
      <c r="E98" s="866"/>
      <c r="G98" s="867"/>
    </row>
    <row r="99" spans="2:7" ht="15" customHeight="1" x14ac:dyDescent="0.25">
      <c r="B99" s="866"/>
      <c r="C99" s="866"/>
      <c r="D99" s="866"/>
      <c r="E99" s="866"/>
      <c r="G99" s="867"/>
    </row>
    <row r="100" spans="2:7" ht="15" customHeight="1" x14ac:dyDescent="0.25">
      <c r="B100" s="866"/>
      <c r="C100" s="866"/>
      <c r="D100" s="866"/>
      <c r="E100" s="866"/>
      <c r="G100" s="867"/>
    </row>
    <row r="101" spans="2:7" ht="15" customHeight="1" x14ac:dyDescent="0.25">
      <c r="B101" s="866"/>
      <c r="C101" s="866"/>
      <c r="D101" s="866"/>
      <c r="E101" s="866"/>
      <c r="G101" s="867"/>
    </row>
    <row r="102" spans="2:7" ht="15" customHeight="1" x14ac:dyDescent="0.25">
      <c r="B102" s="866"/>
      <c r="C102" s="866"/>
      <c r="D102" s="866"/>
      <c r="E102" s="866"/>
      <c r="G102" s="867"/>
    </row>
    <row r="103" spans="2:7" ht="15" customHeight="1" x14ac:dyDescent="0.25">
      <c r="B103" s="866"/>
      <c r="C103" s="866"/>
      <c r="D103" s="866"/>
      <c r="E103" s="866"/>
      <c r="G103" s="867"/>
    </row>
    <row r="104" spans="2:7" ht="15" customHeight="1" x14ac:dyDescent="0.25">
      <c r="B104" s="866"/>
      <c r="C104" s="866"/>
      <c r="D104" s="866"/>
      <c r="E104" s="866"/>
      <c r="G104" s="867"/>
    </row>
    <row r="105" spans="2:7" ht="15" customHeight="1" x14ac:dyDescent="0.25">
      <c r="B105" s="866"/>
      <c r="C105" s="866"/>
      <c r="D105" s="866"/>
      <c r="E105" s="866"/>
      <c r="G105" s="867"/>
    </row>
    <row r="106" spans="2:7" ht="15" customHeight="1" x14ac:dyDescent="0.25">
      <c r="B106" s="866"/>
      <c r="C106" s="866"/>
      <c r="D106" s="866"/>
      <c r="E106" s="866"/>
      <c r="G106" s="867"/>
    </row>
    <row r="107" spans="2:7" ht="15" customHeight="1" x14ac:dyDescent="0.25">
      <c r="B107" s="866"/>
      <c r="C107" s="866"/>
      <c r="D107" s="866"/>
      <c r="E107" s="866"/>
      <c r="G107" s="867"/>
    </row>
    <row r="108" spans="2:7" ht="15" customHeight="1" x14ac:dyDescent="0.25">
      <c r="B108" s="866"/>
      <c r="C108" s="866"/>
      <c r="D108" s="866"/>
      <c r="E108" s="866"/>
      <c r="G108" s="867"/>
    </row>
    <row r="109" spans="2:7" ht="15" customHeight="1" x14ac:dyDescent="0.25">
      <c r="B109" s="866"/>
      <c r="C109" s="866"/>
      <c r="D109" s="866"/>
      <c r="E109" s="866"/>
      <c r="G109" s="867"/>
    </row>
    <row r="110" spans="2:7" ht="15" customHeight="1" x14ac:dyDescent="0.25">
      <c r="B110" s="866"/>
      <c r="C110" s="866"/>
      <c r="D110" s="866"/>
      <c r="E110" s="866"/>
      <c r="G110" s="867"/>
    </row>
    <row r="111" spans="2:7" ht="15" customHeight="1" x14ac:dyDescent="0.25">
      <c r="B111" s="866"/>
      <c r="C111" s="866"/>
      <c r="D111" s="866"/>
      <c r="E111" s="866"/>
      <c r="G111" s="867"/>
    </row>
    <row r="112" spans="2:7" ht="15" customHeight="1" x14ac:dyDescent="0.25">
      <c r="B112" s="866"/>
      <c r="C112" s="866"/>
      <c r="D112" s="866"/>
      <c r="E112" s="866"/>
      <c r="G112" s="867"/>
    </row>
    <row r="113" spans="2:7" ht="15" customHeight="1" x14ac:dyDescent="0.25">
      <c r="B113" s="866"/>
      <c r="C113" s="866"/>
      <c r="D113" s="866"/>
      <c r="E113" s="866"/>
      <c r="G113" s="867"/>
    </row>
    <row r="114" spans="2:7" ht="15" customHeight="1" x14ac:dyDescent="0.25">
      <c r="B114" s="866"/>
      <c r="C114" s="866"/>
      <c r="D114" s="866"/>
      <c r="E114" s="866"/>
      <c r="G114" s="867"/>
    </row>
    <row r="115" spans="2:7" ht="15" customHeight="1" x14ac:dyDescent="0.25">
      <c r="B115" s="866"/>
      <c r="C115" s="866"/>
      <c r="D115" s="866"/>
      <c r="E115" s="866"/>
      <c r="G115" s="867"/>
    </row>
    <row r="116" spans="2:7" ht="15" customHeight="1" x14ac:dyDescent="0.25">
      <c r="B116" s="866"/>
      <c r="C116" s="866"/>
      <c r="D116" s="866"/>
      <c r="E116" s="866"/>
      <c r="G116" s="867"/>
    </row>
    <row r="117" spans="2:7" ht="15" customHeight="1" x14ac:dyDescent="0.25">
      <c r="B117" s="866"/>
      <c r="C117" s="866"/>
      <c r="D117" s="866"/>
      <c r="E117" s="866"/>
      <c r="G117" s="867"/>
    </row>
    <row r="118" spans="2:7" ht="15" customHeight="1" x14ac:dyDescent="0.25">
      <c r="B118" s="866"/>
      <c r="C118" s="866"/>
      <c r="D118" s="866"/>
      <c r="E118" s="866"/>
      <c r="G118" s="867"/>
    </row>
    <row r="119" spans="2:7" ht="15" customHeight="1" x14ac:dyDescent="0.25">
      <c r="B119" s="866"/>
      <c r="C119" s="866"/>
      <c r="D119" s="866"/>
      <c r="E119" s="866"/>
      <c r="G119" s="867"/>
    </row>
    <row r="120" spans="2:7" ht="15" customHeight="1" x14ac:dyDescent="0.25">
      <c r="B120" s="866"/>
      <c r="C120" s="866"/>
      <c r="D120" s="866"/>
      <c r="E120" s="866"/>
      <c r="G120" s="867"/>
    </row>
    <row r="121" spans="2:7" ht="15" customHeight="1" x14ac:dyDescent="0.25">
      <c r="B121" s="866"/>
      <c r="C121" s="866"/>
      <c r="D121" s="866"/>
      <c r="E121" s="866"/>
      <c r="G121" s="867"/>
    </row>
    <row r="122" spans="2:7" ht="15" customHeight="1" x14ac:dyDescent="0.25">
      <c r="B122" s="866"/>
      <c r="C122" s="866"/>
      <c r="D122" s="866"/>
      <c r="E122" s="866"/>
      <c r="G122" s="867"/>
    </row>
    <row r="123" spans="2:7" ht="15" customHeight="1" x14ac:dyDescent="0.25">
      <c r="B123" s="866"/>
      <c r="C123" s="866"/>
      <c r="D123" s="866"/>
      <c r="E123" s="866"/>
      <c r="G123" s="867"/>
    </row>
    <row r="124" spans="2:7" ht="15" customHeight="1" x14ac:dyDescent="0.25">
      <c r="B124" s="866"/>
      <c r="C124" s="866"/>
      <c r="D124" s="866"/>
      <c r="E124" s="866"/>
      <c r="G124" s="867"/>
    </row>
    <row r="125" spans="2:7" ht="15" customHeight="1" x14ac:dyDescent="0.25">
      <c r="B125" s="866"/>
      <c r="C125" s="866"/>
      <c r="D125" s="866"/>
      <c r="E125" s="866"/>
      <c r="G125" s="867"/>
    </row>
    <row r="126" spans="2:7" ht="15" customHeight="1" x14ac:dyDescent="0.25">
      <c r="B126" s="866"/>
      <c r="C126" s="866"/>
      <c r="D126" s="866"/>
      <c r="E126" s="866"/>
      <c r="G126" s="867"/>
    </row>
    <row r="127" spans="2:7" ht="15" customHeight="1" x14ac:dyDescent="0.25">
      <c r="B127" s="866"/>
      <c r="C127" s="866"/>
      <c r="D127" s="866"/>
      <c r="E127" s="866"/>
      <c r="G127" s="867"/>
    </row>
    <row r="128" spans="2:7" ht="15" customHeight="1" x14ac:dyDescent="0.25">
      <c r="B128" s="866"/>
      <c r="C128" s="866"/>
      <c r="D128" s="866"/>
      <c r="E128" s="866"/>
      <c r="G128" s="867"/>
    </row>
    <row r="129" spans="2:7" ht="15" customHeight="1" x14ac:dyDescent="0.25">
      <c r="B129" s="866"/>
      <c r="C129" s="866"/>
      <c r="D129" s="866"/>
      <c r="E129" s="866"/>
      <c r="G129" s="867"/>
    </row>
    <row r="130" spans="2:7" ht="15" customHeight="1" x14ac:dyDescent="0.25">
      <c r="B130" s="866"/>
      <c r="C130" s="866"/>
      <c r="D130" s="866"/>
      <c r="E130" s="866"/>
      <c r="G130" s="867"/>
    </row>
    <row r="131" spans="2:7" ht="15" customHeight="1" x14ac:dyDescent="0.25">
      <c r="B131" s="866"/>
      <c r="C131" s="866"/>
      <c r="D131" s="866"/>
      <c r="E131" s="866"/>
      <c r="G131" s="867"/>
    </row>
    <row r="132" spans="2:7" ht="15" customHeight="1" x14ac:dyDescent="0.25">
      <c r="B132" s="866"/>
      <c r="C132" s="866"/>
      <c r="D132" s="866"/>
      <c r="E132" s="866"/>
      <c r="G132" s="867"/>
    </row>
    <row r="133" spans="2:7" ht="15" customHeight="1" x14ac:dyDescent="0.25">
      <c r="B133" s="866"/>
      <c r="C133" s="866"/>
      <c r="D133" s="866"/>
      <c r="E133" s="866"/>
      <c r="G133" s="867"/>
    </row>
    <row r="134" spans="2:7" ht="15" customHeight="1" x14ac:dyDescent="0.25">
      <c r="B134" s="866"/>
      <c r="C134" s="866"/>
      <c r="D134" s="866"/>
      <c r="E134" s="866"/>
      <c r="G134" s="867"/>
    </row>
    <row r="135" spans="2:7" ht="15" customHeight="1" x14ac:dyDescent="0.25">
      <c r="B135" s="866"/>
      <c r="C135" s="866"/>
      <c r="D135" s="866"/>
      <c r="E135" s="866"/>
      <c r="G135" s="867"/>
    </row>
    <row r="136" spans="2:7" ht="15" customHeight="1" x14ac:dyDescent="0.25">
      <c r="B136" s="866"/>
      <c r="C136" s="866"/>
      <c r="D136" s="866"/>
      <c r="E136" s="866"/>
      <c r="G136" s="867"/>
    </row>
    <row r="137" spans="2:7" ht="15" customHeight="1" x14ac:dyDescent="0.25">
      <c r="B137" s="866"/>
      <c r="C137" s="866"/>
      <c r="D137" s="866"/>
      <c r="E137" s="866"/>
      <c r="G137" s="867"/>
    </row>
  </sheetData>
  <pageMargins left="0.51181102362204722" right="0.51181102362204722" top="0.74803149606299213" bottom="0.74803149606299213" header="0.31496062992125984" footer="0.31496062992125984"/>
  <pageSetup paperSize="9" scale="41" orientation="landscape" r:id="rId1"/>
  <headerFooter>
    <oddHeader>&amp;L&amp;F    &amp;&amp;&amp;A&amp;C
&amp;D&amp;RPage &amp;P of &amp;N</oddHead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pageSetUpPr fitToPage="1"/>
  </sheetPr>
  <dimension ref="B1:AF160"/>
  <sheetViews>
    <sheetView zoomScale="70" zoomScaleNormal="70" workbookViewId="0">
      <selection activeCell="G14" sqref="G14"/>
    </sheetView>
  </sheetViews>
  <sheetFormatPr defaultColWidth="8.85546875" defaultRowHeight="15" x14ac:dyDescent="0.25"/>
  <cols>
    <col min="1" max="1" width="1.7109375" style="94" customWidth="1"/>
    <col min="2" max="3" width="5.42578125" style="94" customWidth="1"/>
    <col min="4" max="4" width="7.7109375" style="94" customWidth="1"/>
    <col min="5" max="5" width="53.85546875" style="94" customWidth="1"/>
    <col min="6" max="6" width="6.140625" style="762" customWidth="1"/>
    <col min="7" max="7" width="22.7109375" style="763" customWidth="1"/>
    <col min="8" max="8" width="9.7109375" style="763" customWidth="1"/>
    <col min="9" max="13" width="20.28515625" style="763" customWidth="1"/>
    <col min="14" max="14" width="9" style="764" customWidth="1"/>
    <col min="15" max="15" width="26" style="764" customWidth="1"/>
    <col min="16" max="16" width="36" style="765" customWidth="1"/>
    <col min="17" max="17" width="30.5703125" style="764" bestFit="1" customWidth="1"/>
    <col min="18" max="18" width="35.42578125" style="94" customWidth="1"/>
    <col min="19" max="19" width="15.140625" style="94" bestFit="1" customWidth="1"/>
    <col min="20" max="20" width="13.28515625" style="94" customWidth="1"/>
    <col min="21" max="21" width="10.7109375" style="94" customWidth="1"/>
    <col min="22" max="22" width="16.85546875" style="94" bestFit="1" customWidth="1"/>
    <col min="23" max="23" width="13.85546875" style="94" bestFit="1" customWidth="1"/>
    <col min="24" max="24" width="8.85546875" style="94"/>
    <col min="25" max="25" width="17.7109375" style="94" bestFit="1" customWidth="1"/>
    <col min="26" max="26" width="15.140625" style="94" bestFit="1" customWidth="1"/>
    <col min="27" max="27" width="8.85546875" style="94"/>
    <col min="28" max="31" width="9" style="94" customWidth="1"/>
    <col min="32" max="32" width="11.85546875" style="94" customWidth="1"/>
    <col min="33" max="16384" width="8.85546875" style="94"/>
  </cols>
  <sheetData>
    <row r="1" spans="2:32" ht="19.5" customHeight="1" x14ac:dyDescent="0.25">
      <c r="B1" s="760" t="s">
        <v>1090</v>
      </c>
      <c r="C1" s="761"/>
      <c r="D1" s="761"/>
      <c r="E1" s="761"/>
      <c r="F1" s="1327"/>
    </row>
    <row r="2" spans="2:32" ht="17.25" customHeight="1" x14ac:dyDescent="0.25">
      <c r="B2" s="766" t="s">
        <v>1091</v>
      </c>
      <c r="C2" s="761"/>
      <c r="D2" s="761"/>
      <c r="E2" s="761"/>
      <c r="F2" s="1327"/>
    </row>
    <row r="3" spans="2:32" ht="15" customHeight="1" x14ac:dyDescent="0.25">
      <c r="B3" s="767"/>
      <c r="C3" s="761"/>
      <c r="D3" s="761"/>
      <c r="E3" s="761"/>
      <c r="F3" s="1327"/>
    </row>
    <row r="4" spans="2:32" ht="20.25" customHeight="1" x14ac:dyDescent="0.25">
      <c r="B4" s="768" t="s">
        <v>1092</v>
      </c>
      <c r="C4" s="761"/>
      <c r="D4" s="769"/>
      <c r="E4" s="761" t="s">
        <v>1093</v>
      </c>
      <c r="F4" s="1327"/>
      <c r="G4" s="1298" t="s">
        <v>1669</v>
      </c>
      <c r="H4" s="770"/>
      <c r="I4" s="1298" t="s">
        <v>1670</v>
      </c>
      <c r="J4" s="770"/>
      <c r="K4" s="770"/>
      <c r="L4" s="770"/>
      <c r="M4" s="770"/>
      <c r="Q4" s="771">
        <v>43182</v>
      </c>
    </row>
    <row r="5" spans="2:32" ht="20.25" customHeight="1" x14ac:dyDescent="0.25">
      <c r="B5" s="768"/>
      <c r="C5" s="761"/>
      <c r="D5" s="769"/>
      <c r="E5" s="761"/>
      <c r="F5" s="1327"/>
      <c r="G5" s="1298">
        <v>2012</v>
      </c>
      <c r="H5" s="1298"/>
      <c r="I5" s="1298">
        <v>2012</v>
      </c>
      <c r="J5" s="1298">
        <v>2013</v>
      </c>
      <c r="K5" s="1298">
        <v>2014</v>
      </c>
      <c r="L5" s="1298">
        <v>2015</v>
      </c>
      <c r="M5" s="1298">
        <v>2016</v>
      </c>
      <c r="O5" s="1299" t="s">
        <v>1478</v>
      </c>
      <c r="P5" s="1326"/>
      <c r="Q5" s="772"/>
      <c r="R5" s="789">
        <v>2012</v>
      </c>
      <c r="S5" s="789"/>
      <c r="W5" s="789">
        <v>2012</v>
      </c>
      <c r="AB5" s="94">
        <v>2012</v>
      </c>
      <c r="AC5" s="94">
        <v>2013</v>
      </c>
      <c r="AD5" s="94">
        <v>2014</v>
      </c>
      <c r="AE5" s="94">
        <v>2015</v>
      </c>
      <c r="AF5" s="94">
        <v>2016</v>
      </c>
    </row>
    <row r="6" spans="2:32" ht="15" customHeight="1" x14ac:dyDescent="0.25">
      <c r="B6" s="768" t="s">
        <v>1094</v>
      </c>
      <c r="C6" s="761"/>
      <c r="D6" s="769"/>
      <c r="E6" s="761"/>
      <c r="F6" s="1327"/>
      <c r="G6" s="770" t="s">
        <v>1432</v>
      </c>
      <c r="H6" s="770"/>
      <c r="I6" s="770"/>
      <c r="J6" s="770"/>
      <c r="K6" s="770"/>
      <c r="L6" s="770"/>
      <c r="M6" s="770"/>
      <c r="O6" s="1300"/>
      <c r="P6" s="1315"/>
      <c r="Q6" s="772"/>
      <c r="R6" s="1057" t="s">
        <v>1325</v>
      </c>
      <c r="S6" s="1057"/>
      <c r="W6" s="1057" t="s">
        <v>1325</v>
      </c>
    </row>
    <row r="7" spans="2:32" ht="15" customHeight="1" thickBot="1" x14ac:dyDescent="0.3">
      <c r="B7" s="773"/>
      <c r="C7" s="761"/>
      <c r="D7" s="761"/>
      <c r="E7" s="761"/>
      <c r="F7" s="1327"/>
      <c r="O7" s="1300"/>
      <c r="P7" s="1315"/>
      <c r="Q7" s="765"/>
      <c r="R7" s="1057" t="s">
        <v>1329</v>
      </c>
      <c r="S7" s="1057"/>
      <c r="W7" s="1060" t="s">
        <v>1327</v>
      </c>
    </row>
    <row r="8" spans="2:32" ht="15" customHeight="1" x14ac:dyDescent="0.25">
      <c r="B8" s="774" t="s">
        <v>1095</v>
      </c>
      <c r="C8" s="775"/>
      <c r="D8" s="775"/>
      <c r="E8" s="775"/>
      <c r="F8" s="1351"/>
      <c r="G8" s="777"/>
      <c r="H8" s="777"/>
      <c r="I8" s="777"/>
      <c r="J8" s="777"/>
      <c r="K8" s="777"/>
      <c r="L8" s="777"/>
      <c r="M8" s="777"/>
      <c r="N8" s="778" t="s">
        <v>1096</v>
      </c>
      <c r="O8" s="778"/>
      <c r="P8" s="779" t="s">
        <v>1097</v>
      </c>
      <c r="Q8" s="780" t="s">
        <v>1098</v>
      </c>
      <c r="R8" s="1306"/>
      <c r="U8" s="781" t="s">
        <v>1099</v>
      </c>
      <c r="V8"/>
      <c r="X8" s="782" t="s">
        <v>1100</v>
      </c>
    </row>
    <row r="9" spans="2:32" ht="15" customHeight="1" thickBot="1" x14ac:dyDescent="0.3">
      <c r="B9" s="783"/>
      <c r="C9" s="761"/>
      <c r="D9" s="761"/>
      <c r="E9" s="761"/>
      <c r="F9" s="1327"/>
      <c r="G9" s="784"/>
      <c r="H9" s="784"/>
      <c r="I9" s="784"/>
      <c r="J9" s="784"/>
      <c r="K9" s="784"/>
      <c r="L9" s="784"/>
      <c r="M9" s="784"/>
      <c r="O9" s="1300"/>
      <c r="P9" s="1307"/>
      <c r="Q9" s="1308"/>
      <c r="R9" s="1306"/>
      <c r="V9" s="787">
        <v>8095980014</v>
      </c>
      <c r="W9" s="1059">
        <f>+SUM(CYGDP_KP__Transpo__I!D$21)</f>
        <v>4852</v>
      </c>
      <c r="X9" s="788" t="s">
        <v>178</v>
      </c>
      <c r="Y9" s="789" t="s">
        <v>1101</v>
      </c>
    </row>
    <row r="10" spans="2:32" ht="15" customHeight="1" thickBot="1" x14ac:dyDescent="0.3">
      <c r="B10" s="783"/>
      <c r="C10" s="790" t="s">
        <v>1102</v>
      </c>
      <c r="D10" s="790"/>
      <c r="E10" s="791"/>
      <c r="F10" s="1327" t="s">
        <v>1103</v>
      </c>
      <c r="G10" s="792">
        <v>0.375</v>
      </c>
      <c r="H10" s="792"/>
      <c r="I10" s="792">
        <v>0.375</v>
      </c>
      <c r="J10" s="792">
        <v>0.375</v>
      </c>
      <c r="K10" s="792">
        <v>0.375</v>
      </c>
      <c r="L10" s="792">
        <v>0.375</v>
      </c>
      <c r="M10" s="1616"/>
      <c r="N10" s="1300" t="s">
        <v>1104</v>
      </c>
      <c r="O10" s="1300"/>
      <c r="P10" s="1307" t="s">
        <v>1105</v>
      </c>
      <c r="Q10" s="1308" t="s">
        <v>1106</v>
      </c>
      <c r="R10" s="1306"/>
      <c r="U10" s="94" t="s">
        <v>1107</v>
      </c>
      <c r="V10" s="787">
        <f>V9*0.31</f>
        <v>2509753804.3400002</v>
      </c>
      <c r="W10" s="1059">
        <f>+SUM(CYGDP_KP__Transpo__I!F$21)</f>
        <v>1427</v>
      </c>
      <c r="X10" s="788" t="s">
        <v>178</v>
      </c>
      <c r="Y10" s="789" t="s">
        <v>1108</v>
      </c>
      <c r="AC10" s="1636"/>
      <c r="AD10" s="1636"/>
      <c r="AE10" s="1636"/>
      <c r="AF10" s="1635"/>
    </row>
    <row r="11" spans="2:32" ht="15" customHeight="1" thickBot="1" x14ac:dyDescent="0.3">
      <c r="B11" s="783"/>
      <c r="C11" s="790"/>
      <c r="D11" s="790"/>
      <c r="E11" s="791"/>
      <c r="F11" s="1327"/>
      <c r="G11" s="784"/>
      <c r="H11" s="784"/>
      <c r="I11" s="784"/>
      <c r="J11" s="784"/>
      <c r="K11" s="784"/>
      <c r="L11" s="784"/>
      <c r="M11" s="784"/>
      <c r="N11" s="1300"/>
      <c r="O11" s="1300"/>
      <c r="P11" s="1307"/>
      <c r="Q11" s="1308"/>
      <c r="R11" s="1306"/>
      <c r="X11" s="788"/>
      <c r="AF11" s="1635">
        <f>+G13*($Y13)</f>
        <v>27068</v>
      </c>
    </row>
    <row r="12" spans="2:32" ht="15" customHeight="1" thickBot="1" x14ac:dyDescent="0.3">
      <c r="B12" s="783"/>
      <c r="C12" s="793" t="s">
        <v>1109</v>
      </c>
      <c r="D12" s="790"/>
      <c r="E12" s="791"/>
      <c r="F12" s="1327" t="s">
        <v>1110</v>
      </c>
      <c r="G12" s="794">
        <f>IF(G13="",0,(G13/G14))</f>
        <v>2.0392411747979039E-2</v>
      </c>
      <c r="H12" s="794"/>
      <c r="I12" s="1293">
        <f>IF(I13="",0,(I13/I14))</f>
        <v>2.0392411747979039E-2</v>
      </c>
      <c r="J12" s="794">
        <f t="shared" ref="J12:L12" si="0">IF(J13="",0,(J13/J14))</f>
        <v>2.1218625426072658E-2</v>
      </c>
      <c r="K12" s="794">
        <f t="shared" si="0"/>
        <v>2.2078313763775219E-2</v>
      </c>
      <c r="L12" s="794">
        <f t="shared" si="0"/>
        <v>2.2972833011734275E-2</v>
      </c>
      <c r="M12" s="1617"/>
      <c r="N12" s="1300" t="s">
        <v>1104</v>
      </c>
      <c r="O12" s="1300"/>
      <c r="P12" s="1307"/>
      <c r="Q12" s="1309" t="s">
        <v>1111</v>
      </c>
      <c r="R12" s="1306"/>
      <c r="T12" s="796">
        <f>(I13/I14)</f>
        <v>2.0392411747979039E-2</v>
      </c>
      <c r="U12" s="94" t="s">
        <v>1112</v>
      </c>
      <c r="V12" s="787">
        <f>V9*0.15</f>
        <v>1214397002.0999999</v>
      </c>
      <c r="W12" s="1059">
        <f>+SUM(CYGDP_KP__Transpo__I!M$21,CYGDP_KP__Transpo__I!N$21,CYGDP_KP__Transpo__I!W$21)</f>
        <v>423</v>
      </c>
      <c r="X12" s="789" t="s">
        <v>178</v>
      </c>
      <c r="Y12" s="789" t="s">
        <v>1108</v>
      </c>
      <c r="AC12" s="1636">
        <f>+I13*(1+$Z13)</f>
        <v>24027.589497227007</v>
      </c>
      <c r="AD12" s="1636">
        <f>+J13*(1+$Z13)</f>
        <v>25001.085096451308</v>
      </c>
      <c r="AE12" s="1636">
        <f>+K13*(1+$Z13)</f>
        <v>26014.022591493682</v>
      </c>
      <c r="AF12" s="1635">
        <f>+L13*(1+$Z13)</f>
        <v>27067.999999999985</v>
      </c>
    </row>
    <row r="13" spans="2:32" s="804" customFormat="1" ht="41.25" customHeight="1" thickBot="1" x14ac:dyDescent="0.3">
      <c r="B13" s="797"/>
      <c r="C13" s="790"/>
      <c r="D13" s="1627" t="s">
        <v>1113</v>
      </c>
      <c r="E13" s="1628"/>
      <c r="F13" s="1352" t="s">
        <v>1114</v>
      </c>
      <c r="G13" s="1625">
        <v>23092</v>
      </c>
      <c r="H13" s="800"/>
      <c r="I13" s="800">
        <v>23092</v>
      </c>
      <c r="J13" s="1626">
        <v>24027.589497227007</v>
      </c>
      <c r="K13" s="1626">
        <v>25001.085096451308</v>
      </c>
      <c r="L13" s="1626">
        <v>26014.022591493682</v>
      </c>
      <c r="M13" s="1618">
        <f>+(($G$13*0)+($W$13*4))/(4)</f>
        <v>27068</v>
      </c>
      <c r="N13" s="1350" t="s">
        <v>178</v>
      </c>
      <c r="O13" s="1299" t="s">
        <v>1725</v>
      </c>
      <c r="P13" s="1310" t="s">
        <v>1115</v>
      </c>
      <c r="Q13" s="1311">
        <f>+I13/I14</f>
        <v>2.0392411747979039E-2</v>
      </c>
      <c r="R13" s="1614" t="s">
        <v>1723</v>
      </c>
      <c r="S13" s="1615"/>
      <c r="T13" s="1615"/>
      <c r="U13" s="1615"/>
      <c r="V13" s="1615"/>
      <c r="W13" s="1624">
        <v>27068</v>
      </c>
      <c r="X13" s="1629"/>
      <c r="Y13" s="1630">
        <f>+W13/G13</f>
        <v>1.1721808418499913</v>
      </c>
      <c r="Z13" s="1631">
        <f>(Y13)^(1/4)-1</f>
        <v>4.0515741262212357E-2</v>
      </c>
      <c r="AA13" s="1631">
        <f>+(1+Z13)^4</f>
        <v>1.1721808418499908</v>
      </c>
      <c r="AB13" s="1636">
        <f>+$G13*(1+$Z13)^0</f>
        <v>23092</v>
      </c>
      <c r="AC13" s="1636">
        <f>+$G13*(1+$Z13)^1</f>
        <v>24027.589497227007</v>
      </c>
      <c r="AD13" s="1636">
        <f>+$G13*(1+$Z13)^2</f>
        <v>25001.085096451308</v>
      </c>
      <c r="AE13" s="1636">
        <f>+$G13*(1+$Z13)^3</f>
        <v>26014.022591493682</v>
      </c>
      <c r="AF13" s="1635">
        <f>+$G13*(1+$Z13)^4</f>
        <v>27067.999999999989</v>
      </c>
    </row>
    <row r="14" spans="2:32" s="804" customFormat="1" ht="66" customHeight="1" thickBot="1" x14ac:dyDescent="0.3">
      <c r="B14" s="797"/>
      <c r="C14" s="790"/>
      <c r="D14" s="1304" t="s">
        <v>1509</v>
      </c>
      <c r="E14" s="1305"/>
      <c r="F14" s="1352" t="s">
        <v>1117</v>
      </c>
      <c r="G14" s="800">
        <f>2461700*46%</f>
        <v>1132382</v>
      </c>
      <c r="H14" s="800"/>
      <c r="I14" s="1294">
        <f>2461700*46%</f>
        <v>1132382</v>
      </c>
      <c r="J14" s="1289">
        <f t="shared" ref="J14:L14" si="1">2461700*46%</f>
        <v>1132382</v>
      </c>
      <c r="K14" s="1289">
        <f t="shared" si="1"/>
        <v>1132382</v>
      </c>
      <c r="L14" s="1289">
        <f t="shared" si="1"/>
        <v>1132382</v>
      </c>
      <c r="M14" s="1618"/>
      <c r="N14" s="1350" t="s">
        <v>178</v>
      </c>
      <c r="O14" s="1299" t="s">
        <v>1510</v>
      </c>
      <c r="P14" s="1310" t="s">
        <v>1118</v>
      </c>
      <c r="Q14" s="1308"/>
      <c r="R14" s="1312" t="s">
        <v>1511</v>
      </c>
      <c r="S14" s="806"/>
      <c r="U14" s="804" t="s">
        <v>1120</v>
      </c>
      <c r="V14" s="787">
        <f>V9*0.049</f>
        <v>396703020.68599999</v>
      </c>
      <c r="W14" s="1059">
        <f>+SUM(CYGDP_KP__Transpo__I!X$21,CYGDP_KP__Transpo__I!Z$21)</f>
        <v>2318</v>
      </c>
      <c r="X14" s="1629" t="s">
        <v>178</v>
      </c>
      <c r="Y14" s="1629" t="s">
        <v>1108</v>
      </c>
    </row>
    <row r="15" spans="2:32" s="804" customFormat="1" ht="15" customHeight="1" thickBot="1" x14ac:dyDescent="0.3">
      <c r="B15" s="797"/>
      <c r="C15" s="790"/>
      <c r="D15" s="790"/>
      <c r="E15" s="798"/>
      <c r="F15" s="1352"/>
      <c r="G15" s="784"/>
      <c r="H15" s="784"/>
      <c r="I15" s="784"/>
      <c r="J15" s="784"/>
      <c r="K15" s="784"/>
      <c r="L15" s="784"/>
      <c r="M15" s="784"/>
      <c r="N15" s="1300"/>
      <c r="O15" s="1300"/>
      <c r="P15" s="1307"/>
      <c r="Q15" s="1308"/>
      <c r="R15" s="835"/>
    </row>
    <row r="16" spans="2:32" ht="15" customHeight="1" thickBot="1" x14ac:dyDescent="0.3">
      <c r="B16" s="807"/>
      <c r="C16" s="793" t="s">
        <v>1121</v>
      </c>
      <c r="D16" s="790"/>
      <c r="E16" s="761"/>
      <c r="F16" s="1353" t="s">
        <v>1122</v>
      </c>
      <c r="G16" s="809">
        <f>IF(AND(G10="",G12=0),0,IF(AND(G10="",G12&lt;&gt;0),(1/(1+(G12/((1-G12)*0.375)))),(1/(1+(G12/((1-G12)*G10))))))</f>
        <v>0.9474077081232567</v>
      </c>
      <c r="H16" s="809"/>
      <c r="I16" s="809">
        <f>IF(AND(I10="",I12=0),0,IF(AND(I10="",I12&lt;&gt;0),(1/(1+(I12/((1-I12)*0.375)))),(1/(1+(I12/((1-I12)*I10))))))</f>
        <v>0.9474077081232567</v>
      </c>
      <c r="J16" s="809">
        <f t="shared" ref="J16:L16" si="2">IF(AND(J10="",J12=0),0,IF(AND(J10="",J12&lt;&gt;0),(1/(1+(J12/((1-J12)*0.375)))),(1/(1+(J12/((1-J12)*J10))))))</f>
        <v>0.94534967354137001</v>
      </c>
      <c r="K16" s="809">
        <f t="shared" si="2"/>
        <v>0.94321405964417759</v>
      </c>
      <c r="L16" s="809">
        <f t="shared" si="2"/>
        <v>0.94099817701347088</v>
      </c>
      <c r="M16" s="1352"/>
      <c r="N16" s="1300" t="s">
        <v>1104</v>
      </c>
      <c r="O16" s="1300"/>
      <c r="P16" s="1307" t="s">
        <v>1123</v>
      </c>
      <c r="Q16" s="1308" t="s">
        <v>1124</v>
      </c>
      <c r="R16" s="1306"/>
      <c r="T16" s="796">
        <f>(1/(1+(I12/((1-I12)*0.375))))</f>
        <v>0.9474077081232567</v>
      </c>
      <c r="U16" s="796">
        <f>(1/(1+(I12/((1-I12)*I10))))</f>
        <v>0.9474077081232567</v>
      </c>
    </row>
    <row r="17" spans="2:25" ht="15" customHeight="1" thickBot="1" x14ac:dyDescent="0.3">
      <c r="B17" s="783"/>
      <c r="C17" s="790"/>
      <c r="D17" s="790"/>
      <c r="E17" s="761"/>
      <c r="F17" s="1352"/>
      <c r="G17" s="810"/>
      <c r="H17" s="810"/>
      <c r="I17" s="810"/>
      <c r="J17" s="810"/>
      <c r="K17" s="810"/>
      <c r="L17" s="810"/>
      <c r="M17" s="810"/>
      <c r="N17" s="1300"/>
      <c r="O17" s="1300"/>
      <c r="P17" s="1307"/>
      <c r="Q17" s="1311">
        <f>1-I16</f>
        <v>5.2592291876743302E-2</v>
      </c>
      <c r="R17" s="1306"/>
      <c r="T17" s="811">
        <f>1-I16</f>
        <v>5.2592291876743302E-2</v>
      </c>
      <c r="W17" s="812">
        <v>20</v>
      </c>
    </row>
    <row r="18" spans="2:25" ht="26.25" thickBot="1" x14ac:dyDescent="0.3">
      <c r="B18" s="783"/>
      <c r="C18" s="790" t="s">
        <v>1125</v>
      </c>
      <c r="D18" s="790"/>
      <c r="E18" s="761"/>
      <c r="F18" s="1352" t="s">
        <v>1126</v>
      </c>
      <c r="G18" s="812">
        <v>3.1537000000000003E-2</v>
      </c>
      <c r="H18" s="812"/>
      <c r="I18" s="1290">
        <f>SUM(PSUT_2012!C11,PSUT_2012!C16)/1000000</f>
        <v>0.20316542938599197</v>
      </c>
      <c r="J18" s="1290">
        <f>SUM(PSUT_2013!C11,PSUT_2013!C16)/1000000</f>
        <v>0.20903490617213416</v>
      </c>
      <c r="K18" s="1290">
        <f>SUM(PSUT_2014!C11,PSUT_2014!C16)/1000000</f>
        <v>0.21910406902660337</v>
      </c>
      <c r="L18" s="1290">
        <f>SUM(PSUT_2015!C11,PSUT_2012!C15)/1000000</f>
        <v>0.23252176688913587</v>
      </c>
      <c r="M18" s="1619"/>
      <c r="N18" s="840" t="s">
        <v>1512</v>
      </c>
      <c r="O18" s="1299" t="s">
        <v>1726</v>
      </c>
      <c r="P18" s="1310" t="s">
        <v>1128</v>
      </c>
      <c r="Q18" s="1308" t="s">
        <v>178</v>
      </c>
      <c r="R18" s="1313">
        <f>+SUM(PSUT_2012!C11,PSUT_2012!C16)/1000/1000</f>
        <v>0.203165429385992</v>
      </c>
      <c r="S18" s="1056" t="s">
        <v>1329</v>
      </c>
      <c r="W18" s="812">
        <v>0.16950000000000001</v>
      </c>
    </row>
    <row r="19" spans="2:25" ht="15" customHeight="1" thickBot="1" x14ac:dyDescent="0.3">
      <c r="B19" s="783"/>
      <c r="C19" s="790"/>
      <c r="D19" s="790" t="s">
        <v>1129</v>
      </c>
      <c r="E19" s="761"/>
      <c r="F19" s="1352"/>
      <c r="G19" s="814"/>
      <c r="H19" s="814"/>
      <c r="I19" s="814"/>
      <c r="J19" s="814"/>
      <c r="K19" s="814"/>
      <c r="L19" s="814"/>
      <c r="M19" s="814"/>
      <c r="N19" s="1300"/>
      <c r="O19" s="1300"/>
      <c r="P19" s="1307" t="s">
        <v>1130</v>
      </c>
      <c r="Q19" s="1308"/>
      <c r="R19" s="1306"/>
      <c r="W19" s="812">
        <v>0.2034</v>
      </c>
    </row>
    <row r="20" spans="2:25" ht="15" customHeight="1" thickBot="1" x14ac:dyDescent="0.3">
      <c r="B20" s="783"/>
      <c r="C20" s="790"/>
      <c r="D20" s="790"/>
      <c r="E20" s="761"/>
      <c r="F20" s="1352"/>
      <c r="G20" s="814" t="s">
        <v>1133</v>
      </c>
      <c r="H20" s="814"/>
      <c r="I20" s="814" t="s">
        <v>1436</v>
      </c>
      <c r="J20" s="814" t="s">
        <v>1436</v>
      </c>
      <c r="K20" s="814" t="s">
        <v>1436</v>
      </c>
      <c r="L20" s="814" t="s">
        <v>1436</v>
      </c>
      <c r="M20" s="814"/>
      <c r="N20" s="1300"/>
      <c r="O20" s="1300"/>
      <c r="P20" s="1307"/>
      <c r="Q20" s="1308"/>
      <c r="R20" s="1306"/>
      <c r="W20" s="815">
        <f>SUM(W17:W19)</f>
        <v>20.372899999999998</v>
      </c>
    </row>
    <row r="21" spans="2:25" ht="15" customHeight="1" thickBot="1" x14ac:dyDescent="0.3">
      <c r="B21" s="783"/>
      <c r="C21" s="790" t="s">
        <v>1131</v>
      </c>
      <c r="D21" s="790"/>
      <c r="E21" s="761"/>
      <c r="F21" s="1315" t="s">
        <v>1132</v>
      </c>
      <c r="G21" s="800">
        <f>V10</f>
        <v>2509753804.3400002</v>
      </c>
      <c r="H21" s="800"/>
      <c r="I21" s="800">
        <f>SUM(CYGDP_KP__Transpo__I!G21:'CYGDP_KP__Transpo__I'!I21)*1000000000</f>
        <v>1094000000000</v>
      </c>
      <c r="J21" s="800">
        <f>SUM(CYGDP_KP__Transpo__I!G22:'CYGDP_KP__Transpo__I'!I22)*1000000000</f>
        <v>1128000000000</v>
      </c>
      <c r="K21" s="800">
        <f>SUM(CYGDP_KP__Transpo__I!G23:'CYGDP_KP__Transpo__I'!I23)*1000000000</f>
        <v>1215000000000</v>
      </c>
      <c r="L21" s="800">
        <f>SUM(CYGDP_KP__Transpo__I!G24:'CYGDP_KP__Transpo__I'!I24)*1000000000</f>
        <v>1279000000000</v>
      </c>
      <c r="M21" s="1637"/>
      <c r="N21" s="1301" t="s">
        <v>1433</v>
      </c>
      <c r="O21" s="1301"/>
      <c r="P21" s="1307" t="s">
        <v>1131</v>
      </c>
      <c r="Q21" s="1309"/>
      <c r="R21" s="1314">
        <f>W10</f>
        <v>1427</v>
      </c>
      <c r="S21" s="1056" t="s">
        <v>1330</v>
      </c>
      <c r="U21" s="815">
        <f>(I18)</f>
        <v>0.20316542938599197</v>
      </c>
      <c r="V21" s="94" t="s">
        <v>1134</v>
      </c>
    </row>
    <row r="22" spans="2:25" ht="15" customHeight="1" x14ac:dyDescent="0.25">
      <c r="B22" s="783"/>
      <c r="C22" s="790"/>
      <c r="D22" s="790" t="s">
        <v>1135</v>
      </c>
      <c r="E22" s="761"/>
      <c r="F22" s="1352"/>
      <c r="N22" s="1300"/>
      <c r="O22" s="1300"/>
      <c r="P22" s="1315"/>
      <c r="Q22" s="1308"/>
      <c r="R22" s="1306"/>
      <c r="T22" s="94" t="s">
        <v>178</v>
      </c>
      <c r="U22" s="796">
        <f>(I16)</f>
        <v>0.9474077081232567</v>
      </c>
      <c r="V22" s="94" t="s">
        <v>1136</v>
      </c>
    </row>
    <row r="23" spans="2:25" ht="15" customHeight="1" thickBot="1" x14ac:dyDescent="0.3">
      <c r="B23" s="783"/>
      <c r="C23" s="761"/>
      <c r="D23" s="790"/>
      <c r="E23" s="761"/>
      <c r="F23" s="1352"/>
      <c r="G23" s="819" t="s">
        <v>1140</v>
      </c>
      <c r="H23" s="819"/>
      <c r="I23" s="819" t="s">
        <v>1434</v>
      </c>
      <c r="J23" s="819" t="s">
        <v>1434</v>
      </c>
      <c r="K23" s="819" t="s">
        <v>1434</v>
      </c>
      <c r="L23" s="819" t="s">
        <v>1434</v>
      </c>
      <c r="M23" s="819"/>
      <c r="N23" s="1300"/>
      <c r="O23" s="1300"/>
      <c r="P23" s="1307"/>
      <c r="Q23" s="1308"/>
      <c r="R23" s="1306"/>
      <c r="T23" s="94" t="s">
        <v>178</v>
      </c>
      <c r="U23" s="796">
        <f>(1-I16)</f>
        <v>5.2592291876743302E-2</v>
      </c>
      <c r="V23" s="94" t="s">
        <v>1137</v>
      </c>
    </row>
    <row r="24" spans="2:25" ht="15" customHeight="1" thickBot="1" x14ac:dyDescent="0.3">
      <c r="B24" s="783"/>
      <c r="C24" s="817" t="s">
        <v>1138</v>
      </c>
      <c r="D24" s="761"/>
      <c r="E24" s="761"/>
      <c r="F24" s="1352" t="s">
        <v>1139</v>
      </c>
      <c r="G24" s="818">
        <f>IF(AND(G18="", G18="", G16=0), 0, (G21*(1-G16))/G18/1000000000)</f>
        <v>4.1853601996580583</v>
      </c>
      <c r="H24" s="818"/>
      <c r="I24" s="859">
        <f>IF(AND(I18="", I18="", I16=0), 0, (I21*(1-I16))/I18/1000000000)</f>
        <v>283.19762612686026</v>
      </c>
      <c r="J24" s="859">
        <f t="shared" ref="J24:L24" si="3">IF(AND(J18="", J18="", J16=0), 0, (J21*(1-J16))/J18/1000000000)</f>
        <v>294.90561827301372</v>
      </c>
      <c r="K24" s="859">
        <f t="shared" si="3"/>
        <v>314.89564679853999</v>
      </c>
      <c r="L24" s="859">
        <f t="shared" si="3"/>
        <v>324.54308518888439</v>
      </c>
      <c r="M24" s="1621"/>
      <c r="N24" s="819" t="s">
        <v>1434</v>
      </c>
      <c r="O24" s="819"/>
      <c r="P24" s="1316"/>
      <c r="Q24" s="1309" t="s">
        <v>1141</v>
      </c>
      <c r="R24" s="1317">
        <f>+(R18/R21)</f>
        <v>1.4237241022143797E-4</v>
      </c>
      <c r="S24" s="1056" t="s">
        <v>1328</v>
      </c>
      <c r="T24" s="94" t="s">
        <v>178</v>
      </c>
      <c r="U24" s="796">
        <f>((I21*(1-I16))/I18/1000000000)</f>
        <v>283.19762612686026</v>
      </c>
      <c r="V24" s="94" t="s">
        <v>1142</v>
      </c>
    </row>
    <row r="25" spans="2:25" s="828" customFormat="1" ht="15" customHeight="1" thickBot="1" x14ac:dyDescent="0.3">
      <c r="B25" s="821"/>
      <c r="C25" s="822"/>
      <c r="D25" s="822"/>
      <c r="E25" s="822"/>
      <c r="F25" s="1354"/>
      <c r="N25" s="1302"/>
      <c r="O25" s="1302"/>
      <c r="P25" s="1318"/>
      <c r="Q25" s="1319"/>
      <c r="R25" s="1320"/>
    </row>
    <row r="26" spans="2:25" ht="15" customHeight="1" x14ac:dyDescent="0.25">
      <c r="B26" s="829" t="s">
        <v>1143</v>
      </c>
      <c r="C26" s="775"/>
      <c r="D26" s="775"/>
      <c r="E26" s="775"/>
      <c r="F26" s="1355"/>
      <c r="G26" s="831" t="s">
        <v>3</v>
      </c>
      <c r="H26" s="831"/>
      <c r="I26" s="831" t="s">
        <v>3</v>
      </c>
      <c r="J26" s="831" t="s">
        <v>3</v>
      </c>
      <c r="K26" s="831" t="s">
        <v>3</v>
      </c>
      <c r="L26" s="831" t="s">
        <v>3</v>
      </c>
      <c r="M26" s="831"/>
      <c r="N26" s="831" t="s">
        <v>1144</v>
      </c>
      <c r="O26" s="831"/>
      <c r="P26" s="779"/>
      <c r="Q26" s="1321"/>
      <c r="R26" s="1306"/>
    </row>
    <row r="27" spans="2:25" ht="9.9499999999999993" customHeight="1" thickBot="1" x14ac:dyDescent="0.3">
      <c r="B27" s="834"/>
      <c r="C27" s="761"/>
      <c r="D27" s="761"/>
      <c r="E27" s="761"/>
      <c r="F27" s="1352"/>
      <c r="G27" s="814" t="s">
        <v>1133</v>
      </c>
      <c r="H27" s="814"/>
      <c r="I27" s="814" t="s">
        <v>1436</v>
      </c>
      <c r="J27" s="814" t="s">
        <v>1436</v>
      </c>
      <c r="K27" s="814" t="s">
        <v>1436</v>
      </c>
      <c r="L27" s="814" t="s">
        <v>1436</v>
      </c>
      <c r="M27" s="814"/>
      <c r="N27" s="1300"/>
      <c r="O27" s="1300"/>
      <c r="P27" s="1307"/>
      <c r="Q27" s="1308"/>
      <c r="R27" s="1306"/>
    </row>
    <row r="28" spans="2:25" ht="15" customHeight="1" thickBot="1" x14ac:dyDescent="0.3">
      <c r="B28" s="783"/>
      <c r="C28" s="790" t="s">
        <v>1145</v>
      </c>
      <c r="F28" s="1352" t="s">
        <v>1146</v>
      </c>
      <c r="G28" s="800">
        <f>V12</f>
        <v>1214397002.0999999</v>
      </c>
      <c r="H28" s="800"/>
      <c r="I28" s="800">
        <f>SUM(CYGDP_KP__Transpo__I!M21,CYGDP_KP__Transpo__I!N21,CYGDP_KP__Transpo__I!W21)*1000000000</f>
        <v>423000000000</v>
      </c>
      <c r="J28" s="800">
        <f>SUM(CYGDP_KP__Transpo__I!M22,CYGDP_KP__Transpo__I!N22,CYGDP_KP__Transpo__I!W22)*1000000000</f>
        <v>460000000000</v>
      </c>
      <c r="K28" s="800">
        <f>SUM(CYGDP_KP__Transpo__I!M23,CYGDP_KP__Transpo__I!N23,CYGDP_KP__Transpo__I!W23)*1000000000</f>
        <v>516000000000</v>
      </c>
      <c r="L28" s="800">
        <f>SUM(CYGDP_KP__Transpo__I!M24,CYGDP_KP__Transpo__I!N24,CYGDP_KP__Transpo__I!W24)*1000000000</f>
        <v>540000000000</v>
      </c>
      <c r="M28" s="1620"/>
      <c r="N28" s="1301" t="s">
        <v>1433</v>
      </c>
      <c r="O28" s="1301"/>
      <c r="P28" s="1307"/>
      <c r="Q28" s="1308"/>
      <c r="R28" s="1314">
        <f>W12</f>
        <v>423</v>
      </c>
    </row>
    <row r="29" spans="2:25" ht="15" customHeight="1" thickBot="1" x14ac:dyDescent="0.3">
      <c r="B29" s="783"/>
      <c r="D29" s="835"/>
      <c r="F29" s="1352"/>
      <c r="G29" s="836"/>
      <c r="H29" s="836"/>
      <c r="I29" s="836"/>
      <c r="J29" s="836"/>
      <c r="K29" s="836"/>
      <c r="L29" s="836"/>
      <c r="M29" s="1622"/>
      <c r="N29" s="850"/>
      <c r="O29" s="850"/>
      <c r="P29" s="1307"/>
      <c r="Q29" s="1309"/>
      <c r="R29" s="1306"/>
    </row>
    <row r="30" spans="2:25" ht="26.25" thickBot="1" x14ac:dyDescent="0.3">
      <c r="B30" s="783"/>
      <c r="C30" s="835" t="s">
        <v>1147</v>
      </c>
      <c r="F30" s="1327" t="s">
        <v>1148</v>
      </c>
      <c r="G30" s="812">
        <v>2.0500000000000001E-2</v>
      </c>
      <c r="H30" s="812"/>
      <c r="I30" s="1632">
        <f>(SUM(PSUT_2012!D11:F11)+SUM(PSUT_2012!D16:F16))/1000000</f>
        <v>0.35991095266983936</v>
      </c>
      <c r="J30" s="1632">
        <f>(SUM(PSUT_2013!D11:F11)+SUM(PSUT_2013!D16:F16))/1000000</f>
        <v>0.37091124276960302</v>
      </c>
      <c r="K30" s="1632">
        <f>(SUM(PSUT_2014!D11:F11)+SUM(PSUT_2014!D16:F16))/1000000</f>
        <v>0.38229310609533823</v>
      </c>
      <c r="L30" s="1632">
        <f>(SUM(PSUT_2015!D11:F11)+SUM(PSUT_2015!D16:F16))/1000000</f>
        <v>0.39407084432469908</v>
      </c>
      <c r="M30" s="1633"/>
      <c r="N30" s="840" t="s">
        <v>1512</v>
      </c>
      <c r="O30" s="1299" t="s">
        <v>1724</v>
      </c>
      <c r="P30" s="1310" t="s">
        <v>1128</v>
      </c>
      <c r="Q30" s="1309"/>
      <c r="R30" s="1313">
        <f>+SUM(PSUT_2012!D11:F11,PSUT_2012!D16:F16)/1000/1000</f>
        <v>0.35991095266983941</v>
      </c>
      <c r="S30" s="1056" t="s">
        <v>1329</v>
      </c>
      <c r="Y30" s="1058">
        <f>(I30*1000*1000*1000)</f>
        <v>359910952.66983932</v>
      </c>
    </row>
    <row r="31" spans="2:25" s="804" customFormat="1" ht="15" customHeight="1" thickBot="1" x14ac:dyDescent="0.3">
      <c r="B31" s="797"/>
      <c r="C31" s="835"/>
      <c r="F31" s="1352"/>
      <c r="G31" s="819" t="s">
        <v>1140</v>
      </c>
      <c r="H31" s="819"/>
      <c r="I31" s="819" t="s">
        <v>1434</v>
      </c>
      <c r="J31" s="819" t="s">
        <v>1434</v>
      </c>
      <c r="K31" s="819" t="s">
        <v>1434</v>
      </c>
      <c r="L31" s="819" t="s">
        <v>1434</v>
      </c>
      <c r="M31" s="819"/>
      <c r="N31" s="1300"/>
      <c r="O31" s="1300"/>
      <c r="P31" s="1307"/>
      <c r="Q31" s="1309"/>
      <c r="R31" s="835"/>
    </row>
    <row r="32" spans="2:25" ht="15" customHeight="1" thickBot="1" x14ac:dyDescent="0.3">
      <c r="B32" s="783"/>
      <c r="C32" s="817" t="s">
        <v>1149</v>
      </c>
      <c r="F32" s="1352" t="s">
        <v>1150</v>
      </c>
      <c r="G32" s="1291">
        <f>IF(G28="", IF(G30="", 0, 0), G28/ G30/1000000000)</f>
        <v>59.238878151219502</v>
      </c>
      <c r="H32" s="1291"/>
      <c r="I32" s="1291">
        <f>IF(I28="", IF(I30="", 0, 0), I28/ I30/1000000000)</f>
        <v>1175.2907125003076</v>
      </c>
      <c r="J32" s="1291">
        <f t="shared" ref="J32:L32" si="4">IF(J28="", IF(J30="", 0, 0), J28/ J30/1000000000)</f>
        <v>1240.1888833705043</v>
      </c>
      <c r="K32" s="1291">
        <f t="shared" si="4"/>
        <v>1349.7496862298042</v>
      </c>
      <c r="L32" s="1291">
        <f t="shared" si="4"/>
        <v>1370.3119826724885</v>
      </c>
      <c r="M32" s="1623"/>
      <c r="N32" s="819" t="s">
        <v>1434</v>
      </c>
      <c r="O32" s="819"/>
      <c r="P32" s="1307"/>
      <c r="Q32" s="1309" t="s">
        <v>1151</v>
      </c>
      <c r="R32" s="1313">
        <f>+(R28/R30)</f>
        <v>1175.2907125003076</v>
      </c>
      <c r="S32" s="1056" t="s">
        <v>1328</v>
      </c>
      <c r="T32" s="839">
        <f>(I28/I30/1000000000)</f>
        <v>1175.2907125003076</v>
      </c>
    </row>
    <row r="33" spans="2:25" ht="15" customHeight="1" thickBot="1" x14ac:dyDescent="0.3">
      <c r="B33" s="783"/>
      <c r="C33" s="840"/>
      <c r="E33" s="761"/>
      <c r="F33" s="1352"/>
      <c r="G33" s="810"/>
      <c r="H33" s="810"/>
      <c r="I33" s="810"/>
      <c r="J33" s="810"/>
      <c r="K33" s="810"/>
      <c r="L33" s="810"/>
      <c r="M33" s="810"/>
      <c r="N33" s="850"/>
      <c r="O33" s="850"/>
      <c r="P33" s="1322"/>
      <c r="Q33" s="1309"/>
      <c r="R33" s="1306"/>
      <c r="T33" s="839">
        <f>IF(I28="", IF(I30="",0,0),I28/I30/1000000000)</f>
        <v>1175.2907125003076</v>
      </c>
    </row>
    <row r="34" spans="2:25" ht="15" customHeight="1" x14ac:dyDescent="0.25">
      <c r="B34" s="774" t="s">
        <v>1152</v>
      </c>
      <c r="C34" s="842"/>
      <c r="D34" s="775"/>
      <c r="E34" s="775"/>
      <c r="F34" s="1355"/>
      <c r="G34" s="777" t="s">
        <v>1133</v>
      </c>
      <c r="I34" s="814" t="s">
        <v>1436</v>
      </c>
      <c r="J34" s="814" t="s">
        <v>1436</v>
      </c>
      <c r="K34" s="814" t="s">
        <v>1436</v>
      </c>
      <c r="L34" s="814" t="s">
        <v>1436</v>
      </c>
      <c r="M34" s="814"/>
      <c r="N34" s="1303"/>
      <c r="O34" s="1303"/>
      <c r="P34" s="1323"/>
      <c r="Q34" s="1324"/>
      <c r="R34" s="1306"/>
      <c r="T34" s="782"/>
    </row>
    <row r="35" spans="2:25" ht="9.9499999999999993" customHeight="1" thickBot="1" x14ac:dyDescent="0.3">
      <c r="B35" s="783"/>
      <c r="D35" s="761"/>
      <c r="E35" s="761"/>
      <c r="F35" s="1352"/>
      <c r="N35" s="1300"/>
      <c r="O35" s="1300"/>
      <c r="P35" s="1307"/>
      <c r="Q35" s="1308"/>
      <c r="R35" s="1306"/>
      <c r="T35" s="782"/>
    </row>
    <row r="36" spans="2:25" ht="15" customHeight="1" thickBot="1" x14ac:dyDescent="0.3">
      <c r="B36" s="783"/>
      <c r="C36" s="790" t="s">
        <v>1153</v>
      </c>
      <c r="E36" s="835"/>
      <c r="F36" s="1352" t="s">
        <v>1154</v>
      </c>
      <c r="G36" s="800">
        <f>V14</f>
        <v>396703020.68599999</v>
      </c>
      <c r="H36" s="800"/>
      <c r="I36" s="800">
        <f>SUM(CYGDP_KP__Transpo__I!Z21)*1000000000</f>
        <v>2290000000000</v>
      </c>
      <c r="J36" s="800">
        <f>SUM(CYGDP_KP__Transpo__I!Z22)*1000000000</f>
        <v>2410000000000</v>
      </c>
      <c r="K36" s="800">
        <f>SUM(CYGDP_KP__Transpo__I!Z23)*1000000000</f>
        <v>2578000000000</v>
      </c>
      <c r="L36" s="800">
        <f>SUM(CYGDP_KP__Transpo__I!Z24)*1000000000</f>
        <v>2847000000000</v>
      </c>
      <c r="M36" s="1620"/>
      <c r="N36" s="1301" t="s">
        <v>1433</v>
      </c>
      <c r="O36" s="1301"/>
      <c r="P36" s="1307"/>
      <c r="Q36" s="1308"/>
      <c r="R36" s="1314">
        <f>W14</f>
        <v>2318</v>
      </c>
      <c r="S36" s="1056" t="s">
        <v>1330</v>
      </c>
      <c r="T36" s="782"/>
    </row>
    <row r="37" spans="2:25" s="847" customFormat="1" ht="15" customHeight="1" thickBot="1" x14ac:dyDescent="0.3">
      <c r="B37" s="846"/>
      <c r="F37" s="1352"/>
      <c r="G37" s="848"/>
      <c r="H37" s="848"/>
      <c r="I37" s="848"/>
      <c r="J37" s="848"/>
      <c r="K37" s="848"/>
      <c r="L37" s="848"/>
      <c r="M37" s="848"/>
      <c r="N37" s="1300"/>
      <c r="O37" s="1300"/>
      <c r="P37" s="1307"/>
      <c r="Q37" s="1308"/>
      <c r="R37" s="835"/>
      <c r="T37" s="849"/>
    </row>
    <row r="38" spans="2:25" ht="26.25" thickBot="1" x14ac:dyDescent="0.3">
      <c r="B38" s="783"/>
      <c r="C38" s="850" t="s">
        <v>1155</v>
      </c>
      <c r="F38" s="1352" t="s">
        <v>1156</v>
      </c>
      <c r="G38" s="812">
        <v>6.1400000000000003E-2</v>
      </c>
      <c r="H38" s="812"/>
      <c r="I38" s="1632">
        <f>SUM(PSUT_2012!G11,PSUT_2012!G16)/1000000</f>
        <v>5.3008786416190092E-2</v>
      </c>
      <c r="J38" s="1632">
        <f>SUM(PSUT_2013!G11,PSUT_2013!G16)/1000000</f>
        <v>5.306871069379384E-2</v>
      </c>
      <c r="K38" s="1632">
        <f>SUM(PSUT_2014!G11,PSUT_2014!G16)/1000000</f>
        <v>5.3540199500012396E-2</v>
      </c>
      <c r="L38" s="1632">
        <f>SUM(PSUT_2015!G11,PSUT_2015!G16)/1000000</f>
        <v>5.3807900497512447E-2</v>
      </c>
      <c r="M38" s="1633"/>
      <c r="N38" s="840" t="s">
        <v>1512</v>
      </c>
      <c r="O38" s="1299" t="s">
        <v>1724</v>
      </c>
      <c r="P38" s="1310" t="s">
        <v>1128</v>
      </c>
      <c r="Q38" s="1308"/>
      <c r="R38" s="1313">
        <f>+SUM(PSUT_2012!G11,PSUT_2012!G16)/1000/1000</f>
        <v>5.3008786416190092E-2</v>
      </c>
      <c r="S38" s="1056" t="s">
        <v>1329</v>
      </c>
      <c r="T38" s="782"/>
    </row>
    <row r="39" spans="2:25" ht="15" customHeight="1" thickBot="1" x14ac:dyDescent="0.3">
      <c r="B39" s="783"/>
      <c r="C39" s="761"/>
      <c r="D39" s="761"/>
      <c r="E39" s="761"/>
      <c r="F39" s="1352"/>
      <c r="G39" s="819" t="s">
        <v>1140</v>
      </c>
      <c r="H39" s="819"/>
      <c r="I39" s="819" t="s">
        <v>1434</v>
      </c>
      <c r="J39" s="819" t="s">
        <v>1434</v>
      </c>
      <c r="K39" s="819" t="s">
        <v>1434</v>
      </c>
      <c r="L39" s="819" t="s">
        <v>1434</v>
      </c>
      <c r="M39" s="819"/>
      <c r="N39" s="1300"/>
      <c r="O39" s="1300"/>
      <c r="P39" s="1307"/>
      <c r="Q39" s="1308"/>
      <c r="R39" s="1306"/>
      <c r="T39" s="782"/>
    </row>
    <row r="40" spans="2:25" ht="15" customHeight="1" thickBot="1" x14ac:dyDescent="0.3">
      <c r="B40" s="783"/>
      <c r="C40" s="817" t="s">
        <v>1157</v>
      </c>
      <c r="F40" s="1352" t="s">
        <v>1158</v>
      </c>
      <c r="G40" s="1291">
        <f>IF(G36="", IF(G38="", 0, 0), G36/G38/1000000000)</f>
        <v>6.4609612489576538</v>
      </c>
      <c r="H40" s="1291"/>
      <c r="I40" s="1291">
        <f>IF(I36="", IF(I38="", 0, 0), I36/I38/1000000000)</f>
        <v>43200.385347825693</v>
      </c>
      <c r="J40" s="1291">
        <f t="shared" ref="J40:L40" si="5">IF(J36="", IF(J38="", 0, 0), J36/J38/1000000000)</f>
        <v>45412.823648678532</v>
      </c>
      <c r="K40" s="1291">
        <f t="shared" si="5"/>
        <v>48150.735784975986</v>
      </c>
      <c r="L40" s="1291">
        <f t="shared" si="5"/>
        <v>52910.44574637543</v>
      </c>
      <c r="M40" s="1623"/>
      <c r="N40" s="819" t="s">
        <v>1434</v>
      </c>
      <c r="O40" s="819"/>
      <c r="P40" s="1307"/>
      <c r="Q40" s="1309" t="s">
        <v>1159</v>
      </c>
      <c r="R40" s="1313">
        <f>+(R36/R38)</f>
        <v>43728.599666489063</v>
      </c>
      <c r="S40" s="1056" t="s">
        <v>1328</v>
      </c>
      <c r="T40" s="839">
        <f>(I36/I38/1000000000)</f>
        <v>43200.385347825693</v>
      </c>
      <c r="Y40" s="94" t="str">
        <f>IF(I18="","G18 - Not Empty !","G18 - Not Empty !")</f>
        <v>G18 - Not Empty !</v>
      </c>
    </row>
    <row r="41" spans="2:25" s="853" customFormat="1" ht="15" customHeight="1" thickBot="1" x14ac:dyDescent="0.3">
      <c r="B41" s="852"/>
      <c r="F41" s="1352"/>
      <c r="G41" s="838"/>
      <c r="H41" s="838"/>
      <c r="I41" s="838"/>
      <c r="J41" s="838"/>
      <c r="K41" s="838"/>
      <c r="L41" s="838"/>
      <c r="M41" s="838"/>
      <c r="N41" s="1300"/>
      <c r="O41" s="1300"/>
      <c r="P41" s="1307"/>
      <c r="Q41" s="1308"/>
      <c r="R41" s="1313">
        <f>SUM(R18,R30,R38)</f>
        <v>0.61608516847202155</v>
      </c>
      <c r="S41" s="1056" t="s">
        <v>1331</v>
      </c>
      <c r="T41" s="839">
        <f>IF(I36="",IF(I38="",0,0),I36/I38/1000000000)</f>
        <v>43200.385347825693</v>
      </c>
      <c r="Y41" s="94" t="b">
        <f>+AND(1-2=3,1+2=3,1*2-3)</f>
        <v>0</v>
      </c>
    </row>
    <row r="42" spans="2:25" ht="15" customHeight="1" x14ac:dyDescent="0.25">
      <c r="B42" s="774" t="s">
        <v>1160</v>
      </c>
      <c r="C42" s="842"/>
      <c r="D42" s="842"/>
      <c r="E42" s="842"/>
      <c r="F42" s="1355"/>
      <c r="G42" s="777"/>
      <c r="H42" s="777"/>
      <c r="I42" s="777"/>
      <c r="J42" s="777"/>
      <c r="K42" s="777"/>
      <c r="L42" s="777"/>
      <c r="M42" s="777"/>
      <c r="N42" s="1303"/>
      <c r="O42" s="1303"/>
      <c r="P42" s="1323"/>
      <c r="Q42" s="1324"/>
      <c r="R42" s="1306"/>
      <c r="T42" s="782"/>
      <c r="Y42" s="94" t="b">
        <f>+AND(1-2=3,1+2=3,1*2-3)</f>
        <v>0</v>
      </c>
    </row>
    <row r="43" spans="2:25" s="763" customFormat="1" ht="15" customHeight="1" thickBot="1" x14ac:dyDescent="0.3">
      <c r="B43" s="854"/>
      <c r="C43" s="835"/>
      <c r="D43" s="835"/>
      <c r="E43" s="835"/>
      <c r="F43" s="1327"/>
      <c r="G43" s="855"/>
      <c r="H43" s="855"/>
      <c r="I43" s="855"/>
      <c r="J43" s="855"/>
      <c r="K43" s="855"/>
      <c r="L43" s="855"/>
      <c r="M43" s="855"/>
      <c r="N43" s="1300"/>
      <c r="O43" s="1300"/>
      <c r="P43" s="1307"/>
      <c r="Q43" s="1308"/>
      <c r="R43" s="1325"/>
      <c r="T43" s="856"/>
      <c r="Y43" s="763" t="b">
        <f>+OR(1-2=3,1+2=3,1*2-3)</f>
        <v>1</v>
      </c>
    </row>
    <row r="44" spans="2:25" s="763" customFormat="1" ht="15" customHeight="1" thickBot="1" x14ac:dyDescent="0.3">
      <c r="B44" s="854"/>
      <c r="C44" s="793" t="s">
        <v>1161</v>
      </c>
      <c r="D44" s="835"/>
      <c r="E44" s="835"/>
      <c r="F44" s="1327" t="s">
        <v>1162</v>
      </c>
      <c r="G44" s="857">
        <f>IF(G18="", IF(G30="", IF(G38="", 0, G18/(G18+G30)), G18/(G18+G38)), G18/(G18+G30+G38))</f>
        <v>0.27801334661530186</v>
      </c>
      <c r="H44" s="857"/>
      <c r="I44" s="857">
        <f>IF(I18="", IF(I30="", IF(I38="", 0, I18/(I18+I30)), I18/(I18+I38)), I18/(I18+I30+I38))</f>
        <v>0.32976841479542679</v>
      </c>
      <c r="J44" s="857">
        <f t="shared" ref="J44:L44" si="6">IF(J18="", IF(J30="", IF(J38="", 0, J18/(J18+J30)), J18/(J18+J38)), J18/(J18+J30+J38))</f>
        <v>0.33022116778188987</v>
      </c>
      <c r="K44" s="857">
        <f t="shared" si="6"/>
        <v>0.33454201503323222</v>
      </c>
      <c r="L44" s="857">
        <f t="shared" si="6"/>
        <v>0.3417424926743452</v>
      </c>
      <c r="M44" s="977"/>
      <c r="N44" s="1300" t="s">
        <v>1104</v>
      </c>
      <c r="O44" s="1300"/>
      <c r="P44" s="1307"/>
      <c r="Q44" s="1309" t="s">
        <v>1163</v>
      </c>
      <c r="R44" s="1325"/>
      <c r="T44" s="839">
        <f>IF(I18="",IF(I30="",IF(I38="",0,I18/(I18+I30)),I18/(I18+I38)),I18/(I18+I30+I38))</f>
        <v>0.32976841479542679</v>
      </c>
      <c r="U44" s="839">
        <f>IF(I18="",IF(I30="",IF(I38="",0,I18/(I18+I30)),I18/(I18+I38)),I18/(I18+I30+I38))</f>
        <v>0.32976841479542679</v>
      </c>
      <c r="V44" s="839" t="b">
        <f>IF(I18="",IF(I30="",IF(I38="",0,"Formule")))</f>
        <v>0</v>
      </c>
      <c r="W44" s="839" t="b">
        <f>IF(N18="",IF(N30="",IF(N38="",0,"Formule")))</f>
        <v>0</v>
      </c>
      <c r="Y44" s="839" t="b">
        <f>IF(I18="",IF(I30="",IF(I38="",0,"Formule")))</f>
        <v>0</v>
      </c>
    </row>
    <row r="45" spans="2:25" s="763" customFormat="1" ht="15" customHeight="1" thickBot="1" x14ac:dyDescent="0.3">
      <c r="B45" s="854"/>
      <c r="C45" s="835"/>
      <c r="D45" s="835"/>
      <c r="E45" s="835"/>
      <c r="F45" s="1327"/>
      <c r="G45" s="858"/>
      <c r="H45" s="858"/>
      <c r="I45" s="858"/>
      <c r="J45" s="858"/>
      <c r="K45" s="858"/>
      <c r="L45" s="858"/>
      <c r="M45" s="858"/>
      <c r="N45" s="1300"/>
      <c r="O45" s="1300"/>
      <c r="P45" s="1307"/>
      <c r="Q45" s="1308"/>
      <c r="R45" s="1325"/>
      <c r="T45" s="856"/>
    </row>
    <row r="46" spans="2:25" s="763" customFormat="1" ht="15" customHeight="1" thickBot="1" x14ac:dyDescent="0.3">
      <c r="B46" s="854"/>
      <c r="C46" s="793" t="s">
        <v>1164</v>
      </c>
      <c r="D46" s="835"/>
      <c r="E46" s="835"/>
      <c r="F46" s="1327" t="s">
        <v>1165</v>
      </c>
      <c r="G46" s="857">
        <f>IF(G18="", IF(G30="", IF(G38="", 0, G30/(G18+G30)), G30/(G30+G38)), G30/(G18+G30+G38))</f>
        <v>0.18071704999250685</v>
      </c>
      <c r="H46" s="857"/>
      <c r="I46" s="857">
        <f>IF(I18="", IF(I30="", IF(I38="", 0, I30/(I18+I30)), I30/(I30+I38)), I30/(I18+I30+I38))</f>
        <v>0.58419025662063828</v>
      </c>
      <c r="J46" s="857">
        <f t="shared" ref="J46:L46" si="7">IF(J18="", IF(J30="", IF(J38="", 0, J30/(J18+J30)), J30/(J30+J38)), J30/(J18+J30+J38))</f>
        <v>0.58594397449557722</v>
      </c>
      <c r="K46" s="857">
        <f t="shared" si="7"/>
        <v>0.58370940628637547</v>
      </c>
      <c r="L46" s="857">
        <f t="shared" si="7"/>
        <v>0.57917482062664793</v>
      </c>
      <c r="M46" s="977"/>
      <c r="N46" s="1300" t="s">
        <v>1104</v>
      </c>
      <c r="O46" s="1300"/>
      <c r="P46" s="1307"/>
      <c r="Q46" s="1309" t="s">
        <v>1166</v>
      </c>
      <c r="R46" s="1325"/>
      <c r="T46" s="839">
        <f>IF(I18="",IF(I30="",IF(I38="",0,I30/(I18+I30)),I30/(I30+I38)),I30/(I18+I30+I38))</f>
        <v>0.58419025662063828</v>
      </c>
    </row>
    <row r="47" spans="2:25" s="763" customFormat="1" ht="15" customHeight="1" thickBot="1" x14ac:dyDescent="0.3">
      <c r="B47" s="854"/>
      <c r="C47" s="835"/>
      <c r="D47" s="835"/>
      <c r="E47" s="835"/>
      <c r="F47" s="1327"/>
      <c r="G47" s="858"/>
      <c r="H47" s="858"/>
      <c r="I47" s="858"/>
      <c r="J47" s="858"/>
      <c r="K47" s="858"/>
      <c r="L47" s="858"/>
      <c r="M47" s="858"/>
      <c r="N47" s="1300"/>
      <c r="O47" s="1300"/>
      <c r="P47" s="1307"/>
      <c r="Q47" s="1308"/>
      <c r="R47" s="1325"/>
      <c r="T47" s="856"/>
    </row>
    <row r="48" spans="2:25" s="763" customFormat="1" ht="15" customHeight="1" thickBot="1" x14ac:dyDescent="0.3">
      <c r="B48" s="854"/>
      <c r="C48" s="793" t="s">
        <v>1167</v>
      </c>
      <c r="D48" s="835"/>
      <c r="E48" s="835"/>
      <c r="F48" s="1327" t="s">
        <v>1168</v>
      </c>
      <c r="G48" s="857">
        <f>IF(G18="", IF(G30="", IF(G38="", 0, G38/(G18+G30)), G38/(G18+G38)), G38/(G18+G30+G38))</f>
        <v>0.54126960339219121</v>
      </c>
      <c r="H48" s="857"/>
      <c r="I48" s="857">
        <f>IF(I18="", IF(I30="", IF(I38="", 0, I38/(I18+I30)), I38/(I18+I38)), I38/(I18+I30+I38))</f>
        <v>8.6041328583934915E-2</v>
      </c>
      <c r="J48" s="857">
        <f t="shared" ref="J48:L48" si="8">IF(J18="", IF(J30="", IF(J38="", 0, J38/(J18+J30)), J38/(J18+J38)), J38/(J18+J30+J38))</f>
        <v>8.3834857722532838E-2</v>
      </c>
      <c r="K48" s="857">
        <f t="shared" si="8"/>
        <v>8.1748578680392328E-2</v>
      </c>
      <c r="L48" s="857">
        <f t="shared" si="8"/>
        <v>7.9082686699006879E-2</v>
      </c>
      <c r="M48" s="977"/>
      <c r="N48" s="1300" t="s">
        <v>1104</v>
      </c>
      <c r="O48" s="1300"/>
      <c r="P48" s="1307"/>
      <c r="Q48" s="1309" t="s">
        <v>1169</v>
      </c>
      <c r="R48" s="1325"/>
      <c r="T48" s="839">
        <f>IF(I18="",IF(I30="",IF(I38="",0,I38/(I18+I30)),I38/(I18+I38)),I38/(I18+I30+I38))</f>
        <v>8.6041328583934915E-2</v>
      </c>
    </row>
    <row r="49" spans="2:20" s="763" customFormat="1" ht="15" customHeight="1" thickBot="1" x14ac:dyDescent="0.3">
      <c r="B49" s="854"/>
      <c r="C49" s="835"/>
      <c r="D49" s="835"/>
      <c r="E49" s="835"/>
      <c r="F49" s="1327"/>
      <c r="G49" s="819" t="s">
        <v>1140</v>
      </c>
      <c r="H49" s="819"/>
      <c r="I49" s="819" t="s">
        <v>1434</v>
      </c>
      <c r="J49" s="819" t="s">
        <v>1434</v>
      </c>
      <c r="K49" s="819" t="s">
        <v>1434</v>
      </c>
      <c r="L49" s="819" t="s">
        <v>1434</v>
      </c>
      <c r="M49" s="819"/>
      <c r="N49" s="1300"/>
      <c r="O49" s="1300"/>
      <c r="P49" s="1307"/>
      <c r="Q49" s="1308"/>
      <c r="R49" s="1325"/>
      <c r="T49" s="856"/>
    </row>
    <row r="50" spans="2:20" s="763" customFormat="1" ht="15" customHeight="1" thickBot="1" x14ac:dyDescent="0.3">
      <c r="B50" s="854"/>
      <c r="C50" s="817" t="s">
        <v>1435</v>
      </c>
      <c r="D50" s="835"/>
      <c r="E50" s="835"/>
      <c r="F50" s="1352" t="s">
        <v>1171</v>
      </c>
      <c r="G50" s="859">
        <f>IF(G44+G46+G48=1,G44*G24+G46*G32+G48*G40,"ERROR!")</f>
        <v>15.366183233007007</v>
      </c>
      <c r="H50" s="859"/>
      <c r="I50" s="859">
        <f>IF(I44+I46+I48=1,I44*I24+I46*I32+I48*I40,"ERROR!")</f>
        <v>4497.0015658459679</v>
      </c>
      <c r="J50" s="859">
        <f t="shared" ref="J50:L50" si="9">IF(J44+J46+J48=1,J44*J24+J46*J32+J48*J40,"ERROR!")</f>
        <v>4631.2428904643393</v>
      </c>
      <c r="K50" s="859">
        <f t="shared" si="9"/>
        <v>4829.4616250264889</v>
      </c>
      <c r="L50" s="859">
        <f t="shared" si="9"/>
        <v>5088.8605637449655</v>
      </c>
      <c r="M50" s="1621"/>
      <c r="N50" s="819" t="s">
        <v>1434</v>
      </c>
      <c r="O50" s="819"/>
      <c r="P50" s="1307"/>
      <c r="Q50" s="1309" t="s">
        <v>1172</v>
      </c>
      <c r="R50" s="1325"/>
      <c r="T50" s="839">
        <f>IF(I44+I46+I48=1,I44*I24+I46*I32+I48*I40,"ERROR!")</f>
        <v>4497.0015658459679</v>
      </c>
    </row>
    <row r="51" spans="2:20" s="763" customFormat="1" ht="15" customHeight="1" thickBot="1" x14ac:dyDescent="0.3">
      <c r="B51" s="860"/>
      <c r="C51" s="861"/>
      <c r="D51" s="861"/>
      <c r="E51" s="861"/>
      <c r="F51" s="1356"/>
      <c r="G51" s="863"/>
      <c r="H51" s="863"/>
      <c r="I51" s="863"/>
      <c r="J51" s="863"/>
      <c r="K51" s="863"/>
      <c r="L51" s="863"/>
      <c r="M51" s="863"/>
      <c r="N51" s="825"/>
      <c r="O51" s="825"/>
      <c r="P51" s="1318"/>
      <c r="Q51" s="864"/>
      <c r="T51" s="839" t="str">
        <f>IF(I44+I46+I48=1,"Correct","FALSE)")</f>
        <v>Correct</v>
      </c>
    </row>
    <row r="52" spans="2:20" ht="15" customHeight="1" x14ac:dyDescent="0.25">
      <c r="B52" s="761"/>
      <c r="F52" s="1327"/>
      <c r="T52" s="839">
        <f>(I44*I24+I46*I32+I48*I40)</f>
        <v>4497.0015658459679</v>
      </c>
    </row>
    <row r="53" spans="2:20" ht="15" customHeight="1" x14ac:dyDescent="0.25">
      <c r="B53" s="865" t="s">
        <v>1173</v>
      </c>
      <c r="C53" s="866"/>
      <c r="D53" s="866"/>
      <c r="E53" s="866"/>
      <c r="F53" s="1327"/>
      <c r="G53" s="867"/>
      <c r="H53" s="867"/>
      <c r="I53" s="867"/>
      <c r="J53" s="1634"/>
      <c r="K53" s="1634"/>
      <c r="L53" s="1634"/>
      <c r="M53" s="1634"/>
      <c r="T53" s="839">
        <f>(I44*I24)+(I46*I32)+(I48*I40)</f>
        <v>4497.0015658459679</v>
      </c>
    </row>
    <row r="54" spans="2:20" ht="15" customHeight="1" x14ac:dyDescent="0.25">
      <c r="B54" s="866"/>
      <c r="C54" s="835" t="s">
        <v>1174</v>
      </c>
      <c r="D54" s="835"/>
      <c r="E54" s="835"/>
      <c r="F54" s="1327"/>
      <c r="G54" s="1325"/>
      <c r="H54" s="1325"/>
      <c r="I54" s="1328"/>
      <c r="J54" s="1328"/>
      <c r="K54" s="1328"/>
      <c r="L54" s="1328"/>
      <c r="M54" s="1328"/>
      <c r="N54" s="1300"/>
      <c r="O54" s="1300"/>
      <c r="P54" s="1315"/>
      <c r="Q54" s="1300"/>
      <c r="R54" s="1306"/>
    </row>
    <row r="55" spans="2:20" ht="15" customHeight="1" x14ac:dyDescent="0.25">
      <c r="B55" s="866"/>
      <c r="C55" s="835" t="s">
        <v>1175</v>
      </c>
      <c r="D55" s="835"/>
      <c r="E55" s="835"/>
      <c r="F55" s="1327"/>
      <c r="G55" s="1328"/>
      <c r="H55" s="1328"/>
      <c r="I55" s="1328"/>
      <c r="J55" s="1328"/>
      <c r="K55" s="1328"/>
      <c r="L55" s="1328"/>
      <c r="M55" s="1328"/>
      <c r="N55" s="1300"/>
      <c r="O55" s="1300"/>
      <c r="P55" s="1315"/>
      <c r="Q55" s="1300"/>
      <c r="R55" s="1306"/>
    </row>
    <row r="56" spans="2:20" ht="15" customHeight="1" x14ac:dyDescent="0.25">
      <c r="B56" s="866"/>
      <c r="C56" s="835"/>
      <c r="D56" s="1329"/>
      <c r="E56" s="1329"/>
      <c r="F56" s="1330"/>
      <c r="G56" s="1331"/>
      <c r="H56" s="1331"/>
      <c r="I56" s="1332">
        <f>I5</f>
        <v>2012</v>
      </c>
      <c r="J56" s="1332">
        <f>J5</f>
        <v>2013</v>
      </c>
      <c r="K56" s="1332">
        <f>K5</f>
        <v>2014</v>
      </c>
      <c r="L56" s="1332">
        <f>L5</f>
        <v>2015</v>
      </c>
      <c r="M56" s="1332"/>
      <c r="N56" s="1333"/>
      <c r="O56" s="1300"/>
      <c r="P56" s="1315"/>
      <c r="Q56" s="1300"/>
      <c r="R56" s="1306"/>
    </row>
    <row r="57" spans="2:20" ht="15" customHeight="1" x14ac:dyDescent="0.25">
      <c r="B57" s="866"/>
      <c r="C57" s="835"/>
      <c r="D57" s="1334"/>
      <c r="E57" s="1334"/>
      <c r="F57" s="1335"/>
      <c r="G57" s="1336" t="s">
        <v>657</v>
      </c>
      <c r="H57" s="1336"/>
      <c r="I57" s="1337"/>
      <c r="J57" s="1337"/>
      <c r="K57" s="1337"/>
      <c r="L57" s="1337"/>
      <c r="M57" s="1337"/>
      <c r="N57" s="1338"/>
      <c r="O57" s="1300" t="s">
        <v>1513</v>
      </c>
      <c r="P57" s="1315"/>
      <c r="Q57" s="1300"/>
      <c r="R57" s="1306"/>
    </row>
    <row r="58" spans="2:20" ht="15" customHeight="1" x14ac:dyDescent="0.25">
      <c r="B58" s="866"/>
      <c r="C58" s="835"/>
      <c r="D58" s="835"/>
      <c r="E58" s="817" t="s">
        <v>1138</v>
      </c>
      <c r="F58" s="1327"/>
      <c r="G58" s="1328"/>
      <c r="H58" s="1328"/>
      <c r="I58" s="1328">
        <f>100*(I24/$I24)</f>
        <v>100</v>
      </c>
      <c r="J58" s="1328">
        <f>100*(J24/$I24)</f>
        <v>104.13421267200479</v>
      </c>
      <c r="K58" s="1328">
        <f>100*(K24/$I24)</f>
        <v>111.19289773194652</v>
      </c>
      <c r="L58" s="1339">
        <f>100*(L24/$I24)</f>
        <v>114.59950763976501</v>
      </c>
      <c r="M58" s="1339"/>
      <c r="N58" s="1300"/>
      <c r="O58" s="1300">
        <f>+(L58/100)^(0.333333333333333)</f>
        <v>1.0464719308863863</v>
      </c>
      <c r="P58" s="1315"/>
      <c r="Q58" s="1300"/>
      <c r="R58" s="1306"/>
    </row>
    <row r="59" spans="2:20" ht="15" customHeight="1" x14ac:dyDescent="0.25">
      <c r="B59" s="866"/>
      <c r="C59" s="835"/>
      <c r="D59" s="835"/>
      <c r="E59" s="817" t="s">
        <v>1149</v>
      </c>
      <c r="F59" s="1327"/>
      <c r="G59" s="1328"/>
      <c r="H59" s="1328"/>
      <c r="I59" s="1328">
        <f>100*(I32/$I32)</f>
        <v>100</v>
      </c>
      <c r="J59" s="1328">
        <f>100*(J32/$I32)</f>
        <v>105.52188238875237</v>
      </c>
      <c r="K59" s="1328">
        <f>100*(K32/$I32)</f>
        <v>114.84389963044576</v>
      </c>
      <c r="L59" s="1339">
        <f>100*(L32/$I32)</f>
        <v>116.59344944173802</v>
      </c>
      <c r="M59" s="1339"/>
      <c r="N59" s="1300"/>
      <c r="O59" s="1300">
        <f t="shared" ref="O59:O61" si="10">+(L59/100)^(0.333333333333333)</f>
        <v>1.0525063314668137</v>
      </c>
      <c r="P59" s="1315"/>
      <c r="Q59" s="1300"/>
      <c r="R59" s="1306"/>
    </row>
    <row r="60" spans="2:20" ht="15" customHeight="1" x14ac:dyDescent="0.25">
      <c r="B60" s="866"/>
      <c r="C60" s="835"/>
      <c r="D60" s="835"/>
      <c r="E60" s="817" t="s">
        <v>1157</v>
      </c>
      <c r="F60" s="1327"/>
      <c r="G60" s="1328"/>
      <c r="H60" s="1328"/>
      <c r="I60" s="1328">
        <f>100*(I40/$I40)</f>
        <v>100</v>
      </c>
      <c r="J60" s="1328">
        <f>100*(J40/$I40)</f>
        <v>105.12133927287802</v>
      </c>
      <c r="K60" s="1328">
        <f>100*(K40/$I40)</f>
        <v>111.45904231476827</v>
      </c>
      <c r="L60" s="1339">
        <f>100*(L40/$I40)</f>
        <v>122.47679116834188</v>
      </c>
      <c r="M60" s="1339"/>
      <c r="N60" s="1300"/>
      <c r="O60" s="1300">
        <f t="shared" si="10"/>
        <v>1.0699199030745397</v>
      </c>
      <c r="P60" s="1315"/>
      <c r="Q60" s="1300"/>
      <c r="R60" s="1306"/>
    </row>
    <row r="61" spans="2:20" ht="15" customHeight="1" x14ac:dyDescent="0.25">
      <c r="B61" s="866"/>
      <c r="C61" s="835"/>
      <c r="D61" s="1334"/>
      <c r="E61" s="1292" t="s">
        <v>1435</v>
      </c>
      <c r="F61" s="1335"/>
      <c r="G61" s="1337"/>
      <c r="H61" s="1337"/>
      <c r="I61" s="1337">
        <f>100*(I50/$I50)</f>
        <v>100</v>
      </c>
      <c r="J61" s="1337">
        <f>100*(J50/$I50)</f>
        <v>102.9851295947485</v>
      </c>
      <c r="K61" s="1337">
        <f>100*(K50/$I50)</f>
        <v>107.39292736087759</v>
      </c>
      <c r="L61" s="1340">
        <f>100*(L50/$I50)</f>
        <v>113.16119172370487</v>
      </c>
      <c r="M61" s="1340"/>
      <c r="N61" s="1338"/>
      <c r="O61" s="1300">
        <f t="shared" si="10"/>
        <v>1.0420754649672703</v>
      </c>
      <c r="P61" s="1341">
        <f>+(L61/100)^(0.333333333333333)</f>
        <v>1.0420754649672703</v>
      </c>
      <c r="Q61" s="1341">
        <f>+P61^3</f>
        <v>1.1316119172370487</v>
      </c>
      <c r="R61" s="1306"/>
    </row>
    <row r="62" spans="2:20" ht="15" customHeight="1" x14ac:dyDescent="0.25">
      <c r="B62" s="866"/>
      <c r="C62" s="835"/>
      <c r="D62" s="835"/>
      <c r="E62" s="835"/>
      <c r="F62" s="1327"/>
      <c r="G62" s="1328"/>
      <c r="H62" s="1328"/>
      <c r="I62" s="1328"/>
      <c r="J62" s="1328"/>
      <c r="K62" s="1328"/>
      <c r="L62" s="1328"/>
      <c r="M62" s="1328"/>
      <c r="N62" s="1300"/>
      <c r="O62" s="1300"/>
      <c r="P62" s="1315"/>
      <c r="Q62" s="1306"/>
      <c r="R62" s="1306"/>
    </row>
    <row r="63" spans="2:20" ht="15" customHeight="1" x14ac:dyDescent="0.25">
      <c r="B63" s="866"/>
      <c r="C63" s="835"/>
      <c r="D63" s="835"/>
      <c r="E63" s="835"/>
      <c r="F63" s="1327"/>
      <c r="G63" s="1328"/>
      <c r="H63" s="1328"/>
      <c r="I63" s="1328"/>
      <c r="J63" s="1328"/>
      <c r="K63" s="1328"/>
      <c r="L63" s="1328"/>
      <c r="M63" s="1328"/>
      <c r="N63" s="1300"/>
      <c r="O63" s="1300"/>
      <c r="P63" s="1315"/>
      <c r="Q63" s="1306"/>
      <c r="R63" s="1306"/>
    </row>
    <row r="64" spans="2:20" ht="15" customHeight="1" x14ac:dyDescent="0.25">
      <c r="B64" s="866"/>
      <c r="C64" s="835"/>
      <c r="D64" s="835"/>
      <c r="E64" s="835"/>
      <c r="F64" s="1327"/>
      <c r="G64" s="1296" t="s">
        <v>1493</v>
      </c>
      <c r="H64" s="1342"/>
      <c r="I64" s="1296">
        <f>(I21*(1-I16))</f>
        <v>57535967313.157173</v>
      </c>
      <c r="J64" s="1296">
        <f>(J21*(1-J16))</f>
        <v>61645568245.334633</v>
      </c>
      <c r="K64" s="1296">
        <f>(K21*(1-K16))</f>
        <v>68994917532.324219</v>
      </c>
      <c r="L64" s="1296">
        <f>(L21*(1-L16))</f>
        <v>75463331599.770737</v>
      </c>
      <c r="M64" s="1296"/>
      <c r="N64" s="1301" t="s">
        <v>1433</v>
      </c>
      <c r="O64" s="1300"/>
      <c r="P64" s="1343" t="s">
        <v>1492</v>
      </c>
      <c r="Q64" s="1306"/>
      <c r="R64" s="1306"/>
    </row>
    <row r="65" spans="2:18" ht="15" customHeight="1" x14ac:dyDescent="0.25">
      <c r="B65" s="866"/>
      <c r="C65" s="835"/>
      <c r="D65" s="835"/>
      <c r="E65" s="835"/>
      <c r="F65" s="1327"/>
      <c r="G65" s="1296" t="s">
        <v>1494</v>
      </c>
      <c r="H65" s="1342"/>
      <c r="I65" s="1296">
        <f>SUM(I64,I28,I36)</f>
        <v>2770535967313.1572</v>
      </c>
      <c r="J65" s="1296">
        <f>SUM(J64,J28,J36)</f>
        <v>2931645568245.3345</v>
      </c>
      <c r="K65" s="1296">
        <f>SUM(K64,K28,K36)</f>
        <v>3162994917532.3242</v>
      </c>
      <c r="L65" s="1296">
        <f>SUM(L64,L28,L36)</f>
        <v>3462463331599.7705</v>
      </c>
      <c r="M65" s="1296"/>
      <c r="N65" s="1301" t="s">
        <v>1433</v>
      </c>
      <c r="O65" s="1300"/>
      <c r="P65" s="1343"/>
      <c r="Q65" s="1306"/>
      <c r="R65" s="1306"/>
    </row>
    <row r="66" spans="2:18" ht="15" customHeight="1" x14ac:dyDescent="0.25">
      <c r="B66" s="866"/>
      <c r="C66" s="835"/>
      <c r="D66" s="835"/>
      <c r="E66" s="835"/>
      <c r="F66" s="1327"/>
      <c r="G66" s="1296" t="s">
        <v>1495</v>
      </c>
      <c r="H66" s="1342"/>
      <c r="I66" s="1296">
        <f>SUM(I21,I28,I36)</f>
        <v>3807000000000</v>
      </c>
      <c r="J66" s="1296">
        <f>SUM(J21,J28,J36)</f>
        <v>3998000000000</v>
      </c>
      <c r="K66" s="1296">
        <f>SUM(K21,K28,K36)</f>
        <v>4309000000000</v>
      </c>
      <c r="L66" s="1296">
        <f>SUM(L21,L28,L36)</f>
        <v>4666000000000</v>
      </c>
      <c r="M66" s="1296"/>
      <c r="N66" s="1301" t="s">
        <v>1433</v>
      </c>
      <c r="O66" s="1300"/>
      <c r="P66" s="1343"/>
      <c r="Q66" s="1306"/>
      <c r="R66" s="1306"/>
    </row>
    <row r="67" spans="2:18" ht="15" customHeight="1" x14ac:dyDescent="0.25">
      <c r="B67" s="866"/>
      <c r="C67" s="835"/>
      <c r="D67" s="835"/>
      <c r="E67" s="835"/>
      <c r="F67" s="1327"/>
      <c r="G67" s="1296"/>
      <c r="H67" s="1342"/>
      <c r="I67" s="1296"/>
      <c r="J67" s="1296"/>
      <c r="K67" s="1296"/>
      <c r="L67" s="1296"/>
      <c r="M67" s="1296"/>
      <c r="N67" s="1301"/>
      <c r="O67" s="1300"/>
      <c r="P67" s="1343"/>
      <c r="Q67" s="1306"/>
      <c r="R67" s="1306"/>
    </row>
    <row r="68" spans="2:18" ht="15" customHeight="1" x14ac:dyDescent="0.25">
      <c r="B68" s="866"/>
      <c r="C68" s="835"/>
      <c r="D68" s="835"/>
      <c r="E68" s="835" t="s">
        <v>1497</v>
      </c>
      <c r="F68" s="1327"/>
      <c r="G68" s="1296"/>
      <c r="H68" s="1342"/>
      <c r="I68" s="1297">
        <f>SUM(I18,I30,I38)</f>
        <v>0.61608516847202144</v>
      </c>
      <c r="J68" s="1297">
        <f>SUM(J18,J30,J38)</f>
        <v>0.63301485963553106</v>
      </c>
      <c r="K68" s="1297">
        <f>SUM(K18,K30,K38)</f>
        <v>0.654937374621954</v>
      </c>
      <c r="L68" s="1297">
        <f>SUM(L18,L30,L38)</f>
        <v>0.68040051171134741</v>
      </c>
      <c r="M68" s="1297"/>
      <c r="N68" s="840" t="s">
        <v>1512</v>
      </c>
      <c r="O68" s="1300"/>
      <c r="P68" s="1343"/>
      <c r="Q68" s="1306"/>
      <c r="R68" s="1306"/>
    </row>
    <row r="69" spans="2:18" ht="15" customHeight="1" x14ac:dyDescent="0.25">
      <c r="B69" s="866"/>
      <c r="C69" s="835"/>
      <c r="D69" s="835"/>
      <c r="E69" s="835"/>
      <c r="F69" s="1327"/>
      <c r="G69" s="1296"/>
      <c r="H69" s="1342"/>
      <c r="I69" s="1296"/>
      <c r="J69" s="1296"/>
      <c r="K69" s="1296"/>
      <c r="L69" s="1296"/>
      <c r="M69" s="1296"/>
      <c r="N69" s="1301"/>
      <c r="O69" s="1357">
        <f>+O72^3</f>
        <v>1.3115853460677622</v>
      </c>
      <c r="P69" s="1343"/>
      <c r="Q69" s="1306"/>
      <c r="R69" s="1306"/>
    </row>
    <row r="70" spans="2:18" ht="15" customHeight="1" x14ac:dyDescent="0.25">
      <c r="B70" s="866"/>
      <c r="C70" s="835"/>
      <c r="D70" s="835"/>
      <c r="E70" s="835"/>
      <c r="F70" s="1327"/>
      <c r="G70" s="1337"/>
      <c r="H70" s="1328"/>
      <c r="I70" s="1328"/>
      <c r="J70" s="1328"/>
      <c r="K70" s="1328"/>
      <c r="L70" s="1328"/>
      <c r="M70" s="1328"/>
      <c r="N70" s="1300"/>
      <c r="O70" s="1300"/>
    </row>
    <row r="71" spans="2:18" ht="15" customHeight="1" x14ac:dyDescent="0.25">
      <c r="B71" s="866"/>
      <c r="C71" s="835"/>
      <c r="D71" s="1344"/>
      <c r="E71" s="1344"/>
      <c r="F71" s="1345"/>
      <c r="G71" s="1346" t="s">
        <v>657</v>
      </c>
      <c r="H71" s="1347" t="s">
        <v>1498</v>
      </c>
      <c r="I71" s="1344">
        <f>I5</f>
        <v>2012</v>
      </c>
      <c r="J71" s="1344">
        <f>J5</f>
        <v>2013</v>
      </c>
      <c r="K71" s="1348">
        <f>K5</f>
        <v>2014</v>
      </c>
      <c r="L71" s="1344">
        <f>L5</f>
        <v>2015</v>
      </c>
      <c r="M71" s="1344"/>
      <c r="N71" s="1349"/>
      <c r="O71" s="1300" t="s">
        <v>1513</v>
      </c>
    </row>
    <row r="72" spans="2:18" ht="15" customHeight="1" x14ac:dyDescent="0.25">
      <c r="B72" s="866"/>
      <c r="C72" s="835"/>
      <c r="D72" s="835"/>
      <c r="E72" s="817" t="s">
        <v>1491</v>
      </c>
      <c r="F72" s="1327"/>
      <c r="G72" s="1328"/>
      <c r="H72" s="817" t="str">
        <f>E72</f>
        <v xml:space="preserve">Gross value added by Irrigated agriculture </v>
      </c>
      <c r="I72" s="1328">
        <f>100*(I64/$I64)</f>
        <v>100</v>
      </c>
      <c r="J72" s="1328">
        <f t="shared" ref="J72:L72" si="11">100*(J64/$I64)</f>
        <v>107.14266418744592</v>
      </c>
      <c r="K72" s="1328">
        <f t="shared" si="11"/>
        <v>119.9161511560207</v>
      </c>
      <c r="L72" s="1328">
        <f t="shared" si="11"/>
        <v>131.15853460677627</v>
      </c>
      <c r="M72" s="1328"/>
      <c r="N72" s="1300"/>
      <c r="O72" s="1300">
        <f>+(L72/100)^(0.333333333333333)</f>
        <v>1.094625392891359</v>
      </c>
    </row>
    <row r="73" spans="2:18" ht="15" customHeight="1" x14ac:dyDescent="0.25">
      <c r="B73" s="866"/>
      <c r="C73" s="835"/>
      <c r="D73" s="835"/>
      <c r="E73" s="817" t="s">
        <v>1499</v>
      </c>
      <c r="F73" s="1327"/>
      <c r="G73" s="1328"/>
      <c r="H73" s="817" t="str">
        <f t="shared" ref="H73:H83" si="12">E73</f>
        <v>Gross value added Industrial</v>
      </c>
      <c r="I73" s="1328">
        <f>100*(I28/$I28)</f>
        <v>100</v>
      </c>
      <c r="J73" s="1328">
        <f>100*(J28/$I28)</f>
        <v>108.74704491725768</v>
      </c>
      <c r="K73" s="1328">
        <f>100*(K28/$I28)</f>
        <v>121.98581560283688</v>
      </c>
      <c r="L73" s="1328">
        <f>100*(L28/$I28)</f>
        <v>127.65957446808511</v>
      </c>
      <c r="M73" s="1328"/>
      <c r="N73" s="1300"/>
      <c r="O73" s="1300">
        <f t="shared" ref="O73:O83" si="13">+(L73/100)^(0.333333333333333)</f>
        <v>1.0848036326035437</v>
      </c>
    </row>
    <row r="74" spans="2:18" ht="15" customHeight="1" x14ac:dyDescent="0.25">
      <c r="B74" s="866"/>
      <c r="C74" s="835"/>
      <c r="D74" s="835"/>
      <c r="E74" s="817" t="s">
        <v>1500</v>
      </c>
      <c r="F74" s="1327"/>
      <c r="G74" s="1328"/>
      <c r="H74" s="817" t="str">
        <f t="shared" si="12"/>
        <v xml:space="preserve">Gross value added Services </v>
      </c>
      <c r="I74" s="1328">
        <f>100*(I36/$I36)</f>
        <v>100</v>
      </c>
      <c r="J74" s="1328">
        <f>100*(J36/$I36)</f>
        <v>105.24017467248908</v>
      </c>
      <c r="K74" s="1328">
        <f>100*(K36/$I36)</f>
        <v>112.57641921397379</v>
      </c>
      <c r="L74" s="1328">
        <f>100*(L36/$I36)</f>
        <v>124.32314410480349</v>
      </c>
      <c r="M74" s="1328"/>
      <c r="N74" s="1300"/>
      <c r="O74" s="1300">
        <f t="shared" si="13"/>
        <v>1.0752695025899122</v>
      </c>
    </row>
    <row r="75" spans="2:18" ht="15" customHeight="1" x14ac:dyDescent="0.25">
      <c r="B75" s="866"/>
      <c r="C75" s="835"/>
      <c r="D75" s="1334"/>
      <c r="E75" s="1292" t="s">
        <v>1496</v>
      </c>
      <c r="F75" s="1335"/>
      <c r="G75" s="1337"/>
      <c r="H75" s="1292" t="str">
        <f t="shared" si="12"/>
        <v>Gross value added 'Total' (irrig. Agric, Ind. &amp; Service)</v>
      </c>
      <c r="I75" s="1337">
        <f>100*(I65/$I65)</f>
        <v>100</v>
      </c>
      <c r="J75" s="1337">
        <f t="shared" ref="J75:L75" si="14">100*(J65/$I65)</f>
        <v>105.81510591571276</v>
      </c>
      <c r="K75" s="1337">
        <f t="shared" si="14"/>
        <v>114.16545227527837</v>
      </c>
      <c r="L75" s="1337">
        <f t="shared" si="14"/>
        <v>124.97449491542385</v>
      </c>
      <c r="M75" s="1337"/>
      <c r="N75" s="1338"/>
      <c r="O75" s="1300">
        <f t="shared" si="13"/>
        <v>1.0771440746470264</v>
      </c>
    </row>
    <row r="76" spans="2:18" ht="15" customHeight="1" x14ac:dyDescent="0.25">
      <c r="B76" s="866"/>
      <c r="C76" s="835"/>
      <c r="D76" s="835"/>
      <c r="E76" s="817" t="s">
        <v>1501</v>
      </c>
      <c r="F76" s="1327"/>
      <c r="G76" s="1328"/>
      <c r="H76" s="817" t="str">
        <f t="shared" si="12"/>
        <v xml:space="preserve">Water Use - Irrigated Agriculture </v>
      </c>
      <c r="I76" s="1328">
        <f>100*(I18/$I18)</f>
        <v>100</v>
      </c>
      <c r="J76" s="1328">
        <f>100*(J18/$I18)</f>
        <v>102.88901355111494</v>
      </c>
      <c r="K76" s="1328">
        <f>100*(K18/$I18)</f>
        <v>107.84515342437011</v>
      </c>
      <c r="L76" s="1328">
        <f>100*(L18/$I18)</f>
        <v>114.44947479099415</v>
      </c>
      <c r="M76" s="1328"/>
      <c r="N76" s="1300"/>
      <c r="O76" s="1300">
        <f t="shared" si="13"/>
        <v>1.0460150536137032</v>
      </c>
    </row>
    <row r="77" spans="2:18" ht="15" customHeight="1" x14ac:dyDescent="0.25">
      <c r="B77" s="866"/>
      <c r="C77" s="835"/>
      <c r="D77" s="835"/>
      <c r="E77" s="817" t="s">
        <v>1502</v>
      </c>
      <c r="F77" s="1327"/>
      <c r="G77" s="1328"/>
      <c r="H77" s="817" t="str">
        <f t="shared" si="12"/>
        <v xml:space="preserve">Water Use - Industrial </v>
      </c>
      <c r="I77" s="1328">
        <f>100*(I30/$I30)</f>
        <v>100</v>
      </c>
      <c r="J77" s="1328">
        <f>100*(J30/$I30)</f>
        <v>103.05639214871425</v>
      </c>
      <c r="K77" s="1328">
        <f>100*(K30/$I30)</f>
        <v>106.21880308433707</v>
      </c>
      <c r="L77" s="1328">
        <f>100*(L30/$I30)</f>
        <v>109.4912064780079</v>
      </c>
      <c r="M77" s="1328"/>
      <c r="N77" s="1300"/>
      <c r="O77" s="1300">
        <f t="shared" si="13"/>
        <v>1.0306860872672559</v>
      </c>
    </row>
    <row r="78" spans="2:18" ht="15" customHeight="1" x14ac:dyDescent="0.25">
      <c r="B78" s="866"/>
      <c r="C78" s="835"/>
      <c r="D78" s="835"/>
      <c r="E78" s="817" t="s">
        <v>1503</v>
      </c>
      <c r="F78" s="1327"/>
      <c r="G78" s="1328"/>
      <c r="H78" s="817" t="str">
        <f t="shared" si="12"/>
        <v>Water Use - Services (Public water Supply)</v>
      </c>
      <c r="I78" s="1328">
        <f>100*(I38/$I38)</f>
        <v>100</v>
      </c>
      <c r="J78" s="1328">
        <f>100*(J38/$I38)</f>
        <v>100.11304593380663</v>
      </c>
      <c r="K78" s="1328">
        <f>100*(K38/$I38)</f>
        <v>101.0025</v>
      </c>
      <c r="L78" s="1328">
        <f>100*(L38/$I38)</f>
        <v>101.50751249999999</v>
      </c>
      <c r="M78" s="1328"/>
      <c r="N78" s="1300"/>
      <c r="O78" s="1300">
        <f t="shared" si="13"/>
        <v>1.0049999999999999</v>
      </c>
    </row>
    <row r="79" spans="2:18" ht="15" customHeight="1" x14ac:dyDescent="0.25">
      <c r="B79" s="866"/>
      <c r="C79" s="835"/>
      <c r="D79" s="1334"/>
      <c r="E79" s="1292" t="s">
        <v>1504</v>
      </c>
      <c r="F79" s="1335"/>
      <c r="G79" s="1337"/>
      <c r="H79" s="1292" t="str">
        <f t="shared" si="12"/>
        <v>Water Use - 'Total'</v>
      </c>
      <c r="I79" s="1337">
        <f>100*(I68/$I68)</f>
        <v>100</v>
      </c>
      <c r="J79" s="1337">
        <f t="shared" ref="J79:L79" si="15">100*(J68/$I68)</f>
        <v>102.74794655510011</v>
      </c>
      <c r="K79" s="1337">
        <f t="shared" si="15"/>
        <v>106.30630441019892</v>
      </c>
      <c r="L79" s="1337">
        <f t="shared" si="15"/>
        <v>110.43935912283641</v>
      </c>
      <c r="M79" s="1337"/>
      <c r="N79" s="1338"/>
      <c r="O79" s="1300">
        <f t="shared" si="13"/>
        <v>1.0336526584289725</v>
      </c>
    </row>
    <row r="80" spans="2:18" ht="15" customHeight="1" x14ac:dyDescent="0.25">
      <c r="B80" s="866"/>
      <c r="C80" s="835"/>
      <c r="D80" s="835"/>
      <c r="E80" s="817" t="s">
        <v>1505</v>
      </c>
      <c r="F80" s="1327"/>
      <c r="G80" s="1328"/>
      <c r="H80" s="817" t="str">
        <f t="shared" si="12"/>
        <v>Water Use Efficiency - Irrigated Agriculture</v>
      </c>
      <c r="I80" s="1328">
        <f>100*(I24/$I24)</f>
        <v>100</v>
      </c>
      <c r="J80" s="1328">
        <f t="shared" ref="J80:L80" si="16">100*(J24/$I24)</f>
        <v>104.13421267200479</v>
      </c>
      <c r="K80" s="1328">
        <f t="shared" si="16"/>
        <v>111.19289773194652</v>
      </c>
      <c r="L80" s="1328">
        <f t="shared" si="16"/>
        <v>114.59950763976501</v>
      </c>
      <c r="M80" s="1328"/>
      <c r="N80" s="1300"/>
      <c r="O80" s="1300">
        <f t="shared" si="13"/>
        <v>1.0464719308863863</v>
      </c>
    </row>
    <row r="81" spans="2:15" ht="15" customHeight="1" x14ac:dyDescent="0.25">
      <c r="B81" s="866"/>
      <c r="C81" s="835"/>
      <c r="D81" s="835"/>
      <c r="E81" s="817" t="s">
        <v>1506</v>
      </c>
      <c r="F81" s="1327"/>
      <c r="G81" s="1328"/>
      <c r="H81" s="817" t="str">
        <f t="shared" si="12"/>
        <v xml:space="preserve">Water Use Efficiency - Industrial </v>
      </c>
      <c r="I81" s="1328">
        <f>100*(I32/$I32)</f>
        <v>100</v>
      </c>
      <c r="J81" s="1328">
        <f t="shared" ref="J81:L81" si="17">100*(J32/$I32)</f>
        <v>105.52188238875237</v>
      </c>
      <c r="K81" s="1328">
        <f t="shared" si="17"/>
        <v>114.84389963044576</v>
      </c>
      <c r="L81" s="1328">
        <f t="shared" si="17"/>
        <v>116.59344944173802</v>
      </c>
      <c r="M81" s="1328"/>
      <c r="N81" s="1300"/>
      <c r="O81" s="1300">
        <f t="shared" si="13"/>
        <v>1.0525063314668137</v>
      </c>
    </row>
    <row r="82" spans="2:15" ht="15" customHeight="1" x14ac:dyDescent="0.25">
      <c r="B82" s="866"/>
      <c r="C82" s="835"/>
      <c r="D82" s="835"/>
      <c r="E82" s="817" t="s">
        <v>1507</v>
      </c>
      <c r="F82" s="1327"/>
      <c r="G82" s="1328"/>
      <c r="H82" s="817" t="str">
        <f t="shared" si="12"/>
        <v>Water Use Efficiency - Services</v>
      </c>
      <c r="I82" s="1328">
        <f>100*(I40/$I40)</f>
        <v>100</v>
      </c>
      <c r="J82" s="1328">
        <f t="shared" ref="J82:L82" si="18">100*(J40/$I40)</f>
        <v>105.12133927287802</v>
      </c>
      <c r="K82" s="1328">
        <f t="shared" si="18"/>
        <v>111.45904231476827</v>
      </c>
      <c r="L82" s="1328">
        <f t="shared" si="18"/>
        <v>122.47679116834188</v>
      </c>
      <c r="M82" s="1328"/>
      <c r="N82" s="1300"/>
      <c r="O82" s="1300">
        <f t="shared" si="13"/>
        <v>1.0699199030745397</v>
      </c>
    </row>
    <row r="83" spans="2:15" ht="15" customHeight="1" x14ac:dyDescent="0.25">
      <c r="B83" s="866"/>
      <c r="C83" s="835"/>
      <c r="D83" s="1334"/>
      <c r="E83" s="1292" t="s">
        <v>1508</v>
      </c>
      <c r="F83" s="1335"/>
      <c r="G83" s="1337"/>
      <c r="H83" s="1292" t="str">
        <f t="shared" si="12"/>
        <v>Water Use Efficiency - 'Total '</v>
      </c>
      <c r="I83" s="1337">
        <f>100*(I50/$I50)</f>
        <v>100</v>
      </c>
      <c r="J83" s="1337">
        <f t="shared" ref="J83:L83" si="19">100*(J50/$I50)</f>
        <v>102.9851295947485</v>
      </c>
      <c r="K83" s="1337">
        <f t="shared" si="19"/>
        <v>107.39292736087759</v>
      </c>
      <c r="L83" s="1337">
        <f t="shared" si="19"/>
        <v>113.16119172370487</v>
      </c>
      <c r="M83" s="1337"/>
      <c r="N83" s="1338"/>
      <c r="O83" s="1300">
        <f t="shared" si="13"/>
        <v>1.0420754649672703</v>
      </c>
    </row>
    <row r="84" spans="2:15" ht="15" customHeight="1" x14ac:dyDescent="0.25">
      <c r="B84" s="866"/>
      <c r="C84" s="835"/>
      <c r="D84" s="835"/>
      <c r="E84" s="835"/>
      <c r="F84" s="1327"/>
      <c r="G84" s="1328"/>
      <c r="H84" s="1328"/>
      <c r="I84" s="1328"/>
      <c r="J84" s="1328"/>
      <c r="K84" s="1328"/>
      <c r="L84" s="1328"/>
      <c r="M84" s="1328"/>
      <c r="N84" s="1300"/>
      <c r="O84" s="1300"/>
    </row>
    <row r="85" spans="2:15" ht="15" customHeight="1" x14ac:dyDescent="0.25">
      <c r="B85" s="866"/>
      <c r="C85" s="835"/>
      <c r="D85" s="835"/>
      <c r="E85" s="835"/>
      <c r="F85" s="1327"/>
      <c r="G85" s="1328"/>
      <c r="H85" s="1328"/>
      <c r="I85" s="1328"/>
      <c r="J85" s="1328"/>
      <c r="K85" s="1328"/>
      <c r="L85" s="1328"/>
      <c r="M85" s="1328"/>
      <c r="N85" s="1300"/>
      <c r="O85" s="1300"/>
    </row>
    <row r="86" spans="2:15" ht="15" customHeight="1" x14ac:dyDescent="0.25">
      <c r="B86" s="866"/>
      <c r="C86" s="835"/>
      <c r="D86" s="835"/>
      <c r="E86" s="835"/>
      <c r="F86" s="1327"/>
      <c r="G86" s="1328"/>
      <c r="H86" s="1328"/>
      <c r="I86" s="1328"/>
      <c r="J86" s="1328"/>
      <c r="K86" s="1328"/>
      <c r="L86" s="1306"/>
      <c r="M86" s="1306"/>
      <c r="N86" s="1300"/>
      <c r="O86" s="1300"/>
    </row>
    <row r="87" spans="2:15" ht="15" customHeight="1" x14ac:dyDescent="0.25">
      <c r="B87" s="866"/>
      <c r="C87" s="866"/>
      <c r="D87" s="866"/>
      <c r="E87" s="866"/>
      <c r="G87" s="867"/>
      <c r="H87" s="867"/>
      <c r="I87" s="867"/>
      <c r="J87" s="867"/>
      <c r="K87" s="867"/>
      <c r="L87" s="94"/>
      <c r="M87" s="94"/>
    </row>
    <row r="88" spans="2:15" ht="15" customHeight="1" x14ac:dyDescent="0.25">
      <c r="B88" s="866"/>
      <c r="C88" s="866"/>
      <c r="D88" s="866"/>
      <c r="E88" s="866"/>
      <c r="G88" s="867"/>
      <c r="H88" s="867"/>
      <c r="I88" s="867"/>
      <c r="J88" s="867"/>
      <c r="K88" s="867"/>
      <c r="L88" s="867"/>
      <c r="M88" s="867"/>
    </row>
    <row r="89" spans="2:15" ht="15" customHeight="1" x14ac:dyDescent="0.25">
      <c r="B89" s="866"/>
      <c r="C89" s="866"/>
      <c r="D89" s="866"/>
      <c r="E89" s="866"/>
      <c r="G89" s="867"/>
      <c r="H89" s="867"/>
      <c r="I89" s="867"/>
      <c r="J89" s="867"/>
      <c r="K89" s="867"/>
      <c r="L89" s="867"/>
      <c r="M89" s="867"/>
    </row>
    <row r="90" spans="2:15" ht="15" customHeight="1" x14ac:dyDescent="0.25">
      <c r="B90" s="866"/>
      <c r="C90" s="866"/>
      <c r="D90" s="866"/>
      <c r="E90" s="866"/>
      <c r="G90" s="867"/>
      <c r="H90" s="867"/>
      <c r="I90" s="867"/>
      <c r="J90" s="867"/>
      <c r="K90" s="867"/>
      <c r="L90" s="867"/>
      <c r="M90" s="867"/>
    </row>
    <row r="91" spans="2:15" ht="15" customHeight="1" x14ac:dyDescent="0.25">
      <c r="B91" s="866"/>
      <c r="C91" s="866"/>
      <c r="D91" s="866"/>
      <c r="E91" s="866"/>
      <c r="G91" s="867"/>
      <c r="H91" s="867"/>
      <c r="I91" s="867"/>
      <c r="J91" s="867"/>
      <c r="K91" s="867"/>
      <c r="L91" s="867"/>
      <c r="M91" s="867"/>
    </row>
    <row r="92" spans="2:15" ht="15" customHeight="1" x14ac:dyDescent="0.25">
      <c r="B92" s="866"/>
      <c r="C92" s="866"/>
      <c r="D92" s="866"/>
      <c r="E92" s="866"/>
      <c r="G92" s="867"/>
      <c r="H92" s="867"/>
      <c r="I92" s="867"/>
      <c r="J92" s="867"/>
      <c r="K92" s="867"/>
      <c r="L92" s="867"/>
      <c r="M92" s="867"/>
    </row>
    <row r="93" spans="2:15" ht="15" customHeight="1" x14ac:dyDescent="0.25">
      <c r="B93" s="866"/>
      <c r="C93" s="866"/>
      <c r="D93" s="866"/>
      <c r="E93" s="866"/>
      <c r="G93" s="867"/>
      <c r="H93" s="867"/>
      <c r="I93" s="867"/>
      <c r="J93" s="867"/>
      <c r="K93" s="867"/>
      <c r="L93" s="867"/>
      <c r="M93" s="867"/>
    </row>
    <row r="94" spans="2:15" ht="15" customHeight="1" x14ac:dyDescent="0.25">
      <c r="B94" s="866"/>
      <c r="C94" s="866"/>
      <c r="D94" s="866"/>
      <c r="E94" s="866"/>
      <c r="G94" s="867"/>
      <c r="H94" s="867"/>
      <c r="I94" s="867"/>
      <c r="J94" s="867"/>
      <c r="K94" s="867"/>
      <c r="L94" s="867"/>
      <c r="M94" s="867"/>
    </row>
    <row r="95" spans="2:15" ht="15" customHeight="1" x14ac:dyDescent="0.25">
      <c r="B95" s="866"/>
      <c r="C95" s="866"/>
      <c r="D95" s="866"/>
      <c r="E95" s="866"/>
      <c r="G95" s="867"/>
      <c r="H95" s="867"/>
      <c r="I95" s="867"/>
      <c r="J95" s="867"/>
      <c r="K95" s="867"/>
      <c r="L95" s="867"/>
      <c r="M95" s="867"/>
    </row>
    <row r="96" spans="2:15" ht="15" customHeight="1" x14ac:dyDescent="0.25">
      <c r="B96" s="866"/>
      <c r="C96" s="866"/>
      <c r="D96" s="866"/>
      <c r="E96" s="866"/>
      <c r="G96" s="867"/>
      <c r="H96" s="867"/>
      <c r="I96" s="867"/>
      <c r="J96" s="867"/>
      <c r="K96" s="867"/>
      <c r="L96" s="867"/>
      <c r="M96" s="867"/>
    </row>
    <row r="97" spans="2:13" ht="15" customHeight="1" x14ac:dyDescent="0.25">
      <c r="B97" s="866"/>
      <c r="C97" s="866"/>
      <c r="D97" s="866"/>
      <c r="E97" s="866"/>
      <c r="G97" s="867"/>
      <c r="H97" s="867"/>
      <c r="I97" s="867"/>
      <c r="J97" s="867"/>
      <c r="K97" s="867"/>
      <c r="L97" s="867"/>
      <c r="M97" s="867"/>
    </row>
    <row r="98" spans="2:13" ht="15" customHeight="1" x14ac:dyDescent="0.25">
      <c r="B98" s="866"/>
      <c r="C98" s="866"/>
      <c r="D98" s="866"/>
      <c r="E98" s="866"/>
      <c r="G98" s="867"/>
      <c r="H98" s="867"/>
      <c r="I98" s="867"/>
      <c r="J98" s="867"/>
      <c r="K98" s="867"/>
      <c r="L98" s="867"/>
      <c r="M98" s="867"/>
    </row>
    <row r="99" spans="2:13" ht="15" customHeight="1" x14ac:dyDescent="0.25">
      <c r="B99" s="866"/>
      <c r="C99" s="866"/>
      <c r="D99" s="866"/>
      <c r="E99" s="866"/>
      <c r="G99" s="867"/>
      <c r="H99" s="867"/>
      <c r="I99" s="867"/>
      <c r="J99" s="867"/>
      <c r="K99" s="867"/>
      <c r="L99" s="867"/>
      <c r="M99" s="867"/>
    </row>
    <row r="100" spans="2:13" ht="15" customHeight="1" x14ac:dyDescent="0.25">
      <c r="B100" s="866"/>
      <c r="C100" s="866"/>
      <c r="D100" s="866"/>
      <c r="E100" s="866"/>
      <c r="G100" s="867"/>
      <c r="H100" s="867"/>
      <c r="I100" s="867"/>
      <c r="J100" s="867"/>
      <c r="K100" s="867"/>
      <c r="L100" s="867"/>
      <c r="M100" s="867"/>
    </row>
    <row r="101" spans="2:13" ht="15" customHeight="1" x14ac:dyDescent="0.25">
      <c r="B101" s="866"/>
      <c r="C101" s="866"/>
      <c r="D101" s="866"/>
      <c r="E101" s="866"/>
      <c r="G101" s="867"/>
      <c r="H101" s="867"/>
      <c r="I101" s="867"/>
      <c r="J101" s="867"/>
      <c r="K101" s="867"/>
      <c r="L101" s="867"/>
      <c r="M101" s="867"/>
    </row>
    <row r="102" spans="2:13" ht="15" customHeight="1" x14ac:dyDescent="0.25">
      <c r="B102" s="866"/>
      <c r="C102" s="866"/>
      <c r="D102" s="866"/>
      <c r="E102" s="866"/>
      <c r="G102" s="867"/>
      <c r="H102" s="867"/>
      <c r="I102" s="867"/>
      <c r="J102" s="867"/>
      <c r="K102" s="867"/>
      <c r="L102" s="867"/>
      <c r="M102" s="867"/>
    </row>
    <row r="103" spans="2:13" ht="15" customHeight="1" x14ac:dyDescent="0.25">
      <c r="B103" s="866"/>
      <c r="C103" s="866"/>
      <c r="D103" s="866"/>
      <c r="E103" s="866"/>
      <c r="G103" s="867"/>
      <c r="H103" s="867"/>
      <c r="I103" s="867"/>
      <c r="J103" s="867"/>
      <c r="K103" s="867"/>
      <c r="L103" s="867"/>
      <c r="M103" s="867"/>
    </row>
    <row r="104" spans="2:13" ht="15" customHeight="1" x14ac:dyDescent="0.25">
      <c r="B104" s="866"/>
      <c r="C104" s="866"/>
      <c r="D104" s="866"/>
      <c r="E104" s="866"/>
      <c r="G104" s="867"/>
      <c r="H104" s="867"/>
      <c r="I104" s="867"/>
      <c r="J104" s="867"/>
      <c r="K104" s="867"/>
      <c r="L104" s="867"/>
      <c r="M104" s="867"/>
    </row>
    <row r="105" spans="2:13" ht="15" customHeight="1" x14ac:dyDescent="0.25">
      <c r="B105" s="866"/>
      <c r="C105" s="866"/>
      <c r="D105" s="866"/>
      <c r="E105" s="866"/>
      <c r="G105" s="867"/>
      <c r="H105" s="867"/>
      <c r="I105" s="867"/>
      <c r="J105" s="867"/>
      <c r="K105" s="867"/>
      <c r="L105" s="867"/>
      <c r="M105" s="867"/>
    </row>
    <row r="106" spans="2:13" ht="15" customHeight="1" x14ac:dyDescent="0.25">
      <c r="B106" s="866"/>
      <c r="C106" s="866"/>
      <c r="D106" s="866"/>
      <c r="E106" s="866"/>
      <c r="G106" s="867"/>
      <c r="H106" s="867"/>
      <c r="I106" s="867"/>
      <c r="J106" s="867"/>
      <c r="K106" s="867"/>
      <c r="L106" s="867"/>
      <c r="M106" s="867"/>
    </row>
    <row r="107" spans="2:13" ht="15" customHeight="1" x14ac:dyDescent="0.25">
      <c r="B107" s="866"/>
      <c r="C107" s="866"/>
      <c r="D107" s="866"/>
      <c r="E107" s="866"/>
      <c r="G107" s="867"/>
      <c r="H107" s="867"/>
      <c r="I107" s="867"/>
      <c r="J107" s="867"/>
      <c r="K107" s="867"/>
      <c r="L107" s="867"/>
      <c r="M107" s="867"/>
    </row>
    <row r="108" spans="2:13" ht="15" customHeight="1" x14ac:dyDescent="0.25">
      <c r="B108" s="866"/>
      <c r="C108" s="866"/>
      <c r="D108" s="866"/>
      <c r="E108" s="866"/>
      <c r="G108" s="867"/>
      <c r="H108" s="867"/>
      <c r="I108" s="867"/>
      <c r="J108" s="867"/>
      <c r="K108" s="867"/>
      <c r="L108" s="867"/>
      <c r="M108" s="867"/>
    </row>
    <row r="109" spans="2:13" ht="15" customHeight="1" x14ac:dyDescent="0.25">
      <c r="B109" s="866"/>
      <c r="C109" s="866"/>
      <c r="D109" s="866"/>
      <c r="E109" s="866"/>
      <c r="G109" s="867"/>
      <c r="H109" s="867"/>
      <c r="I109" s="867"/>
      <c r="J109" s="867"/>
      <c r="K109" s="867"/>
      <c r="L109" s="867"/>
      <c r="M109" s="867"/>
    </row>
    <row r="110" spans="2:13" ht="15" customHeight="1" x14ac:dyDescent="0.25">
      <c r="B110" s="866"/>
      <c r="C110" s="866"/>
      <c r="D110" s="866"/>
      <c r="E110" s="866"/>
      <c r="G110" s="867"/>
      <c r="H110" s="867"/>
      <c r="I110" s="867"/>
      <c r="J110" s="867"/>
      <c r="K110" s="867"/>
      <c r="L110" s="867"/>
      <c r="M110" s="867"/>
    </row>
    <row r="111" spans="2:13" ht="15" customHeight="1" x14ac:dyDescent="0.25">
      <c r="B111" s="866"/>
      <c r="C111" s="866"/>
      <c r="D111" s="866"/>
      <c r="E111" s="866"/>
      <c r="G111" s="867"/>
      <c r="H111" s="867"/>
      <c r="I111" s="867"/>
      <c r="J111" s="867"/>
      <c r="K111" s="867"/>
      <c r="L111" s="867"/>
      <c r="M111" s="867"/>
    </row>
    <row r="112" spans="2:13" ht="15" customHeight="1" x14ac:dyDescent="0.25">
      <c r="B112" s="866"/>
      <c r="C112" s="866"/>
      <c r="D112" s="866"/>
      <c r="E112" s="866"/>
      <c r="G112" s="867"/>
      <c r="H112" s="867"/>
      <c r="I112" s="867"/>
      <c r="J112" s="867"/>
      <c r="K112" s="867"/>
      <c r="L112" s="867"/>
      <c r="M112" s="867"/>
    </row>
    <row r="113" spans="2:13" ht="15" customHeight="1" x14ac:dyDescent="0.25">
      <c r="B113" s="866"/>
      <c r="C113" s="866"/>
      <c r="D113" s="866"/>
      <c r="E113" s="866"/>
      <c r="G113" s="867"/>
      <c r="H113" s="867"/>
      <c r="I113" s="867"/>
      <c r="J113" s="867"/>
      <c r="K113" s="867"/>
      <c r="L113" s="867"/>
      <c r="M113" s="867"/>
    </row>
    <row r="114" spans="2:13" ht="15" customHeight="1" x14ac:dyDescent="0.25">
      <c r="B114" s="866"/>
      <c r="C114" s="866"/>
      <c r="D114" s="866"/>
      <c r="E114" s="866"/>
      <c r="G114" s="867"/>
      <c r="H114" s="867"/>
      <c r="I114" s="867"/>
      <c r="J114" s="867"/>
      <c r="K114" s="867"/>
      <c r="L114" s="867"/>
      <c r="M114" s="867"/>
    </row>
    <row r="115" spans="2:13" ht="15" customHeight="1" x14ac:dyDescent="0.25">
      <c r="B115" s="866"/>
      <c r="C115" s="866"/>
      <c r="D115" s="866"/>
      <c r="E115" s="866"/>
      <c r="G115" s="867"/>
      <c r="H115" s="867"/>
      <c r="I115" s="867"/>
      <c r="J115" s="867"/>
      <c r="K115" s="867"/>
      <c r="L115" s="867"/>
      <c r="M115" s="867"/>
    </row>
    <row r="116" spans="2:13" ht="15" customHeight="1" x14ac:dyDescent="0.25">
      <c r="B116" s="866"/>
      <c r="C116" s="866"/>
      <c r="D116" s="866"/>
      <c r="E116" s="866"/>
      <c r="G116" s="867"/>
      <c r="H116" s="867"/>
      <c r="I116" s="867"/>
      <c r="J116" s="867"/>
      <c r="K116" s="867"/>
      <c r="L116" s="867"/>
      <c r="M116" s="867"/>
    </row>
    <row r="117" spans="2:13" ht="15" customHeight="1" x14ac:dyDescent="0.25">
      <c r="B117" s="866"/>
      <c r="C117" s="866"/>
      <c r="D117" s="866"/>
      <c r="E117" s="866"/>
      <c r="G117" s="867"/>
      <c r="H117" s="867"/>
      <c r="I117" s="867"/>
      <c r="J117" s="867"/>
      <c r="K117" s="867"/>
      <c r="L117" s="867"/>
      <c r="M117" s="867"/>
    </row>
    <row r="118" spans="2:13" ht="15" customHeight="1" x14ac:dyDescent="0.25">
      <c r="B118" s="866"/>
      <c r="C118" s="866"/>
      <c r="D118" s="866"/>
      <c r="E118" s="866"/>
      <c r="G118" s="867"/>
      <c r="H118" s="867"/>
      <c r="I118" s="867"/>
      <c r="J118" s="867"/>
      <c r="K118" s="867"/>
      <c r="L118" s="867"/>
      <c r="M118" s="867"/>
    </row>
    <row r="119" spans="2:13" ht="15" customHeight="1" x14ac:dyDescent="0.25">
      <c r="B119" s="866"/>
      <c r="C119" s="866"/>
      <c r="D119" s="866"/>
      <c r="E119" s="866"/>
      <c r="G119" s="867"/>
      <c r="H119" s="867"/>
      <c r="I119" s="867"/>
      <c r="J119" s="867"/>
      <c r="K119" s="867"/>
      <c r="L119" s="867"/>
      <c r="M119" s="867"/>
    </row>
    <row r="120" spans="2:13" ht="15" customHeight="1" x14ac:dyDescent="0.25">
      <c r="B120" s="866"/>
      <c r="C120" s="866"/>
      <c r="D120" s="866"/>
      <c r="E120" s="866"/>
      <c r="G120" s="867"/>
      <c r="H120" s="867"/>
      <c r="I120" s="867"/>
      <c r="J120" s="867"/>
      <c r="K120" s="867"/>
      <c r="L120" s="867"/>
      <c r="M120" s="867"/>
    </row>
    <row r="121" spans="2:13" ht="15" customHeight="1" x14ac:dyDescent="0.25">
      <c r="B121" s="866"/>
      <c r="C121" s="866"/>
      <c r="D121" s="866"/>
      <c r="E121" s="866"/>
      <c r="G121" s="867"/>
      <c r="H121" s="867"/>
      <c r="I121" s="867"/>
      <c r="J121" s="867"/>
      <c r="K121" s="867"/>
      <c r="L121" s="867"/>
      <c r="M121" s="867"/>
    </row>
    <row r="122" spans="2:13" ht="15" customHeight="1" x14ac:dyDescent="0.25">
      <c r="B122" s="866"/>
      <c r="C122" s="866"/>
      <c r="D122" s="866"/>
      <c r="E122" s="866"/>
      <c r="G122" s="867"/>
      <c r="H122" s="867"/>
      <c r="I122" s="867"/>
      <c r="J122" s="867"/>
      <c r="K122" s="867"/>
      <c r="L122" s="867"/>
      <c r="M122" s="867"/>
    </row>
    <row r="123" spans="2:13" ht="15" customHeight="1" x14ac:dyDescent="0.25">
      <c r="B123" s="866"/>
      <c r="C123" s="866"/>
      <c r="D123" s="866"/>
      <c r="E123" s="866"/>
      <c r="G123" s="867"/>
      <c r="H123" s="867"/>
      <c r="I123" s="867"/>
      <c r="J123" s="867"/>
      <c r="K123" s="867"/>
      <c r="L123" s="867"/>
      <c r="M123" s="867"/>
    </row>
    <row r="124" spans="2:13" ht="15" customHeight="1" x14ac:dyDescent="0.25">
      <c r="B124" s="866"/>
      <c r="C124" s="866"/>
      <c r="D124" s="866"/>
      <c r="E124" s="866"/>
      <c r="G124" s="867"/>
      <c r="H124" s="867"/>
      <c r="I124" s="867"/>
      <c r="J124" s="867"/>
      <c r="K124" s="867"/>
      <c r="L124" s="867"/>
      <c r="M124" s="867"/>
    </row>
    <row r="125" spans="2:13" ht="15" customHeight="1" x14ac:dyDescent="0.25">
      <c r="B125" s="866"/>
      <c r="C125" s="866"/>
      <c r="D125" s="866"/>
      <c r="E125" s="866"/>
      <c r="G125" s="867"/>
      <c r="H125" s="867"/>
      <c r="I125" s="867"/>
      <c r="J125" s="867"/>
      <c r="K125" s="867"/>
      <c r="L125" s="867"/>
      <c r="M125" s="867"/>
    </row>
    <row r="126" spans="2:13" ht="15" customHeight="1" x14ac:dyDescent="0.25">
      <c r="B126" s="866"/>
      <c r="C126" s="866"/>
      <c r="D126" s="866"/>
      <c r="E126" s="866"/>
      <c r="G126" s="867"/>
      <c r="H126" s="867"/>
      <c r="I126" s="867"/>
      <c r="J126" s="867"/>
      <c r="K126" s="867"/>
      <c r="L126" s="867"/>
      <c r="M126" s="867"/>
    </row>
    <row r="127" spans="2:13" ht="15" customHeight="1" x14ac:dyDescent="0.25">
      <c r="B127" s="866"/>
      <c r="C127" s="866"/>
      <c r="D127" s="866"/>
      <c r="E127" s="866"/>
      <c r="G127" s="867"/>
      <c r="H127" s="867"/>
      <c r="I127" s="867"/>
      <c r="J127" s="867"/>
      <c r="K127" s="867"/>
      <c r="L127" s="867"/>
      <c r="M127" s="867"/>
    </row>
    <row r="128" spans="2:13" ht="15" customHeight="1" x14ac:dyDescent="0.25">
      <c r="B128" s="866"/>
      <c r="C128" s="866"/>
      <c r="D128" s="866"/>
      <c r="E128" s="866"/>
      <c r="G128" s="867"/>
      <c r="H128" s="867"/>
      <c r="I128" s="867"/>
      <c r="J128" s="867"/>
      <c r="K128" s="867"/>
      <c r="L128" s="867"/>
      <c r="M128" s="867"/>
    </row>
    <row r="129" spans="2:13" ht="15" customHeight="1" x14ac:dyDescent="0.25">
      <c r="B129" s="866"/>
      <c r="C129" s="866"/>
      <c r="D129" s="866"/>
      <c r="E129" s="866"/>
      <c r="G129" s="867"/>
      <c r="H129" s="867"/>
      <c r="I129" s="867"/>
      <c r="J129" s="867"/>
      <c r="K129" s="867"/>
      <c r="L129" s="867"/>
      <c r="M129" s="867"/>
    </row>
    <row r="130" spans="2:13" ht="15" customHeight="1" x14ac:dyDescent="0.25">
      <c r="B130" s="866"/>
      <c r="C130" s="866"/>
      <c r="D130" s="866"/>
      <c r="E130" s="866"/>
      <c r="G130" s="867"/>
      <c r="H130" s="867"/>
      <c r="I130" s="867"/>
      <c r="J130" s="867"/>
      <c r="K130" s="867"/>
      <c r="L130" s="867"/>
      <c r="M130" s="867"/>
    </row>
    <row r="131" spans="2:13" ht="15" customHeight="1" x14ac:dyDescent="0.25">
      <c r="B131" s="866"/>
      <c r="C131" s="866"/>
      <c r="D131" s="866"/>
      <c r="E131" s="866"/>
      <c r="G131" s="867"/>
      <c r="H131" s="867"/>
      <c r="I131" s="867"/>
      <c r="J131" s="867"/>
      <c r="K131" s="867"/>
      <c r="L131" s="867"/>
      <c r="M131" s="867"/>
    </row>
    <row r="132" spans="2:13" ht="15" customHeight="1" x14ac:dyDescent="0.25">
      <c r="B132" s="866"/>
      <c r="C132" s="866"/>
      <c r="D132" s="866"/>
      <c r="E132" s="866"/>
      <c r="G132" s="867"/>
      <c r="H132" s="867"/>
      <c r="I132" s="867"/>
      <c r="J132" s="867"/>
      <c r="K132" s="867"/>
      <c r="L132" s="867"/>
      <c r="M132" s="867"/>
    </row>
    <row r="133" spans="2:13" ht="15" customHeight="1" x14ac:dyDescent="0.25">
      <c r="B133" s="866"/>
      <c r="C133" s="866"/>
      <c r="D133" s="866"/>
      <c r="E133" s="866"/>
      <c r="G133" s="867"/>
      <c r="H133" s="867"/>
      <c r="I133" s="867"/>
      <c r="J133" s="867"/>
      <c r="K133" s="867"/>
      <c r="L133" s="867"/>
      <c r="M133" s="867"/>
    </row>
    <row r="134" spans="2:13" ht="15" customHeight="1" x14ac:dyDescent="0.25">
      <c r="B134" s="866"/>
      <c r="C134" s="866"/>
      <c r="D134" s="866"/>
      <c r="E134" s="866"/>
      <c r="G134" s="867"/>
      <c r="H134" s="867"/>
      <c r="I134" s="867"/>
      <c r="J134" s="867"/>
      <c r="K134" s="867"/>
      <c r="L134" s="867"/>
      <c r="M134" s="867"/>
    </row>
    <row r="135" spans="2:13" ht="15" customHeight="1" x14ac:dyDescent="0.25">
      <c r="B135" s="866"/>
      <c r="C135" s="866"/>
      <c r="D135" s="866"/>
      <c r="E135" s="866"/>
      <c r="G135" s="867"/>
      <c r="H135" s="867"/>
      <c r="I135" s="867"/>
      <c r="J135" s="867"/>
      <c r="K135" s="867"/>
      <c r="L135" s="867"/>
      <c r="M135" s="867"/>
    </row>
    <row r="136" spans="2:13" ht="15" customHeight="1" x14ac:dyDescent="0.25">
      <c r="B136" s="866"/>
      <c r="C136" s="866"/>
      <c r="D136" s="866"/>
      <c r="E136" s="866"/>
      <c r="G136" s="867"/>
      <c r="H136" s="867"/>
      <c r="I136" s="867"/>
      <c r="J136" s="867"/>
      <c r="K136" s="867"/>
      <c r="L136" s="867"/>
      <c r="M136" s="867"/>
    </row>
    <row r="137" spans="2:13" ht="15" customHeight="1" x14ac:dyDescent="0.25">
      <c r="B137" s="866"/>
      <c r="C137" s="866"/>
      <c r="D137" s="866"/>
      <c r="E137" s="866"/>
      <c r="G137" s="867"/>
      <c r="H137" s="867"/>
      <c r="I137" s="867"/>
      <c r="J137" s="867"/>
      <c r="K137" s="867"/>
      <c r="L137" s="867"/>
      <c r="M137" s="867"/>
    </row>
    <row r="138" spans="2:13" ht="15" customHeight="1" x14ac:dyDescent="0.25">
      <c r="B138" s="866"/>
      <c r="C138" s="866"/>
      <c r="D138" s="866"/>
      <c r="E138" s="866"/>
      <c r="G138" s="867"/>
      <c r="H138" s="867"/>
      <c r="I138" s="867"/>
      <c r="J138" s="867"/>
      <c r="K138" s="867"/>
      <c r="L138" s="867"/>
      <c r="M138" s="867"/>
    </row>
    <row r="139" spans="2:13" ht="15" customHeight="1" x14ac:dyDescent="0.25">
      <c r="B139" s="866"/>
      <c r="C139" s="866"/>
      <c r="D139" s="866"/>
      <c r="E139" s="866"/>
      <c r="G139" s="867"/>
      <c r="H139" s="867"/>
      <c r="I139" s="867"/>
      <c r="J139" s="867"/>
      <c r="K139" s="867"/>
      <c r="L139" s="867"/>
      <c r="M139" s="867"/>
    </row>
    <row r="140" spans="2:13" ht="15" customHeight="1" x14ac:dyDescent="0.25">
      <c r="B140" s="866"/>
      <c r="C140" s="866"/>
      <c r="D140" s="866"/>
      <c r="E140" s="866"/>
      <c r="G140" s="867"/>
      <c r="H140" s="867"/>
      <c r="I140" s="867"/>
      <c r="J140" s="867"/>
      <c r="K140" s="867"/>
      <c r="L140" s="867"/>
      <c r="M140" s="867"/>
    </row>
    <row r="141" spans="2:13" ht="15" customHeight="1" x14ac:dyDescent="0.25">
      <c r="B141" s="866"/>
      <c r="C141" s="866"/>
      <c r="D141" s="866"/>
      <c r="E141" s="866"/>
      <c r="G141" s="867"/>
      <c r="H141" s="867"/>
      <c r="I141" s="867"/>
      <c r="J141" s="867"/>
      <c r="K141" s="867"/>
      <c r="L141" s="867"/>
      <c r="M141" s="867"/>
    </row>
    <row r="142" spans="2:13" ht="15" customHeight="1" x14ac:dyDescent="0.25">
      <c r="B142" s="866"/>
      <c r="C142" s="866"/>
      <c r="D142" s="866"/>
      <c r="E142" s="866"/>
      <c r="G142" s="867"/>
      <c r="H142" s="867"/>
      <c r="I142" s="867"/>
      <c r="J142" s="867"/>
      <c r="K142" s="867"/>
      <c r="L142" s="867"/>
      <c r="M142" s="867"/>
    </row>
    <row r="143" spans="2:13" ht="15" customHeight="1" x14ac:dyDescent="0.25">
      <c r="B143" s="866"/>
      <c r="C143" s="866"/>
      <c r="D143" s="866"/>
      <c r="E143" s="866"/>
      <c r="G143" s="867"/>
      <c r="H143" s="867"/>
      <c r="I143" s="867"/>
      <c r="J143" s="867"/>
      <c r="K143" s="867"/>
      <c r="L143" s="867"/>
      <c r="M143" s="867"/>
    </row>
    <row r="144" spans="2:13" ht="15" customHeight="1" x14ac:dyDescent="0.25">
      <c r="B144" s="866"/>
      <c r="C144" s="866"/>
      <c r="D144" s="866"/>
      <c r="E144" s="866"/>
      <c r="G144" s="867"/>
      <c r="H144" s="867"/>
      <c r="I144" s="867"/>
      <c r="J144" s="867"/>
      <c r="K144" s="867"/>
      <c r="L144" s="867"/>
      <c r="M144" s="867"/>
    </row>
    <row r="145" spans="2:13" ht="15" customHeight="1" x14ac:dyDescent="0.25">
      <c r="B145" s="866"/>
      <c r="C145" s="866"/>
      <c r="D145" s="866"/>
      <c r="E145" s="866"/>
      <c r="G145" s="867"/>
      <c r="H145" s="867"/>
      <c r="I145" s="867"/>
      <c r="J145" s="867"/>
      <c r="K145" s="867"/>
      <c r="L145" s="867"/>
      <c r="M145" s="867"/>
    </row>
    <row r="146" spans="2:13" ht="15" customHeight="1" x14ac:dyDescent="0.25">
      <c r="B146" s="866"/>
      <c r="C146" s="866"/>
      <c r="D146" s="866"/>
      <c r="E146" s="866"/>
      <c r="G146" s="867"/>
      <c r="H146" s="867"/>
      <c r="I146" s="867"/>
      <c r="J146" s="867"/>
      <c r="K146" s="867"/>
      <c r="L146" s="867"/>
      <c r="M146" s="867"/>
    </row>
    <row r="147" spans="2:13" ht="15" customHeight="1" x14ac:dyDescent="0.25">
      <c r="B147" s="866"/>
      <c r="C147" s="866"/>
      <c r="D147" s="866"/>
      <c r="E147" s="866"/>
      <c r="G147" s="867"/>
      <c r="H147" s="867"/>
      <c r="I147" s="867"/>
      <c r="J147" s="867"/>
      <c r="K147" s="867"/>
      <c r="L147" s="867"/>
      <c r="M147" s="867"/>
    </row>
    <row r="148" spans="2:13" ht="15" customHeight="1" x14ac:dyDescent="0.25">
      <c r="B148" s="866"/>
      <c r="C148" s="866"/>
      <c r="D148" s="866"/>
      <c r="E148" s="866"/>
      <c r="G148" s="867"/>
      <c r="H148" s="867"/>
      <c r="I148" s="867"/>
      <c r="J148" s="867"/>
      <c r="K148" s="867"/>
      <c r="L148" s="867"/>
      <c r="M148" s="867"/>
    </row>
    <row r="149" spans="2:13" ht="15" customHeight="1" x14ac:dyDescent="0.25">
      <c r="B149" s="866"/>
      <c r="C149" s="866"/>
      <c r="D149" s="866"/>
      <c r="E149" s="866"/>
      <c r="G149" s="867"/>
      <c r="H149" s="867"/>
      <c r="I149" s="867"/>
      <c r="J149" s="867"/>
      <c r="K149" s="867"/>
      <c r="L149" s="867"/>
      <c r="M149" s="867"/>
    </row>
    <row r="150" spans="2:13" ht="15" customHeight="1" x14ac:dyDescent="0.25">
      <c r="B150" s="866"/>
      <c r="C150" s="866"/>
      <c r="D150" s="866"/>
      <c r="E150" s="866"/>
      <c r="G150" s="867"/>
      <c r="H150" s="867"/>
      <c r="I150" s="867"/>
      <c r="J150" s="867"/>
      <c r="K150" s="867"/>
      <c r="L150" s="867"/>
      <c r="M150" s="867"/>
    </row>
    <row r="151" spans="2:13" ht="15" customHeight="1" x14ac:dyDescent="0.25">
      <c r="B151" s="866"/>
      <c r="C151" s="866"/>
      <c r="D151" s="866"/>
      <c r="E151" s="866"/>
      <c r="G151" s="867"/>
      <c r="H151" s="867"/>
      <c r="I151" s="867"/>
      <c r="J151" s="867"/>
      <c r="K151" s="867"/>
      <c r="L151" s="867"/>
      <c r="M151" s="867"/>
    </row>
    <row r="152" spans="2:13" ht="15" customHeight="1" x14ac:dyDescent="0.25">
      <c r="B152" s="866"/>
      <c r="C152" s="866"/>
      <c r="D152" s="866"/>
      <c r="E152" s="866"/>
      <c r="G152" s="867"/>
      <c r="H152" s="867"/>
      <c r="I152" s="867"/>
      <c r="J152" s="867"/>
      <c r="K152" s="867"/>
      <c r="L152" s="867"/>
      <c r="M152" s="867"/>
    </row>
    <row r="153" spans="2:13" ht="15" customHeight="1" x14ac:dyDescent="0.25">
      <c r="B153" s="866"/>
      <c r="C153" s="866"/>
      <c r="D153" s="866"/>
      <c r="E153" s="866"/>
      <c r="G153" s="867"/>
      <c r="H153" s="867"/>
      <c r="I153" s="867"/>
      <c r="J153" s="867"/>
      <c r="K153" s="867"/>
      <c r="L153" s="867"/>
      <c r="M153" s="867"/>
    </row>
    <row r="154" spans="2:13" ht="15" customHeight="1" x14ac:dyDescent="0.25">
      <c r="B154" s="866"/>
      <c r="C154" s="866"/>
      <c r="D154" s="866"/>
      <c r="E154" s="866"/>
      <c r="G154" s="867"/>
      <c r="H154" s="867"/>
      <c r="I154" s="867"/>
      <c r="J154" s="867"/>
      <c r="K154" s="867"/>
      <c r="L154" s="867"/>
      <c r="M154" s="867"/>
    </row>
    <row r="155" spans="2:13" ht="15" customHeight="1" x14ac:dyDescent="0.25">
      <c r="B155" s="866"/>
      <c r="C155" s="866"/>
      <c r="D155" s="866"/>
      <c r="E155" s="866"/>
      <c r="G155" s="867"/>
      <c r="H155" s="867"/>
      <c r="I155" s="867"/>
      <c r="J155" s="867"/>
      <c r="K155" s="867"/>
      <c r="L155" s="867"/>
      <c r="M155" s="867"/>
    </row>
    <row r="156" spans="2:13" ht="15" customHeight="1" x14ac:dyDescent="0.25">
      <c r="B156" s="866"/>
      <c r="C156" s="866"/>
      <c r="D156" s="866"/>
      <c r="E156" s="866"/>
      <c r="G156" s="867"/>
      <c r="H156" s="867"/>
      <c r="I156" s="867"/>
      <c r="J156" s="867"/>
      <c r="K156" s="867"/>
      <c r="L156" s="867"/>
      <c r="M156" s="867"/>
    </row>
    <row r="157" spans="2:13" ht="15" customHeight="1" x14ac:dyDescent="0.25">
      <c r="B157" s="866"/>
      <c r="C157" s="866"/>
      <c r="D157" s="866"/>
      <c r="E157" s="866"/>
      <c r="G157" s="867"/>
      <c r="H157" s="867"/>
      <c r="I157" s="867"/>
      <c r="J157" s="867"/>
      <c r="K157" s="867"/>
      <c r="L157" s="867"/>
      <c r="M157" s="867"/>
    </row>
    <row r="158" spans="2:13" ht="15" customHeight="1" x14ac:dyDescent="0.25">
      <c r="B158" s="866"/>
      <c r="C158" s="866"/>
      <c r="D158" s="866"/>
      <c r="E158" s="866"/>
      <c r="G158" s="867"/>
      <c r="H158" s="867"/>
      <c r="I158" s="867"/>
      <c r="J158" s="867"/>
      <c r="K158" s="867"/>
      <c r="L158" s="867"/>
      <c r="M158" s="867"/>
    </row>
    <row r="159" spans="2:13" ht="15" customHeight="1" x14ac:dyDescent="0.25">
      <c r="B159" s="866"/>
      <c r="C159" s="866"/>
      <c r="D159" s="866"/>
      <c r="E159" s="866"/>
      <c r="G159" s="867"/>
      <c r="H159" s="867"/>
      <c r="I159" s="867"/>
      <c r="J159" s="867"/>
      <c r="K159" s="867"/>
      <c r="L159" s="867"/>
      <c r="M159" s="867"/>
    </row>
    <row r="160" spans="2:13" ht="15" customHeight="1" x14ac:dyDescent="0.25">
      <c r="B160" s="866"/>
      <c r="C160" s="866"/>
      <c r="D160" s="866"/>
      <c r="E160" s="866"/>
      <c r="G160" s="867"/>
      <c r="H160" s="867"/>
      <c r="I160" s="867"/>
      <c r="J160" s="867"/>
      <c r="K160" s="867"/>
      <c r="L160" s="867"/>
      <c r="M160" s="867"/>
    </row>
  </sheetData>
  <pageMargins left="0.51181102362204722" right="0.51181102362204722" top="0.74803149606299213" bottom="0.74803149606299213" header="0.31496062992125984" footer="0.31496062992125984"/>
  <pageSetup paperSize="9" scale="23" orientation="landscape" r:id="rId1"/>
  <headerFooter>
    <oddHeader>&amp;L&amp;F    &amp;&amp;&amp;A&amp;C
&amp;D&amp;RPage &amp;P of &amp;N</oddHeader>
  </headerFooter>
  <drawing r:id="rId2"/>
  <legacy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
  <sheetViews>
    <sheetView zoomScale="120" zoomScaleNormal="120" workbookViewId="0">
      <selection activeCell="G29" sqref="G29"/>
    </sheetView>
  </sheetViews>
  <sheetFormatPr defaultRowHeight="15"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pageSetUpPr fitToPage="1"/>
  </sheetPr>
  <dimension ref="B1:Y163"/>
  <sheetViews>
    <sheetView topLeftCell="B4" zoomScale="80" zoomScaleNormal="80" workbookViewId="0">
      <selection activeCell="M19" sqref="M19:Q19"/>
    </sheetView>
  </sheetViews>
  <sheetFormatPr defaultRowHeight="15" x14ac:dyDescent="0.25"/>
  <cols>
    <col min="1" max="1" width="2" customWidth="1"/>
    <col min="2" max="2" width="3.140625" customWidth="1"/>
    <col min="5" max="5" width="27.5703125" customWidth="1"/>
    <col min="6" max="6" width="4" customWidth="1"/>
    <col min="9" max="9" width="3" customWidth="1"/>
    <col min="13" max="13" width="11.42578125" bestFit="1" customWidth="1"/>
  </cols>
  <sheetData>
    <row r="1" spans="2:25" ht="18" x14ac:dyDescent="0.25">
      <c r="B1" s="868" t="s">
        <v>1090</v>
      </c>
      <c r="C1" s="869"/>
      <c r="D1" s="869"/>
      <c r="E1" s="869"/>
      <c r="F1" s="870"/>
      <c r="G1" s="870"/>
      <c r="H1" s="870"/>
      <c r="I1" s="870"/>
      <c r="J1" s="870"/>
      <c r="K1" s="870"/>
    </row>
    <row r="2" spans="2:25" ht="18.75" x14ac:dyDescent="0.25">
      <c r="B2" s="871" t="s">
        <v>1176</v>
      </c>
      <c r="C2" s="869"/>
      <c r="D2" s="869"/>
      <c r="E2" s="869"/>
      <c r="F2" s="870"/>
      <c r="G2" s="870"/>
      <c r="H2" s="870"/>
      <c r="I2" s="870"/>
      <c r="J2" s="870"/>
      <c r="K2" s="870"/>
    </row>
    <row r="3" spans="2:25" ht="18" x14ac:dyDescent="0.25">
      <c r="B3" s="872"/>
      <c r="C3" s="869"/>
      <c r="D3" s="869"/>
      <c r="E3" s="869"/>
      <c r="F3" s="870"/>
      <c r="G3" s="870"/>
      <c r="H3" s="870"/>
      <c r="I3" s="870"/>
      <c r="J3" s="870"/>
      <c r="K3" s="870"/>
    </row>
    <row r="4" spans="2:25" ht="20.25" x14ac:dyDescent="0.25">
      <c r="B4" s="873" t="s">
        <v>1092</v>
      </c>
      <c r="C4" s="869"/>
      <c r="D4" s="874"/>
      <c r="E4" s="761" t="s">
        <v>1093</v>
      </c>
      <c r="F4" s="870"/>
      <c r="G4" s="875"/>
      <c r="H4" s="870"/>
      <c r="I4" s="870"/>
      <c r="J4" s="870"/>
      <c r="K4" s="876"/>
    </row>
    <row r="5" spans="2:25" ht="18.75" thickBot="1" x14ac:dyDescent="0.3">
      <c r="B5" s="877"/>
      <c r="C5" s="869"/>
      <c r="D5" s="869"/>
      <c r="E5" s="869"/>
      <c r="F5" s="870"/>
      <c r="G5" s="870"/>
      <c r="H5" s="870"/>
      <c r="I5" s="870"/>
      <c r="J5" s="870"/>
      <c r="K5" s="878"/>
    </row>
    <row r="6" spans="2:25" x14ac:dyDescent="0.25">
      <c r="B6" s="879" t="s">
        <v>1177</v>
      </c>
      <c r="C6" s="880"/>
      <c r="D6" s="880"/>
      <c r="E6" s="880"/>
      <c r="F6" s="881"/>
      <c r="G6" s="882"/>
      <c r="H6" s="883"/>
      <c r="I6" s="884"/>
      <c r="J6" s="885"/>
      <c r="K6" s="886"/>
      <c r="M6">
        <v>2012</v>
      </c>
      <c r="N6">
        <v>2013</v>
      </c>
      <c r="O6">
        <v>2014</v>
      </c>
      <c r="P6">
        <v>2015</v>
      </c>
      <c r="Q6">
        <v>2016</v>
      </c>
    </row>
    <row r="7" spans="2:25" ht="15.75" thickBot="1" x14ac:dyDescent="0.3">
      <c r="B7" s="887"/>
      <c r="C7" s="869"/>
      <c r="D7" s="869"/>
      <c r="E7" s="869"/>
      <c r="F7" s="888"/>
      <c r="G7" s="889"/>
      <c r="H7" s="890"/>
      <c r="I7" s="878"/>
      <c r="J7" s="891"/>
      <c r="K7" s="892"/>
      <c r="M7" s="1064">
        <f>+(((Asset_2012_Table!H9)/1000)/M9)*1000/10</f>
        <v>1.2741032498101748</v>
      </c>
    </row>
    <row r="8" spans="2:25" ht="15.75" thickBot="1" x14ac:dyDescent="0.3">
      <c r="B8" s="887"/>
      <c r="C8" s="893" t="s">
        <v>1178</v>
      </c>
      <c r="D8" s="869"/>
      <c r="E8" s="894"/>
      <c r="F8" s="888" t="s">
        <v>1103</v>
      </c>
      <c r="G8" s="895">
        <v>1212</v>
      </c>
      <c r="H8" s="890"/>
      <c r="I8" s="878"/>
      <c r="J8" s="896"/>
      <c r="K8" s="892"/>
      <c r="M8" s="895">
        <f>+(((Asset_2012_Table!$H9)/1000)/M9)*1000000/10</f>
        <v>1274.1032498101747</v>
      </c>
      <c r="N8" s="895">
        <f>+(((Asset_2013_Table!$H9)/1000)/N9)*1000000/10</f>
        <v>1212.4079347000757</v>
      </c>
      <c r="O8" s="895">
        <f>+(((Asset_2014_Table!$H9)/1000)/O9)*1000000/10</f>
        <v>1213.6078435839029</v>
      </c>
      <c r="P8" s="895">
        <f>+(((Asset_2015_Table!$H9)/1000)/P9)*1000000/10</f>
        <v>1215.907668944571</v>
      </c>
      <c r="Q8" s="895"/>
    </row>
    <row r="9" spans="2:25" ht="15.75" thickBot="1" x14ac:dyDescent="0.3">
      <c r="B9" s="887"/>
      <c r="C9" s="893" t="s">
        <v>1179</v>
      </c>
      <c r="D9" s="869"/>
      <c r="E9" s="894"/>
      <c r="F9" s="888" t="s">
        <v>1110</v>
      </c>
      <c r="G9" s="897">
        <v>2634</v>
      </c>
      <c r="H9" s="890"/>
      <c r="I9" s="878"/>
      <c r="J9" s="896"/>
      <c r="K9" s="892"/>
      <c r="M9" s="897">
        <v>2634</v>
      </c>
      <c r="N9" s="897">
        <v>2634</v>
      </c>
      <c r="O9" s="897">
        <v>2634</v>
      </c>
      <c r="P9" s="897">
        <v>2634</v>
      </c>
      <c r="Q9" s="897">
        <v>2634</v>
      </c>
    </row>
    <row r="10" spans="2:25" ht="15.75" thickBot="1" x14ac:dyDescent="0.3">
      <c r="B10" s="887"/>
      <c r="C10" s="893" t="s">
        <v>1180</v>
      </c>
      <c r="D10" s="869"/>
      <c r="E10" s="894"/>
      <c r="F10" s="888" t="s">
        <v>1114</v>
      </c>
      <c r="G10" s="898">
        <f>(G8/1000000)*G9*10</f>
        <v>31.92408</v>
      </c>
      <c r="H10" s="899" t="s">
        <v>1181</v>
      </c>
      <c r="I10" s="878"/>
      <c r="J10" s="896"/>
      <c r="K10" s="892"/>
      <c r="M10" s="898">
        <f>(M8/1000000)*M9*10</f>
        <v>33.559879600000002</v>
      </c>
      <c r="N10" s="898">
        <f t="shared" ref="N10:Q10" si="0">(N8/1000000)*N9*10</f>
        <v>31.934824999999989</v>
      </c>
      <c r="O10" s="898">
        <f t="shared" si="0"/>
        <v>31.966430599999999</v>
      </c>
      <c r="P10" s="898">
        <f t="shared" si="0"/>
        <v>32.027008000000002</v>
      </c>
      <c r="Q10" s="898">
        <f t="shared" si="0"/>
        <v>0</v>
      </c>
    </row>
    <row r="11" spans="2:25" ht="15.75" thickBot="1" x14ac:dyDescent="0.3">
      <c r="B11" s="887"/>
      <c r="C11" s="900"/>
      <c r="D11" s="869"/>
      <c r="E11" s="869"/>
      <c r="F11" s="901"/>
      <c r="G11" s="870"/>
      <c r="H11" s="890"/>
      <c r="I11" s="878"/>
      <c r="J11" s="878"/>
      <c r="K11" s="892"/>
      <c r="M11" s="870"/>
    </row>
    <row r="12" spans="2:25" ht="15.75" thickBot="1" x14ac:dyDescent="0.3">
      <c r="B12" s="902"/>
      <c r="C12" s="869" t="s">
        <v>669</v>
      </c>
      <c r="D12" s="869"/>
      <c r="E12" s="869"/>
      <c r="F12" s="903" t="s">
        <v>1117</v>
      </c>
      <c r="G12" s="904">
        <v>9.51</v>
      </c>
      <c r="H12" s="899"/>
      <c r="I12" s="878"/>
      <c r="J12" s="899"/>
      <c r="K12" s="892"/>
      <c r="M12" s="904"/>
      <c r="S12" s="232" t="s">
        <v>1335</v>
      </c>
      <c r="T12" s="232"/>
      <c r="W12" s="905" t="s">
        <v>1182</v>
      </c>
      <c r="X12" s="232"/>
      <c r="Y12" s="232"/>
    </row>
    <row r="13" spans="2:25" ht="15.75" thickBot="1" x14ac:dyDescent="0.3">
      <c r="B13" s="887"/>
      <c r="C13" s="869"/>
      <c r="D13" s="869"/>
      <c r="E13" s="869"/>
      <c r="F13" s="901"/>
      <c r="G13" s="906"/>
      <c r="H13" s="890"/>
      <c r="I13" s="878"/>
      <c r="J13" s="899"/>
      <c r="K13" s="892"/>
      <c r="M13" s="906"/>
    </row>
    <row r="14" spans="2:25" ht="15.75" thickBot="1" x14ac:dyDescent="0.3">
      <c r="B14" s="887"/>
      <c r="C14" s="869" t="s">
        <v>670</v>
      </c>
      <c r="D14" s="869"/>
      <c r="E14" s="869"/>
      <c r="F14" s="901" t="s">
        <v>1122</v>
      </c>
      <c r="G14" s="907">
        <v>71</v>
      </c>
      <c r="H14" s="890"/>
      <c r="I14" s="878"/>
      <c r="J14" s="889"/>
      <c r="K14" s="892"/>
      <c r="M14" s="907"/>
      <c r="S14" s="232" t="s">
        <v>1335</v>
      </c>
      <c r="T14" s="232"/>
      <c r="W14" s="633" t="s">
        <v>1097</v>
      </c>
    </row>
    <row r="15" spans="2:25" ht="15.75" thickBot="1" x14ac:dyDescent="0.3">
      <c r="B15" s="887"/>
      <c r="C15" s="869"/>
      <c r="D15" s="869"/>
      <c r="E15" s="869"/>
      <c r="F15" s="901"/>
      <c r="G15" s="908"/>
      <c r="H15" s="890"/>
      <c r="I15" s="878"/>
      <c r="J15" s="889"/>
      <c r="K15" s="892"/>
      <c r="M15" s="908"/>
    </row>
    <row r="16" spans="2:25" ht="15.75" thickBot="1" x14ac:dyDescent="0.3">
      <c r="B16" s="887"/>
      <c r="C16" s="869" t="s">
        <v>1183</v>
      </c>
      <c r="D16" s="869"/>
      <c r="E16" s="869"/>
      <c r="F16" s="878" t="s">
        <v>1126</v>
      </c>
      <c r="G16" s="907">
        <v>71</v>
      </c>
      <c r="H16" s="909"/>
      <c r="I16" s="878"/>
      <c r="J16" s="889"/>
      <c r="K16" s="910"/>
      <c r="M16" s="907"/>
      <c r="S16" s="232" t="s">
        <v>1335</v>
      </c>
      <c r="T16" s="232"/>
      <c r="W16" s="633" t="s">
        <v>1097</v>
      </c>
    </row>
    <row r="17" spans="2:25" ht="15.75" thickBot="1" x14ac:dyDescent="0.3">
      <c r="B17" s="887"/>
      <c r="C17" s="869"/>
      <c r="D17" s="869"/>
      <c r="E17" s="869"/>
      <c r="F17" s="901"/>
      <c r="G17" s="906"/>
      <c r="H17" s="890"/>
      <c r="I17" s="878"/>
      <c r="J17" s="889"/>
      <c r="K17" s="892"/>
      <c r="M17" s="906"/>
    </row>
    <row r="18" spans="2:25" ht="15.75" thickBot="1" x14ac:dyDescent="0.3">
      <c r="B18" s="887"/>
      <c r="C18" s="911" t="s">
        <v>1184</v>
      </c>
      <c r="D18" s="869"/>
      <c r="E18" s="869"/>
      <c r="F18" s="901" t="s">
        <v>1132</v>
      </c>
      <c r="G18" s="898">
        <f>G12+G14-G16</f>
        <v>9.5100000000000051</v>
      </c>
      <c r="H18" s="899" t="s">
        <v>1185</v>
      </c>
      <c r="I18" s="912"/>
      <c r="J18" s="889"/>
      <c r="K18" s="910"/>
      <c r="M18" s="1065">
        <f>+((Asset_2012_Table!$J9)-(Asset_2012_Table!$J16))/1000</f>
        <v>10.809115200000001</v>
      </c>
      <c r="N18" s="1065">
        <f>+((Asset_2013_Table!$J9)-(Asset_2013_Table!$J16))/1000</f>
        <v>9.4790461999999938</v>
      </c>
      <c r="O18" s="1065">
        <f>+((Asset_2014_Table!$J9)-(Asset_2014_Table!$J16))/1000</f>
        <v>11.075129</v>
      </c>
      <c r="P18" s="1065">
        <f>+((Asset_2015_Table!$J9)-(Asset_2015_Table!$J16))/1000</f>
        <v>10.406143800000002</v>
      </c>
      <c r="Q18" s="1065"/>
      <c r="S18" s="1643">
        <f>AVERAGE(M18:P18)</f>
        <v>10.442358549999998</v>
      </c>
      <c r="T18" t="s">
        <v>1736</v>
      </c>
      <c r="W18" s="633" t="s">
        <v>1097</v>
      </c>
    </row>
    <row r="19" spans="2:25" ht="15.75" thickBot="1" x14ac:dyDescent="0.3">
      <c r="B19" s="913"/>
      <c r="C19" s="914"/>
      <c r="D19" s="914"/>
      <c r="E19" s="914"/>
      <c r="F19" s="915"/>
      <c r="G19" s="916"/>
      <c r="H19" s="917"/>
      <c r="I19" s="918"/>
      <c r="J19" s="919"/>
      <c r="K19" s="920"/>
      <c r="M19" s="1644">
        <f>+M18/$S18</f>
        <v>1.0351220127372474</v>
      </c>
      <c r="N19" s="1644">
        <f t="shared" ref="N19:S19" si="1">+N18/$S18</f>
        <v>0.90774954284633291</v>
      </c>
      <c r="O19" s="1644">
        <f t="shared" si="1"/>
        <v>1.0605965067154299</v>
      </c>
      <c r="P19" s="1644">
        <f t="shared" si="1"/>
        <v>0.99653193770099036</v>
      </c>
      <c r="Q19" s="1644">
        <f t="shared" si="1"/>
        <v>0</v>
      </c>
      <c r="R19" s="1644"/>
      <c r="S19" s="1644">
        <f t="shared" si="1"/>
        <v>1</v>
      </c>
      <c r="T19" s="1643"/>
      <c r="U19" s="1643"/>
      <c r="V19" s="1643"/>
      <c r="W19" s="1643"/>
      <c r="X19" s="1643"/>
      <c r="Y19" s="1643"/>
    </row>
    <row r="20" spans="2:25" x14ac:dyDescent="0.25">
      <c r="B20" s="921" t="s">
        <v>1186</v>
      </c>
      <c r="C20" s="880"/>
      <c r="D20" s="880"/>
      <c r="E20" s="880"/>
      <c r="F20" s="922"/>
      <c r="G20" s="923" t="s">
        <v>3</v>
      </c>
      <c r="H20" s="924"/>
      <c r="I20" s="925"/>
      <c r="J20" s="923" t="s">
        <v>1187</v>
      </c>
      <c r="K20" s="926"/>
      <c r="M20" s="923" t="s">
        <v>3</v>
      </c>
    </row>
    <row r="21" spans="2:25" x14ac:dyDescent="0.25">
      <c r="B21" s="927"/>
      <c r="C21" s="869"/>
      <c r="D21" s="869"/>
      <c r="E21" s="869"/>
      <c r="F21" s="901"/>
      <c r="G21" s="928"/>
      <c r="H21" s="890"/>
      <c r="I21" s="878"/>
      <c r="J21" s="928"/>
      <c r="K21" s="892"/>
      <c r="M21" s="928"/>
    </row>
    <row r="22" spans="2:25" ht="15.75" thickBot="1" x14ac:dyDescent="0.3">
      <c r="B22" s="929" t="s">
        <v>1072</v>
      </c>
      <c r="C22" s="870"/>
      <c r="D22" s="869"/>
      <c r="E22" s="869"/>
      <c r="F22" s="901"/>
      <c r="G22" s="928"/>
      <c r="H22" s="890"/>
      <c r="I22" s="878"/>
      <c r="J22" s="928"/>
      <c r="K22" s="892"/>
      <c r="M22" s="928"/>
    </row>
    <row r="23" spans="2:25" ht="15.75" thickBot="1" x14ac:dyDescent="0.3">
      <c r="B23" s="887"/>
      <c r="C23" s="870"/>
      <c r="D23" s="930" t="s">
        <v>1188</v>
      </c>
      <c r="E23" s="870"/>
      <c r="F23" s="901"/>
      <c r="G23" s="931">
        <v>3.8</v>
      </c>
      <c r="H23" s="932"/>
      <c r="I23" s="878"/>
      <c r="J23" s="928"/>
      <c r="K23" s="892"/>
      <c r="M23" s="931">
        <f>+(Asset_2012_Table!$H10)/1000</f>
        <v>0.8502026760000001</v>
      </c>
      <c r="N23" s="931">
        <f>+(Asset_2013_Table!$H10)/1000</f>
        <v>0.8502026760000001</v>
      </c>
      <c r="O23" s="931">
        <f>+(Asset_2014_Table!$H10)/1000</f>
        <v>0.8502026760000001</v>
      </c>
      <c r="P23" s="931">
        <f>+(Asset_2015_Table!$H10)/1000</f>
        <v>0.8502026760000001</v>
      </c>
      <c r="Q23" s="931"/>
    </row>
    <row r="24" spans="2:25" ht="15.75" thickBot="1" x14ac:dyDescent="0.3">
      <c r="B24" s="887"/>
      <c r="C24" s="870"/>
      <c r="D24" s="870"/>
      <c r="E24" s="933" t="s">
        <v>1189</v>
      </c>
      <c r="F24" s="901"/>
      <c r="G24" s="934"/>
      <c r="H24" s="935"/>
      <c r="I24" s="878" t="s">
        <v>1139</v>
      </c>
      <c r="J24" s="907">
        <v>3.8</v>
      </c>
      <c r="K24" s="936"/>
      <c r="M24" s="907">
        <f>+(Asset_2012_Table!$K10)/1000</f>
        <v>0.8502026760000001</v>
      </c>
      <c r="N24" s="907">
        <f>+(Asset_2013_Table!$K10)/1000</f>
        <v>0.8502026760000001</v>
      </c>
      <c r="O24" s="907">
        <f>+(Asset_2014_Table!$K10)/1000</f>
        <v>0.8502026760000001</v>
      </c>
      <c r="P24" s="907">
        <f>+(Asset_2015_Table!$K10)/1000</f>
        <v>0.8502026760000001</v>
      </c>
      <c r="Q24" s="907"/>
    </row>
    <row r="25" spans="2:25" ht="15.75" thickBot="1" x14ac:dyDescent="0.3">
      <c r="B25" s="887"/>
      <c r="C25" s="870"/>
      <c r="D25" s="870"/>
      <c r="E25" s="933" t="s">
        <v>1190</v>
      </c>
      <c r="F25" s="901"/>
      <c r="G25" s="870"/>
      <c r="H25" s="935"/>
      <c r="I25" s="888"/>
      <c r="J25" s="937">
        <v>0</v>
      </c>
      <c r="K25" s="938"/>
      <c r="M25" s="937">
        <v>0</v>
      </c>
      <c r="N25" s="937">
        <v>0</v>
      </c>
      <c r="O25" s="937">
        <v>0</v>
      </c>
      <c r="P25" s="937">
        <v>0</v>
      </c>
      <c r="Q25" s="937"/>
    </row>
    <row r="26" spans="2:25" ht="15.75" thickBot="1" x14ac:dyDescent="0.3">
      <c r="B26" s="887"/>
      <c r="C26" s="870"/>
      <c r="D26" s="870"/>
      <c r="E26" s="933" t="s">
        <v>1191</v>
      </c>
      <c r="F26" s="901"/>
      <c r="G26" s="870"/>
      <c r="H26" s="935"/>
      <c r="I26" s="878" t="s">
        <v>1146</v>
      </c>
      <c r="J26" s="939">
        <v>0</v>
      </c>
      <c r="K26" s="938"/>
      <c r="M26" s="939">
        <v>0</v>
      </c>
      <c r="N26" s="939">
        <v>0</v>
      </c>
      <c r="O26" s="939">
        <v>0</v>
      </c>
      <c r="P26" s="939">
        <v>0</v>
      </c>
      <c r="Q26" s="939"/>
    </row>
    <row r="27" spans="2:25" ht="15.75" thickBot="1" x14ac:dyDescent="0.3">
      <c r="B27" s="887"/>
      <c r="C27" s="870"/>
      <c r="D27" s="869" t="s">
        <v>1192</v>
      </c>
      <c r="E27" s="933"/>
      <c r="F27" s="901"/>
      <c r="G27" s="931">
        <v>0</v>
      </c>
      <c r="H27" s="935"/>
      <c r="I27" s="878" t="s">
        <v>1148</v>
      </c>
      <c r="J27" s="931">
        <v>0</v>
      </c>
      <c r="K27" s="938"/>
      <c r="M27" s="931">
        <v>0</v>
      </c>
      <c r="N27" s="931">
        <v>0</v>
      </c>
      <c r="O27" s="931">
        <v>0</v>
      </c>
      <c r="P27" s="931">
        <v>0</v>
      </c>
      <c r="Q27" s="931"/>
    </row>
    <row r="28" spans="2:25" ht="15.75" thickBot="1" x14ac:dyDescent="0.3">
      <c r="B28" s="887"/>
      <c r="C28" s="869" t="s">
        <v>1193</v>
      </c>
      <c r="D28" s="870"/>
      <c r="E28" s="933"/>
      <c r="F28" s="870"/>
      <c r="G28" s="940"/>
      <c r="H28" s="935"/>
      <c r="I28" s="878" t="s">
        <v>1150</v>
      </c>
      <c r="J28" s="898">
        <f>J24+J26+J27</f>
        <v>3.8</v>
      </c>
      <c r="K28" s="910" t="s">
        <v>1194</v>
      </c>
      <c r="M28" s="898">
        <f>M24+M26+M27</f>
        <v>0.8502026760000001</v>
      </c>
      <c r="N28" s="898">
        <f t="shared" ref="N28:P28" si="2">N24+N26+N27</f>
        <v>0.8502026760000001</v>
      </c>
      <c r="O28" s="898">
        <f t="shared" si="2"/>
        <v>0.8502026760000001</v>
      </c>
      <c r="P28" s="898">
        <f t="shared" si="2"/>
        <v>0.8502026760000001</v>
      </c>
      <c r="Q28" s="898"/>
    </row>
    <row r="29" spans="2:25" ht="15.75" thickBot="1" x14ac:dyDescent="0.3">
      <c r="B29" s="941"/>
      <c r="C29" s="942"/>
      <c r="D29" s="943"/>
      <c r="E29" s="943"/>
      <c r="F29" s="901"/>
      <c r="G29" s="942"/>
      <c r="H29" s="890"/>
      <c r="I29" s="878"/>
      <c r="J29" s="942"/>
      <c r="K29" s="892"/>
    </row>
    <row r="30" spans="2:25" ht="15.75" thickBot="1" x14ac:dyDescent="0.3">
      <c r="B30" s="887"/>
      <c r="C30" s="870"/>
      <c r="D30" s="911" t="s">
        <v>1195</v>
      </c>
      <c r="E30" s="870"/>
      <c r="F30" s="901"/>
      <c r="G30" s="931">
        <v>6.1449999999999996</v>
      </c>
      <c r="H30" s="890"/>
      <c r="I30" s="878"/>
      <c r="J30" s="944"/>
      <c r="K30" s="892"/>
      <c r="M30" s="931">
        <f>+(Asset_2012_Table!$H17)/1000</f>
        <v>6.4392872421415941</v>
      </c>
      <c r="N30" s="931">
        <f>+(Asset_2013_Table!$H17)/1000</f>
        <v>6.4392872421415941</v>
      </c>
      <c r="O30" s="931">
        <f>+(Asset_2014_Table!$H17)/1000</f>
        <v>6.4392872421415941</v>
      </c>
      <c r="P30" s="931">
        <f>+(Asset_2015_Table!$H17)/1000</f>
        <v>6.4392872421415941</v>
      </c>
      <c r="Q30" s="931"/>
    </row>
    <row r="31" spans="2:25" ht="15.75" thickBot="1" x14ac:dyDescent="0.3">
      <c r="B31" s="887"/>
      <c r="C31" s="870"/>
      <c r="D31" s="870"/>
      <c r="E31" s="933" t="s">
        <v>1196</v>
      </c>
      <c r="F31" s="901"/>
      <c r="G31" s="945"/>
      <c r="H31" s="890"/>
      <c r="I31" s="878"/>
      <c r="J31" s="931">
        <v>6.1449999999999996</v>
      </c>
      <c r="K31" s="892"/>
      <c r="M31" s="931">
        <f>+(Asset_2012_Table!$H17)/1000</f>
        <v>6.4392872421415941</v>
      </c>
      <c r="N31" s="931">
        <f>+(Asset_2013_Table!$H17)/1000</f>
        <v>6.4392872421415941</v>
      </c>
      <c r="O31" s="931">
        <f>+(Asset_2014_Table!$H17)/1000</f>
        <v>6.4392872421415941</v>
      </c>
      <c r="P31" s="931">
        <f>+(Asset_2015_Table!$H17)/1000</f>
        <v>6.4392872421415941</v>
      </c>
      <c r="Q31" s="931"/>
    </row>
    <row r="32" spans="2:25" ht="15.75" thickBot="1" x14ac:dyDescent="0.3">
      <c r="B32" s="887"/>
      <c r="C32" s="870"/>
      <c r="D32" s="870"/>
      <c r="E32" s="933" t="s">
        <v>1197</v>
      </c>
      <c r="F32" s="901"/>
      <c r="G32" s="945"/>
      <c r="H32" s="935"/>
      <c r="I32" s="946"/>
      <c r="J32" s="931">
        <v>0</v>
      </c>
      <c r="K32" s="910"/>
      <c r="M32" s="931">
        <v>0</v>
      </c>
      <c r="N32" s="931">
        <v>0</v>
      </c>
      <c r="O32" s="931">
        <v>0</v>
      </c>
      <c r="P32" s="931">
        <v>0</v>
      </c>
      <c r="Q32" s="931"/>
    </row>
    <row r="33" spans="2:19" ht="15.75" thickBot="1" x14ac:dyDescent="0.3">
      <c r="B33" s="887"/>
      <c r="C33" s="870"/>
      <c r="D33" s="870"/>
      <c r="E33" s="933" t="s">
        <v>1198</v>
      </c>
      <c r="F33" s="901"/>
      <c r="G33" s="945"/>
      <c r="H33" s="890"/>
      <c r="I33" s="878" t="s">
        <v>1154</v>
      </c>
      <c r="J33" s="907">
        <v>0</v>
      </c>
      <c r="K33" s="910"/>
      <c r="M33" s="907">
        <v>0</v>
      </c>
      <c r="N33" s="907">
        <v>0</v>
      </c>
      <c r="O33" s="907">
        <v>0</v>
      </c>
      <c r="P33" s="907">
        <v>0</v>
      </c>
      <c r="Q33" s="907"/>
    </row>
    <row r="34" spans="2:19" ht="15.75" thickBot="1" x14ac:dyDescent="0.3">
      <c r="B34" s="887"/>
      <c r="C34" s="869"/>
      <c r="D34" s="869"/>
      <c r="E34" s="869"/>
      <c r="F34" s="901"/>
      <c r="G34" s="906"/>
      <c r="H34" s="890"/>
      <c r="I34" s="878"/>
      <c r="J34" s="928"/>
      <c r="K34" s="892"/>
      <c r="M34" s="928"/>
      <c r="N34" s="928"/>
      <c r="O34" s="928"/>
      <c r="P34" s="928"/>
      <c r="Q34" s="928"/>
    </row>
    <row r="35" spans="2:19" ht="15.75" thickBot="1" x14ac:dyDescent="0.3">
      <c r="B35" s="887"/>
      <c r="C35" s="911" t="s">
        <v>1199</v>
      </c>
      <c r="D35" s="870"/>
      <c r="E35" s="869"/>
      <c r="F35" s="901"/>
      <c r="G35" s="906"/>
      <c r="H35" s="935"/>
      <c r="I35" s="888" t="s">
        <v>1156</v>
      </c>
      <c r="J35" s="898">
        <f>J28-J33</f>
        <v>3.8</v>
      </c>
      <c r="K35" s="910" t="s">
        <v>1200</v>
      </c>
      <c r="M35" s="898">
        <f>M28-M33</f>
        <v>0.8502026760000001</v>
      </c>
      <c r="N35" s="898">
        <f t="shared" ref="N35:P35" si="3">N28-N33</f>
        <v>0.8502026760000001</v>
      </c>
      <c r="O35" s="898">
        <f t="shared" si="3"/>
        <v>0.8502026760000001</v>
      </c>
      <c r="P35" s="898">
        <f t="shared" si="3"/>
        <v>0.8502026760000001</v>
      </c>
      <c r="Q35" s="898"/>
    </row>
    <row r="36" spans="2:19" x14ac:dyDescent="0.25">
      <c r="B36" s="941"/>
      <c r="C36" s="943"/>
      <c r="D36" s="943"/>
      <c r="E36" s="943"/>
      <c r="F36" s="901"/>
      <c r="G36" s="889"/>
      <c r="H36" s="890"/>
      <c r="I36" s="878"/>
      <c r="J36" s="891"/>
      <c r="K36" s="910"/>
      <c r="M36" s="891"/>
      <c r="N36" s="891"/>
      <c r="O36" s="891"/>
      <c r="P36" s="891"/>
      <c r="Q36" s="891"/>
    </row>
    <row r="37" spans="2:19" ht="15.75" thickBot="1" x14ac:dyDescent="0.3">
      <c r="B37" s="929" t="s">
        <v>51</v>
      </c>
      <c r="C37" s="870"/>
      <c r="D37" s="869"/>
      <c r="E37" s="869"/>
      <c r="F37" s="901"/>
      <c r="G37" s="928"/>
      <c r="H37" s="890"/>
      <c r="I37" s="878"/>
      <c r="J37" s="945"/>
      <c r="K37" s="892"/>
      <c r="M37" s="945"/>
      <c r="N37" s="945"/>
      <c r="O37" s="945"/>
      <c r="P37" s="945"/>
      <c r="Q37" s="945"/>
    </row>
    <row r="38" spans="2:19" ht="15.75" thickBot="1" x14ac:dyDescent="0.3">
      <c r="B38" s="887"/>
      <c r="C38" s="900" t="s">
        <v>1201</v>
      </c>
      <c r="D38" s="870"/>
      <c r="E38" s="933"/>
      <c r="F38" s="901"/>
      <c r="G38" s="931">
        <v>0</v>
      </c>
      <c r="H38" s="890"/>
      <c r="I38" s="878" t="s">
        <v>1158</v>
      </c>
      <c r="J38" s="907">
        <v>0</v>
      </c>
      <c r="K38" s="892"/>
      <c r="M38" s="907">
        <v>0</v>
      </c>
      <c r="N38" s="907">
        <v>0</v>
      </c>
      <c r="O38" s="907">
        <v>0</v>
      </c>
      <c r="P38" s="907">
        <v>0</v>
      </c>
      <c r="Q38" s="907">
        <v>0</v>
      </c>
    </row>
    <row r="39" spans="2:19" ht="15.75" thickBot="1" x14ac:dyDescent="0.3">
      <c r="B39" s="947"/>
      <c r="C39" s="948"/>
      <c r="D39" s="948"/>
      <c r="E39" s="948"/>
      <c r="F39" s="901"/>
      <c r="G39" s="949"/>
      <c r="H39" s="890"/>
      <c r="I39" s="878"/>
      <c r="J39" s="949"/>
      <c r="K39" s="892"/>
      <c r="M39" s="949"/>
      <c r="N39" s="949"/>
      <c r="O39" s="949"/>
      <c r="P39" s="949"/>
      <c r="Q39" s="949"/>
    </row>
    <row r="40" spans="2:19" ht="15.75" thickBot="1" x14ac:dyDescent="0.3">
      <c r="B40" s="887"/>
      <c r="C40" s="900" t="s">
        <v>1202</v>
      </c>
      <c r="D40" s="870"/>
      <c r="E40" s="870"/>
      <c r="F40" s="901"/>
      <c r="G40" s="937">
        <v>0</v>
      </c>
      <c r="H40" s="890"/>
      <c r="I40" s="878"/>
      <c r="J40" s="937">
        <v>0</v>
      </c>
      <c r="K40" s="892"/>
      <c r="M40" s="937">
        <v>0</v>
      </c>
      <c r="N40" s="937">
        <v>0</v>
      </c>
      <c r="O40" s="937">
        <v>0</v>
      </c>
      <c r="P40" s="937">
        <v>0</v>
      </c>
      <c r="Q40" s="937">
        <v>0</v>
      </c>
    </row>
    <row r="41" spans="2:19" x14ac:dyDescent="0.25">
      <c r="B41" s="887"/>
      <c r="C41" s="869"/>
      <c r="D41" s="869"/>
      <c r="E41" s="869"/>
      <c r="F41" s="901"/>
      <c r="G41" s="945"/>
      <c r="H41" s="890"/>
      <c r="I41" s="878"/>
      <c r="J41" s="945"/>
      <c r="K41" s="892"/>
      <c r="M41" s="945"/>
      <c r="N41" s="945"/>
      <c r="O41" s="945"/>
      <c r="P41" s="945"/>
      <c r="Q41" s="945"/>
    </row>
    <row r="42" spans="2:19" ht="15.75" thickBot="1" x14ac:dyDescent="0.3">
      <c r="B42" s="929" t="s">
        <v>3</v>
      </c>
      <c r="C42" s="933"/>
      <c r="D42" s="933"/>
      <c r="E42" s="933"/>
      <c r="F42" s="901"/>
      <c r="G42" s="945"/>
      <c r="H42" s="890"/>
      <c r="I42" s="878"/>
      <c r="J42" s="945"/>
      <c r="K42" s="892"/>
      <c r="M42" s="945"/>
      <c r="N42" s="945"/>
      <c r="O42" s="945"/>
      <c r="P42" s="945"/>
      <c r="Q42" s="945"/>
    </row>
    <row r="43" spans="2:19" ht="15.75" thickBot="1" x14ac:dyDescent="0.3">
      <c r="B43" s="887"/>
      <c r="C43" s="911" t="s">
        <v>1203</v>
      </c>
      <c r="D43" s="933"/>
      <c r="E43" s="933"/>
      <c r="F43" s="901"/>
      <c r="G43" s="940"/>
      <c r="H43" s="899"/>
      <c r="I43" s="878" t="s">
        <v>1162</v>
      </c>
      <c r="J43" s="898">
        <f>J35+J38</f>
        <v>3.8</v>
      </c>
      <c r="K43" s="910" t="s">
        <v>1204</v>
      </c>
      <c r="M43" s="898">
        <f>M35+M38</f>
        <v>0.8502026760000001</v>
      </c>
      <c r="N43" s="898">
        <f t="shared" ref="N43:P43" si="4">N35+N38</f>
        <v>0.8502026760000001</v>
      </c>
      <c r="O43" s="898">
        <f t="shared" si="4"/>
        <v>0.8502026760000001</v>
      </c>
      <c r="P43" s="898">
        <f t="shared" si="4"/>
        <v>0.8502026760000001</v>
      </c>
      <c r="Q43" s="898">
        <f t="shared" ref="Q43" si="5">Q35+Q38</f>
        <v>0</v>
      </c>
    </row>
    <row r="44" spans="2:19" ht="15.75" thickBot="1" x14ac:dyDescent="0.3">
      <c r="B44" s="950"/>
      <c r="C44" s="951"/>
      <c r="D44" s="951"/>
      <c r="E44" s="951"/>
      <c r="F44" s="901"/>
      <c r="G44" s="951"/>
      <c r="H44" s="890"/>
      <c r="I44" s="878"/>
      <c r="J44" s="891"/>
      <c r="K44" s="892"/>
    </row>
    <row r="45" spans="2:19" x14ac:dyDescent="0.25">
      <c r="B45" s="879" t="s">
        <v>1205</v>
      </c>
      <c r="C45" s="952" t="s">
        <v>1205</v>
      </c>
      <c r="D45" s="952"/>
      <c r="E45" s="952"/>
      <c r="F45" s="922"/>
      <c r="G45" s="882"/>
      <c r="H45" s="883"/>
      <c r="I45" s="884"/>
      <c r="J45" s="882"/>
      <c r="K45" s="886"/>
      <c r="M45">
        <v>2012</v>
      </c>
      <c r="N45">
        <v>2013</v>
      </c>
      <c r="O45">
        <v>2014</v>
      </c>
      <c r="P45">
        <v>2015</v>
      </c>
      <c r="Q45">
        <v>2016</v>
      </c>
    </row>
    <row r="46" spans="2:19" ht="15.75" thickBot="1" x14ac:dyDescent="0.3">
      <c r="B46" s="902"/>
      <c r="C46" s="933"/>
      <c r="D46" s="933"/>
      <c r="E46" s="933"/>
      <c r="F46" s="888"/>
      <c r="G46" s="908"/>
      <c r="H46" s="890"/>
      <c r="I46" s="878"/>
      <c r="J46" s="908"/>
      <c r="K46" s="892"/>
    </row>
    <row r="47" spans="2:19" ht="15.75" thickBot="1" x14ac:dyDescent="0.3">
      <c r="B47" s="902"/>
      <c r="C47" s="911" t="s">
        <v>1206</v>
      </c>
      <c r="D47" s="933"/>
      <c r="E47" s="933"/>
      <c r="F47" s="901"/>
      <c r="G47" s="940"/>
      <c r="H47" s="899"/>
      <c r="I47" s="878" t="s">
        <v>1165</v>
      </c>
      <c r="J47" s="898">
        <f>G12+J35</f>
        <v>13.309999999999999</v>
      </c>
      <c r="K47" s="910" t="s">
        <v>1207</v>
      </c>
      <c r="M47" s="898">
        <f>M18+M35</f>
        <v>11.659317876000001</v>
      </c>
      <c r="N47" s="898">
        <f t="shared" ref="N47:Q47" si="6">N18+N35</f>
        <v>10.329248875999994</v>
      </c>
      <c r="O47" s="898">
        <f t="shared" si="6"/>
        <v>11.925331676000001</v>
      </c>
      <c r="P47" s="898">
        <f t="shared" si="6"/>
        <v>11.256346476000003</v>
      </c>
      <c r="Q47" s="898">
        <f t="shared" si="6"/>
        <v>0</v>
      </c>
      <c r="S47" s="232"/>
    </row>
    <row r="48" spans="2:19" ht="15.75" thickBot="1" x14ac:dyDescent="0.3">
      <c r="B48" s="902"/>
      <c r="C48" s="911"/>
      <c r="D48" s="933"/>
      <c r="E48" s="933"/>
      <c r="F48" s="888"/>
      <c r="G48" s="908"/>
      <c r="H48" s="890"/>
      <c r="I48" s="878"/>
      <c r="J48" s="908"/>
      <c r="K48" s="892"/>
      <c r="M48" s="908"/>
      <c r="N48" s="908"/>
      <c r="O48" s="908"/>
      <c r="P48" s="908"/>
      <c r="Q48" s="908"/>
    </row>
    <row r="49" spans="2:17" ht="15.75" thickBot="1" x14ac:dyDescent="0.3">
      <c r="B49" s="902"/>
      <c r="C49" s="911" t="s">
        <v>1208</v>
      </c>
      <c r="D49" s="933"/>
      <c r="E49" s="933"/>
      <c r="F49" s="901"/>
      <c r="G49" s="940"/>
      <c r="H49" s="899"/>
      <c r="I49" s="878" t="s">
        <v>1168</v>
      </c>
      <c r="J49" s="898">
        <f>G14+J38</f>
        <v>71</v>
      </c>
      <c r="K49" s="910" t="s">
        <v>1209</v>
      </c>
      <c r="M49" s="898">
        <f>M14+M38</f>
        <v>0</v>
      </c>
      <c r="N49" s="898">
        <f t="shared" ref="N49:Q49" si="7">N14+N38</f>
        <v>0</v>
      </c>
      <c r="O49" s="898">
        <f t="shared" si="7"/>
        <v>0</v>
      </c>
      <c r="P49" s="898">
        <f t="shared" si="7"/>
        <v>0</v>
      </c>
      <c r="Q49" s="898">
        <f t="shared" si="7"/>
        <v>0</v>
      </c>
    </row>
    <row r="50" spans="2:17" ht="15.75" thickBot="1" x14ac:dyDescent="0.3">
      <c r="B50" s="902"/>
      <c r="C50" s="911"/>
      <c r="D50" s="933"/>
      <c r="E50" s="933"/>
      <c r="F50" s="888"/>
      <c r="G50" s="908"/>
      <c r="H50" s="890"/>
      <c r="I50" s="878"/>
      <c r="J50" s="908"/>
      <c r="K50" s="892"/>
      <c r="M50" s="908"/>
      <c r="N50" s="908"/>
      <c r="O50" s="908"/>
      <c r="P50" s="908"/>
      <c r="Q50" s="908"/>
    </row>
    <row r="51" spans="2:17" ht="15.75" thickBot="1" x14ac:dyDescent="0.3">
      <c r="B51" s="902"/>
      <c r="C51" s="900" t="s">
        <v>1183</v>
      </c>
      <c r="D51" s="933"/>
      <c r="E51" s="933"/>
      <c r="F51" s="901"/>
      <c r="G51" s="940"/>
      <c r="H51" s="890"/>
      <c r="I51" s="878" t="s">
        <v>1126</v>
      </c>
      <c r="J51" s="898">
        <f>G16</f>
        <v>71</v>
      </c>
      <c r="K51" s="953"/>
      <c r="M51" s="898">
        <f>M16</f>
        <v>0</v>
      </c>
      <c r="N51" s="898">
        <f t="shared" ref="N51:Q51" si="8">N16</f>
        <v>0</v>
      </c>
      <c r="O51" s="898">
        <f t="shared" si="8"/>
        <v>0</v>
      </c>
      <c r="P51" s="898">
        <f t="shared" si="8"/>
        <v>0</v>
      </c>
      <c r="Q51" s="898">
        <f t="shared" si="8"/>
        <v>0</v>
      </c>
    </row>
    <row r="52" spans="2:17" ht="15.75" thickBot="1" x14ac:dyDescent="0.3">
      <c r="B52" s="902"/>
      <c r="C52" s="911"/>
      <c r="D52" s="933"/>
      <c r="E52" s="933"/>
      <c r="F52" s="888"/>
      <c r="G52" s="908"/>
      <c r="H52" s="890"/>
      <c r="I52" s="878"/>
      <c r="J52" s="908"/>
      <c r="K52" s="892"/>
      <c r="M52" s="908"/>
      <c r="N52" s="908"/>
      <c r="O52" s="908"/>
      <c r="P52" s="908"/>
      <c r="Q52" s="908"/>
    </row>
    <row r="53" spans="2:17" ht="15.75" thickBot="1" x14ac:dyDescent="0.3">
      <c r="B53" s="902"/>
      <c r="C53" s="911" t="s">
        <v>1210</v>
      </c>
      <c r="D53" s="933"/>
      <c r="E53" s="933"/>
      <c r="F53" s="901"/>
      <c r="G53" s="940"/>
      <c r="H53" s="899"/>
      <c r="I53" s="878" t="s">
        <v>1171</v>
      </c>
      <c r="J53" s="818">
        <f>J47+J49-J51</f>
        <v>13.310000000000002</v>
      </c>
      <c r="K53" s="910" t="s">
        <v>1211</v>
      </c>
      <c r="M53" s="818">
        <f>M47+M49-M51</f>
        <v>11.659317876000001</v>
      </c>
      <c r="N53" s="818">
        <f>N47+N49-N51</f>
        <v>10.329248875999994</v>
      </c>
      <c r="O53" s="818">
        <f>O47+O49-O51</f>
        <v>11.925331676000001</v>
      </c>
      <c r="P53" s="818">
        <f>P47+P49-P51</f>
        <v>11.256346476000003</v>
      </c>
      <c r="Q53" s="818">
        <f>Q47+Q49-Q51</f>
        <v>0</v>
      </c>
    </row>
    <row r="54" spans="2:17" ht="15.75" thickBot="1" x14ac:dyDescent="0.3">
      <c r="B54" s="902"/>
      <c r="C54" s="954"/>
      <c r="D54" s="933"/>
      <c r="E54" s="933"/>
      <c r="F54" s="888"/>
      <c r="G54" s="955"/>
      <c r="H54" s="890"/>
      <c r="I54" s="878"/>
      <c r="J54" s="955"/>
      <c r="K54" s="892"/>
    </row>
    <row r="55" spans="2:17" ht="15.75" thickBot="1" x14ac:dyDescent="0.3">
      <c r="B55" s="902"/>
      <c r="C55" s="869" t="s">
        <v>1212</v>
      </c>
      <c r="D55" s="933"/>
      <c r="E55" s="933"/>
      <c r="F55" s="956"/>
      <c r="G55" s="928"/>
      <c r="H55" s="890"/>
      <c r="I55" s="878" t="s">
        <v>1213</v>
      </c>
      <c r="J55" s="898">
        <f>100*(J28+J38)/(J28+J38+G18)</f>
        <v>28.549962434259943</v>
      </c>
      <c r="K55" s="910" t="s">
        <v>1214</v>
      </c>
      <c r="M55" s="898">
        <f>100*(M28+M38)/(M28+M38+M18)</f>
        <v>7.2920447408856637</v>
      </c>
      <c r="N55" s="898">
        <f t="shared" ref="N55:Q55" si="9">100*(N28+N38)/(N28+N38+N18)</f>
        <v>8.231021308581747</v>
      </c>
      <c r="O55" s="898">
        <f t="shared" si="9"/>
        <v>7.1293838955527935</v>
      </c>
      <c r="P55" s="898">
        <f t="shared" si="9"/>
        <v>7.553096182786688</v>
      </c>
      <c r="Q55" s="898" t="e">
        <f t="shared" si="9"/>
        <v>#DIV/0!</v>
      </c>
    </row>
    <row r="56" spans="2:17" ht="15.75" thickBot="1" x14ac:dyDescent="0.3">
      <c r="B56" s="957"/>
      <c r="C56" s="958"/>
      <c r="D56" s="958"/>
      <c r="E56" s="958"/>
      <c r="F56" s="959"/>
      <c r="G56" s="960"/>
      <c r="H56" s="917"/>
      <c r="I56" s="918"/>
      <c r="J56" s="961"/>
      <c r="K56" s="962"/>
    </row>
    <row r="57" spans="2:17" x14ac:dyDescent="0.25">
      <c r="B57" s="869"/>
      <c r="C57" s="870"/>
      <c r="D57" s="870"/>
      <c r="E57" s="870"/>
      <c r="F57" s="870"/>
      <c r="G57" s="870"/>
      <c r="H57" s="870"/>
      <c r="I57" s="870"/>
      <c r="J57" s="870"/>
      <c r="K57" s="870"/>
    </row>
    <row r="58" spans="2:17" x14ac:dyDescent="0.25">
      <c r="B58" s="963" t="s">
        <v>1215</v>
      </c>
      <c r="C58" s="964"/>
      <c r="D58" s="964"/>
      <c r="E58" s="964"/>
      <c r="F58" s="870"/>
      <c r="G58" s="965"/>
      <c r="H58" s="870"/>
      <c r="I58" s="870"/>
      <c r="J58" s="965"/>
      <c r="K58" s="870"/>
    </row>
    <row r="59" spans="2:17" x14ac:dyDescent="0.25">
      <c r="B59" s="966"/>
      <c r="C59" s="964"/>
      <c r="D59" s="964"/>
      <c r="E59" s="964"/>
      <c r="F59" s="870"/>
      <c r="G59" s="965"/>
      <c r="H59" s="870"/>
      <c r="I59" s="870"/>
      <c r="J59" s="965"/>
      <c r="K59" s="870"/>
    </row>
    <row r="60" spans="2:17" x14ac:dyDescent="0.25">
      <c r="B60" s="967"/>
      <c r="C60" s="964"/>
      <c r="D60" s="964"/>
      <c r="E60" s="964"/>
      <c r="F60" s="870"/>
      <c r="G60" s="965"/>
      <c r="H60" s="870"/>
      <c r="I60" s="870"/>
      <c r="J60" s="965"/>
      <c r="K60" s="870"/>
    </row>
    <row r="61" spans="2:17" x14ac:dyDescent="0.25">
      <c r="B61" s="967"/>
      <c r="C61" s="964"/>
      <c r="D61" s="964"/>
      <c r="E61" s="964"/>
      <c r="F61" s="870"/>
      <c r="G61" s="965"/>
      <c r="H61" s="870"/>
      <c r="I61" s="870"/>
      <c r="J61" s="965"/>
      <c r="K61" s="870"/>
    </row>
    <row r="62" spans="2:17" x14ac:dyDescent="0.25">
      <c r="B62" s="967"/>
      <c r="C62" s="964"/>
      <c r="D62" s="964"/>
      <c r="E62" s="964"/>
      <c r="F62" s="870"/>
      <c r="G62" s="965"/>
      <c r="H62" s="870"/>
      <c r="I62" s="870"/>
      <c r="J62" s="965"/>
      <c r="K62" s="870"/>
    </row>
    <row r="63" spans="2:17" x14ac:dyDescent="0.25">
      <c r="B63" s="966"/>
      <c r="C63" s="964"/>
      <c r="D63" s="964"/>
      <c r="E63" s="964"/>
      <c r="F63" s="888"/>
      <c r="G63" s="965"/>
      <c r="H63" s="890"/>
      <c r="I63" s="878"/>
      <c r="J63" s="965"/>
      <c r="K63" s="890"/>
    </row>
    <row r="64" spans="2:17" x14ac:dyDescent="0.25">
      <c r="B64" s="966"/>
      <c r="C64" s="964"/>
      <c r="D64" s="964"/>
      <c r="E64" s="964"/>
      <c r="F64" s="870"/>
      <c r="G64" s="965"/>
      <c r="H64" s="870"/>
      <c r="I64" s="870"/>
      <c r="J64" s="965"/>
      <c r="K64" s="870"/>
    </row>
    <row r="65" spans="2:10" x14ac:dyDescent="0.25">
      <c r="B65" s="966"/>
      <c r="C65" s="964"/>
      <c r="D65" s="964"/>
      <c r="E65" s="964"/>
      <c r="F65" s="870"/>
      <c r="G65" s="965"/>
      <c r="H65" s="870"/>
      <c r="I65" s="870"/>
      <c r="J65" s="965"/>
    </row>
    <row r="66" spans="2:10" x14ac:dyDescent="0.25">
      <c r="B66" s="966"/>
      <c r="C66" s="964"/>
      <c r="D66" s="964"/>
      <c r="E66" s="964"/>
      <c r="F66" s="870"/>
      <c r="G66" s="965"/>
      <c r="H66" s="870"/>
      <c r="I66" s="870"/>
      <c r="J66" s="965"/>
    </row>
    <row r="67" spans="2:10" x14ac:dyDescent="0.25">
      <c r="B67" s="966"/>
      <c r="C67" s="964"/>
      <c r="D67" s="964"/>
      <c r="E67" s="964"/>
      <c r="F67" s="870"/>
      <c r="G67" s="965"/>
      <c r="H67" s="870"/>
      <c r="I67" s="870"/>
      <c r="J67" s="965"/>
    </row>
    <row r="68" spans="2:10" x14ac:dyDescent="0.25">
      <c r="B68" s="966"/>
      <c r="C68" s="964"/>
      <c r="D68" s="964"/>
      <c r="E68" s="964"/>
      <c r="F68" s="870"/>
      <c r="G68" s="965"/>
      <c r="H68" s="870"/>
      <c r="I68" s="870"/>
      <c r="J68" s="965"/>
    </row>
    <row r="69" spans="2:10" x14ac:dyDescent="0.25">
      <c r="B69" s="966"/>
      <c r="C69" s="964"/>
      <c r="D69" s="964"/>
      <c r="E69" s="964"/>
      <c r="F69" s="870"/>
      <c r="G69" s="965"/>
      <c r="H69" s="870"/>
      <c r="I69" s="870"/>
      <c r="J69" s="965"/>
    </row>
    <row r="70" spans="2:10" x14ac:dyDescent="0.25">
      <c r="B70" s="967"/>
      <c r="C70" s="964"/>
      <c r="D70" s="964"/>
      <c r="E70" s="964"/>
      <c r="F70" s="870"/>
      <c r="G70" s="965"/>
      <c r="H70" s="870"/>
      <c r="I70" s="870"/>
      <c r="J70" s="965"/>
    </row>
    <row r="71" spans="2:10" x14ac:dyDescent="0.25">
      <c r="B71" s="966"/>
      <c r="C71" s="964"/>
      <c r="D71" s="964"/>
      <c r="E71" s="964"/>
      <c r="F71" s="870"/>
      <c r="G71" s="965"/>
      <c r="H71" s="870"/>
      <c r="I71" s="870"/>
      <c r="J71" s="965"/>
    </row>
    <row r="72" spans="2:10" x14ac:dyDescent="0.25">
      <c r="B72" s="963"/>
      <c r="C72" s="964"/>
      <c r="D72" s="964"/>
      <c r="E72" s="964"/>
      <c r="F72" s="870"/>
      <c r="G72" s="965"/>
      <c r="H72" s="870"/>
      <c r="I72" s="870"/>
      <c r="J72" s="965"/>
    </row>
    <row r="73" spans="2:10" x14ac:dyDescent="0.25">
      <c r="B73" s="968"/>
      <c r="C73" s="964"/>
      <c r="D73" s="964"/>
      <c r="E73" s="964"/>
      <c r="F73" s="870"/>
      <c r="G73" s="965"/>
      <c r="H73" s="870"/>
      <c r="I73" s="870"/>
      <c r="J73" s="965"/>
    </row>
    <row r="74" spans="2:10" x14ac:dyDescent="0.25">
      <c r="B74" s="870"/>
      <c r="C74" s="964"/>
      <c r="D74" s="964"/>
      <c r="E74" s="964"/>
      <c r="F74" s="870"/>
      <c r="G74" s="965"/>
      <c r="H74" s="870"/>
      <c r="I74" s="870"/>
      <c r="J74" s="965"/>
    </row>
    <row r="75" spans="2:10" x14ac:dyDescent="0.25">
      <c r="B75" s="967"/>
      <c r="C75" s="969"/>
      <c r="D75" s="964"/>
      <c r="E75" s="964"/>
      <c r="F75" s="870"/>
      <c r="G75" s="965"/>
      <c r="H75" s="870"/>
      <c r="I75" s="870"/>
      <c r="J75" s="965"/>
    </row>
    <row r="76" spans="2:10" x14ac:dyDescent="0.25">
      <c r="B76" s="964"/>
      <c r="C76" s="964"/>
      <c r="D76" s="964"/>
      <c r="E76" s="964"/>
      <c r="F76" s="870"/>
      <c r="G76" s="965"/>
      <c r="H76" s="870"/>
      <c r="I76" s="870"/>
      <c r="J76" s="965"/>
    </row>
    <row r="77" spans="2:10" x14ac:dyDescent="0.25">
      <c r="B77" s="964"/>
      <c r="C77" s="964"/>
      <c r="D77" s="964"/>
      <c r="E77" s="964"/>
      <c r="F77" s="870"/>
      <c r="G77" s="965"/>
      <c r="H77" s="870"/>
      <c r="I77" s="870"/>
      <c r="J77" s="965"/>
    </row>
    <row r="78" spans="2:10" x14ac:dyDescent="0.25">
      <c r="B78" s="964"/>
      <c r="C78" s="964"/>
      <c r="D78" s="964"/>
      <c r="E78" s="964"/>
      <c r="F78" s="870"/>
      <c r="G78" s="965"/>
      <c r="H78" s="870"/>
      <c r="I78" s="870"/>
      <c r="J78" s="965"/>
    </row>
    <row r="79" spans="2:10" x14ac:dyDescent="0.25">
      <c r="B79" s="964"/>
      <c r="C79" s="964"/>
      <c r="D79" s="964"/>
      <c r="E79" s="964"/>
      <c r="F79" s="870"/>
      <c r="G79" s="965"/>
      <c r="H79" s="870"/>
      <c r="I79" s="870"/>
      <c r="J79" s="965"/>
    </row>
    <row r="80" spans="2:10" x14ac:dyDescent="0.25">
      <c r="B80" s="964"/>
      <c r="C80" s="964"/>
      <c r="D80" s="964"/>
      <c r="E80" s="964"/>
      <c r="F80" s="870"/>
      <c r="G80" s="965"/>
      <c r="H80" s="870"/>
      <c r="I80" s="870"/>
      <c r="J80" s="965"/>
    </row>
    <row r="81" spans="2:10" x14ac:dyDescent="0.25">
      <c r="B81" s="964"/>
      <c r="C81" s="964"/>
      <c r="D81" s="964"/>
      <c r="E81" s="964"/>
      <c r="F81" s="870"/>
      <c r="G81" s="965"/>
      <c r="H81" s="870"/>
      <c r="I81" s="870"/>
      <c r="J81" s="965"/>
    </row>
    <row r="82" spans="2:10" x14ac:dyDescent="0.25">
      <c r="B82" s="964"/>
      <c r="C82" s="964"/>
      <c r="D82" s="964"/>
      <c r="E82" s="964"/>
      <c r="F82" s="870"/>
      <c r="G82" s="965"/>
      <c r="H82" s="870"/>
      <c r="I82" s="870"/>
      <c r="J82" s="965"/>
    </row>
    <row r="83" spans="2:10" x14ac:dyDescent="0.25">
      <c r="B83" s="964"/>
      <c r="C83" s="964"/>
      <c r="D83" s="964"/>
      <c r="E83" s="964"/>
      <c r="F83" s="870"/>
      <c r="G83" s="965"/>
      <c r="H83" s="870"/>
      <c r="I83" s="870"/>
      <c r="J83" s="965"/>
    </row>
    <row r="84" spans="2:10" x14ac:dyDescent="0.25">
      <c r="B84" s="964"/>
      <c r="C84" s="964"/>
      <c r="D84" s="964"/>
      <c r="E84" s="964"/>
      <c r="F84" s="870"/>
      <c r="G84" s="965"/>
      <c r="H84" s="870"/>
      <c r="I84" s="870"/>
      <c r="J84" s="965"/>
    </row>
    <row r="85" spans="2:10" x14ac:dyDescent="0.25">
      <c r="B85" s="964"/>
      <c r="C85" s="964"/>
      <c r="D85" s="964"/>
      <c r="E85" s="964"/>
      <c r="F85" s="870"/>
      <c r="G85" s="965"/>
      <c r="H85" s="870"/>
      <c r="I85" s="870"/>
      <c r="J85" s="965"/>
    </row>
    <row r="86" spans="2:10" x14ac:dyDescent="0.25">
      <c r="B86" s="964"/>
      <c r="C86" s="964"/>
      <c r="D86" s="964"/>
      <c r="E86" s="964"/>
      <c r="F86" s="870"/>
      <c r="G86" s="965"/>
      <c r="H86" s="870"/>
      <c r="I86" s="870"/>
      <c r="J86" s="965"/>
    </row>
    <row r="87" spans="2:10" x14ac:dyDescent="0.25">
      <c r="B87" s="964"/>
      <c r="C87" s="964"/>
      <c r="D87" s="964"/>
      <c r="E87" s="964"/>
      <c r="F87" s="870"/>
      <c r="G87" s="965"/>
      <c r="H87" s="870"/>
      <c r="I87" s="870"/>
      <c r="J87" s="965"/>
    </row>
    <row r="88" spans="2:10" x14ac:dyDescent="0.25">
      <c r="B88" s="964"/>
      <c r="C88" s="964"/>
      <c r="D88" s="964"/>
      <c r="E88" s="964"/>
      <c r="F88" s="870"/>
      <c r="G88" s="965"/>
      <c r="H88" s="870"/>
      <c r="I88" s="870"/>
      <c r="J88" s="965"/>
    </row>
    <row r="89" spans="2:10" x14ac:dyDescent="0.25">
      <c r="B89" s="964"/>
      <c r="C89" s="964"/>
      <c r="D89" s="964"/>
      <c r="E89" s="964"/>
      <c r="F89" s="870"/>
      <c r="G89" s="965"/>
      <c r="H89" s="870"/>
      <c r="I89" s="870"/>
      <c r="J89" s="965"/>
    </row>
    <row r="90" spans="2:10" x14ac:dyDescent="0.25">
      <c r="B90" s="964"/>
      <c r="C90" s="964"/>
      <c r="D90" s="964"/>
      <c r="E90" s="964"/>
      <c r="F90" s="870"/>
      <c r="G90" s="965"/>
      <c r="H90" s="870"/>
      <c r="I90" s="870"/>
      <c r="J90" s="965"/>
    </row>
    <row r="91" spans="2:10" x14ac:dyDescent="0.25">
      <c r="B91" s="964"/>
      <c r="C91" s="964"/>
      <c r="D91" s="964"/>
      <c r="E91" s="964"/>
      <c r="F91" s="870"/>
      <c r="G91" s="965"/>
      <c r="H91" s="870"/>
      <c r="I91" s="870"/>
      <c r="J91" s="965"/>
    </row>
    <row r="92" spans="2:10" x14ac:dyDescent="0.25">
      <c r="B92" s="964"/>
      <c r="C92" s="964"/>
      <c r="D92" s="964"/>
      <c r="E92" s="964"/>
      <c r="F92" s="870"/>
      <c r="G92" s="965"/>
      <c r="H92" s="870"/>
      <c r="I92" s="870"/>
      <c r="J92" s="965"/>
    </row>
    <row r="93" spans="2:10" x14ac:dyDescent="0.25">
      <c r="B93" s="964"/>
      <c r="C93" s="964"/>
      <c r="D93" s="964"/>
      <c r="E93" s="964"/>
      <c r="F93" s="870"/>
      <c r="G93" s="965"/>
      <c r="H93" s="870"/>
      <c r="I93" s="870"/>
      <c r="J93" s="965"/>
    </row>
    <row r="94" spans="2:10" x14ac:dyDescent="0.25">
      <c r="B94" s="964"/>
      <c r="C94" s="964"/>
      <c r="D94" s="964"/>
      <c r="E94" s="964"/>
      <c r="F94" s="870"/>
      <c r="G94" s="965"/>
      <c r="H94" s="870"/>
      <c r="I94" s="870"/>
      <c r="J94" s="965"/>
    </row>
    <row r="95" spans="2:10" x14ac:dyDescent="0.25">
      <c r="B95" s="964"/>
      <c r="C95" s="964"/>
      <c r="D95" s="964"/>
      <c r="E95" s="964"/>
      <c r="F95" s="870"/>
      <c r="G95" s="965"/>
      <c r="H95" s="870"/>
      <c r="I95" s="870"/>
      <c r="J95" s="965"/>
    </row>
    <row r="96" spans="2:10" x14ac:dyDescent="0.25">
      <c r="B96" s="964"/>
      <c r="C96" s="964"/>
      <c r="D96" s="964"/>
      <c r="E96" s="964"/>
      <c r="F96" s="870"/>
      <c r="G96" s="965"/>
      <c r="H96" s="870"/>
      <c r="I96" s="870"/>
      <c r="J96" s="965"/>
    </row>
    <row r="97" spans="2:10" x14ac:dyDescent="0.25">
      <c r="B97" s="964"/>
      <c r="C97" s="964"/>
      <c r="D97" s="964"/>
      <c r="E97" s="964"/>
      <c r="F97" s="870"/>
      <c r="G97" s="965"/>
      <c r="H97" s="870"/>
      <c r="I97" s="870"/>
      <c r="J97" s="965"/>
    </row>
    <row r="98" spans="2:10" x14ac:dyDescent="0.25">
      <c r="B98" s="964"/>
      <c r="C98" s="964"/>
      <c r="D98" s="964"/>
      <c r="E98" s="964"/>
      <c r="F98" s="870"/>
      <c r="G98" s="965"/>
      <c r="H98" s="870"/>
      <c r="I98" s="870"/>
      <c r="J98" s="965"/>
    </row>
    <row r="99" spans="2:10" x14ac:dyDescent="0.25">
      <c r="B99" s="964"/>
      <c r="C99" s="964"/>
      <c r="D99" s="964"/>
      <c r="E99" s="964"/>
      <c r="F99" s="870"/>
      <c r="G99" s="965"/>
      <c r="H99" s="870"/>
      <c r="I99" s="870"/>
      <c r="J99" s="965"/>
    </row>
    <row r="100" spans="2:10" x14ac:dyDescent="0.25">
      <c r="B100" s="964"/>
      <c r="C100" s="964"/>
      <c r="D100" s="964"/>
      <c r="E100" s="964"/>
      <c r="F100" s="870"/>
      <c r="G100" s="965"/>
      <c r="H100" s="870"/>
      <c r="I100" s="870"/>
      <c r="J100" s="965"/>
    </row>
    <row r="101" spans="2:10" x14ac:dyDescent="0.25">
      <c r="B101" s="964"/>
      <c r="C101" s="964"/>
      <c r="D101" s="964"/>
      <c r="E101" s="964"/>
      <c r="F101" s="870"/>
      <c r="G101" s="965"/>
      <c r="H101" s="870"/>
      <c r="I101" s="870"/>
      <c r="J101" s="965"/>
    </row>
    <row r="102" spans="2:10" x14ac:dyDescent="0.25">
      <c r="B102" s="964"/>
      <c r="C102" s="964"/>
      <c r="D102" s="964"/>
      <c r="E102" s="964"/>
      <c r="F102" s="870"/>
      <c r="G102" s="965"/>
      <c r="H102" s="870"/>
      <c r="I102" s="870"/>
      <c r="J102" s="965"/>
    </row>
    <row r="103" spans="2:10" x14ac:dyDescent="0.25">
      <c r="B103" s="964"/>
      <c r="C103" s="964"/>
      <c r="D103" s="964"/>
      <c r="E103" s="964"/>
      <c r="F103" s="870"/>
      <c r="G103" s="965"/>
      <c r="H103" s="870"/>
      <c r="I103" s="870"/>
      <c r="J103" s="965"/>
    </row>
    <row r="104" spans="2:10" x14ac:dyDescent="0.25">
      <c r="B104" s="964"/>
      <c r="C104" s="964"/>
      <c r="D104" s="964"/>
      <c r="E104" s="964"/>
      <c r="F104" s="870"/>
      <c r="G104" s="965"/>
      <c r="H104" s="870"/>
      <c r="I104" s="870"/>
      <c r="J104" s="965"/>
    </row>
    <row r="105" spans="2:10" x14ac:dyDescent="0.25">
      <c r="B105" s="964"/>
      <c r="C105" s="964"/>
      <c r="D105" s="964"/>
      <c r="E105" s="964"/>
      <c r="F105" s="870"/>
      <c r="G105" s="965"/>
      <c r="H105" s="870"/>
      <c r="I105" s="870"/>
      <c r="J105" s="965"/>
    </row>
    <row r="106" spans="2:10" x14ac:dyDescent="0.25">
      <c r="B106" s="964"/>
      <c r="C106" s="964"/>
      <c r="D106" s="964"/>
      <c r="E106" s="964"/>
      <c r="F106" s="870"/>
      <c r="G106" s="965"/>
      <c r="H106" s="870"/>
      <c r="I106" s="870"/>
      <c r="J106" s="965"/>
    </row>
    <row r="107" spans="2:10" x14ac:dyDescent="0.25">
      <c r="B107" s="964"/>
      <c r="C107" s="964"/>
      <c r="D107" s="964"/>
      <c r="E107" s="964"/>
      <c r="F107" s="870"/>
      <c r="G107" s="965"/>
      <c r="H107" s="870"/>
      <c r="I107" s="870"/>
      <c r="J107" s="965"/>
    </row>
    <row r="108" spans="2:10" x14ac:dyDescent="0.25">
      <c r="B108" s="964"/>
      <c r="C108" s="964"/>
      <c r="D108" s="964"/>
      <c r="E108" s="964"/>
      <c r="F108" s="870"/>
      <c r="G108" s="965"/>
      <c r="H108" s="870"/>
      <c r="I108" s="870"/>
      <c r="J108" s="965"/>
    </row>
    <row r="109" spans="2:10" x14ac:dyDescent="0.25">
      <c r="B109" s="964"/>
      <c r="C109" s="964"/>
      <c r="D109" s="964"/>
      <c r="E109" s="964"/>
      <c r="F109" s="870"/>
      <c r="G109" s="965"/>
      <c r="H109" s="870"/>
      <c r="I109" s="870"/>
      <c r="J109" s="965"/>
    </row>
    <row r="110" spans="2:10" x14ac:dyDescent="0.25">
      <c r="B110" s="964"/>
      <c r="C110" s="964"/>
      <c r="D110" s="964"/>
      <c r="E110" s="964"/>
      <c r="F110" s="870"/>
      <c r="G110" s="965"/>
      <c r="H110" s="870"/>
      <c r="I110" s="870"/>
      <c r="J110" s="965"/>
    </row>
    <row r="111" spans="2:10" x14ac:dyDescent="0.25">
      <c r="B111" s="964"/>
      <c r="C111" s="964"/>
      <c r="D111" s="964"/>
      <c r="E111" s="964"/>
      <c r="F111" s="870"/>
      <c r="G111" s="965"/>
      <c r="H111" s="870"/>
      <c r="I111" s="870"/>
      <c r="J111" s="965"/>
    </row>
    <row r="112" spans="2:10" x14ac:dyDescent="0.25">
      <c r="B112" s="964"/>
      <c r="C112" s="964"/>
      <c r="D112" s="964"/>
      <c r="E112" s="964"/>
      <c r="F112" s="870"/>
      <c r="G112" s="965"/>
      <c r="H112" s="870"/>
      <c r="I112" s="870"/>
      <c r="J112" s="965"/>
    </row>
    <row r="113" spans="2:10" x14ac:dyDescent="0.25">
      <c r="B113" s="964"/>
      <c r="C113" s="964"/>
      <c r="D113" s="964"/>
      <c r="E113" s="964"/>
      <c r="F113" s="870"/>
      <c r="G113" s="965"/>
      <c r="H113" s="870"/>
      <c r="I113" s="870"/>
      <c r="J113" s="965"/>
    </row>
    <row r="114" spans="2:10" x14ac:dyDescent="0.25">
      <c r="B114" s="964"/>
      <c r="C114" s="964"/>
      <c r="D114" s="964"/>
      <c r="E114" s="964"/>
      <c r="F114" s="870"/>
      <c r="G114" s="965"/>
      <c r="H114" s="870"/>
      <c r="I114" s="870"/>
      <c r="J114" s="965"/>
    </row>
    <row r="115" spans="2:10" x14ac:dyDescent="0.25">
      <c r="B115" s="964"/>
      <c r="C115" s="964"/>
      <c r="D115" s="964"/>
      <c r="E115" s="964"/>
      <c r="F115" s="870"/>
      <c r="G115" s="965"/>
      <c r="H115" s="870"/>
      <c r="I115" s="870"/>
      <c r="J115" s="965"/>
    </row>
    <row r="116" spans="2:10" x14ac:dyDescent="0.25">
      <c r="B116" s="964"/>
      <c r="C116" s="964"/>
      <c r="D116" s="964"/>
      <c r="E116" s="964"/>
      <c r="F116" s="870"/>
      <c r="G116" s="965"/>
      <c r="H116" s="870"/>
      <c r="I116" s="870"/>
      <c r="J116" s="965"/>
    </row>
    <row r="117" spans="2:10" x14ac:dyDescent="0.25">
      <c r="B117" s="964"/>
      <c r="C117" s="964"/>
      <c r="D117" s="964"/>
      <c r="E117" s="964"/>
      <c r="F117" s="870"/>
      <c r="G117" s="965"/>
      <c r="H117" s="870"/>
      <c r="I117" s="870"/>
      <c r="J117" s="965"/>
    </row>
    <row r="118" spans="2:10" x14ac:dyDescent="0.25">
      <c r="B118" s="964"/>
      <c r="C118" s="964"/>
      <c r="D118" s="964"/>
      <c r="E118" s="964"/>
      <c r="F118" s="870"/>
      <c r="G118" s="965"/>
      <c r="H118" s="870"/>
      <c r="I118" s="870"/>
      <c r="J118" s="965"/>
    </row>
    <row r="119" spans="2:10" x14ac:dyDescent="0.25">
      <c r="B119" s="964"/>
      <c r="C119" s="964"/>
      <c r="D119" s="964"/>
      <c r="E119" s="964"/>
      <c r="F119" s="870"/>
      <c r="G119" s="965"/>
      <c r="H119" s="870"/>
      <c r="I119" s="870"/>
      <c r="J119" s="965"/>
    </row>
    <row r="120" spans="2:10" x14ac:dyDescent="0.25">
      <c r="B120" s="964"/>
      <c r="C120" s="964"/>
      <c r="D120" s="964"/>
      <c r="E120" s="964"/>
      <c r="F120" s="870"/>
      <c r="G120" s="965"/>
      <c r="H120" s="870"/>
      <c r="I120" s="870"/>
      <c r="J120" s="965"/>
    </row>
    <row r="121" spans="2:10" x14ac:dyDescent="0.25">
      <c r="B121" s="964"/>
      <c r="C121" s="964"/>
      <c r="D121" s="964"/>
      <c r="E121" s="964"/>
      <c r="F121" s="870"/>
      <c r="G121" s="965"/>
      <c r="H121" s="870"/>
      <c r="I121" s="870"/>
      <c r="J121" s="965"/>
    </row>
    <row r="122" spans="2:10" x14ac:dyDescent="0.25">
      <c r="B122" s="964"/>
      <c r="C122" s="964"/>
      <c r="D122" s="964"/>
      <c r="E122" s="964"/>
      <c r="F122" s="870"/>
      <c r="G122" s="965"/>
      <c r="H122" s="870"/>
      <c r="I122" s="870"/>
      <c r="J122" s="965"/>
    </row>
    <row r="123" spans="2:10" x14ac:dyDescent="0.25">
      <c r="B123" s="964"/>
      <c r="C123" s="964"/>
      <c r="D123" s="964"/>
      <c r="E123" s="964"/>
      <c r="F123" s="870"/>
      <c r="G123" s="965"/>
      <c r="H123" s="870"/>
      <c r="I123" s="870"/>
      <c r="J123" s="965"/>
    </row>
    <row r="124" spans="2:10" x14ac:dyDescent="0.25">
      <c r="B124" s="964"/>
      <c r="C124" s="964"/>
      <c r="D124" s="964"/>
      <c r="E124" s="964"/>
      <c r="F124" s="870"/>
      <c r="G124" s="965"/>
      <c r="H124" s="870"/>
      <c r="I124" s="870"/>
      <c r="J124" s="965"/>
    </row>
    <row r="125" spans="2:10" x14ac:dyDescent="0.25">
      <c r="B125" s="964"/>
      <c r="C125" s="964"/>
      <c r="D125" s="964"/>
      <c r="E125" s="964"/>
      <c r="F125" s="870"/>
      <c r="G125" s="965"/>
      <c r="H125" s="870"/>
      <c r="I125" s="870"/>
      <c r="J125" s="965"/>
    </row>
    <row r="126" spans="2:10" x14ac:dyDescent="0.25">
      <c r="B126" s="964"/>
      <c r="C126" s="964"/>
      <c r="D126" s="964"/>
      <c r="E126" s="964"/>
      <c r="F126" s="870"/>
      <c r="G126" s="965"/>
      <c r="H126" s="870"/>
      <c r="I126" s="870"/>
      <c r="J126" s="965"/>
    </row>
    <row r="127" spans="2:10" x14ac:dyDescent="0.25">
      <c r="B127" s="964"/>
      <c r="C127" s="964"/>
      <c r="D127" s="964"/>
      <c r="E127" s="964"/>
      <c r="F127" s="870"/>
      <c r="G127" s="965"/>
      <c r="H127" s="870"/>
      <c r="I127" s="870"/>
      <c r="J127" s="965"/>
    </row>
    <row r="128" spans="2:10" x14ac:dyDescent="0.25">
      <c r="B128" s="964"/>
      <c r="C128" s="964"/>
      <c r="D128" s="964"/>
      <c r="E128" s="964"/>
      <c r="F128" s="870"/>
      <c r="G128" s="965"/>
      <c r="H128" s="870"/>
      <c r="I128" s="870"/>
      <c r="J128" s="965"/>
    </row>
    <row r="129" spans="2:10" x14ac:dyDescent="0.25">
      <c r="B129" s="964"/>
      <c r="C129" s="964"/>
      <c r="D129" s="964"/>
      <c r="E129" s="964"/>
      <c r="F129" s="870"/>
      <c r="G129" s="965"/>
      <c r="H129" s="870"/>
      <c r="I129" s="870"/>
      <c r="J129" s="965"/>
    </row>
    <row r="130" spans="2:10" x14ac:dyDescent="0.25">
      <c r="B130" s="964"/>
      <c r="C130" s="964"/>
      <c r="D130" s="964"/>
      <c r="E130" s="964"/>
      <c r="F130" s="870"/>
      <c r="G130" s="965"/>
      <c r="H130" s="870"/>
      <c r="I130" s="870"/>
      <c r="J130" s="965"/>
    </row>
    <row r="131" spans="2:10" x14ac:dyDescent="0.25">
      <c r="B131" s="964"/>
      <c r="C131" s="964"/>
      <c r="D131" s="964"/>
      <c r="E131" s="964"/>
      <c r="F131" s="870"/>
      <c r="G131" s="965"/>
      <c r="H131" s="870"/>
      <c r="I131" s="870"/>
      <c r="J131" s="965"/>
    </row>
    <row r="132" spans="2:10" x14ac:dyDescent="0.25">
      <c r="B132" s="964"/>
      <c r="C132" s="964"/>
      <c r="D132" s="964"/>
      <c r="E132" s="964"/>
      <c r="F132" s="870"/>
      <c r="G132" s="965"/>
      <c r="H132" s="870"/>
      <c r="I132" s="870"/>
      <c r="J132" s="965"/>
    </row>
    <row r="133" spans="2:10" x14ac:dyDescent="0.25">
      <c r="B133" s="964"/>
      <c r="C133" s="964"/>
      <c r="D133" s="964"/>
      <c r="E133" s="964"/>
      <c r="F133" s="870"/>
      <c r="G133" s="965"/>
      <c r="H133" s="870"/>
      <c r="I133" s="870"/>
      <c r="J133" s="965"/>
    </row>
    <row r="134" spans="2:10" x14ac:dyDescent="0.25">
      <c r="B134" s="964"/>
      <c r="C134" s="964"/>
      <c r="D134" s="964"/>
      <c r="E134" s="964"/>
      <c r="F134" s="870"/>
      <c r="G134" s="965"/>
      <c r="H134" s="870"/>
      <c r="I134" s="870"/>
      <c r="J134" s="965"/>
    </row>
    <row r="135" spans="2:10" x14ac:dyDescent="0.25">
      <c r="B135" s="964"/>
      <c r="C135" s="964"/>
      <c r="D135" s="964"/>
      <c r="E135" s="964"/>
      <c r="F135" s="870"/>
      <c r="G135" s="965"/>
      <c r="H135" s="870"/>
      <c r="I135" s="870"/>
      <c r="J135" s="965"/>
    </row>
    <row r="136" spans="2:10" x14ac:dyDescent="0.25">
      <c r="B136" s="964"/>
      <c r="C136" s="964"/>
      <c r="D136" s="964"/>
      <c r="E136" s="964"/>
      <c r="F136" s="870"/>
      <c r="G136" s="965"/>
      <c r="H136" s="870"/>
      <c r="I136" s="870"/>
      <c r="J136" s="965"/>
    </row>
    <row r="137" spans="2:10" x14ac:dyDescent="0.25">
      <c r="B137" s="964"/>
      <c r="C137" s="964"/>
      <c r="D137" s="964"/>
      <c r="E137" s="964"/>
      <c r="F137" s="870"/>
      <c r="G137" s="965"/>
      <c r="H137" s="870"/>
      <c r="I137" s="870"/>
      <c r="J137" s="965"/>
    </row>
    <row r="138" spans="2:10" x14ac:dyDescent="0.25">
      <c r="B138" s="964"/>
      <c r="C138" s="964"/>
      <c r="D138" s="964"/>
      <c r="E138" s="964"/>
      <c r="F138" s="870"/>
      <c r="G138" s="965"/>
      <c r="H138" s="870"/>
      <c r="I138" s="870"/>
      <c r="J138" s="965"/>
    </row>
    <row r="139" spans="2:10" x14ac:dyDescent="0.25">
      <c r="B139" s="964"/>
      <c r="C139" s="964"/>
      <c r="D139" s="964"/>
      <c r="E139" s="964"/>
      <c r="F139" s="870"/>
      <c r="G139" s="965"/>
      <c r="H139" s="870"/>
      <c r="I139" s="870"/>
      <c r="J139" s="965"/>
    </row>
    <row r="140" spans="2:10" x14ac:dyDescent="0.25">
      <c r="B140" s="964"/>
      <c r="C140" s="964"/>
      <c r="D140" s="964"/>
      <c r="E140" s="964"/>
      <c r="F140" s="870"/>
      <c r="G140" s="965"/>
      <c r="H140" s="870"/>
      <c r="I140" s="870"/>
      <c r="J140" s="965"/>
    </row>
    <row r="141" spans="2:10" x14ac:dyDescent="0.25">
      <c r="B141" s="964"/>
      <c r="C141" s="964"/>
      <c r="D141" s="964"/>
      <c r="E141" s="964"/>
      <c r="F141" s="870"/>
      <c r="G141" s="965"/>
      <c r="H141" s="870"/>
      <c r="I141" s="870"/>
      <c r="J141" s="965"/>
    </row>
    <row r="142" spans="2:10" x14ac:dyDescent="0.25">
      <c r="B142" s="964"/>
      <c r="C142" s="964"/>
      <c r="D142" s="964"/>
      <c r="E142" s="964"/>
      <c r="F142" s="870"/>
      <c r="G142" s="965"/>
      <c r="H142" s="870"/>
      <c r="I142" s="870"/>
      <c r="J142" s="965"/>
    </row>
    <row r="143" spans="2:10" x14ac:dyDescent="0.25">
      <c r="B143" s="964"/>
      <c r="C143" s="964"/>
      <c r="D143" s="964"/>
      <c r="E143" s="964"/>
      <c r="F143" s="870"/>
      <c r="G143" s="965"/>
      <c r="H143" s="870"/>
      <c r="I143" s="870"/>
      <c r="J143" s="965"/>
    </row>
    <row r="144" spans="2:10" x14ac:dyDescent="0.25">
      <c r="B144" s="964"/>
      <c r="C144" s="964"/>
      <c r="D144" s="964"/>
      <c r="E144" s="964"/>
      <c r="F144" s="870"/>
      <c r="G144" s="965"/>
      <c r="H144" s="870"/>
      <c r="I144" s="870"/>
      <c r="J144" s="965"/>
    </row>
    <row r="145" spans="2:10" x14ac:dyDescent="0.25">
      <c r="B145" s="964"/>
      <c r="C145" s="964"/>
      <c r="D145" s="964"/>
      <c r="E145" s="964"/>
      <c r="F145" s="870"/>
      <c r="G145" s="965"/>
      <c r="H145" s="870"/>
      <c r="I145" s="870"/>
      <c r="J145" s="965"/>
    </row>
    <row r="146" spans="2:10" x14ac:dyDescent="0.25">
      <c r="B146" s="964"/>
      <c r="C146" s="964"/>
      <c r="D146" s="964"/>
      <c r="E146" s="964"/>
      <c r="F146" s="870"/>
      <c r="G146" s="965"/>
      <c r="H146" s="870"/>
      <c r="I146" s="870"/>
      <c r="J146" s="965"/>
    </row>
    <row r="147" spans="2:10" x14ac:dyDescent="0.25">
      <c r="B147" s="964"/>
      <c r="C147" s="964"/>
      <c r="D147" s="964"/>
      <c r="E147" s="964"/>
      <c r="F147" s="870"/>
      <c r="G147" s="965"/>
      <c r="H147" s="870"/>
      <c r="I147" s="870"/>
      <c r="J147" s="965"/>
    </row>
    <row r="148" spans="2:10" x14ac:dyDescent="0.25">
      <c r="B148" s="964"/>
      <c r="C148" s="964"/>
      <c r="D148" s="964"/>
      <c r="E148" s="964"/>
      <c r="F148" s="870"/>
      <c r="G148" s="965"/>
      <c r="H148" s="870"/>
      <c r="I148" s="870"/>
      <c r="J148" s="965"/>
    </row>
    <row r="149" spans="2:10" x14ac:dyDescent="0.25">
      <c r="B149" s="964"/>
      <c r="C149" s="964"/>
      <c r="D149" s="964"/>
      <c r="E149" s="964"/>
      <c r="F149" s="870"/>
      <c r="G149" s="965"/>
      <c r="H149" s="870"/>
      <c r="I149" s="870"/>
      <c r="J149" s="965"/>
    </row>
    <row r="150" spans="2:10" x14ac:dyDescent="0.25">
      <c r="B150" s="964"/>
      <c r="C150" s="964"/>
      <c r="D150" s="964"/>
      <c r="E150" s="964"/>
      <c r="F150" s="870"/>
      <c r="G150" s="965"/>
      <c r="H150" s="870"/>
      <c r="I150" s="870"/>
      <c r="J150" s="965"/>
    </row>
    <row r="151" spans="2:10" x14ac:dyDescent="0.25">
      <c r="B151" s="964"/>
      <c r="C151" s="964"/>
      <c r="D151" s="964"/>
      <c r="E151" s="964"/>
      <c r="F151" s="870"/>
      <c r="G151" s="965"/>
      <c r="H151" s="870"/>
      <c r="I151" s="870"/>
      <c r="J151" s="965"/>
    </row>
    <row r="152" spans="2:10" x14ac:dyDescent="0.25">
      <c r="B152" s="964"/>
      <c r="C152" s="964"/>
      <c r="D152" s="964"/>
      <c r="E152" s="964"/>
      <c r="F152" s="870"/>
      <c r="G152" s="965"/>
      <c r="H152" s="870"/>
      <c r="I152" s="870"/>
      <c r="J152" s="965"/>
    </row>
    <row r="153" spans="2:10" x14ac:dyDescent="0.25">
      <c r="B153" s="964"/>
      <c r="C153" s="964"/>
      <c r="D153" s="964"/>
      <c r="E153" s="964"/>
      <c r="F153" s="870"/>
      <c r="G153" s="965"/>
      <c r="H153" s="870"/>
      <c r="I153" s="870"/>
      <c r="J153" s="965"/>
    </row>
    <row r="154" spans="2:10" x14ac:dyDescent="0.25">
      <c r="B154" s="964"/>
      <c r="C154" s="964"/>
      <c r="D154" s="964"/>
      <c r="E154" s="964"/>
      <c r="F154" s="870"/>
      <c r="G154" s="965"/>
      <c r="H154" s="870"/>
      <c r="I154" s="870"/>
      <c r="J154" s="965"/>
    </row>
    <row r="155" spans="2:10" x14ac:dyDescent="0.25">
      <c r="B155" s="964"/>
      <c r="C155" s="964"/>
      <c r="D155" s="964"/>
      <c r="E155" s="964"/>
      <c r="F155" s="870"/>
      <c r="G155" s="965"/>
      <c r="H155" s="870"/>
      <c r="I155" s="870"/>
      <c r="J155" s="965"/>
    </row>
    <row r="156" spans="2:10" x14ac:dyDescent="0.25">
      <c r="B156" s="964"/>
      <c r="C156" s="964"/>
      <c r="D156" s="964"/>
      <c r="E156" s="964"/>
      <c r="F156" s="870"/>
      <c r="G156" s="965"/>
      <c r="H156" s="870"/>
      <c r="I156" s="870"/>
      <c r="J156" s="965"/>
    </row>
    <row r="157" spans="2:10" x14ac:dyDescent="0.25">
      <c r="B157" s="964"/>
      <c r="C157" s="964"/>
      <c r="D157" s="964"/>
      <c r="E157" s="964"/>
      <c r="F157" s="870"/>
      <c r="G157" s="965"/>
      <c r="H157" s="870"/>
      <c r="I157" s="870"/>
      <c r="J157" s="965"/>
    </row>
    <row r="158" spans="2:10" x14ac:dyDescent="0.25">
      <c r="B158" s="964"/>
      <c r="C158" s="964"/>
      <c r="D158" s="964"/>
      <c r="E158" s="964"/>
      <c r="F158" s="870"/>
      <c r="G158" s="965"/>
      <c r="H158" s="870"/>
      <c r="I158" s="870"/>
      <c r="J158" s="965"/>
    </row>
    <row r="159" spans="2:10" x14ac:dyDescent="0.25">
      <c r="B159" s="964"/>
      <c r="C159" s="964"/>
      <c r="D159" s="964"/>
      <c r="E159" s="964"/>
      <c r="F159" s="870"/>
      <c r="G159" s="965"/>
      <c r="H159" s="870"/>
      <c r="I159" s="870"/>
      <c r="J159" s="965"/>
    </row>
    <row r="160" spans="2:10" x14ac:dyDescent="0.25">
      <c r="B160" s="964"/>
      <c r="C160" s="964"/>
      <c r="D160" s="964"/>
      <c r="E160" s="964"/>
      <c r="F160" s="870"/>
      <c r="G160" s="965"/>
      <c r="H160" s="870"/>
      <c r="I160" s="870"/>
      <c r="J160" s="965"/>
    </row>
    <row r="161" spans="2:10" x14ac:dyDescent="0.25">
      <c r="B161" s="964"/>
      <c r="C161" s="964"/>
      <c r="D161" s="964"/>
      <c r="E161" s="964"/>
      <c r="F161" s="870"/>
      <c r="G161" s="965"/>
      <c r="H161" s="870"/>
      <c r="I161" s="870"/>
      <c r="J161" s="965"/>
    </row>
    <row r="162" spans="2:10" x14ac:dyDescent="0.25">
      <c r="B162" s="964"/>
      <c r="C162" s="964"/>
      <c r="D162" s="964"/>
      <c r="E162" s="964"/>
      <c r="F162" s="870"/>
      <c r="G162" s="965"/>
      <c r="H162" s="870"/>
      <c r="I162" s="870"/>
      <c r="J162" s="965"/>
    </row>
    <row r="163" spans="2:10" x14ac:dyDescent="0.25">
      <c r="B163" s="964"/>
      <c r="C163" s="964"/>
      <c r="D163" s="964"/>
      <c r="E163" s="964"/>
      <c r="F163" s="870"/>
      <c r="G163" s="965"/>
      <c r="H163" s="870"/>
      <c r="I163" s="870"/>
      <c r="J163" s="965"/>
    </row>
  </sheetData>
  <pageMargins left="0.51181102362204722" right="0.51181102362204722" top="0.74803149606299213" bottom="0.74803149606299213" header="0.31496062992125984" footer="0.31496062992125984"/>
  <pageSetup paperSize="9" scale="46" orientation="landscape" r:id="rId1"/>
  <headerFooter>
    <oddHeader>&amp;L&amp;F    &amp;&amp;&amp;A&amp;C
&amp;D&amp;RPage &amp;P of &amp;N</oddHeader>
  </headerFooter>
  <drawing r:id="rId2"/>
  <legacy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pageSetUpPr fitToPage="1"/>
  </sheetPr>
  <dimension ref="B1:X108"/>
  <sheetViews>
    <sheetView zoomScale="75" zoomScaleNormal="75" workbookViewId="0">
      <selection activeCell="J3" sqref="J3"/>
    </sheetView>
  </sheetViews>
  <sheetFormatPr defaultColWidth="8.85546875" defaultRowHeight="15" x14ac:dyDescent="0.25"/>
  <cols>
    <col min="1" max="1" width="1.7109375" style="94" customWidth="1"/>
    <col min="2" max="3" width="5.42578125" style="94" customWidth="1"/>
    <col min="4" max="4" width="7.7109375" style="94" customWidth="1"/>
    <col min="5" max="5" width="35.42578125" style="94" customWidth="1"/>
    <col min="6" max="6" width="4.7109375" style="762" customWidth="1"/>
    <col min="7" max="12" width="12.42578125" style="763" customWidth="1"/>
    <col min="13" max="13" width="8.5703125" style="764" customWidth="1"/>
    <col min="14" max="14" width="8.28515625" style="765" customWidth="1"/>
    <col min="15" max="15" width="23.140625" style="764" customWidth="1"/>
    <col min="16" max="16384" width="8.85546875" style="94"/>
  </cols>
  <sheetData>
    <row r="1" spans="2:24" ht="19.5" customHeight="1" x14ac:dyDescent="0.25">
      <c r="B1" s="760" t="s">
        <v>1090</v>
      </c>
      <c r="C1" s="761"/>
      <c r="D1" s="761"/>
      <c r="E1" s="761"/>
    </row>
    <row r="2" spans="2:24" ht="17.25" customHeight="1" x14ac:dyDescent="0.25">
      <c r="B2" s="766" t="s">
        <v>1216</v>
      </c>
      <c r="C2" s="761"/>
      <c r="D2" s="761"/>
      <c r="E2" s="761"/>
    </row>
    <row r="3" spans="2:24" ht="15" customHeight="1" x14ac:dyDescent="0.25">
      <c r="B3" s="767"/>
      <c r="C3" s="761"/>
      <c r="D3" s="761"/>
      <c r="E3" s="761"/>
    </row>
    <row r="4" spans="2:24" ht="20.25" customHeight="1" x14ac:dyDescent="0.25">
      <c r="B4" s="768" t="s">
        <v>1092</v>
      </c>
      <c r="C4" s="761"/>
      <c r="D4" s="769"/>
      <c r="E4" s="761" t="s">
        <v>1093</v>
      </c>
      <c r="G4" s="770"/>
      <c r="H4" s="770"/>
      <c r="I4" s="770"/>
      <c r="J4" s="770"/>
      <c r="K4" s="770"/>
      <c r="L4" s="770"/>
      <c r="O4" s="772" t="s">
        <v>1217</v>
      </c>
    </row>
    <row r="5" spans="2:24" ht="15" customHeight="1" x14ac:dyDescent="0.25">
      <c r="B5" s="768"/>
      <c r="C5" s="761"/>
      <c r="D5" s="769"/>
      <c r="E5" s="761"/>
      <c r="G5" s="770"/>
      <c r="H5" s="770"/>
      <c r="I5" s="770"/>
      <c r="J5" s="770"/>
      <c r="K5" s="770"/>
      <c r="L5" s="770"/>
      <c r="O5" s="772"/>
    </row>
    <row r="6" spans="2:24" ht="15" customHeight="1" x14ac:dyDescent="0.25">
      <c r="B6" s="768" t="s">
        <v>1094</v>
      </c>
      <c r="C6" s="761"/>
      <c r="D6" s="769"/>
      <c r="E6" s="761"/>
      <c r="G6" s="770"/>
      <c r="H6" s="770"/>
      <c r="I6" s="770"/>
      <c r="J6" s="770"/>
      <c r="K6" s="770"/>
      <c r="L6" s="770"/>
      <c r="O6" s="94"/>
    </row>
    <row r="7" spans="2:24" ht="15" customHeight="1" thickBot="1" x14ac:dyDescent="0.3">
      <c r="B7" s="773"/>
      <c r="C7" s="761"/>
      <c r="D7" s="761"/>
      <c r="E7" s="761"/>
      <c r="O7" s="765"/>
      <c r="R7" s="94" t="s">
        <v>1332</v>
      </c>
    </row>
    <row r="8" spans="2:24" ht="15" customHeight="1" x14ac:dyDescent="0.25">
      <c r="B8" s="774" t="s">
        <v>1218</v>
      </c>
      <c r="C8" s="775"/>
      <c r="D8" s="775"/>
      <c r="E8" s="775"/>
      <c r="F8" s="776"/>
      <c r="G8" s="1268" t="s">
        <v>1333</v>
      </c>
      <c r="H8" s="1062">
        <v>2012</v>
      </c>
      <c r="I8" s="1062">
        <v>2013</v>
      </c>
      <c r="J8" s="1062">
        <v>2014</v>
      </c>
      <c r="K8" s="1062">
        <v>2015</v>
      </c>
      <c r="L8" s="1062">
        <v>2016</v>
      </c>
      <c r="M8" s="778" t="s">
        <v>1096</v>
      </c>
      <c r="N8" s="970"/>
      <c r="O8" s="780" t="s">
        <v>1098</v>
      </c>
      <c r="R8" s="94" t="s">
        <v>1334</v>
      </c>
    </row>
    <row r="9" spans="2:24" s="804" customFormat="1" ht="15" customHeight="1" thickBot="1" x14ac:dyDescent="0.3">
      <c r="B9" s="797"/>
      <c r="C9" s="971"/>
      <c r="D9" s="798"/>
      <c r="E9" s="798"/>
      <c r="F9" s="799"/>
      <c r="G9" s="784"/>
      <c r="H9" s="784"/>
      <c r="I9" s="784"/>
      <c r="J9" s="784"/>
      <c r="K9" s="784"/>
      <c r="L9" s="784"/>
      <c r="N9" s="765"/>
      <c r="O9" s="786"/>
      <c r="R9" s="804">
        <v>0.49947000000000003</v>
      </c>
      <c r="T9" s="972" t="s">
        <v>1219</v>
      </c>
    </row>
    <row r="10" spans="2:24" ht="15" customHeight="1" thickBot="1" x14ac:dyDescent="0.3">
      <c r="B10" s="807"/>
      <c r="C10" s="973" t="s">
        <v>1220</v>
      </c>
      <c r="D10" s="761"/>
      <c r="E10" s="761"/>
      <c r="F10" s="808" t="s">
        <v>1103</v>
      </c>
      <c r="G10" s="898">
        <f t="shared" ref="G10:L10" si="0">G11-G12-G13-G14</f>
        <v>0.49947000000000003</v>
      </c>
      <c r="H10" s="898">
        <f t="shared" si="0"/>
        <v>0.65619604472715576</v>
      </c>
      <c r="I10" s="898">
        <f t="shared" si="0"/>
        <v>0.67332353595450711</v>
      </c>
      <c r="J10" s="898">
        <f t="shared" si="0"/>
        <v>0.69544605236139589</v>
      </c>
      <c r="K10" s="898">
        <f t="shared" si="0"/>
        <v>0.71615365098616113</v>
      </c>
      <c r="L10" s="1267">
        <f t="shared" si="0"/>
        <v>0</v>
      </c>
      <c r="M10" s="764" t="s">
        <v>1221</v>
      </c>
      <c r="O10" s="795" t="s">
        <v>1222</v>
      </c>
      <c r="Q10" s="804"/>
      <c r="R10" s="804"/>
      <c r="S10" s="804"/>
      <c r="T10" s="804"/>
      <c r="U10" s="804"/>
      <c r="V10" s="804"/>
      <c r="W10" s="804"/>
      <c r="X10" s="804"/>
    </row>
    <row r="11" spans="2:24" ht="15" customHeight="1" thickBot="1" x14ac:dyDescent="0.3">
      <c r="B11" s="783"/>
      <c r="C11" s="761"/>
      <c r="D11" s="835" t="s">
        <v>1223</v>
      </c>
      <c r="E11" s="761"/>
      <c r="F11" s="799" t="s">
        <v>1110</v>
      </c>
      <c r="G11" s="1646">
        <f>R9</f>
        <v>0.49947000000000003</v>
      </c>
      <c r="H11" s="1647">
        <f>+SUM(PSUT_2012!$AA$11,PSUT_2012!$AA$16)/1000000</f>
        <v>0.65619604472715576</v>
      </c>
      <c r="I11" s="1647">
        <f>+SUM(PSUT_2013!$AA$11,PSUT_2013!$AA$16)/1000000</f>
        <v>0.67332353595450711</v>
      </c>
      <c r="J11" s="1647">
        <f>+SUM(PSUT_2014!$AA$11,PSUT_2014!$AA$16)/1000000</f>
        <v>0.69544605236139589</v>
      </c>
      <c r="K11" s="1647">
        <f>+SUM(PSUT_2015!$AA$11,PSUT_2015!$AA$16)/1000000</f>
        <v>0.71615365098616113</v>
      </c>
      <c r="L11" s="1266"/>
      <c r="M11" s="764" t="s">
        <v>1221</v>
      </c>
      <c r="N11" s="974"/>
      <c r="O11" s="786"/>
      <c r="Q11" s="804"/>
      <c r="R11" s="804"/>
      <c r="S11" s="804"/>
      <c r="T11" s="804"/>
      <c r="U11" s="804"/>
      <c r="V11" s="804"/>
      <c r="W11" s="804"/>
      <c r="X11" s="804"/>
    </row>
    <row r="12" spans="2:24" ht="15" customHeight="1" thickBot="1" x14ac:dyDescent="0.3">
      <c r="B12" s="783"/>
      <c r="C12" s="761"/>
      <c r="D12" s="835" t="s">
        <v>1224</v>
      </c>
      <c r="E12" s="761"/>
      <c r="F12" s="765" t="s">
        <v>1114</v>
      </c>
      <c r="G12" s="792">
        <v>0</v>
      </c>
      <c r="H12" s="792">
        <v>0</v>
      </c>
      <c r="I12" s="792">
        <v>0</v>
      </c>
      <c r="J12" s="792">
        <v>0</v>
      </c>
      <c r="K12" s="792">
        <v>0</v>
      </c>
      <c r="L12" s="1266">
        <v>0</v>
      </c>
      <c r="M12" s="764" t="s">
        <v>1221</v>
      </c>
      <c r="O12" s="786"/>
      <c r="Q12" s="804"/>
    </row>
    <row r="13" spans="2:24" ht="15" customHeight="1" thickBot="1" x14ac:dyDescent="0.3">
      <c r="B13" s="783"/>
      <c r="C13" s="761"/>
      <c r="D13" s="835" t="s">
        <v>1225</v>
      </c>
      <c r="E13" s="761"/>
      <c r="F13" s="799" t="s">
        <v>1117</v>
      </c>
      <c r="G13" s="792">
        <v>0</v>
      </c>
      <c r="H13" s="792">
        <v>0</v>
      </c>
      <c r="I13" s="792">
        <v>0</v>
      </c>
      <c r="J13" s="792">
        <v>0</v>
      </c>
      <c r="K13" s="792">
        <v>0</v>
      </c>
      <c r="L13" s="1266">
        <v>0</v>
      </c>
      <c r="M13" s="764" t="s">
        <v>1221</v>
      </c>
      <c r="O13" s="786"/>
      <c r="Q13" s="804"/>
    </row>
    <row r="14" spans="2:24" ht="15" customHeight="1" thickBot="1" x14ac:dyDescent="0.3">
      <c r="B14" s="783"/>
      <c r="C14" s="761"/>
      <c r="D14" s="835" t="s">
        <v>1226</v>
      </c>
      <c r="E14" s="761"/>
      <c r="F14" s="799" t="s">
        <v>1122</v>
      </c>
      <c r="G14" s="792"/>
      <c r="H14" s="792"/>
      <c r="I14" s="792"/>
      <c r="J14" s="792"/>
      <c r="K14" s="792"/>
      <c r="L14" s="792"/>
      <c r="M14" s="764" t="s">
        <v>1221</v>
      </c>
      <c r="O14" s="786"/>
      <c r="Q14" s="804"/>
    </row>
    <row r="15" spans="2:24" ht="15" customHeight="1" thickBot="1" x14ac:dyDescent="0.3">
      <c r="B15" s="783"/>
      <c r="C15" s="761"/>
      <c r="D15" s="761"/>
      <c r="E15" s="761"/>
      <c r="F15" s="799"/>
      <c r="G15" s="810"/>
      <c r="H15" s="810"/>
      <c r="I15" s="810"/>
      <c r="J15" s="810"/>
      <c r="K15" s="810"/>
      <c r="L15" s="810"/>
      <c r="O15" s="786"/>
    </row>
    <row r="16" spans="2:24" ht="15" customHeight="1" thickBot="1" x14ac:dyDescent="0.3">
      <c r="B16" s="783"/>
      <c r="C16" s="973" t="s">
        <v>1227</v>
      </c>
      <c r="D16" s="761"/>
      <c r="E16" s="791"/>
      <c r="F16" s="762" t="s">
        <v>1126</v>
      </c>
      <c r="G16" s="898">
        <f>SDG_Resources_Sheet!J53</f>
        <v>13.310000000000002</v>
      </c>
      <c r="H16" s="898">
        <f>TRWR!C39/1000</f>
        <v>11.659317876000001</v>
      </c>
      <c r="I16" s="898">
        <f>TRWR!D39/1000</f>
        <v>10.329248875999991</v>
      </c>
      <c r="J16" s="898">
        <f>TRWR!E39/1000</f>
        <v>11.925331676000001</v>
      </c>
      <c r="K16" s="898">
        <f>TRWR!F39/1000</f>
        <v>11.256346476000003</v>
      </c>
      <c r="L16" s="898">
        <f>TRWR!G39/1000</f>
        <v>0</v>
      </c>
      <c r="M16" s="764" t="s">
        <v>1221</v>
      </c>
      <c r="O16" s="786"/>
    </row>
    <row r="17" spans="2:22" ht="15" customHeight="1" thickBot="1" x14ac:dyDescent="0.3">
      <c r="B17" s="783"/>
      <c r="C17" s="975"/>
      <c r="D17" s="761"/>
      <c r="E17" s="791"/>
      <c r="O17" s="786"/>
    </row>
    <row r="18" spans="2:22" ht="15" customHeight="1" thickBot="1" x14ac:dyDescent="0.3">
      <c r="B18" s="783"/>
      <c r="C18" s="973" t="s">
        <v>1228</v>
      </c>
      <c r="D18" s="761"/>
      <c r="E18" s="791"/>
      <c r="F18" s="762" t="s">
        <v>1132</v>
      </c>
      <c r="G18" s="976">
        <v>21.9</v>
      </c>
      <c r="H18" s="976">
        <v>21.9</v>
      </c>
      <c r="I18" s="976">
        <v>21.9</v>
      </c>
      <c r="J18" s="976">
        <v>21.9</v>
      </c>
      <c r="K18" s="976">
        <v>21.9</v>
      </c>
      <c r="L18" s="976">
        <v>21.9</v>
      </c>
      <c r="M18" s="764" t="s">
        <v>1229</v>
      </c>
      <c r="O18" s="786"/>
    </row>
    <row r="19" spans="2:22" ht="15" customHeight="1" thickBot="1" x14ac:dyDescent="0.3">
      <c r="B19" s="783"/>
      <c r="C19" s="973" t="s">
        <v>1230</v>
      </c>
      <c r="D19" s="761"/>
      <c r="E19" s="791"/>
      <c r="G19" s="898">
        <f t="shared" ref="G19:L19" si="1">G16*G18/100</f>
        <v>2.9148900000000002</v>
      </c>
      <c r="H19" s="898">
        <f t="shared" si="1"/>
        <v>2.553390614844</v>
      </c>
      <c r="I19" s="898">
        <f t="shared" si="1"/>
        <v>2.2621055038439977</v>
      </c>
      <c r="J19" s="898">
        <f t="shared" si="1"/>
        <v>2.6116476370439998</v>
      </c>
      <c r="K19" s="898">
        <f t="shared" si="1"/>
        <v>2.4651398782440004</v>
      </c>
      <c r="L19" s="898">
        <f t="shared" si="1"/>
        <v>0</v>
      </c>
      <c r="M19" s="764" t="s">
        <v>1221</v>
      </c>
      <c r="O19" s="786"/>
      <c r="R19" s="1063"/>
      <c r="S19" s="1063"/>
      <c r="T19" s="1063"/>
      <c r="U19" s="1063"/>
      <c r="V19" s="1063"/>
    </row>
    <row r="20" spans="2:22" ht="15" customHeight="1" thickBot="1" x14ac:dyDescent="0.3">
      <c r="B20" s="783"/>
      <c r="C20" s="973"/>
      <c r="D20" s="761"/>
      <c r="E20" s="791"/>
      <c r="G20" s="977"/>
      <c r="H20" s="977"/>
      <c r="I20" s="977"/>
      <c r="J20" s="977"/>
      <c r="K20" s="977"/>
      <c r="L20" s="977"/>
      <c r="O20" s="786"/>
    </row>
    <row r="21" spans="2:22" ht="15" customHeight="1" thickBot="1" x14ac:dyDescent="0.3">
      <c r="B21" s="783"/>
      <c r="C21" s="978" t="s">
        <v>1231</v>
      </c>
      <c r="D21" s="761"/>
      <c r="E21" s="761"/>
      <c r="F21" s="799" t="s">
        <v>1139</v>
      </c>
      <c r="G21" s="818">
        <f t="shared" ref="G21:L21" si="2">IF(AND(G18="",G10=0),0,IF(AND(G18="",G10&lt;&gt;0),G10/G16*100, G10/(G16-(G18*G16/100))*100))</f>
        <v>4.8048553598759414</v>
      </c>
      <c r="H21" s="818">
        <f t="shared" si="2"/>
        <v>7.2062517732417231</v>
      </c>
      <c r="I21" s="818">
        <f t="shared" si="2"/>
        <v>8.3464927408939467</v>
      </c>
      <c r="J21" s="818">
        <f t="shared" si="2"/>
        <v>7.4669276888992524</v>
      </c>
      <c r="K21" s="818">
        <f>IF(AND(K18="",K10=0),0,IF(AND(K18="",K10&lt;&gt;0),K10/K16*100, K10/(K16-(K18*K16/100))*100))</f>
        <v>8.1462498124997182</v>
      </c>
      <c r="L21" s="818" t="e">
        <f t="shared" si="2"/>
        <v>#DIV/0!</v>
      </c>
      <c r="M21" s="764" t="s">
        <v>200</v>
      </c>
      <c r="N21" s="979"/>
      <c r="O21" s="795" t="s">
        <v>1232</v>
      </c>
    </row>
    <row r="22" spans="2:22" s="828" customFormat="1" ht="15" customHeight="1" thickBot="1" x14ac:dyDescent="0.3">
      <c r="B22" s="821"/>
      <c r="C22" s="822"/>
      <c r="D22" s="822"/>
      <c r="E22" s="822"/>
      <c r="F22" s="823"/>
      <c r="G22" s="824"/>
      <c r="H22" s="824"/>
      <c r="I22" s="824"/>
      <c r="J22" s="824"/>
      <c r="K22" s="824"/>
      <c r="L22" s="824"/>
      <c r="M22" s="825"/>
      <c r="N22" s="980"/>
      <c r="O22" s="827"/>
    </row>
    <row r="23" spans="2:22" ht="15" customHeight="1" x14ac:dyDescent="0.25">
      <c r="B23" s="761"/>
    </row>
    <row r="24" spans="2:22" ht="15" customHeight="1" x14ac:dyDescent="0.25">
      <c r="B24" s="865" t="s">
        <v>1173</v>
      </c>
      <c r="C24" s="866"/>
      <c r="D24" s="866"/>
      <c r="E24" s="866"/>
      <c r="G24" s="867"/>
      <c r="I24" s="867"/>
      <c r="J24" s="867"/>
      <c r="K24" s="867"/>
      <c r="L24" s="1066"/>
    </row>
    <row r="25" spans="2:22" ht="15" customHeight="1" x14ac:dyDescent="0.25">
      <c r="B25" s="866"/>
      <c r="C25" s="866" t="s">
        <v>1174</v>
      </c>
      <c r="D25" s="866"/>
      <c r="E25" s="866"/>
      <c r="G25" s="867"/>
      <c r="H25" s="867"/>
      <c r="I25" s="867"/>
      <c r="J25" s="867"/>
      <c r="K25" s="1642">
        <f>K10/(K16-(K18*K16/100))*100</f>
        <v>8.1462498124997182</v>
      </c>
      <c r="L25" s="867"/>
    </row>
    <row r="26" spans="2:22" ht="15" customHeight="1" x14ac:dyDescent="0.25">
      <c r="B26" s="866"/>
      <c r="C26" s="866" t="s">
        <v>1175</v>
      </c>
      <c r="D26" s="866"/>
      <c r="E26" s="866"/>
      <c r="G26" s="867"/>
      <c r="H26" s="867"/>
      <c r="I26" s="867"/>
      <c r="J26" s="867"/>
      <c r="K26" s="1642">
        <f>K10/(K27)*100</f>
        <v>8.1462498124997182</v>
      </c>
      <c r="L26" s="867"/>
    </row>
    <row r="27" spans="2:22" ht="15" customHeight="1" x14ac:dyDescent="0.25">
      <c r="B27" s="866"/>
      <c r="C27" s="866"/>
      <c r="D27" s="866"/>
      <c r="E27" s="866"/>
      <c r="G27" s="867"/>
      <c r="H27" s="867"/>
      <c r="I27" s="867"/>
      <c r="J27" s="867"/>
      <c r="K27" s="1642">
        <f>(K16-(K18*K16/100))</f>
        <v>8.7912065977560019</v>
      </c>
      <c r="L27" s="867"/>
    </row>
    <row r="28" spans="2:22" ht="15" customHeight="1" x14ac:dyDescent="0.25">
      <c r="B28" s="866"/>
      <c r="C28" s="866"/>
      <c r="D28" s="866"/>
      <c r="E28" s="866"/>
      <c r="G28" s="867"/>
      <c r="H28" s="867"/>
      <c r="I28" s="867"/>
      <c r="J28" s="867"/>
      <c r="K28" s="1642">
        <f>(K18*K16/100)</f>
        <v>2.4651398782440004</v>
      </c>
      <c r="L28" s="867"/>
    </row>
    <row r="29" spans="2:22" ht="15" customHeight="1" x14ac:dyDescent="0.25">
      <c r="B29" s="866"/>
      <c r="C29" s="866"/>
      <c r="D29" s="866"/>
      <c r="E29" s="866"/>
      <c r="G29" s="867"/>
      <c r="H29" s="867"/>
      <c r="I29" s="867"/>
      <c r="J29" s="867"/>
      <c r="K29" s="867"/>
      <c r="L29" s="867"/>
    </row>
    <row r="30" spans="2:22" ht="15" customHeight="1" x14ac:dyDescent="0.25">
      <c r="B30" s="866"/>
      <c r="C30" s="866"/>
      <c r="D30" s="866"/>
      <c r="E30" s="866"/>
      <c r="G30" s="867"/>
      <c r="H30" s="867"/>
      <c r="I30" s="867"/>
      <c r="J30" s="867"/>
      <c r="K30" s="867"/>
      <c r="L30" s="867"/>
    </row>
    <row r="31" spans="2:22" ht="15" customHeight="1" x14ac:dyDescent="0.25">
      <c r="B31" s="866"/>
      <c r="C31" s="866"/>
      <c r="D31" s="866"/>
      <c r="E31" s="866"/>
      <c r="G31" s="867"/>
      <c r="H31" s="867"/>
      <c r="I31" s="867"/>
      <c r="J31" s="867"/>
      <c r="K31" s="867"/>
      <c r="L31" s="867"/>
    </row>
    <row r="32" spans="2:22" ht="15" customHeight="1" x14ac:dyDescent="0.25">
      <c r="B32" s="866"/>
      <c r="C32" s="866"/>
      <c r="D32" s="866"/>
      <c r="E32" s="866"/>
      <c r="G32" s="867"/>
      <c r="H32" s="867"/>
      <c r="I32" s="867"/>
      <c r="J32" s="867"/>
      <c r="K32" s="867"/>
      <c r="L32" s="867"/>
    </row>
    <row r="33" spans="2:12" ht="15" customHeight="1" x14ac:dyDescent="0.25">
      <c r="B33" s="866"/>
      <c r="C33" s="866"/>
      <c r="D33" s="866"/>
      <c r="E33" s="866"/>
      <c r="G33" s="867"/>
      <c r="H33" s="867"/>
      <c r="I33" s="867"/>
      <c r="J33" s="867"/>
      <c r="K33" s="867"/>
      <c r="L33" s="867"/>
    </row>
    <row r="34" spans="2:12" ht="15" customHeight="1" x14ac:dyDescent="0.25">
      <c r="B34" s="866"/>
      <c r="C34" s="866"/>
      <c r="D34" s="866"/>
      <c r="E34" s="866"/>
      <c r="G34" s="867"/>
      <c r="H34" s="867"/>
      <c r="I34" s="867"/>
      <c r="J34" s="867"/>
      <c r="K34" s="867"/>
      <c r="L34" s="867"/>
    </row>
    <row r="35" spans="2:12" ht="15" customHeight="1" x14ac:dyDescent="0.25">
      <c r="B35" s="866"/>
      <c r="C35" s="866"/>
      <c r="D35" s="866"/>
      <c r="E35" s="866"/>
      <c r="G35" s="867"/>
      <c r="H35" s="867"/>
      <c r="I35" s="867"/>
      <c r="J35" s="867"/>
      <c r="K35" s="867"/>
      <c r="L35" s="867"/>
    </row>
    <row r="36" spans="2:12" ht="15" customHeight="1" x14ac:dyDescent="0.25">
      <c r="B36" s="866"/>
      <c r="C36" s="866"/>
      <c r="D36" s="866"/>
      <c r="E36" s="866"/>
      <c r="G36" s="867"/>
      <c r="H36" s="867"/>
      <c r="I36" s="867"/>
      <c r="J36" s="867"/>
      <c r="K36" s="867"/>
      <c r="L36" s="867"/>
    </row>
    <row r="37" spans="2:12" ht="15" customHeight="1" x14ac:dyDescent="0.25">
      <c r="B37" s="866"/>
      <c r="C37" s="866"/>
      <c r="D37" s="866"/>
      <c r="E37" s="866"/>
      <c r="G37" s="867"/>
      <c r="H37" s="867"/>
      <c r="I37" s="867"/>
      <c r="J37" s="867"/>
      <c r="K37" s="867"/>
      <c r="L37" s="867"/>
    </row>
    <row r="38" spans="2:12" ht="15" customHeight="1" x14ac:dyDescent="0.25">
      <c r="B38" s="866"/>
      <c r="C38" s="866"/>
      <c r="D38" s="866"/>
      <c r="E38" s="866"/>
      <c r="G38" s="867"/>
      <c r="H38" s="867"/>
      <c r="I38" s="867"/>
      <c r="J38" s="867"/>
      <c r="K38" s="867"/>
      <c r="L38" s="867"/>
    </row>
    <row r="39" spans="2:12" ht="15" customHeight="1" x14ac:dyDescent="0.25">
      <c r="B39" s="866"/>
      <c r="C39" s="866"/>
      <c r="D39" s="866"/>
      <c r="E39" s="866"/>
      <c r="G39" s="867"/>
      <c r="H39" s="867"/>
      <c r="I39" s="867"/>
      <c r="J39" s="867"/>
      <c r="K39" s="867"/>
      <c r="L39" s="867"/>
    </row>
    <row r="40" spans="2:12" ht="15" customHeight="1" x14ac:dyDescent="0.25">
      <c r="B40" s="866"/>
      <c r="C40" s="866"/>
      <c r="D40" s="866"/>
      <c r="E40" s="866"/>
      <c r="G40" s="867"/>
      <c r="H40" s="867"/>
      <c r="I40" s="867"/>
      <c r="J40" s="867"/>
      <c r="K40" s="867"/>
      <c r="L40" s="867"/>
    </row>
    <row r="41" spans="2:12" ht="15" customHeight="1" x14ac:dyDescent="0.25">
      <c r="B41" s="866"/>
      <c r="C41" s="866"/>
      <c r="D41" s="866"/>
      <c r="E41" s="866"/>
      <c r="G41" s="867"/>
      <c r="H41" s="867"/>
      <c r="I41" s="867"/>
      <c r="J41" s="867"/>
      <c r="K41" s="867"/>
      <c r="L41" s="867"/>
    </row>
    <row r="42" spans="2:12" ht="15" customHeight="1" x14ac:dyDescent="0.25">
      <c r="B42" s="866"/>
      <c r="C42" s="866"/>
      <c r="D42" s="866"/>
      <c r="E42" s="866"/>
      <c r="G42" s="867"/>
      <c r="H42" s="867"/>
      <c r="I42" s="867"/>
      <c r="J42" s="867"/>
      <c r="K42" s="867"/>
      <c r="L42" s="867"/>
    </row>
    <row r="43" spans="2:12" ht="15" customHeight="1" x14ac:dyDescent="0.25">
      <c r="B43" s="866"/>
      <c r="C43" s="866"/>
      <c r="D43" s="866"/>
      <c r="E43" s="866"/>
      <c r="G43" s="867"/>
      <c r="H43" s="867"/>
      <c r="I43" s="867"/>
      <c r="J43" s="867"/>
      <c r="K43" s="867"/>
      <c r="L43" s="867"/>
    </row>
    <row r="44" spans="2:12" ht="15" customHeight="1" x14ac:dyDescent="0.25">
      <c r="B44" s="866"/>
      <c r="C44" s="866"/>
      <c r="D44" s="866"/>
      <c r="E44" s="866"/>
      <c r="G44" s="867"/>
      <c r="H44" s="867"/>
      <c r="I44" s="867"/>
      <c r="J44" s="867"/>
      <c r="K44" s="867"/>
      <c r="L44" s="867"/>
    </row>
    <row r="45" spans="2:12" ht="15" customHeight="1" x14ac:dyDescent="0.25">
      <c r="B45" s="866"/>
      <c r="C45" s="866"/>
      <c r="D45" s="866"/>
      <c r="E45" s="866"/>
      <c r="G45" s="867"/>
      <c r="H45" s="867"/>
      <c r="I45" s="867"/>
      <c r="J45" s="867"/>
      <c r="K45" s="867"/>
      <c r="L45" s="867"/>
    </row>
    <row r="46" spans="2:12" ht="15" customHeight="1" x14ac:dyDescent="0.25">
      <c r="B46" s="866"/>
      <c r="C46" s="866"/>
      <c r="D46" s="866"/>
      <c r="E46" s="866"/>
      <c r="G46" s="867"/>
      <c r="H46" s="867"/>
      <c r="I46" s="867"/>
      <c r="J46" s="867"/>
      <c r="K46" s="867"/>
      <c r="L46" s="867"/>
    </row>
    <row r="47" spans="2:12" ht="15" customHeight="1" x14ac:dyDescent="0.25">
      <c r="B47" s="866"/>
      <c r="C47" s="866"/>
      <c r="D47" s="866"/>
      <c r="E47" s="866"/>
      <c r="G47" s="867"/>
      <c r="H47" s="867"/>
      <c r="I47" s="867"/>
      <c r="J47" s="867"/>
      <c r="K47" s="867"/>
      <c r="L47" s="867"/>
    </row>
    <row r="48" spans="2:12" ht="15" customHeight="1" x14ac:dyDescent="0.25">
      <c r="B48" s="866"/>
      <c r="C48" s="866"/>
      <c r="D48" s="866"/>
      <c r="E48" s="866"/>
      <c r="G48" s="867"/>
      <c r="H48" s="867"/>
      <c r="I48" s="867"/>
      <c r="J48" s="867"/>
      <c r="K48" s="867"/>
      <c r="L48" s="867"/>
    </row>
    <row r="49" spans="2:12" ht="15" customHeight="1" x14ac:dyDescent="0.25">
      <c r="B49" s="866"/>
      <c r="C49" s="866"/>
      <c r="D49" s="866"/>
      <c r="E49" s="866"/>
      <c r="G49" s="867"/>
      <c r="H49" s="867"/>
      <c r="I49" s="867"/>
      <c r="J49" s="867"/>
      <c r="K49" s="867"/>
      <c r="L49" s="867"/>
    </row>
    <row r="50" spans="2:12" ht="15" customHeight="1" x14ac:dyDescent="0.25">
      <c r="B50" s="866"/>
      <c r="C50" s="866"/>
      <c r="D50" s="866"/>
      <c r="E50" s="866"/>
      <c r="G50" s="867"/>
      <c r="H50" s="867"/>
      <c r="I50" s="867"/>
      <c r="J50" s="867"/>
      <c r="K50" s="867"/>
      <c r="L50" s="867"/>
    </row>
    <row r="51" spans="2:12" ht="15" customHeight="1" x14ac:dyDescent="0.25">
      <c r="B51" s="866"/>
      <c r="C51" s="866"/>
      <c r="D51" s="866"/>
      <c r="E51" s="866"/>
      <c r="G51" s="867"/>
      <c r="H51" s="867"/>
      <c r="I51" s="867"/>
      <c r="J51" s="867"/>
      <c r="K51" s="867"/>
      <c r="L51" s="867"/>
    </row>
    <row r="52" spans="2:12" ht="15" customHeight="1" x14ac:dyDescent="0.25">
      <c r="B52" s="866"/>
      <c r="C52" s="866"/>
      <c r="D52" s="866"/>
      <c r="E52" s="866"/>
      <c r="G52" s="867"/>
      <c r="H52" s="867"/>
      <c r="I52" s="867"/>
      <c r="J52" s="867"/>
      <c r="K52" s="867"/>
      <c r="L52" s="867"/>
    </row>
    <row r="53" spans="2:12" ht="15" customHeight="1" x14ac:dyDescent="0.25">
      <c r="B53" s="866"/>
      <c r="C53" s="866"/>
      <c r="D53" s="866"/>
      <c r="E53" s="866"/>
      <c r="G53" s="867"/>
      <c r="H53" s="867"/>
      <c r="I53" s="867"/>
      <c r="J53" s="867"/>
      <c r="K53" s="867"/>
      <c r="L53" s="867"/>
    </row>
    <row r="54" spans="2:12" ht="15" customHeight="1" x14ac:dyDescent="0.25">
      <c r="B54" s="866"/>
      <c r="C54" s="866"/>
      <c r="D54" s="866"/>
      <c r="E54" s="866"/>
      <c r="G54" s="867"/>
      <c r="H54" s="867"/>
      <c r="I54" s="867"/>
      <c r="J54" s="867"/>
      <c r="K54" s="867"/>
      <c r="L54" s="867"/>
    </row>
    <row r="55" spans="2:12" ht="15" customHeight="1" x14ac:dyDescent="0.25">
      <c r="B55" s="866"/>
      <c r="C55" s="866"/>
      <c r="D55" s="866"/>
      <c r="E55" s="866"/>
      <c r="G55" s="867"/>
      <c r="H55" s="867"/>
      <c r="I55" s="867"/>
      <c r="J55" s="867"/>
      <c r="K55" s="867"/>
      <c r="L55" s="867"/>
    </row>
    <row r="56" spans="2:12" ht="15" customHeight="1" x14ac:dyDescent="0.25">
      <c r="B56" s="866"/>
      <c r="C56" s="866"/>
      <c r="D56" s="866"/>
      <c r="E56" s="866"/>
      <c r="G56" s="867"/>
      <c r="H56" s="867"/>
      <c r="I56" s="867"/>
      <c r="J56" s="867"/>
      <c r="K56" s="867"/>
      <c r="L56" s="867"/>
    </row>
    <row r="57" spans="2:12" ht="15" customHeight="1" x14ac:dyDescent="0.25">
      <c r="B57" s="866"/>
      <c r="C57" s="866"/>
      <c r="D57" s="866"/>
      <c r="E57" s="866"/>
      <c r="G57" s="867"/>
      <c r="H57" s="867"/>
      <c r="I57" s="867"/>
      <c r="J57" s="867"/>
      <c r="K57" s="867"/>
      <c r="L57" s="867"/>
    </row>
    <row r="58" spans="2:12" ht="15" customHeight="1" x14ac:dyDescent="0.25">
      <c r="B58" s="866"/>
      <c r="C58" s="866"/>
      <c r="D58" s="866"/>
      <c r="E58" s="866"/>
      <c r="G58" s="867"/>
      <c r="H58" s="867"/>
      <c r="I58" s="867"/>
      <c r="J58" s="867"/>
      <c r="K58" s="867"/>
      <c r="L58" s="867"/>
    </row>
    <row r="59" spans="2:12" ht="15" customHeight="1" x14ac:dyDescent="0.25">
      <c r="B59" s="866"/>
      <c r="C59" s="866"/>
      <c r="D59" s="866"/>
      <c r="E59" s="866"/>
      <c r="G59" s="867"/>
      <c r="H59" s="867"/>
      <c r="I59" s="867"/>
      <c r="J59" s="867"/>
      <c r="K59" s="867"/>
      <c r="L59" s="867"/>
    </row>
    <row r="60" spans="2:12" ht="15" customHeight="1" x14ac:dyDescent="0.25">
      <c r="B60" s="866"/>
      <c r="C60" s="866"/>
      <c r="D60" s="866"/>
      <c r="E60" s="866"/>
      <c r="G60" s="867"/>
      <c r="H60" s="867"/>
      <c r="I60" s="867"/>
      <c r="J60" s="867"/>
      <c r="K60" s="867"/>
      <c r="L60" s="867"/>
    </row>
    <row r="61" spans="2:12" ht="15" customHeight="1" x14ac:dyDescent="0.25">
      <c r="B61" s="866"/>
      <c r="C61" s="866"/>
      <c r="D61" s="866"/>
      <c r="E61" s="866"/>
      <c r="G61" s="867"/>
      <c r="H61" s="867"/>
      <c r="I61" s="867"/>
      <c r="J61" s="867"/>
      <c r="K61" s="867"/>
      <c r="L61" s="867"/>
    </row>
    <row r="62" spans="2:12" ht="15" customHeight="1" x14ac:dyDescent="0.25">
      <c r="B62" s="866"/>
      <c r="C62" s="866"/>
      <c r="D62" s="866"/>
      <c r="E62" s="866"/>
      <c r="G62" s="867"/>
      <c r="H62" s="867"/>
      <c r="I62" s="867"/>
      <c r="J62" s="867"/>
      <c r="K62" s="867"/>
      <c r="L62" s="867"/>
    </row>
    <row r="63" spans="2:12" ht="15" customHeight="1" x14ac:dyDescent="0.25">
      <c r="B63" s="866"/>
      <c r="C63" s="866"/>
      <c r="D63" s="866"/>
      <c r="E63" s="866"/>
      <c r="G63" s="867"/>
      <c r="H63" s="867"/>
      <c r="I63" s="867"/>
      <c r="J63" s="867"/>
      <c r="K63" s="867"/>
      <c r="L63" s="867"/>
    </row>
    <row r="64" spans="2:12" ht="15" customHeight="1" x14ac:dyDescent="0.25">
      <c r="B64" s="866"/>
      <c r="C64" s="866"/>
      <c r="D64" s="866"/>
      <c r="E64" s="866"/>
      <c r="G64" s="867"/>
      <c r="H64" s="867"/>
      <c r="I64" s="867"/>
      <c r="J64" s="867"/>
      <c r="K64" s="867"/>
      <c r="L64" s="867"/>
    </row>
    <row r="65" spans="2:12" ht="15" customHeight="1" x14ac:dyDescent="0.25">
      <c r="B65" s="866"/>
      <c r="C65" s="866"/>
      <c r="D65" s="866"/>
      <c r="E65" s="866"/>
      <c r="G65" s="867"/>
      <c r="H65" s="867"/>
      <c r="I65" s="867"/>
      <c r="J65" s="867"/>
      <c r="K65" s="867"/>
      <c r="L65" s="867"/>
    </row>
    <row r="66" spans="2:12" ht="15" customHeight="1" x14ac:dyDescent="0.25">
      <c r="B66" s="866"/>
      <c r="C66" s="866"/>
      <c r="D66" s="866"/>
      <c r="E66" s="866"/>
      <c r="G66" s="867"/>
      <c r="H66" s="867"/>
      <c r="I66" s="867"/>
      <c r="J66" s="867"/>
      <c r="K66" s="867"/>
      <c r="L66" s="867"/>
    </row>
    <row r="67" spans="2:12" ht="15" customHeight="1" x14ac:dyDescent="0.25">
      <c r="B67" s="866"/>
      <c r="C67" s="866"/>
      <c r="D67" s="866"/>
      <c r="E67" s="866"/>
      <c r="G67" s="867"/>
      <c r="H67" s="867"/>
      <c r="I67" s="867"/>
      <c r="J67" s="867"/>
      <c r="K67" s="867"/>
      <c r="L67" s="867"/>
    </row>
    <row r="68" spans="2:12" ht="15" customHeight="1" x14ac:dyDescent="0.25">
      <c r="B68" s="866"/>
      <c r="C68" s="866"/>
      <c r="D68" s="866"/>
      <c r="E68" s="866"/>
      <c r="G68" s="867"/>
      <c r="H68" s="867"/>
      <c r="I68" s="867"/>
      <c r="J68" s="867"/>
      <c r="K68" s="867"/>
      <c r="L68" s="867"/>
    </row>
    <row r="69" spans="2:12" ht="15" customHeight="1" x14ac:dyDescent="0.25">
      <c r="B69" s="866"/>
      <c r="C69" s="866"/>
      <c r="D69" s="866"/>
      <c r="E69" s="866"/>
      <c r="G69" s="867"/>
      <c r="H69" s="867"/>
      <c r="I69" s="867"/>
      <c r="J69" s="867"/>
      <c r="K69" s="867"/>
      <c r="L69" s="867"/>
    </row>
    <row r="70" spans="2:12" ht="15" customHeight="1" x14ac:dyDescent="0.25">
      <c r="B70" s="866"/>
      <c r="C70" s="866"/>
      <c r="D70" s="866"/>
      <c r="E70" s="866"/>
      <c r="G70" s="867"/>
      <c r="H70" s="867"/>
      <c r="I70" s="867"/>
      <c r="J70" s="867"/>
      <c r="K70" s="867"/>
      <c r="L70" s="867"/>
    </row>
    <row r="71" spans="2:12" ht="15" customHeight="1" x14ac:dyDescent="0.25">
      <c r="B71" s="866"/>
      <c r="C71" s="866"/>
      <c r="D71" s="866"/>
      <c r="E71" s="866"/>
      <c r="G71" s="867"/>
      <c r="H71" s="867"/>
      <c r="I71" s="867"/>
      <c r="J71" s="867"/>
      <c r="K71" s="867"/>
      <c r="L71" s="867"/>
    </row>
    <row r="72" spans="2:12" ht="15" customHeight="1" x14ac:dyDescent="0.25">
      <c r="B72" s="866"/>
      <c r="C72" s="866"/>
      <c r="D72" s="866"/>
      <c r="E72" s="866"/>
      <c r="G72" s="867"/>
      <c r="H72" s="867"/>
      <c r="I72" s="867"/>
      <c r="J72" s="867"/>
      <c r="K72" s="867"/>
      <c r="L72" s="867"/>
    </row>
    <row r="73" spans="2:12" ht="15" customHeight="1" x14ac:dyDescent="0.25">
      <c r="B73" s="866"/>
      <c r="C73" s="866"/>
      <c r="D73" s="866"/>
      <c r="E73" s="866"/>
      <c r="G73" s="867"/>
      <c r="H73" s="867"/>
      <c r="I73" s="867"/>
      <c r="J73" s="867"/>
      <c r="K73" s="867"/>
      <c r="L73" s="867"/>
    </row>
    <row r="74" spans="2:12" ht="15" customHeight="1" x14ac:dyDescent="0.25">
      <c r="B74" s="866"/>
      <c r="C74" s="866"/>
      <c r="D74" s="866"/>
      <c r="E74" s="866"/>
      <c r="G74" s="867"/>
      <c r="H74" s="867"/>
      <c r="I74" s="867"/>
      <c r="J74" s="867"/>
      <c r="K74" s="867"/>
      <c r="L74" s="867"/>
    </row>
    <row r="75" spans="2:12" ht="15" customHeight="1" x14ac:dyDescent="0.25">
      <c r="B75" s="866"/>
      <c r="C75" s="866"/>
      <c r="D75" s="866"/>
      <c r="E75" s="866"/>
      <c r="G75" s="867"/>
      <c r="H75" s="867"/>
      <c r="I75" s="867"/>
      <c r="J75" s="867"/>
      <c r="K75" s="867"/>
      <c r="L75" s="867"/>
    </row>
    <row r="76" spans="2:12" ht="15" customHeight="1" x14ac:dyDescent="0.25">
      <c r="B76" s="866"/>
      <c r="C76" s="866"/>
      <c r="D76" s="866"/>
      <c r="E76" s="866"/>
      <c r="G76" s="867"/>
      <c r="H76" s="867"/>
      <c r="I76" s="867"/>
      <c r="J76" s="867"/>
      <c r="K76" s="867"/>
      <c r="L76" s="867"/>
    </row>
    <row r="77" spans="2:12" ht="15" customHeight="1" x14ac:dyDescent="0.25">
      <c r="B77" s="866"/>
      <c r="C77" s="866"/>
      <c r="D77" s="866"/>
      <c r="E77" s="866"/>
      <c r="G77" s="867"/>
      <c r="H77" s="867"/>
      <c r="I77" s="867"/>
      <c r="J77" s="867"/>
      <c r="K77" s="867"/>
      <c r="L77" s="867"/>
    </row>
    <row r="78" spans="2:12" ht="15" customHeight="1" x14ac:dyDescent="0.25">
      <c r="B78" s="866"/>
      <c r="C78" s="866"/>
      <c r="D78" s="866"/>
      <c r="E78" s="866"/>
      <c r="G78" s="867"/>
      <c r="H78" s="867"/>
      <c r="I78" s="867"/>
      <c r="J78" s="867"/>
      <c r="K78" s="867"/>
      <c r="L78" s="867"/>
    </row>
    <row r="79" spans="2:12" ht="15" customHeight="1" x14ac:dyDescent="0.25">
      <c r="B79" s="866"/>
      <c r="C79" s="866"/>
      <c r="D79" s="866"/>
      <c r="E79" s="866"/>
      <c r="G79" s="867"/>
      <c r="H79" s="867"/>
      <c r="I79" s="867"/>
      <c r="J79" s="867"/>
      <c r="K79" s="867"/>
      <c r="L79" s="867"/>
    </row>
    <row r="80" spans="2:12" ht="15" customHeight="1" x14ac:dyDescent="0.25">
      <c r="B80" s="866"/>
      <c r="C80" s="866"/>
      <c r="D80" s="866"/>
      <c r="E80" s="866"/>
      <c r="G80" s="867"/>
      <c r="H80" s="867"/>
      <c r="I80" s="867"/>
      <c r="J80" s="867"/>
      <c r="K80" s="867"/>
      <c r="L80" s="867"/>
    </row>
    <row r="81" spans="2:12" ht="15" customHeight="1" x14ac:dyDescent="0.25">
      <c r="B81" s="866"/>
      <c r="C81" s="866"/>
      <c r="D81" s="866"/>
      <c r="E81" s="866"/>
      <c r="G81" s="867"/>
      <c r="H81" s="867"/>
      <c r="I81" s="867"/>
      <c r="J81" s="867"/>
      <c r="K81" s="867"/>
      <c r="L81" s="867"/>
    </row>
    <row r="82" spans="2:12" ht="15" customHeight="1" x14ac:dyDescent="0.25">
      <c r="B82" s="866"/>
      <c r="C82" s="866"/>
      <c r="D82" s="866"/>
      <c r="E82" s="866"/>
      <c r="G82" s="867"/>
      <c r="H82" s="867"/>
      <c r="I82" s="867"/>
      <c r="J82" s="867"/>
      <c r="K82" s="867"/>
      <c r="L82" s="867"/>
    </row>
    <row r="83" spans="2:12" ht="15" customHeight="1" x14ac:dyDescent="0.25">
      <c r="B83" s="866"/>
      <c r="C83" s="866"/>
      <c r="D83" s="866"/>
      <c r="E83" s="866"/>
      <c r="G83" s="867"/>
      <c r="H83" s="867"/>
      <c r="I83" s="867"/>
      <c r="J83" s="867"/>
      <c r="K83" s="867"/>
      <c r="L83" s="867"/>
    </row>
    <row r="84" spans="2:12" ht="15" customHeight="1" x14ac:dyDescent="0.25">
      <c r="B84" s="866"/>
      <c r="C84" s="866"/>
      <c r="D84" s="866"/>
      <c r="E84" s="866"/>
      <c r="G84" s="867"/>
      <c r="H84" s="867"/>
      <c r="I84" s="867"/>
      <c r="J84" s="867"/>
      <c r="K84" s="867"/>
      <c r="L84" s="867"/>
    </row>
    <row r="85" spans="2:12" ht="15" customHeight="1" x14ac:dyDescent="0.25">
      <c r="B85" s="866"/>
      <c r="C85" s="866"/>
      <c r="D85" s="866"/>
      <c r="E85" s="866"/>
      <c r="G85" s="867"/>
      <c r="H85" s="867"/>
      <c r="I85" s="867"/>
      <c r="J85" s="867"/>
      <c r="K85" s="867"/>
      <c r="L85" s="867"/>
    </row>
    <row r="86" spans="2:12" ht="15" customHeight="1" x14ac:dyDescent="0.25">
      <c r="B86" s="866"/>
      <c r="C86" s="866"/>
      <c r="D86" s="866"/>
      <c r="E86" s="866"/>
      <c r="G86" s="867"/>
      <c r="H86" s="867"/>
      <c r="I86" s="867"/>
      <c r="J86" s="867"/>
      <c r="K86" s="867"/>
      <c r="L86" s="867"/>
    </row>
    <row r="87" spans="2:12" ht="15" customHeight="1" x14ac:dyDescent="0.25">
      <c r="B87" s="866"/>
      <c r="C87" s="866"/>
      <c r="D87" s="866"/>
      <c r="E87" s="866"/>
      <c r="G87" s="867"/>
      <c r="H87" s="867"/>
      <c r="I87" s="867"/>
      <c r="J87" s="867"/>
      <c r="K87" s="867"/>
      <c r="L87" s="867"/>
    </row>
    <row r="88" spans="2:12" ht="15" customHeight="1" x14ac:dyDescent="0.25">
      <c r="B88" s="866"/>
      <c r="C88" s="866"/>
      <c r="D88" s="866"/>
      <c r="E88" s="866"/>
      <c r="G88" s="867"/>
      <c r="H88" s="867"/>
      <c r="I88" s="867"/>
      <c r="J88" s="867"/>
      <c r="K88" s="867"/>
      <c r="L88" s="867"/>
    </row>
    <row r="89" spans="2:12" ht="15" customHeight="1" x14ac:dyDescent="0.25">
      <c r="B89" s="866"/>
      <c r="C89" s="866"/>
      <c r="D89" s="866"/>
      <c r="E89" s="866"/>
      <c r="G89" s="867"/>
      <c r="H89" s="867"/>
      <c r="I89" s="867"/>
      <c r="J89" s="867"/>
      <c r="K89" s="867"/>
      <c r="L89" s="867"/>
    </row>
    <row r="90" spans="2:12" ht="15" customHeight="1" x14ac:dyDescent="0.25">
      <c r="B90" s="866"/>
      <c r="C90" s="866"/>
      <c r="D90" s="866"/>
      <c r="E90" s="866"/>
      <c r="G90" s="867"/>
      <c r="H90" s="867"/>
      <c r="I90" s="867"/>
      <c r="J90" s="867"/>
      <c r="K90" s="867"/>
      <c r="L90" s="867"/>
    </row>
    <row r="91" spans="2:12" ht="15" customHeight="1" x14ac:dyDescent="0.25">
      <c r="B91" s="866"/>
      <c r="C91" s="866"/>
      <c r="D91" s="866"/>
      <c r="E91" s="866"/>
      <c r="G91" s="867"/>
      <c r="H91" s="867"/>
      <c r="I91" s="867"/>
      <c r="J91" s="867"/>
      <c r="K91" s="867"/>
      <c r="L91" s="867"/>
    </row>
    <row r="92" spans="2:12" ht="15" customHeight="1" x14ac:dyDescent="0.25">
      <c r="B92" s="866"/>
      <c r="C92" s="866"/>
      <c r="D92" s="866"/>
      <c r="E92" s="866"/>
      <c r="G92" s="867"/>
      <c r="H92" s="867"/>
      <c r="I92" s="867"/>
      <c r="J92" s="867"/>
      <c r="K92" s="867"/>
      <c r="L92" s="867"/>
    </row>
    <row r="93" spans="2:12" ht="15" customHeight="1" x14ac:dyDescent="0.25">
      <c r="B93" s="866"/>
      <c r="C93" s="866"/>
      <c r="D93" s="866"/>
      <c r="E93" s="866"/>
      <c r="G93" s="867"/>
      <c r="H93" s="867"/>
      <c r="I93" s="867"/>
      <c r="J93" s="867"/>
      <c r="K93" s="867"/>
      <c r="L93" s="867"/>
    </row>
    <row r="94" spans="2:12" ht="15" customHeight="1" x14ac:dyDescent="0.25">
      <c r="B94" s="866"/>
      <c r="C94" s="866"/>
      <c r="D94" s="866"/>
      <c r="E94" s="866"/>
      <c r="G94" s="867"/>
      <c r="H94" s="867"/>
      <c r="I94" s="867"/>
      <c r="J94" s="867"/>
      <c r="K94" s="867"/>
      <c r="L94" s="867"/>
    </row>
    <row r="95" spans="2:12" ht="15" customHeight="1" x14ac:dyDescent="0.25">
      <c r="B95" s="866"/>
      <c r="C95" s="866"/>
      <c r="D95" s="866"/>
      <c r="E95" s="866"/>
      <c r="G95" s="867"/>
      <c r="H95" s="867"/>
      <c r="I95" s="867"/>
      <c r="J95" s="867"/>
      <c r="K95" s="867"/>
      <c r="L95" s="867"/>
    </row>
    <row r="96" spans="2:12" ht="15" customHeight="1" x14ac:dyDescent="0.25">
      <c r="B96" s="866"/>
      <c r="C96" s="866"/>
      <c r="D96" s="866"/>
      <c r="E96" s="866"/>
      <c r="G96" s="867"/>
      <c r="H96" s="867"/>
      <c r="I96" s="867"/>
      <c r="J96" s="867"/>
      <c r="K96" s="867"/>
      <c r="L96" s="867"/>
    </row>
    <row r="97" spans="2:12" ht="15" customHeight="1" x14ac:dyDescent="0.25">
      <c r="B97" s="866"/>
      <c r="C97" s="866"/>
      <c r="D97" s="866"/>
      <c r="E97" s="866"/>
      <c r="G97" s="867"/>
      <c r="H97" s="867"/>
      <c r="I97" s="867"/>
      <c r="J97" s="867"/>
      <c r="K97" s="867"/>
      <c r="L97" s="867"/>
    </row>
    <row r="98" spans="2:12" ht="15" customHeight="1" x14ac:dyDescent="0.25">
      <c r="B98" s="866"/>
      <c r="C98" s="866"/>
      <c r="D98" s="866"/>
      <c r="E98" s="866"/>
      <c r="G98" s="867"/>
      <c r="H98" s="867"/>
      <c r="I98" s="867"/>
      <c r="J98" s="867"/>
      <c r="K98" s="867"/>
      <c r="L98" s="867"/>
    </row>
    <row r="99" spans="2:12" ht="15" customHeight="1" x14ac:dyDescent="0.25">
      <c r="B99" s="866"/>
      <c r="C99" s="866"/>
      <c r="D99" s="866"/>
      <c r="E99" s="866"/>
      <c r="G99" s="867"/>
      <c r="H99" s="867"/>
      <c r="I99" s="867"/>
      <c r="J99" s="867"/>
      <c r="K99" s="867"/>
      <c r="L99" s="867"/>
    </row>
    <row r="100" spans="2:12" ht="15" customHeight="1" x14ac:dyDescent="0.25">
      <c r="B100" s="866"/>
      <c r="C100" s="866"/>
      <c r="D100" s="866"/>
      <c r="E100" s="866"/>
      <c r="G100" s="867"/>
      <c r="H100" s="867"/>
      <c r="I100" s="867"/>
      <c r="J100" s="867"/>
      <c r="K100" s="867"/>
      <c r="L100" s="867"/>
    </row>
    <row r="101" spans="2:12" ht="15" customHeight="1" x14ac:dyDescent="0.25">
      <c r="B101" s="866"/>
      <c r="C101" s="866"/>
      <c r="D101" s="866"/>
      <c r="E101" s="866"/>
      <c r="G101" s="867"/>
      <c r="H101" s="867"/>
      <c r="I101" s="867"/>
      <c r="J101" s="867"/>
      <c r="K101" s="867"/>
      <c r="L101" s="867"/>
    </row>
    <row r="102" spans="2:12" ht="15" customHeight="1" x14ac:dyDescent="0.25">
      <c r="B102" s="866"/>
      <c r="C102" s="866"/>
      <c r="D102" s="866"/>
      <c r="E102" s="866"/>
      <c r="G102" s="867"/>
      <c r="H102" s="867"/>
      <c r="I102" s="867"/>
      <c r="J102" s="867"/>
      <c r="K102" s="867"/>
      <c r="L102" s="867"/>
    </row>
    <row r="103" spans="2:12" ht="15" customHeight="1" x14ac:dyDescent="0.25">
      <c r="B103" s="866"/>
      <c r="C103" s="866"/>
      <c r="D103" s="866"/>
      <c r="E103" s="866"/>
      <c r="G103" s="867"/>
      <c r="H103" s="867"/>
      <c r="I103" s="867"/>
      <c r="J103" s="867"/>
      <c r="K103" s="867"/>
      <c r="L103" s="867"/>
    </row>
    <row r="104" spans="2:12" ht="15" customHeight="1" x14ac:dyDescent="0.25">
      <c r="B104" s="866"/>
      <c r="C104" s="866"/>
      <c r="D104" s="866"/>
      <c r="E104" s="866"/>
      <c r="G104" s="867"/>
      <c r="H104" s="867"/>
      <c r="I104" s="867"/>
      <c r="J104" s="867"/>
      <c r="K104" s="867"/>
      <c r="L104" s="867"/>
    </row>
    <row r="105" spans="2:12" ht="15" customHeight="1" x14ac:dyDescent="0.25">
      <c r="B105" s="866"/>
      <c r="C105" s="866"/>
      <c r="D105" s="866"/>
      <c r="E105" s="866"/>
      <c r="G105" s="867"/>
      <c r="H105" s="867"/>
      <c r="I105" s="867"/>
      <c r="J105" s="867"/>
      <c r="K105" s="867"/>
      <c r="L105" s="867"/>
    </row>
    <row r="106" spans="2:12" ht="15" customHeight="1" x14ac:dyDescent="0.25">
      <c r="B106" s="866"/>
      <c r="C106" s="866"/>
      <c r="D106" s="866"/>
      <c r="E106" s="866"/>
      <c r="G106" s="867"/>
      <c r="H106" s="867"/>
      <c r="I106" s="867"/>
      <c r="J106" s="867"/>
      <c r="K106" s="867"/>
      <c r="L106" s="867"/>
    </row>
    <row r="107" spans="2:12" ht="15" customHeight="1" x14ac:dyDescent="0.25">
      <c r="B107" s="866"/>
      <c r="C107" s="866"/>
      <c r="D107" s="866"/>
      <c r="E107" s="866"/>
      <c r="G107" s="867"/>
      <c r="H107" s="867"/>
      <c r="I107" s="867"/>
      <c r="J107" s="867"/>
      <c r="K107" s="867"/>
      <c r="L107" s="867"/>
    </row>
    <row r="108" spans="2:12" ht="15" customHeight="1" x14ac:dyDescent="0.25">
      <c r="B108" s="866"/>
      <c r="C108" s="866"/>
      <c r="D108" s="866"/>
      <c r="E108" s="866"/>
      <c r="G108" s="867"/>
      <c r="H108" s="867"/>
      <c r="I108" s="867"/>
      <c r="J108" s="867"/>
      <c r="K108" s="867"/>
      <c r="L108" s="867"/>
    </row>
  </sheetData>
  <pageMargins left="0.51181102362204722" right="0.51181102362204722" top="0.74803149606299213" bottom="0.74803149606299213" header="0.31496062992125984" footer="0.31496062992125984"/>
  <pageSetup paperSize="9" scale="50" orientation="landscape" r:id="rId1"/>
  <headerFooter>
    <oddHeader>&amp;L&amp;F    &amp;&amp;&amp;A&amp;C
&amp;D&amp;RPage &amp;P of &amp;N</oddHeader>
  </headerFooter>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BD129"/>
  <sheetViews>
    <sheetView zoomScale="70" zoomScaleNormal="70" workbookViewId="0">
      <pane xSplit="4" ySplit="7" topLeftCell="AK8" activePane="bottomRight" state="frozen"/>
      <selection activeCell="Y26" sqref="Y26"/>
      <selection pane="topRight" activeCell="Y26" sqref="Y26"/>
      <selection pane="bottomLeft" activeCell="Y26" sqref="Y26"/>
      <selection pane="bottomRight" activeCell="B3" sqref="B3"/>
    </sheetView>
  </sheetViews>
  <sheetFormatPr defaultRowHeight="15" x14ac:dyDescent="0.25"/>
  <cols>
    <col min="2" max="2" width="37.7109375" customWidth="1"/>
    <col min="4" max="4" width="10.85546875" customWidth="1"/>
    <col min="6" max="6" width="13.7109375" customWidth="1"/>
    <col min="23" max="23" width="13" bestFit="1" customWidth="1"/>
    <col min="26" max="26" width="18.140625" customWidth="1"/>
    <col min="41" max="41" width="12.5703125" bestFit="1" customWidth="1"/>
    <col min="43" max="43" width="17.5703125" customWidth="1"/>
    <col min="44" max="44" width="13" customWidth="1"/>
    <col min="45" max="45" width="14.42578125" customWidth="1"/>
    <col min="46" max="46" width="17.42578125" bestFit="1" customWidth="1"/>
  </cols>
  <sheetData>
    <row r="1" spans="1:56" ht="18" x14ac:dyDescent="0.25">
      <c r="A1" s="565"/>
      <c r="B1" s="566" t="s">
        <v>743</v>
      </c>
      <c r="C1" s="565"/>
      <c r="D1" s="565"/>
      <c r="E1" s="565"/>
      <c r="F1" s="565"/>
      <c r="G1" s="573"/>
      <c r="H1" s="573"/>
      <c r="I1" s="573"/>
      <c r="J1" s="573"/>
      <c r="K1" s="573"/>
      <c r="L1" s="565"/>
      <c r="M1" s="573"/>
      <c r="N1" s="565"/>
      <c r="O1" s="590"/>
      <c r="P1" s="590"/>
      <c r="Q1" s="590"/>
      <c r="R1" s="590"/>
      <c r="S1" s="590"/>
      <c r="T1" s="590"/>
      <c r="U1" s="590"/>
      <c r="V1" s="590"/>
      <c r="W1" s="573"/>
      <c r="X1" s="573"/>
      <c r="Y1" s="573"/>
      <c r="Z1" s="565"/>
      <c r="AA1" s="565"/>
      <c r="AB1" s="573"/>
      <c r="AC1" s="573"/>
      <c r="AD1" s="573"/>
      <c r="AE1" s="565"/>
      <c r="AF1" s="573"/>
      <c r="AG1" s="573"/>
      <c r="AH1" s="573"/>
      <c r="AI1" s="573"/>
      <c r="AJ1" s="573"/>
      <c r="AK1" s="573"/>
      <c r="AL1" s="573"/>
      <c r="AM1" s="573"/>
      <c r="AN1" s="573"/>
      <c r="AO1" s="573"/>
      <c r="AP1" s="565"/>
      <c r="AQ1" s="565"/>
      <c r="AR1" s="565"/>
      <c r="AS1" s="598"/>
      <c r="AT1" s="598"/>
      <c r="AU1" s="565"/>
      <c r="AV1" s="565"/>
      <c r="AW1" s="565"/>
      <c r="AX1" s="565"/>
      <c r="AY1" s="565"/>
      <c r="AZ1" s="565"/>
      <c r="BA1" s="565"/>
      <c r="BB1" s="565"/>
      <c r="BC1" s="565"/>
      <c r="BD1" s="565"/>
    </row>
    <row r="2" spans="1:56" ht="18" x14ac:dyDescent="0.25">
      <c r="A2" s="565"/>
      <c r="B2" s="569" t="s">
        <v>744</v>
      </c>
      <c r="C2" s="565"/>
      <c r="D2" s="565"/>
      <c r="E2" s="565"/>
      <c r="F2" s="565"/>
      <c r="G2" s="573"/>
      <c r="H2" s="573"/>
      <c r="I2" s="573"/>
      <c r="J2" s="573"/>
      <c r="K2" s="573"/>
      <c r="L2" s="565"/>
      <c r="M2" s="573"/>
      <c r="N2" s="565"/>
      <c r="O2" s="590"/>
      <c r="P2" s="590"/>
      <c r="Q2" s="590"/>
      <c r="R2" s="590"/>
      <c r="S2" s="590"/>
      <c r="T2" s="590"/>
      <c r="U2" s="590"/>
      <c r="V2" s="590"/>
      <c r="W2" s="573"/>
      <c r="X2" s="573"/>
      <c r="Y2" s="573"/>
      <c r="Z2" s="565"/>
      <c r="AA2" s="565"/>
      <c r="AB2" s="573"/>
      <c r="AC2" s="573"/>
      <c r="AD2" s="573"/>
      <c r="AE2" s="565"/>
      <c r="AF2" s="573"/>
      <c r="AG2" s="573"/>
      <c r="AH2" s="573"/>
      <c r="AI2" s="573"/>
      <c r="AJ2" s="573"/>
      <c r="AK2" s="573"/>
      <c r="AL2" s="573"/>
      <c r="AM2" s="573"/>
      <c r="AN2" s="573"/>
      <c r="AO2" s="573"/>
      <c r="AP2" s="565"/>
      <c r="AQ2" s="565"/>
      <c r="AR2" s="565"/>
      <c r="AS2" s="598"/>
      <c r="AT2" s="598"/>
      <c r="AU2" s="565"/>
      <c r="AV2" s="565"/>
      <c r="AW2" s="565"/>
      <c r="AX2" s="565"/>
      <c r="AY2" s="565"/>
      <c r="AZ2" s="565"/>
      <c r="BA2" s="565"/>
      <c r="BB2" s="565"/>
      <c r="BC2" s="565"/>
      <c r="BD2" s="565"/>
    </row>
    <row r="3" spans="1:56" ht="18" x14ac:dyDescent="0.25">
      <c r="A3" s="565"/>
      <c r="B3" s="1023" t="s">
        <v>745</v>
      </c>
      <c r="C3" s="565"/>
      <c r="D3" s="565"/>
      <c r="E3" s="565"/>
      <c r="F3" s="565"/>
      <c r="G3" s="573"/>
      <c r="H3" s="573"/>
      <c r="I3" s="573"/>
      <c r="J3" s="573"/>
      <c r="K3" s="573"/>
      <c r="L3" s="565"/>
      <c r="M3" s="573"/>
      <c r="N3" s="565"/>
      <c r="O3" s="590"/>
      <c r="P3" s="590"/>
      <c r="Q3" s="590"/>
      <c r="R3" s="590"/>
      <c r="S3" s="590"/>
      <c r="T3" s="590"/>
      <c r="U3" s="590"/>
      <c r="V3" s="590"/>
      <c r="W3" s="573"/>
      <c r="X3" s="573"/>
      <c r="Y3" s="573"/>
      <c r="Z3" s="565"/>
      <c r="AA3" s="565"/>
      <c r="AB3" s="573"/>
      <c r="AC3" s="573"/>
      <c r="AD3" s="573"/>
      <c r="AE3" s="565"/>
      <c r="AF3" s="573"/>
      <c r="AG3" s="573"/>
      <c r="AH3" s="573"/>
      <c r="AI3" s="573"/>
      <c r="AJ3" s="573"/>
      <c r="AK3" s="573"/>
      <c r="AL3" s="573"/>
      <c r="AM3" s="573"/>
      <c r="AN3" s="573"/>
      <c r="AO3" s="573"/>
      <c r="AP3" s="565"/>
      <c r="AQ3" s="565"/>
      <c r="AR3" s="565"/>
      <c r="AS3" s="598"/>
      <c r="AT3" s="598"/>
      <c r="AU3" s="565"/>
      <c r="AV3" s="565"/>
      <c r="AW3" s="565"/>
      <c r="AX3" s="565"/>
      <c r="AY3" s="565"/>
      <c r="AZ3" s="565"/>
      <c r="BA3" s="565"/>
      <c r="BB3" s="565"/>
      <c r="BC3" s="565"/>
      <c r="BD3" s="565"/>
    </row>
    <row r="4" spans="1:56" ht="18.75" thickBot="1" x14ac:dyDescent="0.3">
      <c r="A4" s="565"/>
      <c r="B4" s="574" t="s">
        <v>746</v>
      </c>
      <c r="C4" s="565"/>
      <c r="D4" s="565"/>
      <c r="E4" s="565"/>
      <c r="F4" s="565"/>
      <c r="G4" s="573"/>
      <c r="H4" s="573"/>
      <c r="I4" s="573"/>
      <c r="J4" s="573"/>
      <c r="K4" s="573"/>
      <c r="L4" s="565"/>
      <c r="M4" s="573"/>
      <c r="N4" s="565"/>
      <c r="O4" s="590"/>
      <c r="P4" s="590"/>
      <c r="Q4" s="590"/>
      <c r="R4" s="590"/>
      <c r="S4" s="590"/>
      <c r="T4" s="590"/>
      <c r="U4" s="590"/>
      <c r="V4" s="590"/>
      <c r="W4" s="573"/>
      <c r="X4" s="573"/>
      <c r="Y4" s="573"/>
      <c r="Z4" s="565"/>
      <c r="AA4" s="565"/>
      <c r="AB4" s="573"/>
      <c r="AC4" s="573"/>
      <c r="AD4" s="573"/>
      <c r="AE4" s="565"/>
      <c r="AF4" s="573"/>
      <c r="AG4" s="573"/>
      <c r="AH4" s="573"/>
      <c r="AI4" s="573"/>
      <c r="AJ4" s="573"/>
      <c r="AK4" s="573"/>
      <c r="AL4" s="573"/>
      <c r="AM4" s="573"/>
      <c r="AN4" s="573"/>
      <c r="AO4" s="573"/>
      <c r="AP4" s="565"/>
      <c r="AQ4" s="565"/>
      <c r="AR4" s="565"/>
      <c r="AS4" s="598"/>
      <c r="AT4" s="598"/>
      <c r="AU4" s="565"/>
      <c r="AV4" s="565"/>
      <c r="AW4" s="565"/>
      <c r="AX4" s="565"/>
      <c r="AY4" s="565"/>
      <c r="AZ4" s="565"/>
      <c r="BA4" s="565"/>
      <c r="BB4" s="565"/>
      <c r="BC4" s="565"/>
      <c r="BD4" s="565"/>
    </row>
    <row r="5" spans="1:56" ht="91.5" thickTop="1" thickBot="1" x14ac:dyDescent="0.3">
      <c r="B5" s="575" t="s">
        <v>747</v>
      </c>
      <c r="C5" s="579"/>
      <c r="D5" s="738" t="s">
        <v>749</v>
      </c>
      <c r="E5" s="579"/>
      <c r="F5" s="738" t="s">
        <v>750</v>
      </c>
      <c r="G5" s="739" t="s">
        <v>752</v>
      </c>
      <c r="H5" s="739" t="s">
        <v>754</v>
      </c>
      <c r="I5" s="739" t="s">
        <v>756</v>
      </c>
      <c r="J5" s="739" t="s">
        <v>220</v>
      </c>
      <c r="K5" s="739" t="s">
        <v>205</v>
      </c>
      <c r="L5" s="738" t="s">
        <v>760</v>
      </c>
      <c r="M5" s="739" t="s">
        <v>762</v>
      </c>
      <c r="N5" s="740" t="s">
        <v>764</v>
      </c>
      <c r="O5" s="741" t="s">
        <v>766</v>
      </c>
      <c r="P5" s="741" t="s">
        <v>768</v>
      </c>
      <c r="Q5" s="741" t="s">
        <v>770</v>
      </c>
      <c r="R5" s="741" t="s">
        <v>772</v>
      </c>
      <c r="S5" s="741" t="s">
        <v>774</v>
      </c>
      <c r="T5" s="741" t="s">
        <v>776</v>
      </c>
      <c r="U5" s="741" t="s">
        <v>778</v>
      </c>
      <c r="V5" s="741" t="s">
        <v>780</v>
      </c>
      <c r="W5" s="739" t="s">
        <v>698</v>
      </c>
      <c r="X5" s="739" t="s">
        <v>783</v>
      </c>
      <c r="Y5" s="739" t="s">
        <v>785</v>
      </c>
      <c r="Z5" s="738" t="s">
        <v>787</v>
      </c>
      <c r="AA5" s="738" t="s">
        <v>789</v>
      </c>
      <c r="AB5" s="739" t="s">
        <v>791</v>
      </c>
      <c r="AC5" s="739" t="s">
        <v>793</v>
      </c>
      <c r="AD5" s="739" t="s">
        <v>795</v>
      </c>
      <c r="AE5" s="738" t="s">
        <v>797</v>
      </c>
      <c r="AF5" s="739" t="s">
        <v>799</v>
      </c>
      <c r="AG5" s="739" t="s">
        <v>801</v>
      </c>
      <c r="AH5" s="739" t="s">
        <v>803</v>
      </c>
      <c r="AI5" s="739" t="s">
        <v>805</v>
      </c>
      <c r="AJ5" s="739" t="s">
        <v>807</v>
      </c>
      <c r="AK5" s="739" t="s">
        <v>809</v>
      </c>
      <c r="AL5" s="739" t="s">
        <v>811</v>
      </c>
      <c r="AM5" s="739" t="s">
        <v>813</v>
      </c>
      <c r="AN5" s="739" t="s">
        <v>814</v>
      </c>
      <c r="AO5" s="739" t="s">
        <v>816</v>
      </c>
      <c r="AP5" s="742"/>
      <c r="AQ5" s="738" t="s">
        <v>818</v>
      </c>
      <c r="AR5" s="743"/>
      <c r="AS5" s="744" t="s">
        <v>819</v>
      </c>
      <c r="AT5" s="1021">
        <v>42807</v>
      </c>
      <c r="AU5" s="603"/>
      <c r="AV5" s="584"/>
      <c r="AW5" s="584"/>
      <c r="AX5" s="584"/>
      <c r="AY5" s="584"/>
      <c r="AZ5" s="584"/>
      <c r="BA5" s="584"/>
      <c r="BB5" s="584"/>
      <c r="BC5" s="584"/>
      <c r="BD5" s="584"/>
    </row>
    <row r="6" spans="1:56" ht="19.5" thickTop="1" thickBot="1" x14ac:dyDescent="0.3">
      <c r="A6" s="567"/>
      <c r="B6" s="576" t="s">
        <v>748</v>
      </c>
      <c r="C6" s="580"/>
      <c r="D6" s="582"/>
      <c r="E6" s="580"/>
      <c r="F6" s="582" t="s">
        <v>751</v>
      </c>
      <c r="G6" s="567" t="s">
        <v>753</v>
      </c>
      <c r="H6" s="567" t="s">
        <v>755</v>
      </c>
      <c r="I6" s="567" t="s">
        <v>757</v>
      </c>
      <c r="J6" s="567" t="s">
        <v>758</v>
      </c>
      <c r="K6" s="567" t="s">
        <v>759</v>
      </c>
      <c r="L6" s="582" t="s">
        <v>761</v>
      </c>
      <c r="M6" s="567" t="s">
        <v>763</v>
      </c>
      <c r="N6" s="588" t="s">
        <v>765</v>
      </c>
      <c r="O6" s="592" t="s">
        <v>767</v>
      </c>
      <c r="P6" s="592" t="s">
        <v>769</v>
      </c>
      <c r="Q6" s="592" t="s">
        <v>771</v>
      </c>
      <c r="R6" s="592" t="s">
        <v>773</v>
      </c>
      <c r="S6" s="592" t="s">
        <v>775</v>
      </c>
      <c r="T6" s="592" t="s">
        <v>777</v>
      </c>
      <c r="U6" s="592" t="s">
        <v>779</v>
      </c>
      <c r="V6" s="592" t="s">
        <v>781</v>
      </c>
      <c r="W6" s="567" t="s">
        <v>782</v>
      </c>
      <c r="X6" s="567" t="s">
        <v>784</v>
      </c>
      <c r="Y6" s="567" t="s">
        <v>786</v>
      </c>
      <c r="Z6" s="582" t="s">
        <v>788</v>
      </c>
      <c r="AA6" s="582" t="s">
        <v>790</v>
      </c>
      <c r="AB6" s="567" t="s">
        <v>792</v>
      </c>
      <c r="AC6" s="567" t="s">
        <v>794</v>
      </c>
      <c r="AD6" s="567" t="s">
        <v>796</v>
      </c>
      <c r="AE6" s="582" t="s">
        <v>798</v>
      </c>
      <c r="AF6" s="567" t="s">
        <v>800</v>
      </c>
      <c r="AG6" s="567" t="s">
        <v>802</v>
      </c>
      <c r="AH6" s="567" t="s">
        <v>804</v>
      </c>
      <c r="AI6" s="567" t="s">
        <v>806</v>
      </c>
      <c r="AJ6" s="567" t="s">
        <v>808</v>
      </c>
      <c r="AK6" s="567" t="s">
        <v>810</v>
      </c>
      <c r="AL6" s="567" t="s">
        <v>812</v>
      </c>
      <c r="AM6" s="567" t="s">
        <v>385</v>
      </c>
      <c r="AN6" s="567" t="s">
        <v>815</v>
      </c>
      <c r="AO6" s="567" t="s">
        <v>817</v>
      </c>
      <c r="AP6" s="572"/>
      <c r="AQ6" s="582"/>
      <c r="AR6" s="597"/>
      <c r="AS6" s="600"/>
      <c r="AT6" s="600"/>
      <c r="AU6" s="604"/>
      <c r="AV6" s="604"/>
      <c r="AW6" s="604"/>
      <c r="AX6" s="604"/>
      <c r="AY6" s="604"/>
      <c r="AZ6" s="604"/>
      <c r="BA6" s="604"/>
      <c r="BB6" s="604"/>
      <c r="BC6" s="604"/>
      <c r="BD6" s="604"/>
    </row>
    <row r="7" spans="1:56" ht="7.5" customHeight="1" thickTop="1" thickBot="1" x14ac:dyDescent="0.3">
      <c r="A7" s="567"/>
      <c r="B7" s="576"/>
      <c r="C7" s="580"/>
      <c r="D7" s="582"/>
      <c r="E7" s="580"/>
      <c r="F7" s="582"/>
      <c r="G7" s="567"/>
      <c r="H7" s="567"/>
      <c r="I7" s="567"/>
      <c r="J7" s="567"/>
      <c r="K7" s="567"/>
      <c r="L7" s="582"/>
      <c r="M7" s="567"/>
      <c r="N7" s="588"/>
      <c r="O7" s="592"/>
      <c r="P7" s="592"/>
      <c r="Q7" s="592"/>
      <c r="R7" s="592"/>
      <c r="S7" s="592"/>
      <c r="T7" s="592"/>
      <c r="U7" s="592"/>
      <c r="V7" s="592"/>
      <c r="W7" s="567"/>
      <c r="X7" s="567"/>
      <c r="Y7" s="567"/>
      <c r="Z7" s="582"/>
      <c r="AA7" s="582"/>
      <c r="AB7" s="567"/>
      <c r="AC7" s="567"/>
      <c r="AD7" s="567"/>
      <c r="AE7" s="582"/>
      <c r="AF7" s="567"/>
      <c r="AG7" s="567"/>
      <c r="AH7" s="567"/>
      <c r="AI7" s="567"/>
      <c r="AJ7" s="567"/>
      <c r="AK7" s="567"/>
      <c r="AL7" s="567"/>
      <c r="AM7" s="567"/>
      <c r="AN7" s="567"/>
      <c r="AO7" s="567"/>
      <c r="AP7" s="572"/>
      <c r="AQ7" s="582"/>
      <c r="AR7" s="597"/>
      <c r="AS7" s="601"/>
      <c r="AT7" s="601"/>
      <c r="AU7" s="604"/>
      <c r="AV7" s="604"/>
      <c r="AW7" s="604"/>
      <c r="AX7" s="604"/>
      <c r="AY7" s="604"/>
      <c r="AZ7" s="604"/>
      <c r="BA7" s="604"/>
      <c r="BB7" s="604"/>
      <c r="BC7" s="604"/>
      <c r="BD7" s="604"/>
    </row>
    <row r="8" spans="1:56" ht="19.5" thickTop="1" thickBot="1" x14ac:dyDescent="0.3">
      <c r="A8" s="568"/>
      <c r="B8" s="577">
        <v>1999</v>
      </c>
      <c r="C8" s="580"/>
      <c r="D8" s="583">
        <v>1736</v>
      </c>
      <c r="E8" s="585"/>
      <c r="F8" s="583">
        <v>702</v>
      </c>
      <c r="G8" s="586">
        <v>398</v>
      </c>
      <c r="H8" s="586">
        <v>60</v>
      </c>
      <c r="I8" s="586">
        <v>88</v>
      </c>
      <c r="J8" s="586">
        <v>153</v>
      </c>
      <c r="K8" s="586">
        <v>13</v>
      </c>
      <c r="L8" s="583">
        <v>243</v>
      </c>
      <c r="M8" s="586">
        <v>21</v>
      </c>
      <c r="N8" s="589">
        <v>114</v>
      </c>
      <c r="O8" s="593">
        <v>25</v>
      </c>
      <c r="P8" s="593">
        <v>58</v>
      </c>
      <c r="Q8" s="593">
        <v>7</v>
      </c>
      <c r="R8" s="593">
        <v>2</v>
      </c>
      <c r="S8" s="593">
        <v>13</v>
      </c>
      <c r="T8" s="593">
        <v>5</v>
      </c>
      <c r="U8" s="593">
        <v>4</v>
      </c>
      <c r="V8" s="593">
        <v>6</v>
      </c>
      <c r="W8" s="586">
        <v>49</v>
      </c>
      <c r="X8" s="586">
        <v>37</v>
      </c>
      <c r="Y8" s="586">
        <v>75</v>
      </c>
      <c r="Z8" s="583">
        <v>646</v>
      </c>
      <c r="AA8" s="583">
        <v>126</v>
      </c>
      <c r="AB8" s="586">
        <v>5</v>
      </c>
      <c r="AC8" s="586">
        <v>89</v>
      </c>
      <c r="AD8" s="586">
        <v>32</v>
      </c>
      <c r="AE8" s="583">
        <v>607</v>
      </c>
      <c r="AF8" s="586">
        <v>14</v>
      </c>
      <c r="AG8" s="586">
        <v>12</v>
      </c>
      <c r="AH8" s="586">
        <v>43</v>
      </c>
      <c r="AI8" s="586">
        <v>224</v>
      </c>
      <c r="AJ8" s="586">
        <v>74</v>
      </c>
      <c r="AK8" s="586">
        <v>84</v>
      </c>
      <c r="AL8" s="586">
        <v>89</v>
      </c>
      <c r="AM8" s="586">
        <v>28</v>
      </c>
      <c r="AN8" s="586">
        <v>31</v>
      </c>
      <c r="AO8" s="586">
        <v>9</v>
      </c>
      <c r="AP8" s="595"/>
      <c r="AQ8" s="583">
        <v>168</v>
      </c>
      <c r="AR8" s="596"/>
      <c r="AS8" s="601"/>
      <c r="AT8" s="601"/>
      <c r="AU8" s="605"/>
      <c r="AV8" s="584"/>
      <c r="AW8" s="584"/>
      <c r="AX8" s="584"/>
      <c r="AY8" s="584"/>
      <c r="AZ8" s="584"/>
      <c r="BA8" s="584"/>
      <c r="BB8" s="584"/>
      <c r="BC8" s="584"/>
      <c r="BD8" s="584"/>
    </row>
    <row r="9" spans="1:56" ht="19.5" thickTop="1" thickBot="1" x14ac:dyDescent="0.3">
      <c r="A9" s="568"/>
      <c r="B9" s="577">
        <v>2000</v>
      </c>
      <c r="C9" s="580"/>
      <c r="D9" s="583">
        <v>1881</v>
      </c>
      <c r="E9" s="585"/>
      <c r="F9" s="583">
        <v>754</v>
      </c>
      <c r="G9" s="586">
        <v>428</v>
      </c>
      <c r="H9" s="586">
        <v>69</v>
      </c>
      <c r="I9" s="586">
        <v>92</v>
      </c>
      <c r="J9" s="586">
        <v>161</v>
      </c>
      <c r="K9" s="586">
        <v>13</v>
      </c>
      <c r="L9" s="583">
        <v>246</v>
      </c>
      <c r="M9" s="586">
        <v>29</v>
      </c>
      <c r="N9" s="589">
        <v>114</v>
      </c>
      <c r="O9" s="593">
        <v>26</v>
      </c>
      <c r="P9" s="593">
        <v>53</v>
      </c>
      <c r="Q9" s="593">
        <v>8</v>
      </c>
      <c r="R9" s="593">
        <v>2</v>
      </c>
      <c r="S9" s="593">
        <v>13</v>
      </c>
      <c r="T9" s="593">
        <v>6</v>
      </c>
      <c r="U9" s="593">
        <v>5</v>
      </c>
      <c r="V9" s="593">
        <v>6</v>
      </c>
      <c r="W9" s="586">
        <v>43</v>
      </c>
      <c r="X9" s="586">
        <v>33</v>
      </c>
      <c r="Y9" s="586">
        <v>77</v>
      </c>
      <c r="Z9" s="583">
        <v>720</v>
      </c>
      <c r="AA9" s="583">
        <v>144</v>
      </c>
      <c r="AB9" s="586">
        <v>6</v>
      </c>
      <c r="AC9" s="586">
        <v>101</v>
      </c>
      <c r="AD9" s="586">
        <v>37</v>
      </c>
      <c r="AE9" s="583">
        <v>681</v>
      </c>
      <c r="AF9" s="586">
        <v>14</v>
      </c>
      <c r="AG9" s="586">
        <v>13</v>
      </c>
      <c r="AH9" s="586">
        <v>52</v>
      </c>
      <c r="AI9" s="586">
        <v>231</v>
      </c>
      <c r="AJ9" s="586">
        <v>77</v>
      </c>
      <c r="AK9" s="586">
        <v>87</v>
      </c>
      <c r="AL9" s="586">
        <v>94</v>
      </c>
      <c r="AM9" s="586">
        <v>33</v>
      </c>
      <c r="AN9" s="586">
        <v>32</v>
      </c>
      <c r="AO9" s="586">
        <v>48</v>
      </c>
      <c r="AP9" s="595"/>
      <c r="AQ9" s="583">
        <v>182</v>
      </c>
      <c r="AR9" s="596"/>
      <c r="AS9" s="601"/>
      <c r="AT9" s="601"/>
      <c r="AU9" s="605"/>
      <c r="AV9" s="584"/>
      <c r="AW9" s="584"/>
      <c r="AX9" s="584"/>
      <c r="AY9" s="584"/>
      <c r="AZ9" s="584"/>
      <c r="BA9" s="584"/>
      <c r="BB9" s="584"/>
      <c r="BC9" s="584"/>
      <c r="BD9" s="584"/>
    </row>
    <row r="10" spans="1:56" ht="19.5" thickTop="1" thickBot="1" x14ac:dyDescent="0.3">
      <c r="A10" s="568"/>
      <c r="B10" s="577">
        <v>2001</v>
      </c>
      <c r="C10" s="580"/>
      <c r="D10" s="583">
        <v>2041</v>
      </c>
      <c r="E10" s="585"/>
      <c r="F10" s="583">
        <v>821</v>
      </c>
      <c r="G10" s="586">
        <v>466</v>
      </c>
      <c r="H10" s="586">
        <v>79</v>
      </c>
      <c r="I10" s="586">
        <v>98</v>
      </c>
      <c r="J10" s="586">
        <v>174</v>
      </c>
      <c r="K10" s="586">
        <v>14</v>
      </c>
      <c r="L10" s="583">
        <v>278</v>
      </c>
      <c r="M10" s="586">
        <v>79</v>
      </c>
      <c r="N10" s="589">
        <v>125</v>
      </c>
      <c r="O10" s="593">
        <v>32</v>
      </c>
      <c r="P10" s="593">
        <v>53</v>
      </c>
      <c r="Q10" s="593">
        <v>8</v>
      </c>
      <c r="R10" s="593">
        <v>2</v>
      </c>
      <c r="S10" s="593">
        <v>14</v>
      </c>
      <c r="T10" s="593">
        <v>7</v>
      </c>
      <c r="U10" s="593">
        <v>5</v>
      </c>
      <c r="V10" s="593">
        <v>6</v>
      </c>
      <c r="W10" s="586">
        <v>39</v>
      </c>
      <c r="X10" s="586">
        <v>30</v>
      </c>
      <c r="Y10" s="586">
        <v>85</v>
      </c>
      <c r="Z10" s="583">
        <v>769</v>
      </c>
      <c r="AA10" s="583">
        <v>156</v>
      </c>
      <c r="AB10" s="586">
        <v>7</v>
      </c>
      <c r="AC10" s="586">
        <v>107</v>
      </c>
      <c r="AD10" s="586">
        <v>42</v>
      </c>
      <c r="AE10" s="583">
        <v>714</v>
      </c>
      <c r="AF10" s="586">
        <v>15</v>
      </c>
      <c r="AG10" s="586">
        <v>15</v>
      </c>
      <c r="AH10" s="586">
        <v>54</v>
      </c>
      <c r="AI10" s="586">
        <v>239</v>
      </c>
      <c r="AJ10" s="586">
        <v>79</v>
      </c>
      <c r="AK10" s="586">
        <v>90</v>
      </c>
      <c r="AL10" s="586">
        <v>98</v>
      </c>
      <c r="AM10" s="586">
        <v>37</v>
      </c>
      <c r="AN10" s="586">
        <v>37</v>
      </c>
      <c r="AO10" s="586">
        <v>51</v>
      </c>
      <c r="AP10" s="595"/>
      <c r="AQ10" s="583">
        <v>197</v>
      </c>
      <c r="AR10" s="596"/>
      <c r="AS10" s="601"/>
      <c r="AT10" s="601"/>
      <c r="AU10" s="605"/>
      <c r="AV10" s="584"/>
      <c r="AW10" s="584"/>
      <c r="AX10" s="584"/>
      <c r="AY10" s="584"/>
      <c r="AZ10" s="584"/>
      <c r="BA10" s="584"/>
      <c r="BB10" s="584"/>
      <c r="BC10" s="584"/>
      <c r="BD10" s="584"/>
    </row>
    <row r="11" spans="1:56" ht="19.5" thickTop="1" thickBot="1" x14ac:dyDescent="0.3">
      <c r="A11" s="568"/>
      <c r="B11" s="577">
        <v>2002</v>
      </c>
      <c r="C11" s="580"/>
      <c r="D11" s="583">
        <v>2310</v>
      </c>
      <c r="E11" s="585"/>
      <c r="F11" s="583">
        <v>960</v>
      </c>
      <c r="G11" s="586">
        <v>553</v>
      </c>
      <c r="H11" s="586">
        <v>83</v>
      </c>
      <c r="I11" s="586">
        <v>102</v>
      </c>
      <c r="J11" s="586">
        <v>190</v>
      </c>
      <c r="K11" s="586">
        <v>15</v>
      </c>
      <c r="L11" s="583">
        <v>298</v>
      </c>
      <c r="M11" s="586">
        <v>60</v>
      </c>
      <c r="N11" s="589">
        <v>144</v>
      </c>
      <c r="O11" s="593">
        <v>36</v>
      </c>
      <c r="P11" s="593">
        <v>64</v>
      </c>
      <c r="Q11" s="593">
        <v>10</v>
      </c>
      <c r="R11" s="593">
        <v>3</v>
      </c>
      <c r="S11" s="593">
        <v>16</v>
      </c>
      <c r="T11" s="593">
        <v>8</v>
      </c>
      <c r="U11" s="593">
        <v>5</v>
      </c>
      <c r="V11" s="593">
        <v>6</v>
      </c>
      <c r="W11" s="586">
        <v>39</v>
      </c>
      <c r="X11" s="586">
        <v>29</v>
      </c>
      <c r="Y11" s="586">
        <v>87</v>
      </c>
      <c r="Z11" s="583">
        <v>858</v>
      </c>
      <c r="AA11" s="583">
        <v>179</v>
      </c>
      <c r="AB11" s="586">
        <v>8</v>
      </c>
      <c r="AC11" s="586">
        <v>122</v>
      </c>
      <c r="AD11" s="586">
        <v>49</v>
      </c>
      <c r="AE11" s="583">
        <v>773</v>
      </c>
      <c r="AF11" s="586">
        <v>21</v>
      </c>
      <c r="AG11" s="586">
        <v>18</v>
      </c>
      <c r="AH11" s="586">
        <v>53</v>
      </c>
      <c r="AI11" s="586">
        <v>250</v>
      </c>
      <c r="AJ11" s="586">
        <v>83</v>
      </c>
      <c r="AK11" s="586">
        <v>94</v>
      </c>
      <c r="AL11" s="586">
        <v>98</v>
      </c>
      <c r="AM11" s="586">
        <v>51</v>
      </c>
      <c r="AN11" s="586">
        <v>40</v>
      </c>
      <c r="AO11" s="586">
        <v>64</v>
      </c>
      <c r="AP11" s="595"/>
      <c r="AQ11" s="583">
        <v>217</v>
      </c>
      <c r="AR11" s="596"/>
      <c r="AS11" s="601"/>
      <c r="AT11" s="601"/>
      <c r="AU11" s="605"/>
      <c r="AV11" s="584"/>
      <c r="AW11" s="584"/>
      <c r="AX11" s="584"/>
      <c r="AY11" s="584"/>
      <c r="AZ11" s="584"/>
      <c r="BA11" s="584"/>
      <c r="BB11" s="584"/>
      <c r="BC11" s="584"/>
      <c r="BD11" s="584"/>
    </row>
    <row r="12" spans="1:56" ht="19.5" thickTop="1" thickBot="1" x14ac:dyDescent="0.3">
      <c r="A12" s="568"/>
      <c r="B12" s="577">
        <v>2003</v>
      </c>
      <c r="C12" s="580"/>
      <c r="D12" s="583">
        <v>2361</v>
      </c>
      <c r="E12" s="585"/>
      <c r="F12" s="583">
        <v>930</v>
      </c>
      <c r="G12" s="586">
        <v>533</v>
      </c>
      <c r="H12" s="586">
        <v>69</v>
      </c>
      <c r="I12" s="586">
        <v>107</v>
      </c>
      <c r="J12" s="586">
        <v>207</v>
      </c>
      <c r="K12" s="586">
        <v>15</v>
      </c>
      <c r="L12" s="583">
        <v>312</v>
      </c>
      <c r="M12" s="586">
        <v>48</v>
      </c>
      <c r="N12" s="589">
        <v>151</v>
      </c>
      <c r="O12" s="593">
        <v>40</v>
      </c>
      <c r="P12" s="593">
        <v>58</v>
      </c>
      <c r="Q12" s="593">
        <v>11</v>
      </c>
      <c r="R12" s="593">
        <v>4</v>
      </c>
      <c r="S12" s="593">
        <v>19</v>
      </c>
      <c r="T12" s="593">
        <v>9</v>
      </c>
      <c r="U12" s="593">
        <v>6</v>
      </c>
      <c r="V12" s="593">
        <v>7</v>
      </c>
      <c r="W12" s="586">
        <v>35</v>
      </c>
      <c r="X12" s="586">
        <v>27</v>
      </c>
      <c r="Y12" s="586">
        <v>95</v>
      </c>
      <c r="Z12" s="583">
        <v>918</v>
      </c>
      <c r="AA12" s="583">
        <v>184</v>
      </c>
      <c r="AB12" s="586">
        <v>8</v>
      </c>
      <c r="AC12" s="586">
        <v>124</v>
      </c>
      <c r="AD12" s="586">
        <v>52</v>
      </c>
      <c r="AE12" s="583">
        <v>847</v>
      </c>
      <c r="AF12" s="586">
        <v>32</v>
      </c>
      <c r="AG12" s="586">
        <v>19</v>
      </c>
      <c r="AH12" s="586">
        <v>64</v>
      </c>
      <c r="AI12" s="586">
        <v>264</v>
      </c>
      <c r="AJ12" s="586">
        <v>88</v>
      </c>
      <c r="AK12" s="586">
        <v>99</v>
      </c>
      <c r="AL12" s="586">
        <v>104</v>
      </c>
      <c r="AM12" s="586">
        <v>49</v>
      </c>
      <c r="AN12" s="586">
        <v>48</v>
      </c>
      <c r="AO12" s="586">
        <v>82</v>
      </c>
      <c r="AP12" s="595"/>
      <c r="AQ12" s="583">
        <v>216</v>
      </c>
      <c r="AR12" s="596"/>
      <c r="AS12" s="601"/>
      <c r="AT12" s="601"/>
      <c r="AU12" s="605"/>
      <c r="AV12" s="584"/>
      <c r="AW12" s="584"/>
      <c r="AX12" s="584"/>
      <c r="AY12" s="584"/>
      <c r="AZ12" s="584"/>
      <c r="BA12" s="584"/>
      <c r="BB12" s="584"/>
      <c r="BC12" s="584"/>
      <c r="BD12" s="584"/>
    </row>
    <row r="13" spans="1:56" ht="19.5" thickTop="1" thickBot="1" x14ac:dyDescent="0.3">
      <c r="A13" s="568"/>
      <c r="B13" s="577">
        <v>2004</v>
      </c>
      <c r="C13" s="580"/>
      <c r="D13" s="583">
        <v>2537</v>
      </c>
      <c r="E13" s="585"/>
      <c r="F13" s="583">
        <v>947</v>
      </c>
      <c r="G13" s="586">
        <v>531</v>
      </c>
      <c r="H13" s="586">
        <v>112</v>
      </c>
      <c r="I13" s="586">
        <v>111</v>
      </c>
      <c r="J13" s="586">
        <v>225</v>
      </c>
      <c r="K13" s="586">
        <v>16</v>
      </c>
      <c r="L13" s="583">
        <v>360</v>
      </c>
      <c r="M13" s="586">
        <v>71</v>
      </c>
      <c r="N13" s="589">
        <v>170</v>
      </c>
      <c r="O13" s="593">
        <v>54</v>
      </c>
      <c r="P13" s="593">
        <v>59</v>
      </c>
      <c r="Q13" s="593">
        <v>13</v>
      </c>
      <c r="R13" s="593">
        <v>5</v>
      </c>
      <c r="S13" s="593">
        <v>21</v>
      </c>
      <c r="T13" s="593">
        <v>9</v>
      </c>
      <c r="U13" s="593">
        <v>5</v>
      </c>
      <c r="V13" s="593">
        <v>7</v>
      </c>
      <c r="W13" s="586">
        <v>24</v>
      </c>
      <c r="X13" s="586">
        <v>18</v>
      </c>
      <c r="Y13" s="586">
        <v>114</v>
      </c>
      <c r="Z13" s="583">
        <v>1012</v>
      </c>
      <c r="AA13" s="583">
        <v>210</v>
      </c>
      <c r="AB13" s="586">
        <v>9</v>
      </c>
      <c r="AC13" s="586">
        <v>140</v>
      </c>
      <c r="AD13" s="586">
        <v>62</v>
      </c>
      <c r="AE13" s="583">
        <v>904</v>
      </c>
      <c r="AF13" s="586">
        <v>40</v>
      </c>
      <c r="AG13" s="586">
        <v>23</v>
      </c>
      <c r="AH13" s="586">
        <v>69</v>
      </c>
      <c r="AI13" s="586">
        <v>271</v>
      </c>
      <c r="AJ13" s="586">
        <v>90</v>
      </c>
      <c r="AK13" s="586">
        <v>102</v>
      </c>
      <c r="AL13" s="586">
        <v>104</v>
      </c>
      <c r="AM13" s="586">
        <v>58</v>
      </c>
      <c r="AN13" s="586">
        <v>52</v>
      </c>
      <c r="AO13" s="586">
        <v>95</v>
      </c>
      <c r="AP13" s="595"/>
      <c r="AQ13" s="583">
        <v>226</v>
      </c>
      <c r="AR13" s="596"/>
      <c r="AS13" s="601"/>
      <c r="AT13" s="601"/>
      <c r="AU13" s="605"/>
      <c r="AV13" s="584"/>
      <c r="AW13" s="584"/>
      <c r="AX13" s="584"/>
      <c r="AY13" s="584"/>
      <c r="AZ13" s="584"/>
      <c r="BA13" s="584"/>
      <c r="BB13" s="584"/>
      <c r="BC13" s="584"/>
      <c r="BD13" s="584"/>
    </row>
    <row r="14" spans="1:56" ht="19.5" thickTop="1" thickBot="1" x14ac:dyDescent="0.3">
      <c r="A14" s="568"/>
      <c r="B14" s="577">
        <v>2005</v>
      </c>
      <c r="C14" s="580"/>
      <c r="D14" s="583">
        <v>2775</v>
      </c>
      <c r="E14" s="585"/>
      <c r="F14" s="583">
        <v>1009</v>
      </c>
      <c r="G14" s="586">
        <v>573</v>
      </c>
      <c r="H14" s="586">
        <v>87</v>
      </c>
      <c r="I14" s="586">
        <v>116</v>
      </c>
      <c r="J14" s="586">
        <v>244</v>
      </c>
      <c r="K14" s="586">
        <v>16</v>
      </c>
      <c r="L14" s="583">
        <v>394</v>
      </c>
      <c r="M14" s="586">
        <v>93</v>
      </c>
      <c r="N14" s="589">
        <v>184</v>
      </c>
      <c r="O14" s="593">
        <v>61</v>
      </c>
      <c r="P14" s="593">
        <v>66</v>
      </c>
      <c r="Q14" s="593">
        <v>14</v>
      </c>
      <c r="R14" s="593">
        <v>6</v>
      </c>
      <c r="S14" s="593">
        <v>23</v>
      </c>
      <c r="T14" s="593">
        <v>9</v>
      </c>
      <c r="U14" s="593">
        <v>4</v>
      </c>
      <c r="V14" s="593">
        <v>5</v>
      </c>
      <c r="W14" s="586">
        <v>21</v>
      </c>
      <c r="X14" s="586">
        <v>16</v>
      </c>
      <c r="Y14" s="586">
        <v>124</v>
      </c>
      <c r="Z14" s="583">
        <v>1132</v>
      </c>
      <c r="AA14" s="583">
        <v>240</v>
      </c>
      <c r="AB14" s="586">
        <v>10</v>
      </c>
      <c r="AC14" s="586">
        <v>158</v>
      </c>
      <c r="AD14" s="586">
        <v>72</v>
      </c>
      <c r="AE14" s="583">
        <v>1005</v>
      </c>
      <c r="AF14" s="586">
        <v>55</v>
      </c>
      <c r="AG14" s="586">
        <v>27</v>
      </c>
      <c r="AH14" s="586">
        <v>70</v>
      </c>
      <c r="AI14" s="586">
        <v>293</v>
      </c>
      <c r="AJ14" s="586">
        <v>97</v>
      </c>
      <c r="AK14" s="586">
        <v>110</v>
      </c>
      <c r="AL14" s="586">
        <v>107</v>
      </c>
      <c r="AM14" s="586">
        <v>69</v>
      </c>
      <c r="AN14" s="586">
        <v>50</v>
      </c>
      <c r="AO14" s="586">
        <v>127</v>
      </c>
      <c r="AP14" s="595"/>
      <c r="AQ14" s="583">
        <v>240</v>
      </c>
      <c r="AR14" s="596"/>
      <c r="AS14" s="601"/>
      <c r="AT14" s="601"/>
      <c r="AU14" s="605"/>
      <c r="AV14" s="584"/>
      <c r="AW14" s="584"/>
      <c r="AX14" s="584"/>
      <c r="AY14" s="584"/>
      <c r="AZ14" s="584"/>
      <c r="BA14" s="584"/>
      <c r="BB14" s="584"/>
      <c r="BC14" s="584"/>
      <c r="BD14" s="584"/>
    </row>
    <row r="15" spans="1:56" ht="19.5" thickTop="1" thickBot="1" x14ac:dyDescent="0.3">
      <c r="A15" s="568"/>
      <c r="B15" s="577">
        <v>2006</v>
      </c>
      <c r="C15" s="580"/>
      <c r="D15" s="583">
        <v>3031</v>
      </c>
      <c r="E15" s="585"/>
      <c r="F15" s="583">
        <v>1036</v>
      </c>
      <c r="G15" s="586">
        <v>581</v>
      </c>
      <c r="H15" s="586">
        <v>115</v>
      </c>
      <c r="I15" s="586">
        <v>121</v>
      </c>
      <c r="J15" s="586">
        <v>264</v>
      </c>
      <c r="K15" s="586">
        <v>16</v>
      </c>
      <c r="L15" s="583">
        <v>440</v>
      </c>
      <c r="M15" s="586">
        <v>80</v>
      </c>
      <c r="N15" s="589">
        <v>208</v>
      </c>
      <c r="O15" s="593">
        <v>71</v>
      </c>
      <c r="P15" s="593">
        <v>71</v>
      </c>
      <c r="Q15" s="593">
        <v>16</v>
      </c>
      <c r="R15" s="593">
        <v>8</v>
      </c>
      <c r="S15" s="593">
        <v>27</v>
      </c>
      <c r="T15" s="593">
        <v>10</v>
      </c>
      <c r="U15" s="593">
        <v>5</v>
      </c>
      <c r="V15" s="593">
        <v>7</v>
      </c>
      <c r="W15" s="586">
        <v>18</v>
      </c>
      <c r="X15" s="586">
        <v>14</v>
      </c>
      <c r="Y15" s="586">
        <v>140</v>
      </c>
      <c r="Z15" s="583">
        <v>1282</v>
      </c>
      <c r="AA15" s="583">
        <v>290</v>
      </c>
      <c r="AB15" s="586">
        <v>12</v>
      </c>
      <c r="AC15" s="586">
        <v>187</v>
      </c>
      <c r="AD15" s="586">
        <v>89</v>
      </c>
      <c r="AE15" s="583">
        <v>1016</v>
      </c>
      <c r="AF15" s="586">
        <v>68</v>
      </c>
      <c r="AG15" s="586">
        <v>33</v>
      </c>
      <c r="AH15" s="586">
        <v>77</v>
      </c>
      <c r="AI15" s="586">
        <v>305</v>
      </c>
      <c r="AJ15" s="586">
        <v>101</v>
      </c>
      <c r="AK15" s="586">
        <v>114</v>
      </c>
      <c r="AL15" s="586">
        <v>117</v>
      </c>
      <c r="AM15" s="586">
        <v>74</v>
      </c>
      <c r="AN15" s="586">
        <v>54</v>
      </c>
      <c r="AO15" s="586">
        <v>152</v>
      </c>
      <c r="AP15" s="595">
        <v>0</v>
      </c>
      <c r="AQ15" s="583">
        <v>261</v>
      </c>
      <c r="AR15" s="596"/>
      <c r="AS15" s="601"/>
      <c r="AT15" s="601"/>
      <c r="AU15" s="605"/>
      <c r="AV15" s="584"/>
      <c r="AW15" s="584"/>
      <c r="AX15" s="584"/>
      <c r="AY15" s="584"/>
      <c r="AZ15" s="584"/>
      <c r="BA15" s="584"/>
      <c r="BB15" s="584"/>
      <c r="BC15" s="584"/>
      <c r="BD15" s="584"/>
    </row>
    <row r="16" spans="1:56" ht="19.5" thickTop="1" thickBot="1" x14ac:dyDescent="0.3">
      <c r="A16" s="568"/>
      <c r="B16" s="577">
        <v>2007</v>
      </c>
      <c r="C16" s="580"/>
      <c r="D16" s="583">
        <v>3262</v>
      </c>
      <c r="E16" s="585"/>
      <c r="F16" s="583">
        <v>1063</v>
      </c>
      <c r="G16" s="586">
        <v>604</v>
      </c>
      <c r="H16" s="586">
        <v>82</v>
      </c>
      <c r="I16" s="586">
        <v>124</v>
      </c>
      <c r="J16" s="586">
        <v>272</v>
      </c>
      <c r="K16" s="586">
        <v>17</v>
      </c>
      <c r="L16" s="583">
        <v>480</v>
      </c>
      <c r="M16" s="586">
        <v>114</v>
      </c>
      <c r="N16" s="589">
        <v>210</v>
      </c>
      <c r="O16" s="593">
        <v>67</v>
      </c>
      <c r="P16" s="593">
        <v>70</v>
      </c>
      <c r="Q16" s="593">
        <v>17</v>
      </c>
      <c r="R16" s="593">
        <v>9</v>
      </c>
      <c r="S16" s="593">
        <v>27</v>
      </c>
      <c r="T16" s="593">
        <v>10</v>
      </c>
      <c r="U16" s="593">
        <v>6</v>
      </c>
      <c r="V16" s="593">
        <v>8</v>
      </c>
      <c r="W16" s="586">
        <v>19</v>
      </c>
      <c r="X16" s="586">
        <v>15</v>
      </c>
      <c r="Y16" s="586">
        <v>161</v>
      </c>
      <c r="Z16" s="583">
        <v>1439</v>
      </c>
      <c r="AA16" s="583">
        <v>333</v>
      </c>
      <c r="AB16" s="586">
        <v>13</v>
      </c>
      <c r="AC16" s="586">
        <v>215</v>
      </c>
      <c r="AD16" s="586">
        <v>102</v>
      </c>
      <c r="AE16" s="583">
        <v>1126</v>
      </c>
      <c r="AF16" s="586">
        <v>70</v>
      </c>
      <c r="AG16" s="586">
        <v>37</v>
      </c>
      <c r="AH16" s="586">
        <v>86</v>
      </c>
      <c r="AI16" s="586">
        <v>338</v>
      </c>
      <c r="AJ16" s="586">
        <v>112</v>
      </c>
      <c r="AK16" s="586">
        <v>127</v>
      </c>
      <c r="AL16" s="586">
        <v>124</v>
      </c>
      <c r="AM16" s="586">
        <v>84</v>
      </c>
      <c r="AN16" s="586">
        <v>62</v>
      </c>
      <c r="AO16" s="586">
        <v>173</v>
      </c>
      <c r="AP16" s="595">
        <v>0</v>
      </c>
      <c r="AQ16" s="583">
        <v>272</v>
      </c>
      <c r="AR16" s="596"/>
      <c r="AS16" s="601"/>
      <c r="AT16" s="601"/>
      <c r="AU16" s="605"/>
      <c r="AV16" s="584"/>
      <c r="AW16" s="584"/>
      <c r="AX16" s="584"/>
      <c r="AY16" s="584"/>
      <c r="AZ16" s="584"/>
      <c r="BA16" s="584"/>
      <c r="BB16" s="584"/>
      <c r="BC16" s="584"/>
      <c r="BD16" s="584"/>
    </row>
    <row r="17" spans="1:56" ht="19.5" thickTop="1" thickBot="1" x14ac:dyDescent="0.3">
      <c r="A17" s="568"/>
      <c r="B17" s="577">
        <v>2008</v>
      </c>
      <c r="C17" s="580"/>
      <c r="D17" s="583">
        <v>3626</v>
      </c>
      <c r="E17" s="585"/>
      <c r="F17" s="583">
        <v>1132</v>
      </c>
      <c r="G17" s="586">
        <v>642</v>
      </c>
      <c r="H17" s="586">
        <v>106</v>
      </c>
      <c r="I17" s="586">
        <v>128</v>
      </c>
      <c r="J17" s="586">
        <v>283</v>
      </c>
      <c r="K17" s="586">
        <v>17</v>
      </c>
      <c r="L17" s="583">
        <v>552</v>
      </c>
      <c r="M17" s="586">
        <v>96</v>
      </c>
      <c r="N17" s="589">
        <v>221</v>
      </c>
      <c r="O17" s="593">
        <v>73</v>
      </c>
      <c r="P17" s="593">
        <v>72</v>
      </c>
      <c r="Q17" s="593">
        <v>17</v>
      </c>
      <c r="R17" s="593">
        <v>10</v>
      </c>
      <c r="S17" s="593">
        <v>28</v>
      </c>
      <c r="T17" s="593">
        <v>10</v>
      </c>
      <c r="U17" s="593">
        <v>7</v>
      </c>
      <c r="V17" s="593">
        <v>9</v>
      </c>
      <c r="W17" s="586">
        <v>23</v>
      </c>
      <c r="X17" s="586">
        <v>17</v>
      </c>
      <c r="Y17" s="586">
        <v>206</v>
      </c>
      <c r="Z17" s="583">
        <v>1638</v>
      </c>
      <c r="AA17" s="583">
        <v>401</v>
      </c>
      <c r="AB17" s="586">
        <v>16</v>
      </c>
      <c r="AC17" s="586">
        <v>256</v>
      </c>
      <c r="AD17" s="586">
        <v>126</v>
      </c>
      <c r="AE17" s="583">
        <v>1237</v>
      </c>
      <c r="AF17" s="586">
        <v>74</v>
      </c>
      <c r="AG17" s="586">
        <v>46</v>
      </c>
      <c r="AH17" s="586">
        <v>87</v>
      </c>
      <c r="AI17" s="586">
        <v>390</v>
      </c>
      <c r="AJ17" s="586">
        <v>130</v>
      </c>
      <c r="AK17" s="586">
        <v>146</v>
      </c>
      <c r="AL17" s="586">
        <v>130</v>
      </c>
      <c r="AM17" s="586">
        <v>90</v>
      </c>
      <c r="AN17" s="586">
        <v>69</v>
      </c>
      <c r="AO17" s="586">
        <v>177</v>
      </c>
      <c r="AP17" s="595">
        <v>0</v>
      </c>
      <c r="AQ17" s="583">
        <v>304</v>
      </c>
      <c r="AR17" s="596"/>
      <c r="AS17" s="601"/>
      <c r="AT17" s="601"/>
      <c r="AU17" s="605"/>
      <c r="AV17" s="584"/>
      <c r="AW17" s="584"/>
      <c r="AX17" s="584"/>
      <c r="AY17" s="584"/>
      <c r="AZ17" s="584"/>
      <c r="BA17" s="584"/>
      <c r="BB17" s="584"/>
      <c r="BC17" s="584"/>
      <c r="BD17" s="584"/>
    </row>
    <row r="18" spans="1:56" ht="19.5" thickTop="1" thickBot="1" x14ac:dyDescent="0.3">
      <c r="A18" s="568"/>
      <c r="B18" s="577">
        <v>2009</v>
      </c>
      <c r="C18" s="580"/>
      <c r="D18" s="583">
        <v>3853</v>
      </c>
      <c r="E18" s="585"/>
      <c r="F18" s="583">
        <v>1219</v>
      </c>
      <c r="G18" s="586">
        <v>702</v>
      </c>
      <c r="H18" s="586">
        <v>90</v>
      </c>
      <c r="I18" s="586">
        <v>132</v>
      </c>
      <c r="J18" s="586">
        <v>289</v>
      </c>
      <c r="K18" s="586">
        <v>18</v>
      </c>
      <c r="L18" s="583">
        <v>559</v>
      </c>
      <c r="M18" s="586">
        <v>79</v>
      </c>
      <c r="N18" s="589">
        <v>228</v>
      </c>
      <c r="O18" s="593">
        <v>77</v>
      </c>
      <c r="P18" s="593">
        <v>75</v>
      </c>
      <c r="Q18" s="593">
        <v>17</v>
      </c>
      <c r="R18" s="593">
        <v>10</v>
      </c>
      <c r="S18" s="593">
        <v>28</v>
      </c>
      <c r="T18" s="593">
        <v>10</v>
      </c>
      <c r="U18" s="593">
        <v>7</v>
      </c>
      <c r="V18" s="593">
        <v>8</v>
      </c>
      <c r="W18" s="586">
        <v>26</v>
      </c>
      <c r="X18" s="586">
        <v>20</v>
      </c>
      <c r="Y18" s="586">
        <v>209</v>
      </c>
      <c r="Z18" s="583">
        <v>1740</v>
      </c>
      <c r="AA18" s="583">
        <v>423</v>
      </c>
      <c r="AB18" s="586">
        <v>16</v>
      </c>
      <c r="AC18" s="586">
        <v>267</v>
      </c>
      <c r="AD18" s="586">
        <v>138</v>
      </c>
      <c r="AE18" s="583">
        <v>1321</v>
      </c>
      <c r="AF18" s="586">
        <v>70</v>
      </c>
      <c r="AG18" s="586">
        <v>50</v>
      </c>
      <c r="AH18" s="586">
        <v>84</v>
      </c>
      <c r="AI18" s="586">
        <v>422</v>
      </c>
      <c r="AJ18" s="586">
        <v>140</v>
      </c>
      <c r="AK18" s="586">
        <v>158</v>
      </c>
      <c r="AL18" s="586">
        <v>140</v>
      </c>
      <c r="AM18" s="586">
        <v>104</v>
      </c>
      <c r="AN18" s="586">
        <v>80</v>
      </c>
      <c r="AO18" s="586">
        <v>167</v>
      </c>
      <c r="AP18" s="595">
        <v>0</v>
      </c>
      <c r="AQ18" s="583">
        <v>333</v>
      </c>
      <c r="AR18" s="596"/>
      <c r="AS18" s="601"/>
      <c r="AT18" s="601"/>
      <c r="AU18" s="605"/>
      <c r="AV18" s="584"/>
      <c r="AW18" s="584"/>
      <c r="AX18" s="584"/>
      <c r="AY18" s="584"/>
      <c r="AZ18" s="584"/>
      <c r="BA18" s="584"/>
      <c r="BB18" s="584"/>
      <c r="BC18" s="584"/>
      <c r="BD18" s="584"/>
    </row>
    <row r="19" spans="1:56" ht="19.5" thickTop="1" thickBot="1" x14ac:dyDescent="0.3">
      <c r="A19" s="568"/>
      <c r="B19" s="577">
        <v>2010</v>
      </c>
      <c r="C19" s="580"/>
      <c r="D19" s="583">
        <v>4135</v>
      </c>
      <c r="E19" s="585"/>
      <c r="F19" s="583">
        <v>1280</v>
      </c>
      <c r="G19" s="586">
        <v>737</v>
      </c>
      <c r="H19" s="586">
        <v>102</v>
      </c>
      <c r="I19" s="586">
        <v>138</v>
      </c>
      <c r="J19" s="586">
        <v>299</v>
      </c>
      <c r="K19" s="586">
        <v>18</v>
      </c>
      <c r="L19" s="583">
        <v>606</v>
      </c>
      <c r="M19" s="586">
        <v>71</v>
      </c>
      <c r="N19" s="589">
        <v>249</v>
      </c>
      <c r="O19" s="593">
        <v>84</v>
      </c>
      <c r="P19" s="593">
        <v>76</v>
      </c>
      <c r="Q19" s="593">
        <v>17</v>
      </c>
      <c r="R19" s="593">
        <v>11</v>
      </c>
      <c r="S19" s="593">
        <v>29</v>
      </c>
      <c r="T19" s="593">
        <v>11</v>
      </c>
      <c r="U19" s="593">
        <v>10</v>
      </c>
      <c r="V19" s="593">
        <v>12</v>
      </c>
      <c r="W19" s="586">
        <v>30</v>
      </c>
      <c r="X19" s="586">
        <v>23</v>
      </c>
      <c r="Y19" s="586">
        <v>228</v>
      </c>
      <c r="Z19" s="583">
        <v>1900</v>
      </c>
      <c r="AA19" s="583">
        <v>461</v>
      </c>
      <c r="AB19" s="586">
        <v>18</v>
      </c>
      <c r="AC19" s="586">
        <v>291</v>
      </c>
      <c r="AD19" s="586">
        <v>150</v>
      </c>
      <c r="AE19" s="583">
        <v>1443</v>
      </c>
      <c r="AF19" s="586">
        <v>75</v>
      </c>
      <c r="AG19" s="586">
        <v>55</v>
      </c>
      <c r="AH19" s="586">
        <v>103</v>
      </c>
      <c r="AI19" s="586">
        <v>427</v>
      </c>
      <c r="AJ19" s="586">
        <v>142</v>
      </c>
      <c r="AK19" s="586">
        <v>160</v>
      </c>
      <c r="AL19" s="586">
        <v>160</v>
      </c>
      <c r="AM19" s="586">
        <v>113</v>
      </c>
      <c r="AN19" s="586">
        <v>92</v>
      </c>
      <c r="AO19" s="586">
        <v>179</v>
      </c>
      <c r="AP19" s="595">
        <v>0</v>
      </c>
      <c r="AQ19" s="583">
        <v>349</v>
      </c>
      <c r="AR19" s="596"/>
      <c r="AS19" s="601"/>
      <c r="AT19" s="601"/>
      <c r="AU19" s="605"/>
      <c r="AV19" s="584"/>
      <c r="AW19" s="584"/>
      <c r="AX19" s="584"/>
      <c r="AY19" s="584"/>
      <c r="AZ19" s="584"/>
      <c r="BA19" s="584"/>
      <c r="BB19" s="584"/>
      <c r="BC19" s="584"/>
      <c r="BD19" s="584"/>
    </row>
    <row r="20" spans="1:56" ht="19.5" thickTop="1" thickBot="1" x14ac:dyDescent="0.3">
      <c r="A20" s="568"/>
      <c r="B20" s="577">
        <v>2011</v>
      </c>
      <c r="C20" s="580"/>
      <c r="D20" s="583">
        <v>4459</v>
      </c>
      <c r="E20" s="585"/>
      <c r="F20" s="583">
        <v>1340</v>
      </c>
      <c r="G20" s="586">
        <v>774</v>
      </c>
      <c r="H20" s="586">
        <v>105</v>
      </c>
      <c r="I20" s="586">
        <v>142</v>
      </c>
      <c r="J20" s="586">
        <v>306</v>
      </c>
      <c r="K20" s="586">
        <v>19</v>
      </c>
      <c r="L20" s="583">
        <v>714</v>
      </c>
      <c r="M20" s="586">
        <v>106</v>
      </c>
      <c r="N20" s="589">
        <v>270</v>
      </c>
      <c r="O20" s="593">
        <v>88</v>
      </c>
      <c r="P20" s="593">
        <v>82</v>
      </c>
      <c r="Q20" s="593">
        <v>17</v>
      </c>
      <c r="R20" s="593">
        <v>10</v>
      </c>
      <c r="S20" s="593">
        <v>34</v>
      </c>
      <c r="T20" s="593">
        <v>13</v>
      </c>
      <c r="U20" s="593">
        <v>13</v>
      </c>
      <c r="V20" s="593">
        <v>16</v>
      </c>
      <c r="W20" s="586">
        <v>34</v>
      </c>
      <c r="X20" s="586">
        <v>26</v>
      </c>
      <c r="Y20" s="586">
        <v>281</v>
      </c>
      <c r="Z20" s="583">
        <v>2052</v>
      </c>
      <c r="AA20" s="583">
        <v>493</v>
      </c>
      <c r="AB20" s="586">
        <v>19</v>
      </c>
      <c r="AC20" s="586">
        <v>314</v>
      </c>
      <c r="AD20" s="586">
        <v>157</v>
      </c>
      <c r="AE20" s="583">
        <v>1569</v>
      </c>
      <c r="AF20" s="586">
        <v>78</v>
      </c>
      <c r="AG20" s="586">
        <v>57</v>
      </c>
      <c r="AH20" s="586">
        <v>124</v>
      </c>
      <c r="AI20" s="586">
        <v>426</v>
      </c>
      <c r="AJ20" s="586">
        <v>141</v>
      </c>
      <c r="AK20" s="586">
        <v>160</v>
      </c>
      <c r="AL20" s="586">
        <v>183</v>
      </c>
      <c r="AM20" s="586">
        <v>134</v>
      </c>
      <c r="AN20" s="586">
        <v>94</v>
      </c>
      <c r="AO20" s="586">
        <v>178</v>
      </c>
      <c r="AP20" s="595">
        <v>0</v>
      </c>
      <c r="AQ20" s="583">
        <v>354</v>
      </c>
      <c r="AR20" s="596"/>
      <c r="AS20" s="601"/>
      <c r="AT20" s="601"/>
      <c r="AU20" s="605"/>
      <c r="AV20" s="584"/>
      <c r="AW20" s="584"/>
      <c r="AX20" s="584"/>
      <c r="AY20" s="584"/>
      <c r="AZ20" s="584"/>
      <c r="BA20" s="584"/>
      <c r="BB20" s="584"/>
      <c r="BC20" s="584"/>
      <c r="BD20" s="584"/>
    </row>
    <row r="21" spans="1:56" ht="16.5" thickTop="1" thickBot="1" x14ac:dyDescent="0.3">
      <c r="A21" s="568"/>
      <c r="B21" s="697">
        <v>2012</v>
      </c>
      <c r="C21" s="578"/>
      <c r="D21" s="583">
        <v>4852</v>
      </c>
      <c r="E21" s="578"/>
      <c r="F21" s="583">
        <v>1427</v>
      </c>
      <c r="G21" s="586">
        <v>829</v>
      </c>
      <c r="H21" s="586">
        <v>114</v>
      </c>
      <c r="I21" s="586">
        <v>151</v>
      </c>
      <c r="J21" s="586">
        <v>317</v>
      </c>
      <c r="K21" s="586">
        <v>18</v>
      </c>
      <c r="L21" s="583">
        <v>774</v>
      </c>
      <c r="M21" s="586">
        <v>98</v>
      </c>
      <c r="N21" s="589">
        <v>285</v>
      </c>
      <c r="O21" s="593">
        <v>89</v>
      </c>
      <c r="P21" s="593">
        <v>86</v>
      </c>
      <c r="Q21" s="593">
        <v>18</v>
      </c>
      <c r="R21" s="593">
        <v>11</v>
      </c>
      <c r="S21" s="593">
        <v>34</v>
      </c>
      <c r="T21" s="593">
        <v>15</v>
      </c>
      <c r="U21" s="593">
        <v>16</v>
      </c>
      <c r="V21" s="593">
        <v>18</v>
      </c>
      <c r="W21" s="586">
        <v>40</v>
      </c>
      <c r="X21" s="586">
        <v>28</v>
      </c>
      <c r="Y21" s="586">
        <v>322</v>
      </c>
      <c r="Z21" s="583">
        <v>2290</v>
      </c>
      <c r="AA21" s="583">
        <v>566</v>
      </c>
      <c r="AB21" s="586">
        <v>21</v>
      </c>
      <c r="AC21" s="586">
        <v>358</v>
      </c>
      <c r="AD21" s="586">
        <v>186</v>
      </c>
      <c r="AE21" s="583">
        <v>1725</v>
      </c>
      <c r="AF21" s="586">
        <v>82</v>
      </c>
      <c r="AG21" s="586">
        <v>75</v>
      </c>
      <c r="AH21" s="586">
        <v>140</v>
      </c>
      <c r="AI21" s="586">
        <v>425</v>
      </c>
      <c r="AJ21" s="586">
        <v>150</v>
      </c>
      <c r="AK21" s="586">
        <v>170</v>
      </c>
      <c r="AL21" s="586">
        <v>223</v>
      </c>
      <c r="AM21" s="586">
        <v>143</v>
      </c>
      <c r="AN21" s="586">
        <v>116</v>
      </c>
      <c r="AO21" s="586">
        <v>197</v>
      </c>
      <c r="AP21" s="584">
        <v>0</v>
      </c>
      <c r="AQ21" s="583">
        <v>361</v>
      </c>
      <c r="AR21" s="596"/>
      <c r="AS21" s="601"/>
      <c r="AT21" s="601"/>
      <c r="AU21" s="584"/>
      <c r="AV21" s="584"/>
      <c r="AW21" s="584"/>
      <c r="AX21" s="584"/>
      <c r="AY21" s="584"/>
      <c r="AZ21" s="584"/>
      <c r="BA21" s="584"/>
      <c r="BB21" s="584"/>
      <c r="BC21" s="584"/>
      <c r="BD21" s="584"/>
    </row>
    <row r="22" spans="1:56" ht="16.5" thickTop="1" thickBot="1" x14ac:dyDescent="0.3">
      <c r="A22" s="568"/>
      <c r="B22" s="1205">
        <v>2013</v>
      </c>
      <c r="C22" s="578"/>
      <c r="D22" s="583">
        <v>5079</v>
      </c>
      <c r="E22" s="578"/>
      <c r="F22" s="583">
        <v>1474</v>
      </c>
      <c r="G22" s="586">
        <v>859</v>
      </c>
      <c r="H22" s="586">
        <v>109</v>
      </c>
      <c r="I22" s="586">
        <v>160</v>
      </c>
      <c r="J22" s="586">
        <v>326</v>
      </c>
      <c r="K22" s="586">
        <v>19</v>
      </c>
      <c r="L22" s="583">
        <v>846</v>
      </c>
      <c r="M22" s="586">
        <v>118</v>
      </c>
      <c r="N22" s="589">
        <v>299</v>
      </c>
      <c r="O22" s="593">
        <v>96</v>
      </c>
      <c r="P22" s="593">
        <v>89</v>
      </c>
      <c r="Q22" s="593">
        <v>19</v>
      </c>
      <c r="R22" s="593">
        <v>12</v>
      </c>
      <c r="S22" s="593">
        <v>33</v>
      </c>
      <c r="T22" s="593">
        <v>16</v>
      </c>
      <c r="U22" s="593">
        <v>14</v>
      </c>
      <c r="V22" s="593">
        <v>20</v>
      </c>
      <c r="W22" s="586">
        <v>43</v>
      </c>
      <c r="X22" s="586">
        <v>30</v>
      </c>
      <c r="Y22" s="586">
        <v>357</v>
      </c>
      <c r="Z22" s="583">
        <v>2410</v>
      </c>
      <c r="AA22" s="583">
        <v>599</v>
      </c>
      <c r="AB22" s="586">
        <v>22</v>
      </c>
      <c r="AC22" s="586">
        <v>378</v>
      </c>
      <c r="AD22" s="586">
        <v>199</v>
      </c>
      <c r="AE22" s="583">
        <v>1811</v>
      </c>
      <c r="AF22" s="586">
        <v>85</v>
      </c>
      <c r="AG22" s="586">
        <v>75</v>
      </c>
      <c r="AH22" s="586">
        <v>154</v>
      </c>
      <c r="AI22" s="586">
        <v>428</v>
      </c>
      <c r="AJ22" s="586">
        <v>156</v>
      </c>
      <c r="AK22" s="586">
        <v>176</v>
      </c>
      <c r="AL22" s="586">
        <v>244</v>
      </c>
      <c r="AM22" s="586">
        <v>149</v>
      </c>
      <c r="AN22" s="586">
        <v>123</v>
      </c>
      <c r="AO22" s="586">
        <v>221</v>
      </c>
      <c r="AP22" s="584">
        <v>0</v>
      </c>
      <c r="AQ22" s="583">
        <v>349</v>
      </c>
      <c r="AR22" s="596"/>
      <c r="AS22" s="601"/>
      <c r="AT22" s="601"/>
      <c r="AU22" s="584"/>
      <c r="AV22" s="584"/>
      <c r="AW22" s="584"/>
      <c r="AX22" s="584"/>
      <c r="AY22" s="584"/>
      <c r="AZ22" s="584"/>
      <c r="BA22" s="584"/>
      <c r="BB22" s="584"/>
      <c r="BC22" s="584"/>
      <c r="BD22" s="584"/>
    </row>
    <row r="23" spans="1:56" ht="16.5" thickTop="1" thickBot="1" x14ac:dyDescent="0.3">
      <c r="A23" s="568"/>
      <c r="B23" s="1216">
        <v>2014</v>
      </c>
      <c r="C23" s="578"/>
      <c r="D23" s="583">
        <v>5466</v>
      </c>
      <c r="E23" s="578"/>
      <c r="F23" s="583">
        <v>1572</v>
      </c>
      <c r="G23" s="586">
        <v>934</v>
      </c>
      <c r="H23" s="586">
        <v>107</v>
      </c>
      <c r="I23" s="586">
        <v>174</v>
      </c>
      <c r="J23" s="586">
        <v>337</v>
      </c>
      <c r="K23" s="586">
        <v>20</v>
      </c>
      <c r="L23" s="583">
        <v>939</v>
      </c>
      <c r="M23" s="586">
        <v>147</v>
      </c>
      <c r="N23" s="589">
        <v>322</v>
      </c>
      <c r="O23" s="593">
        <v>101</v>
      </c>
      <c r="P23" s="593">
        <v>95</v>
      </c>
      <c r="Q23" s="593">
        <v>20</v>
      </c>
      <c r="R23" s="593">
        <v>14</v>
      </c>
      <c r="S23" s="593">
        <v>32</v>
      </c>
      <c r="T23" s="593">
        <v>18</v>
      </c>
      <c r="U23" s="593">
        <v>18</v>
      </c>
      <c r="V23" s="593">
        <v>22</v>
      </c>
      <c r="W23" s="586">
        <v>47</v>
      </c>
      <c r="X23" s="586">
        <v>31</v>
      </c>
      <c r="Y23" s="586">
        <v>392</v>
      </c>
      <c r="Z23" s="583">
        <v>2578</v>
      </c>
      <c r="AA23" s="583">
        <v>640</v>
      </c>
      <c r="AB23" s="586">
        <v>23</v>
      </c>
      <c r="AC23" s="586">
        <v>410</v>
      </c>
      <c r="AD23" s="586">
        <v>207</v>
      </c>
      <c r="AE23" s="583">
        <v>1938</v>
      </c>
      <c r="AF23" s="586">
        <v>96</v>
      </c>
      <c r="AG23" s="586">
        <v>80</v>
      </c>
      <c r="AH23" s="586">
        <v>159</v>
      </c>
      <c r="AI23" s="586">
        <v>452</v>
      </c>
      <c r="AJ23" s="586">
        <v>144</v>
      </c>
      <c r="AK23" s="586">
        <v>202</v>
      </c>
      <c r="AL23" s="586">
        <v>260</v>
      </c>
      <c r="AM23" s="586">
        <v>154</v>
      </c>
      <c r="AN23" s="586">
        <v>133</v>
      </c>
      <c r="AO23" s="586">
        <v>257</v>
      </c>
      <c r="AP23" s="584">
        <v>0</v>
      </c>
      <c r="AQ23" s="583">
        <v>377</v>
      </c>
      <c r="AR23" s="596"/>
      <c r="AS23" s="601"/>
      <c r="AT23" s="601"/>
      <c r="AU23" s="584"/>
      <c r="AV23" s="584"/>
      <c r="AW23" s="584"/>
      <c r="AX23" s="584"/>
      <c r="AY23" s="584"/>
      <c r="AZ23" s="584"/>
      <c r="BA23" s="584"/>
      <c r="BB23" s="584"/>
      <c r="BC23" s="584"/>
      <c r="BD23" s="584"/>
    </row>
    <row r="24" spans="1:56" ht="16.5" thickTop="1" thickBot="1" x14ac:dyDescent="0.3">
      <c r="A24" s="568"/>
      <c r="B24" s="1217">
        <v>2015</v>
      </c>
      <c r="C24" s="578"/>
      <c r="D24" s="583">
        <v>5951</v>
      </c>
      <c r="E24" s="578"/>
      <c r="F24" s="583">
        <v>1650</v>
      </c>
      <c r="G24" s="586">
        <v>968</v>
      </c>
      <c r="H24" s="586">
        <v>122</v>
      </c>
      <c r="I24" s="586">
        <v>189</v>
      </c>
      <c r="J24" s="586">
        <v>350</v>
      </c>
      <c r="K24" s="586">
        <v>21</v>
      </c>
      <c r="L24" s="583">
        <v>1023</v>
      </c>
      <c r="M24" s="586">
        <v>140</v>
      </c>
      <c r="N24" s="589">
        <v>349</v>
      </c>
      <c r="O24" s="593">
        <v>102</v>
      </c>
      <c r="P24" s="593">
        <v>101</v>
      </c>
      <c r="Q24" s="593">
        <v>21</v>
      </c>
      <c r="R24" s="593">
        <v>15</v>
      </c>
      <c r="S24" s="593">
        <v>37</v>
      </c>
      <c r="T24" s="593">
        <v>22</v>
      </c>
      <c r="U24" s="593">
        <v>25</v>
      </c>
      <c r="V24" s="593">
        <v>26</v>
      </c>
      <c r="W24" s="586">
        <v>51</v>
      </c>
      <c r="X24" s="586">
        <v>31</v>
      </c>
      <c r="Y24" s="586">
        <v>453</v>
      </c>
      <c r="Z24" s="583">
        <v>2847</v>
      </c>
      <c r="AA24" s="583">
        <v>714</v>
      </c>
      <c r="AB24" s="586">
        <v>24</v>
      </c>
      <c r="AC24" s="586">
        <v>462</v>
      </c>
      <c r="AD24" s="586">
        <v>227</v>
      </c>
      <c r="AE24" s="583">
        <v>2134</v>
      </c>
      <c r="AF24" s="586">
        <v>105</v>
      </c>
      <c r="AG24" s="586">
        <v>94</v>
      </c>
      <c r="AH24" s="586">
        <v>179</v>
      </c>
      <c r="AI24" s="586">
        <v>472</v>
      </c>
      <c r="AJ24" s="586">
        <v>165</v>
      </c>
      <c r="AK24" s="586">
        <v>235</v>
      </c>
      <c r="AL24" s="586">
        <v>275</v>
      </c>
      <c r="AM24" s="586">
        <v>157</v>
      </c>
      <c r="AN24" s="586">
        <v>146</v>
      </c>
      <c r="AO24" s="586">
        <v>306</v>
      </c>
      <c r="AP24" s="584">
        <v>0</v>
      </c>
      <c r="AQ24" s="583">
        <v>430</v>
      </c>
      <c r="AR24" s="596"/>
      <c r="AS24" s="601"/>
      <c r="AT24" s="601"/>
      <c r="AU24" s="584"/>
      <c r="AV24" s="584"/>
      <c r="AW24" s="584"/>
      <c r="AX24" s="584"/>
      <c r="AY24" s="584"/>
      <c r="AZ24" s="584"/>
      <c r="BA24" s="584"/>
      <c r="BB24" s="584"/>
      <c r="BC24" s="584"/>
      <c r="BD24" s="584"/>
    </row>
    <row r="25" spans="1:56" ht="16.5" thickTop="1" thickBot="1" x14ac:dyDescent="0.3">
      <c r="A25" s="568"/>
      <c r="B25" s="577">
        <v>2016</v>
      </c>
      <c r="C25" s="578"/>
      <c r="D25" s="583">
        <v>6304</v>
      </c>
      <c r="E25" s="578"/>
      <c r="F25" s="583">
        <v>1714</v>
      </c>
      <c r="G25" s="586">
        <v>997</v>
      </c>
      <c r="H25" s="586">
        <v>125</v>
      </c>
      <c r="I25" s="586">
        <v>208</v>
      </c>
      <c r="J25" s="586">
        <v>363</v>
      </c>
      <c r="K25" s="586">
        <v>21</v>
      </c>
      <c r="L25" s="583">
        <v>1093</v>
      </c>
      <c r="M25" s="586">
        <v>154</v>
      </c>
      <c r="N25" s="589">
        <v>372</v>
      </c>
      <c r="O25" s="593">
        <v>110</v>
      </c>
      <c r="P25" s="593">
        <v>104</v>
      </c>
      <c r="Q25" s="593">
        <v>23</v>
      </c>
      <c r="R25" s="593">
        <v>17</v>
      </c>
      <c r="S25" s="593">
        <v>39</v>
      </c>
      <c r="T25" s="593">
        <v>26</v>
      </c>
      <c r="U25" s="593">
        <v>29</v>
      </c>
      <c r="V25" s="593">
        <v>24</v>
      </c>
      <c r="W25" s="586">
        <v>59</v>
      </c>
      <c r="X25" s="586">
        <v>33</v>
      </c>
      <c r="Y25" s="586">
        <v>475</v>
      </c>
      <c r="Z25" s="583">
        <v>3049</v>
      </c>
      <c r="AA25" s="583">
        <v>762</v>
      </c>
      <c r="AB25" s="586">
        <v>26</v>
      </c>
      <c r="AC25" s="586">
        <v>491</v>
      </c>
      <c r="AD25" s="586">
        <v>245</v>
      </c>
      <c r="AE25" s="583">
        <v>2287</v>
      </c>
      <c r="AF25" s="586">
        <v>116</v>
      </c>
      <c r="AG25" s="586">
        <v>102</v>
      </c>
      <c r="AH25" s="586">
        <v>185</v>
      </c>
      <c r="AI25" s="586">
        <v>501</v>
      </c>
      <c r="AJ25" s="586">
        <v>175</v>
      </c>
      <c r="AK25" s="586">
        <v>258</v>
      </c>
      <c r="AL25" s="586">
        <v>307</v>
      </c>
      <c r="AM25" s="586">
        <v>160</v>
      </c>
      <c r="AN25" s="586">
        <v>155</v>
      </c>
      <c r="AO25" s="586">
        <v>328</v>
      </c>
      <c r="AP25" s="584">
        <v>0</v>
      </c>
      <c r="AQ25" s="583">
        <v>449</v>
      </c>
      <c r="AR25" s="596"/>
      <c r="AS25" s="601"/>
      <c r="AT25" s="601"/>
      <c r="AU25" s="584"/>
      <c r="AV25" s="584"/>
      <c r="AW25" s="584"/>
      <c r="AX25" s="584"/>
      <c r="AY25" s="584"/>
      <c r="AZ25" s="584"/>
      <c r="BA25" s="584"/>
      <c r="BB25" s="584"/>
      <c r="BC25" s="584"/>
      <c r="BD25" s="584"/>
    </row>
    <row r="26" spans="1:56" ht="15.75" thickTop="1" x14ac:dyDescent="0.25">
      <c r="A26" s="568"/>
      <c r="B26" s="578"/>
      <c r="C26" s="578"/>
      <c r="D26" s="584"/>
      <c r="E26" s="578"/>
      <c r="F26" s="584"/>
      <c r="G26" s="584"/>
      <c r="H26" s="584"/>
      <c r="I26" s="584"/>
      <c r="J26" s="584"/>
      <c r="K26" s="584"/>
      <c r="L26" s="584"/>
      <c r="M26" s="584"/>
      <c r="N26" s="584"/>
      <c r="O26" s="594"/>
      <c r="P26" s="594"/>
      <c r="Q26" s="594"/>
      <c r="R26" s="594"/>
      <c r="S26" s="594"/>
      <c r="T26" s="594"/>
      <c r="U26" s="594"/>
      <c r="V26" s="59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601"/>
      <c r="AT26" s="601"/>
      <c r="AU26" s="584"/>
      <c r="AV26" s="584"/>
      <c r="AW26" s="584"/>
      <c r="AX26" s="584"/>
      <c r="AY26" s="584"/>
      <c r="AZ26" s="584"/>
      <c r="BA26" s="584"/>
      <c r="BB26" s="584"/>
      <c r="BC26" s="584"/>
      <c r="BD26" s="584"/>
    </row>
    <row r="27" spans="1:56" x14ac:dyDescent="0.25">
      <c r="A27" s="568"/>
      <c r="B27" s="578"/>
      <c r="C27" s="578"/>
      <c r="D27" s="584"/>
      <c r="E27" s="578"/>
      <c r="F27" s="584"/>
      <c r="G27" s="584"/>
      <c r="H27" s="584"/>
      <c r="I27" s="584"/>
      <c r="J27" s="584"/>
      <c r="K27" s="584"/>
      <c r="L27" s="584"/>
      <c r="M27" s="584"/>
      <c r="N27" s="584"/>
      <c r="O27" s="594"/>
      <c r="P27" s="594"/>
      <c r="Q27" s="594"/>
      <c r="R27" s="594"/>
      <c r="S27" s="594"/>
      <c r="T27" s="594"/>
      <c r="U27" s="594"/>
      <c r="V27" s="59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601"/>
      <c r="AT27" s="601"/>
      <c r="AU27" s="584"/>
      <c r="AV27" s="584"/>
      <c r="AW27" s="584"/>
      <c r="AX27" s="584"/>
      <c r="AY27" s="584"/>
      <c r="AZ27" s="584"/>
      <c r="BA27" s="584"/>
      <c r="BB27" s="584"/>
      <c r="BC27" s="584"/>
      <c r="BD27" s="584"/>
    </row>
    <row r="28" spans="1:56" ht="150" x14ac:dyDescent="0.25">
      <c r="A28" s="1201"/>
      <c r="B28" s="1192" t="s">
        <v>1326</v>
      </c>
      <c r="C28" s="297" t="s">
        <v>1050</v>
      </c>
      <c r="D28" s="717" t="str">
        <f>PSUT_2012!AA3</f>
        <v xml:space="preserve">Total </v>
      </c>
      <c r="E28" s="297"/>
      <c r="F28" s="717" t="str">
        <f>PSUT_2012!C4</f>
        <v xml:space="preserve">A. Agriculture, forestry and fishing </v>
      </c>
      <c r="G28" s="297"/>
      <c r="H28" s="297"/>
      <c r="I28" s="297"/>
      <c r="J28" s="297"/>
      <c r="K28" s="297"/>
      <c r="L28" s="297"/>
      <c r="M28" s="717" t="str">
        <f>PSUT_2012!D4</f>
        <v xml:space="preserve">B. Mining and Quarrying </v>
      </c>
      <c r="N28" s="717" t="str">
        <f>PSUT_2012!E4</f>
        <v>C. Manufacturing</v>
      </c>
      <c r="O28" s="297"/>
      <c r="P28" s="297"/>
      <c r="Q28" s="297"/>
      <c r="R28" s="297"/>
      <c r="S28" s="297"/>
      <c r="T28" s="297"/>
      <c r="U28" s="297"/>
      <c r="V28" s="297"/>
      <c r="W28" s="717" t="str">
        <f>PSUT_2012!F4</f>
        <v>D. Electricity, gas, steam and air conditioning supply</v>
      </c>
      <c r="X28" s="717" t="str">
        <f>PSUT_2012!G4</f>
        <v>E. Water supply (WASAC &amp; AquaVirunga)</v>
      </c>
      <c r="Y28" s="717" t="str">
        <f>PSUT_2012!H4</f>
        <v>F. Construction</v>
      </c>
      <c r="Z28" s="717" t="str">
        <f>PSUT_2012!I4</f>
        <v>G. Wholesale and retail trade; repair of motor vehicles and motorcycles</v>
      </c>
      <c r="AA28" s="297"/>
      <c r="AB28" s="297"/>
      <c r="AC28" s="297"/>
      <c r="AD28" s="717" t="str">
        <f>PSUT_2012!J4</f>
        <v>H. Transportation and storage</v>
      </c>
      <c r="AE28" s="297"/>
      <c r="AF28" s="717" t="str">
        <f>PSUT_2012!K4</f>
        <v>I. Accommodation and food service activities</v>
      </c>
      <c r="AG28" s="717" t="str">
        <f>PSUT_2012!L4</f>
        <v>J. Information and communication</v>
      </c>
      <c r="AH28" s="717" t="str">
        <f>PSUT_2012!M4</f>
        <v>K. Banking and insurance activities</v>
      </c>
      <c r="AI28" s="717" t="str">
        <f>PSUT_2012!N4</f>
        <v>L. Real estate activities</v>
      </c>
      <c r="AJ28" s="717" t="str">
        <f>PSUT_2012!O4</f>
        <v>M. Professional, scientific and technical activities</v>
      </c>
      <c r="AK28" s="717" t="str">
        <f>PSUT_2012!P4</f>
        <v>N. Administrative and support service activities</v>
      </c>
      <c r="AL28" s="717" t="str">
        <f>PSUT_2012!Q4</f>
        <v>O. Public administration and defence; compulsory social security</v>
      </c>
      <c r="AM28" s="717" t="str">
        <f>PSUT_2012!R4</f>
        <v>P. Education</v>
      </c>
      <c r="AN28" s="717" t="str">
        <f>PSUT_2012!S4</f>
        <v xml:space="preserve">Q. Human health and social work activities </v>
      </c>
      <c r="AO28" s="717" t="str">
        <f>PSUT_2012!T4</f>
        <v>R. Arts, entertainment and recreation</v>
      </c>
      <c r="AP28" s="717" t="str">
        <f>PSUT_2012!U4</f>
        <v>S. Other service activities (Religious &amp; Burial)</v>
      </c>
      <c r="AQ28" s="717" t="str">
        <f>PSUT_2012!V4</f>
        <v>T. Activities of households as employers; undifferentiated goods- and services-producing activities of households for own use</v>
      </c>
      <c r="AR28" s="717" t="str">
        <f>PSUT_2012!W3</f>
        <v xml:space="preserve">Total Production activities </v>
      </c>
      <c r="AS28" s="717" t="str">
        <f>PSUT_2012!X4</f>
        <v>Households</v>
      </c>
      <c r="AT28" s="717" t="str">
        <f>PSUT_2012!AA3</f>
        <v xml:space="preserve">Total </v>
      </c>
      <c r="AU28" s="584"/>
      <c r="AW28" s="584"/>
      <c r="AX28" s="584"/>
      <c r="AY28" s="584"/>
      <c r="AZ28" s="584"/>
      <c r="BA28" s="584"/>
      <c r="BB28" s="584"/>
      <c r="BC28" s="584"/>
      <c r="BD28" s="584"/>
    </row>
    <row r="29" spans="1:56" x14ac:dyDescent="0.25">
      <c r="A29" s="1802" t="str">
        <f>+(PSUT_2012!A6)</f>
        <v>From the environment</v>
      </c>
      <c r="B29" s="1054" t="str">
        <f>+(PSUT_2012!B9)</f>
        <v>1 - Total abstraction (1.i+1.ii)</v>
      </c>
      <c r="D29" s="1025">
        <f>+(PSUT_2012!AA9)</f>
        <v>14038856.805080475</v>
      </c>
      <c r="F29" s="1025">
        <f>+(PSUT_2012!C9)</f>
        <v>13563380.505039312</v>
      </c>
      <c r="H29" s="1024"/>
      <c r="I29" s="1024"/>
      <c r="J29" s="1024"/>
      <c r="K29" s="1024"/>
      <c r="L29" s="1024"/>
      <c r="M29" s="1025">
        <f>+(PSUT_2012!D9)</f>
        <v>22390.658857794173</v>
      </c>
      <c r="N29" s="1025">
        <f>+(PSUT_2012!E9)</f>
        <v>23638.124916130942</v>
      </c>
      <c r="P29" s="1026"/>
      <c r="Q29" s="1026"/>
      <c r="R29" s="1026"/>
      <c r="S29" s="1026"/>
      <c r="T29" s="1026"/>
      <c r="U29" s="1026"/>
      <c r="V29" s="1026"/>
      <c r="W29" s="1025">
        <f>+(PSUT_2012!F9)</f>
        <v>335270.16889591428</v>
      </c>
      <c r="X29" s="1025">
        <f>+(PSUT_2012!G9)</f>
        <v>53008.786416190094</v>
      </c>
      <c r="Y29" s="1025">
        <f>+(PSUT_2012!H9)</f>
        <v>0</v>
      </c>
      <c r="Z29" s="1025">
        <f>+(PSUT_2012!I9)</f>
        <v>0</v>
      </c>
      <c r="AB29" s="1024"/>
      <c r="AC29" s="1024"/>
      <c r="AD29" s="1025">
        <f>+(PSUT_2012!J9)</f>
        <v>0</v>
      </c>
      <c r="AF29" s="1025">
        <f>+(PSUT_2012!K9)</f>
        <v>0</v>
      </c>
      <c r="AG29" s="1025">
        <f>+(PSUT_2012!L9)</f>
        <v>0</v>
      </c>
      <c r="AH29" s="1025">
        <f>+(PSUT_2012!M9)</f>
        <v>0.06</v>
      </c>
      <c r="AI29" s="1025">
        <f>+(PSUT_2012!N9)</f>
        <v>0</v>
      </c>
      <c r="AJ29" s="1025">
        <f>+(PSUT_2012!O9)</f>
        <v>0</v>
      </c>
      <c r="AK29" s="1025">
        <f>+(PSUT_2012!P9)</f>
        <v>0</v>
      </c>
      <c r="AL29" s="1025">
        <f>+(PSUT_2012!Q9)</f>
        <v>0</v>
      </c>
      <c r="AM29" s="1025">
        <f>+(PSUT_2012!R9)</f>
        <v>133.11539999999999</v>
      </c>
      <c r="AN29" s="1025">
        <f>+(PSUT_2012!S9)</f>
        <v>588.7795155737706</v>
      </c>
      <c r="AO29" s="1025">
        <f>+SUM(PSUT_2012!T9:'PSUT_2012'!V9)</f>
        <v>11.709600000000002</v>
      </c>
      <c r="AP29" s="1025">
        <f>+(PSUT_2012!U9)</f>
        <v>11.709600000000002</v>
      </c>
      <c r="AQ29" s="1025">
        <f>+(PSUT_2012!V9)</f>
        <v>0</v>
      </c>
      <c r="AR29" s="1025">
        <f>+(PSUT_2012!W9)</f>
        <v>13998421.908640916</v>
      </c>
      <c r="AS29" s="1025">
        <f>+(PSUT_2012!X9)</f>
        <v>40434.896439560478</v>
      </c>
      <c r="AT29" s="1025">
        <f>+(PSUT_2012!AA9)</f>
        <v>14038856.805080475</v>
      </c>
      <c r="AU29" s="1025"/>
      <c r="AW29" s="584"/>
      <c r="AX29" s="584"/>
      <c r="AY29" s="584"/>
      <c r="AZ29" s="584"/>
      <c r="BA29" s="584"/>
      <c r="BB29" s="584"/>
      <c r="BC29" s="584"/>
      <c r="BD29" s="584"/>
    </row>
    <row r="30" spans="1:56" x14ac:dyDescent="0.25">
      <c r="A30" s="1802"/>
      <c r="B30" s="1054" t="str">
        <f>+B31 &amp; " &amp; "&amp; B32</f>
        <v>1.i.1 Surface water &amp; 1.i.2 Groundwater</v>
      </c>
      <c r="D30" s="1025">
        <f>+SUM(PSUT_2012!AA11,PSUT_2012!AA16)</f>
        <v>656196.04472715571</v>
      </c>
      <c r="F30" s="1025">
        <f>+SUM(PSUT_2012!C11,PSUT_2012!C16)</f>
        <v>203165.42938599197</v>
      </c>
      <c r="H30" s="1024"/>
      <c r="I30" s="1024"/>
      <c r="J30" s="1024"/>
      <c r="K30" s="1024"/>
      <c r="L30" s="1024"/>
      <c r="M30" s="1025">
        <f>+SUM(PSUT_2012!D11,PSUT_2012!D16)</f>
        <v>1030.8588577941744</v>
      </c>
      <c r="N30" s="1025">
        <f>+SUM(PSUT_2012!E11,PSUT_2012!E16)</f>
        <v>23609.924916130942</v>
      </c>
      <c r="P30" s="1026"/>
      <c r="Q30" s="1026"/>
      <c r="R30" s="1026"/>
      <c r="S30" s="1026"/>
      <c r="T30" s="1026"/>
      <c r="U30" s="1026"/>
      <c r="V30" s="1026"/>
      <c r="W30" s="1025">
        <f>+SUM(PSUT_2012!F11,PSUT_2012!F16)</f>
        <v>335270.16889591428</v>
      </c>
      <c r="X30" s="1025">
        <f>+SUM(PSUT_2012!G11,PSUT_2012!G16)</f>
        <v>53008.786416190094</v>
      </c>
      <c r="Y30" s="1025">
        <f>+SUM(PSUT_2012!H11,PSUT_2012!H16)</f>
        <v>0</v>
      </c>
      <c r="Z30" s="1025">
        <f>+SUM(PSUT_2012!I11,PSUT_2012!I16)</f>
        <v>0</v>
      </c>
      <c r="AB30" s="1024"/>
      <c r="AC30" s="1024"/>
      <c r="AD30" s="1025">
        <f>+SUM(PSUT_2012!J11,PSUT_2012!J16)</f>
        <v>0</v>
      </c>
      <c r="AF30" s="1025">
        <f>+SUM(PSUT_2012!K11,PSUT_2012!K16)</f>
        <v>0</v>
      </c>
      <c r="AG30" s="1025">
        <f>+SUM(PSUT_2012!L11,PSUT_2012!L16)</f>
        <v>0</v>
      </c>
      <c r="AH30" s="1025">
        <f>+SUM(PSUT_2012!M11,PSUT_2012!M16)</f>
        <v>0</v>
      </c>
      <c r="AI30" s="1025">
        <f>+SUM(PSUT_2012!N11,PSUT_2012!N16)</f>
        <v>0</v>
      </c>
      <c r="AJ30" s="1025">
        <f>+SUM(PSUT_2012!O11,PSUT_2012!O16)</f>
        <v>0</v>
      </c>
      <c r="AK30" s="1025">
        <f>+SUM(PSUT_2012!P11,PSUT_2012!P16)</f>
        <v>0</v>
      </c>
      <c r="AL30" s="1025">
        <f>+SUM(PSUT_2012!Q11,PSUT_2012!Q16)</f>
        <v>0</v>
      </c>
      <c r="AM30" s="1025">
        <f>+SUM(PSUT_2012!R11,PSUT_2012!R16)</f>
        <v>133.11539999999999</v>
      </c>
      <c r="AN30" s="1025">
        <f>+SUM(PSUT_2012!S11,PSUT_2012!S16)</f>
        <v>90.790815573770487</v>
      </c>
      <c r="AO30" s="1025">
        <f>+SUM(PSUT_2012!T11,PSUT_2012!T16)</f>
        <v>0</v>
      </c>
      <c r="AP30" s="1025">
        <f>+SUM(PSUT_2012!U11,PSUT_2012!U16)</f>
        <v>2.0736000000000003</v>
      </c>
      <c r="AQ30" s="1025">
        <f>+SUM(PSUT_2012!V11,PSUT_2012!V16)</f>
        <v>0</v>
      </c>
      <c r="AR30" s="1025">
        <f>+SUM(PSUT_2012!W11,PSUT_2012!W16)</f>
        <v>616311.14828759525</v>
      </c>
      <c r="AS30" s="1025">
        <f>+SUM(PSUT_2012!X11,PSUT_2012!X16)</f>
        <v>39884.896439560478</v>
      </c>
      <c r="AT30" s="1025">
        <f>+SUM(PSUT_2012!AA11,PSUT_2012!AA16)</f>
        <v>656196.04472715571</v>
      </c>
      <c r="AU30" s="1025"/>
      <c r="AW30" s="584"/>
      <c r="AX30" s="584"/>
      <c r="AY30" s="584"/>
      <c r="AZ30" s="584"/>
      <c r="BA30" s="584"/>
      <c r="BB30" s="584"/>
      <c r="BC30" s="584"/>
      <c r="BD30" s="584"/>
    </row>
    <row r="31" spans="1:56" x14ac:dyDescent="0.25">
      <c r="A31" s="1802"/>
      <c r="B31" s="1054" t="str">
        <f>+(PSUT_2012!B11)</f>
        <v>1.i.1 Surface water</v>
      </c>
      <c r="D31" s="1025">
        <f>+(PSUT_2012!AA11)</f>
        <v>592745.22770505876</v>
      </c>
      <c r="E31" s="578"/>
      <c r="F31" s="1025">
        <f>+(PSUT_2012!C11)</f>
        <v>189335.69415585385</v>
      </c>
      <c r="H31" s="1024"/>
      <c r="I31" s="1024"/>
      <c r="J31" s="1024"/>
      <c r="K31" s="1024"/>
      <c r="L31" s="1024"/>
      <c r="M31" s="1025">
        <f>+(PSUT_2012!D11)</f>
        <v>967.07072779417433</v>
      </c>
      <c r="N31" s="1025">
        <f>+(PSUT_2012!E11)</f>
        <v>14844.847980982084</v>
      </c>
      <c r="P31" s="1026"/>
      <c r="Q31" s="1026"/>
      <c r="R31" s="1026"/>
      <c r="S31" s="1026"/>
      <c r="T31" s="1026"/>
      <c r="U31" s="1026"/>
      <c r="V31" s="1026"/>
      <c r="W31" s="1025">
        <f>+(PSUT_2012!F11)</f>
        <v>335270.16889591428</v>
      </c>
      <c r="X31" s="1025">
        <f>+(PSUT_2012!G11)</f>
        <v>41023.930895441081</v>
      </c>
      <c r="Y31" s="1025">
        <f>+(PSUT_2012!H11)</f>
        <v>0</v>
      </c>
      <c r="Z31" s="1025">
        <f>+(PSUT_2012!I11)</f>
        <v>0</v>
      </c>
      <c r="AB31" s="1024"/>
      <c r="AC31" s="1024"/>
      <c r="AD31" s="1025">
        <f>+(PSUT_2012!J11)</f>
        <v>0</v>
      </c>
      <c r="AF31" s="1025">
        <f>+(PSUT_2012!K11)</f>
        <v>0</v>
      </c>
      <c r="AG31" s="1025">
        <f>+(PSUT_2012!L11)</f>
        <v>0</v>
      </c>
      <c r="AH31" s="1025">
        <f>+(PSUT_2012!M11)</f>
        <v>0</v>
      </c>
      <c r="AI31" s="1025">
        <f>+(PSUT_2012!N11)</f>
        <v>0</v>
      </c>
      <c r="AJ31" s="1025">
        <f>+(PSUT_2012!O11)</f>
        <v>0</v>
      </c>
      <c r="AK31" s="1025">
        <f>+(PSUT_2012!P11)</f>
        <v>0</v>
      </c>
      <c r="AL31" s="1025">
        <f>+(PSUT_2012!Q11)</f>
        <v>0</v>
      </c>
      <c r="AM31" s="1025">
        <f>+(PSUT_2012!R11)</f>
        <v>0</v>
      </c>
      <c r="AN31" s="1025">
        <f>+(PSUT_2012!S11)</f>
        <v>0</v>
      </c>
      <c r="AO31" s="1025">
        <f>+SUM(PSUT_2012!T11:'PSUT_2012'!V11)</f>
        <v>2.0736000000000003</v>
      </c>
      <c r="AP31" s="1025">
        <f>+(PSUT_2012!U11)</f>
        <v>2.0736000000000003</v>
      </c>
      <c r="AQ31" s="1025">
        <f>+(PSUT_2012!V11)</f>
        <v>0</v>
      </c>
      <c r="AR31" s="1025">
        <f>+(PSUT_2012!W11)</f>
        <v>581443.7862559855</v>
      </c>
      <c r="AS31" s="1025">
        <f>+(PSUT_2012!X11)</f>
        <v>11301.441449073298</v>
      </c>
      <c r="AT31" s="1025">
        <f>+(PSUT_2012!AA11)</f>
        <v>592745.22770505876</v>
      </c>
      <c r="AU31" s="1025"/>
      <c r="AW31" s="584"/>
      <c r="AX31" s="584"/>
      <c r="AY31" s="584"/>
      <c r="AZ31" s="584"/>
      <c r="BA31" s="584"/>
      <c r="BB31" s="584"/>
      <c r="BC31" s="584"/>
      <c r="BD31" s="584"/>
    </row>
    <row r="32" spans="1:56" x14ac:dyDescent="0.25">
      <c r="A32" s="1802"/>
      <c r="B32" s="1054" t="str">
        <f>+(PSUT_2012!B16)</f>
        <v>1.i.2 Groundwater</v>
      </c>
      <c r="D32" s="1025">
        <f>+(PSUT_2012!AA16)</f>
        <v>63450.817022096933</v>
      </c>
      <c r="E32" s="1024"/>
      <c r="F32" s="1025">
        <f>+(PSUT_2012!C16)</f>
        <v>13829.735230138118</v>
      </c>
      <c r="H32" s="1024"/>
      <c r="I32" s="1024"/>
      <c r="J32" s="1024"/>
      <c r="K32" s="1024"/>
      <c r="L32" s="1024"/>
      <c r="M32" s="1025">
        <f>+(PSUT_2012!D16)</f>
        <v>63.788130000000002</v>
      </c>
      <c r="N32" s="1025">
        <f>+(PSUT_2012!E16)</f>
        <v>8765.0769351488561</v>
      </c>
      <c r="P32" s="1024"/>
      <c r="Q32" s="1024"/>
      <c r="R32" s="1024"/>
      <c r="S32" s="1024"/>
      <c r="T32" s="1024"/>
      <c r="U32" s="1024"/>
      <c r="V32" s="1024"/>
      <c r="W32" s="1025">
        <f>+(PSUT_2012!F16)</f>
        <v>0</v>
      </c>
      <c r="X32" s="1025">
        <f>+(PSUT_2012!G16)</f>
        <v>11984.855520749015</v>
      </c>
      <c r="Y32" s="1025">
        <f>+(PSUT_2012!H16)</f>
        <v>0</v>
      </c>
      <c r="Z32" s="1025">
        <f>+(PSUT_2012!I16)</f>
        <v>0</v>
      </c>
      <c r="AB32" s="1024"/>
      <c r="AC32" s="1024"/>
      <c r="AD32" s="1025">
        <f>+(PSUT_2012!J16)</f>
        <v>0</v>
      </c>
      <c r="AF32" s="1025">
        <f>+(PSUT_2012!K16)</f>
        <v>0</v>
      </c>
      <c r="AG32" s="1025">
        <f>+(PSUT_2012!L16)</f>
        <v>0</v>
      </c>
      <c r="AH32" s="1025">
        <f>+(PSUT_2012!M16)</f>
        <v>0</v>
      </c>
      <c r="AI32" s="1025">
        <f>+(PSUT_2012!N16)</f>
        <v>0</v>
      </c>
      <c r="AJ32" s="1025">
        <f>+(PSUT_2012!O16)</f>
        <v>0</v>
      </c>
      <c r="AK32" s="1025">
        <f>+(PSUT_2012!P16)</f>
        <v>0</v>
      </c>
      <c r="AL32" s="1025">
        <f>+(PSUT_2012!Q16)</f>
        <v>0</v>
      </c>
      <c r="AM32" s="1025">
        <f>+(PSUT_2012!R16)</f>
        <v>133.11539999999999</v>
      </c>
      <c r="AN32" s="1025">
        <f>+(PSUT_2012!S16)</f>
        <v>90.790815573770487</v>
      </c>
      <c r="AO32" s="1025">
        <f>+SUM(PSUT_2012!T16:'PSUT_2012'!V16)</f>
        <v>0</v>
      </c>
      <c r="AP32" s="1025">
        <f>+(PSUT_2012!U16)</f>
        <v>0</v>
      </c>
      <c r="AQ32" s="1025">
        <f>+(PSUT_2012!V16)</f>
        <v>0</v>
      </c>
      <c r="AR32" s="1025">
        <f>+(PSUT_2012!W16)</f>
        <v>34867.362031609759</v>
      </c>
      <c r="AS32" s="1025">
        <f>+(PSUT_2012!X16)</f>
        <v>28583.454990487178</v>
      </c>
      <c r="AT32" s="1025">
        <f>+(PSUT_2012!AA16)</f>
        <v>63450.817022096933</v>
      </c>
      <c r="AU32" s="1025"/>
    </row>
    <row r="33" spans="1:47" x14ac:dyDescent="0.25">
      <c r="A33" s="1802"/>
      <c r="B33" s="1054" t="str">
        <f>+(PSUT_2012!B19)</f>
        <v>1.i.3 Soil water (green water)</v>
      </c>
      <c r="D33" s="1025">
        <f>+(PSUT_2012!AA19)</f>
        <v>13359408.07565332</v>
      </c>
      <c r="E33" s="1024"/>
      <c r="F33" s="1025">
        <f>+(PSUT_2012!C19)</f>
        <v>13359408.07565332</v>
      </c>
      <c r="H33" s="1024"/>
      <c r="I33" s="1024"/>
      <c r="J33" s="1024"/>
      <c r="K33" s="1024"/>
      <c r="L33" s="1024"/>
      <c r="M33" s="1025">
        <f>+(PSUT_2012!D19)</f>
        <v>0</v>
      </c>
      <c r="N33" s="1025">
        <f>+(PSUT_2012!E19)</f>
        <v>0</v>
      </c>
      <c r="P33" s="1024"/>
      <c r="Q33" s="1024"/>
      <c r="R33" s="1024"/>
      <c r="S33" s="1024"/>
      <c r="T33" s="1024"/>
      <c r="U33" s="1024"/>
      <c r="V33" s="1024"/>
      <c r="W33" s="1025">
        <f>+(PSUT_2012!F19)</f>
        <v>0</v>
      </c>
      <c r="X33" s="1025">
        <f>+(PSUT_2012!G19)</f>
        <v>0</v>
      </c>
      <c r="Y33" s="1025">
        <f>+(PSUT_2012!H19)</f>
        <v>0</v>
      </c>
      <c r="Z33" s="1025">
        <f>+(PSUT_2012!I19)</f>
        <v>0</v>
      </c>
      <c r="AB33" s="1024"/>
      <c r="AC33" s="1024"/>
      <c r="AD33" s="1025">
        <f>+(PSUT_2012!J19)</f>
        <v>0</v>
      </c>
      <c r="AF33" s="1025">
        <f>+(PSUT_2012!K19)</f>
        <v>0</v>
      </c>
      <c r="AG33" s="1025">
        <f>+(PSUT_2012!L19)</f>
        <v>0</v>
      </c>
      <c r="AH33" s="1025">
        <f>+(PSUT_2012!M19)</f>
        <v>0</v>
      </c>
      <c r="AI33" s="1025">
        <f>+(PSUT_2012!N19)</f>
        <v>0</v>
      </c>
      <c r="AJ33" s="1025">
        <f>+(PSUT_2012!O19)</f>
        <v>0</v>
      </c>
      <c r="AK33" s="1025">
        <f>+(PSUT_2012!P19)</f>
        <v>0</v>
      </c>
      <c r="AL33" s="1025">
        <f>+(PSUT_2012!Q19)</f>
        <v>0</v>
      </c>
      <c r="AM33" s="1025">
        <f>+(PSUT_2012!R19)</f>
        <v>0</v>
      </c>
      <c r="AN33" s="1025">
        <f>+(PSUT_2012!S19)</f>
        <v>0</v>
      </c>
      <c r="AO33" s="1025">
        <f>+SUM(PSUT_2012!T19:'PSUT_2012'!V19)</f>
        <v>0</v>
      </c>
      <c r="AP33" s="1025">
        <f>+(PSUT_2012!U19)</f>
        <v>0</v>
      </c>
      <c r="AQ33" s="1025">
        <f>+(PSUT_2012!V19)</f>
        <v>0</v>
      </c>
      <c r="AR33" s="1025">
        <f>+(PSUT_2012!W19)</f>
        <v>13359408.07565332</v>
      </c>
      <c r="AS33" s="1025">
        <f>+(PSUT_2012!X19)</f>
        <v>0</v>
      </c>
      <c r="AT33" s="1025">
        <f>+(PSUT_2012!AA19)</f>
        <v>13359408.07565332</v>
      </c>
      <c r="AU33" s="1025"/>
    </row>
    <row r="34" spans="1:47" x14ac:dyDescent="0.25">
      <c r="A34" s="1802"/>
      <c r="B34" s="1054" t="str">
        <f>+(PSUT_2012!B20)</f>
        <v xml:space="preserve">1.ii From other sources </v>
      </c>
      <c r="D34" s="1025">
        <f>+(PSUT_2012!AA20)</f>
        <v>23252.684700000002</v>
      </c>
      <c r="E34" s="1024"/>
      <c r="F34" s="1025">
        <f>+(PSUT_2012!C20)</f>
        <v>807</v>
      </c>
      <c r="H34" s="1024"/>
      <c r="I34" s="1024"/>
      <c r="J34" s="1024"/>
      <c r="K34" s="1024"/>
      <c r="L34" s="1024"/>
      <c r="M34" s="1025">
        <f>+(PSUT_2012!D20)</f>
        <v>21359.8</v>
      </c>
      <c r="N34" s="1025">
        <f>+(PSUT_2012!E20)</f>
        <v>28.2</v>
      </c>
      <c r="P34" s="1024"/>
      <c r="Q34" s="1024"/>
      <c r="R34" s="1024"/>
      <c r="S34" s="1024"/>
      <c r="T34" s="1024"/>
      <c r="U34" s="1024"/>
      <c r="V34" s="1024"/>
      <c r="W34" s="1025">
        <f>+(PSUT_2012!F20)</f>
        <v>0</v>
      </c>
      <c r="X34" s="1025">
        <f>+(PSUT_2012!G20)</f>
        <v>0</v>
      </c>
      <c r="Y34" s="1025">
        <f>+(PSUT_2012!H20)</f>
        <v>0</v>
      </c>
      <c r="Z34" s="1025">
        <f>+(PSUT_2012!I20)</f>
        <v>0</v>
      </c>
      <c r="AB34" s="1024"/>
      <c r="AC34" s="1024"/>
      <c r="AD34" s="1025">
        <f>+(PSUT_2012!J20)</f>
        <v>0</v>
      </c>
      <c r="AF34" s="1025">
        <f>+(PSUT_2012!K20)</f>
        <v>0</v>
      </c>
      <c r="AG34" s="1025">
        <f>+(PSUT_2012!L20)</f>
        <v>0</v>
      </c>
      <c r="AH34" s="1025">
        <f>+(PSUT_2012!M20)</f>
        <v>0.06</v>
      </c>
      <c r="AI34" s="1025">
        <f>+(PSUT_2012!N20)</f>
        <v>0</v>
      </c>
      <c r="AJ34" s="1025">
        <f>+(PSUT_2012!O20)</f>
        <v>0</v>
      </c>
      <c r="AK34" s="1025">
        <f>+(PSUT_2012!P20)</f>
        <v>0</v>
      </c>
      <c r="AL34" s="1025">
        <f>+(PSUT_2012!Q20)</f>
        <v>0</v>
      </c>
      <c r="AM34" s="1025">
        <f>+(PSUT_2012!R20)</f>
        <v>0</v>
      </c>
      <c r="AN34" s="1025">
        <f>+(PSUT_2012!S20)</f>
        <v>497.98870000000005</v>
      </c>
      <c r="AO34" s="1025">
        <f>+SUM(PSUT_2012!T20:'PSUT_2012'!V20)</f>
        <v>9.636000000000001</v>
      </c>
      <c r="AP34" s="1025">
        <f>+(PSUT_2012!U20)</f>
        <v>9.636000000000001</v>
      </c>
      <c r="AQ34" s="1025">
        <f>+(PSUT_2012!V20)</f>
        <v>0</v>
      </c>
      <c r="AR34" s="1025">
        <f>+(PSUT_2012!W20)</f>
        <v>22702.684700000002</v>
      </c>
      <c r="AS34" s="1025">
        <f>+(PSUT_2012!X20)</f>
        <v>550</v>
      </c>
      <c r="AT34" s="1025">
        <f>+(PSUT_2012!AA20)</f>
        <v>23252.684700000002</v>
      </c>
      <c r="AU34" s="1025"/>
    </row>
    <row r="35" spans="1:47" x14ac:dyDescent="0.25">
      <c r="A35" s="1802"/>
      <c r="B35" s="1054" t="str">
        <f>+(PSUT_2012!B21)</f>
        <v>1.ii.1 Collection of precipitation (rainwater harvesting; ..)</v>
      </c>
      <c r="D35" s="1025">
        <f>+(PSUT_2012!AA21)</f>
        <v>23252.684700000002</v>
      </c>
      <c r="E35" s="1024"/>
      <c r="F35" s="1025">
        <f>+(PSUT_2012!C21)</f>
        <v>807</v>
      </c>
      <c r="H35" s="1024"/>
      <c r="I35" s="1024"/>
      <c r="J35" s="1024"/>
      <c r="K35" s="1024"/>
      <c r="L35" s="1024"/>
      <c r="M35" s="1025">
        <f>+(PSUT_2012!D21)</f>
        <v>21359.8</v>
      </c>
      <c r="N35" s="1025">
        <f>+(PSUT_2012!E21)</f>
        <v>28.2</v>
      </c>
      <c r="P35" s="1024"/>
      <c r="Q35" s="1024"/>
      <c r="R35" s="1024"/>
      <c r="S35" s="1024"/>
      <c r="T35" s="1024"/>
      <c r="U35" s="1024"/>
      <c r="V35" s="1024"/>
      <c r="W35" s="1025">
        <f>+(PSUT_2012!F21)</f>
        <v>0</v>
      </c>
      <c r="X35" s="1025">
        <f>+(PSUT_2012!G21)</f>
        <v>0</v>
      </c>
      <c r="Y35" s="1025">
        <f>+(PSUT_2012!H21)</f>
        <v>0</v>
      </c>
      <c r="Z35" s="1025">
        <f>+(PSUT_2012!I21)</f>
        <v>0</v>
      </c>
      <c r="AB35" s="1024"/>
      <c r="AC35" s="1024"/>
      <c r="AD35" s="1025">
        <f>+(PSUT_2012!J21)</f>
        <v>0</v>
      </c>
      <c r="AF35" s="1025">
        <f>+(PSUT_2012!K21)</f>
        <v>0</v>
      </c>
      <c r="AG35" s="1025">
        <f>+(PSUT_2012!L21)</f>
        <v>0</v>
      </c>
      <c r="AH35" s="1025">
        <f>+(PSUT_2012!M21)</f>
        <v>0.06</v>
      </c>
      <c r="AI35" s="1025">
        <f>+(PSUT_2012!N21)</f>
        <v>0</v>
      </c>
      <c r="AJ35" s="1025">
        <f>+(PSUT_2012!O21)</f>
        <v>0</v>
      </c>
      <c r="AK35" s="1025">
        <f>+(PSUT_2012!P21)</f>
        <v>0</v>
      </c>
      <c r="AL35" s="1025">
        <f>+(PSUT_2012!Q21)</f>
        <v>0</v>
      </c>
      <c r="AM35" s="1025">
        <f>+(PSUT_2012!R21)</f>
        <v>0</v>
      </c>
      <c r="AN35" s="1025">
        <f>+(PSUT_2012!S21)</f>
        <v>497.98870000000005</v>
      </c>
      <c r="AO35" s="1025">
        <f>+SUM(PSUT_2012!T21:'PSUT_2012'!V21)</f>
        <v>9.636000000000001</v>
      </c>
      <c r="AP35" s="1025">
        <f>+(PSUT_2012!U21)</f>
        <v>9.636000000000001</v>
      </c>
      <c r="AQ35" s="1025">
        <f>+(PSUT_2012!V21)</f>
        <v>0</v>
      </c>
      <c r="AR35" s="1025">
        <f>+(PSUT_2012!W21)</f>
        <v>22702.684700000002</v>
      </c>
      <c r="AS35" s="1025">
        <f>+(PSUT_2012!X21)</f>
        <v>550</v>
      </c>
      <c r="AT35" s="1025">
        <f>+(PSUT_2012!AA21)</f>
        <v>23252.684700000002</v>
      </c>
      <c r="AU35" s="1025"/>
    </row>
    <row r="36" spans="1:47" x14ac:dyDescent="0.25">
      <c r="A36" s="1202"/>
      <c r="B36" s="1054" t="str">
        <f>+(PSUT_2012!B22)</f>
        <v>1.ii.2 Abstraction from the sea</v>
      </c>
      <c r="D36" s="1025">
        <f>+(PSUT_2012!AA22)</f>
        <v>0</v>
      </c>
      <c r="E36" s="1024"/>
      <c r="F36" s="1025">
        <f>+(PSUT_2012!C22)</f>
        <v>0</v>
      </c>
      <c r="H36" s="1024"/>
      <c r="I36" s="1024"/>
      <c r="J36" s="1024"/>
      <c r="K36" s="1024"/>
      <c r="L36" s="1024"/>
      <c r="M36" s="1025">
        <f>+(PSUT_2012!D22)</f>
        <v>0</v>
      </c>
      <c r="N36" s="1025">
        <f>+(PSUT_2012!E22)</f>
        <v>0</v>
      </c>
      <c r="P36" s="1024"/>
      <c r="Q36" s="1024"/>
      <c r="R36" s="1024"/>
      <c r="S36" s="1024"/>
      <c r="T36" s="1024"/>
      <c r="U36" s="1024"/>
      <c r="V36" s="1024"/>
      <c r="W36" s="1025">
        <f>+(PSUT_2012!F22)</f>
        <v>0</v>
      </c>
      <c r="X36" s="1025">
        <f>+(PSUT_2012!G22)</f>
        <v>0</v>
      </c>
      <c r="Y36" s="1025">
        <f>+(PSUT_2012!H22)</f>
        <v>0</v>
      </c>
      <c r="Z36" s="1025">
        <f>+(PSUT_2012!I22)</f>
        <v>0</v>
      </c>
      <c r="AB36" s="1024"/>
      <c r="AC36" s="1024"/>
      <c r="AD36" s="1025">
        <f>+(PSUT_2012!J22)</f>
        <v>0</v>
      </c>
      <c r="AF36" s="1025">
        <f>+(PSUT_2012!K22)</f>
        <v>0</v>
      </c>
      <c r="AG36" s="1025">
        <f>+(PSUT_2012!L22)</f>
        <v>0</v>
      </c>
      <c r="AH36" s="1025">
        <f>+(PSUT_2012!M22)</f>
        <v>0</v>
      </c>
      <c r="AI36" s="1025">
        <f>+(PSUT_2012!N22)</f>
        <v>0</v>
      </c>
      <c r="AJ36" s="1025">
        <f>+(PSUT_2012!O22)</f>
        <v>0</v>
      </c>
      <c r="AK36" s="1025">
        <f>+(PSUT_2012!P22)</f>
        <v>0</v>
      </c>
      <c r="AL36" s="1025">
        <f>+(PSUT_2012!Q22)</f>
        <v>0</v>
      </c>
      <c r="AM36" s="1025">
        <f>+(PSUT_2012!R22)</f>
        <v>0</v>
      </c>
      <c r="AN36" s="1025">
        <f>+(PSUT_2012!S22)</f>
        <v>0</v>
      </c>
      <c r="AO36" s="1025">
        <f>+SUM(PSUT_2012!T22:'PSUT_2012'!V22)</f>
        <v>0</v>
      </c>
      <c r="AP36" s="1025">
        <f>+(PSUT_2012!U22)</f>
        <v>0</v>
      </c>
      <c r="AQ36" s="1025">
        <f>+(PSUT_2012!V22)</f>
        <v>0</v>
      </c>
      <c r="AR36" s="1025">
        <f>+(PSUT_2012!W22)</f>
        <v>0</v>
      </c>
      <c r="AS36" s="1025">
        <f>+(PSUT_2012!X22)</f>
        <v>0</v>
      </c>
      <c r="AT36" s="1025">
        <f>+(PSUT_2012!AA22)</f>
        <v>0</v>
      </c>
      <c r="AU36" s="1025"/>
    </row>
    <row r="37" spans="1:47" x14ac:dyDescent="0.25">
      <c r="A37" s="1202"/>
      <c r="B37" s="1054" t="str">
        <f>+(PSUT_2012!B23)</f>
        <v>2. Use of water received from other economic units</v>
      </c>
      <c r="D37" s="1025">
        <f>+(PSUT_2012!AA23)</f>
        <v>1160562.9602874902</v>
      </c>
      <c r="E37" s="1024"/>
      <c r="F37" s="1025">
        <f>+(PSUT_2012!C23)</f>
        <v>90250</v>
      </c>
      <c r="H37" s="1024"/>
      <c r="I37" s="1024"/>
      <c r="J37" s="1024"/>
      <c r="K37" s="1024"/>
      <c r="L37" s="1024"/>
      <c r="M37" s="1025">
        <f>+(PSUT_2012!D23)</f>
        <v>0</v>
      </c>
      <c r="N37" s="1025">
        <f>+(PSUT_2012!E23)</f>
        <v>642763.78523033194</v>
      </c>
      <c r="P37" s="1024"/>
      <c r="Q37" s="1024"/>
      <c r="R37" s="1024"/>
      <c r="S37" s="1024"/>
      <c r="T37" s="1024"/>
      <c r="U37" s="1024"/>
      <c r="V37" s="1024"/>
      <c r="W37" s="1025">
        <f>+(PSUT_2012!F23)</f>
        <v>0</v>
      </c>
      <c r="X37" s="1025">
        <f>+(PSUT_2012!G23)</f>
        <v>0</v>
      </c>
      <c r="Y37" s="1025">
        <f>+(PSUT_2012!H23)</f>
        <v>0</v>
      </c>
      <c r="Z37" s="1025">
        <f>+(PSUT_2012!I23)</f>
        <v>0</v>
      </c>
      <c r="AB37" s="1024"/>
      <c r="AC37" s="1024"/>
      <c r="AD37" s="1025">
        <f>+(PSUT_2012!J23)</f>
        <v>0</v>
      </c>
      <c r="AF37" s="1025">
        <f>+(PSUT_2012!K23)</f>
        <v>16672.61</v>
      </c>
      <c r="AG37" s="1025">
        <f>+(PSUT_2012!L23)</f>
        <v>0</v>
      </c>
      <c r="AH37" s="1025">
        <f>+(PSUT_2012!M23)</f>
        <v>76.030545405347283</v>
      </c>
      <c r="AI37" s="1025">
        <f>+(PSUT_2012!N23)</f>
        <v>0</v>
      </c>
      <c r="AJ37" s="1025">
        <f>+(PSUT_2012!O23)</f>
        <v>0</v>
      </c>
      <c r="AK37" s="1025">
        <f>+(PSUT_2012!P23)</f>
        <v>0</v>
      </c>
      <c r="AL37" s="1025">
        <f>+(PSUT_2012!Q23)</f>
        <v>0</v>
      </c>
      <c r="AM37" s="1025">
        <f>+(PSUT_2012!R23)</f>
        <v>224372.33</v>
      </c>
      <c r="AN37" s="1025">
        <f>+(PSUT_2012!S23)</f>
        <v>3720.9427500000002</v>
      </c>
      <c r="AO37" s="1025">
        <f>+SUM(PSUT_2012!T23:'PSUT_2012'!V23)</f>
        <v>131.69367175295594</v>
      </c>
      <c r="AP37" s="1025">
        <f>+(PSUT_2012!U23)</f>
        <v>131.69367175295594</v>
      </c>
      <c r="AQ37" s="1025">
        <f>+(PSUT_2012!V23)</f>
        <v>0</v>
      </c>
      <c r="AR37" s="1025">
        <f>+(PSUT_2012!W23)</f>
        <v>977987.3921974902</v>
      </c>
      <c r="AS37" s="1025">
        <f>+(PSUT_2012!X23)</f>
        <v>176061</v>
      </c>
      <c r="AT37" s="1025">
        <f>+(PSUT_2012!AA23)</f>
        <v>1160562.9602874902</v>
      </c>
      <c r="AU37" s="1025"/>
    </row>
    <row r="38" spans="1:47" x14ac:dyDescent="0.25">
      <c r="A38" s="1202"/>
      <c r="B38" s="1054" t="str">
        <f>+(PSUT_2012!A24)</f>
        <v>3. Total use of water (=1+2)</v>
      </c>
      <c r="D38" s="1025">
        <f>+(PSUT_2012!AA24)</f>
        <v>15199419.765367964</v>
      </c>
      <c r="E38" s="1024"/>
      <c r="F38" s="1025">
        <f>+(PSUT_2012!C24)</f>
        <v>13653630.505039312</v>
      </c>
      <c r="H38" s="1024"/>
      <c r="I38" s="1024"/>
      <c r="J38" s="1024"/>
      <c r="K38" s="1024"/>
      <c r="L38" s="1024"/>
      <c r="M38" s="1025">
        <f>+(PSUT_2012!D24)</f>
        <v>22390.658857794173</v>
      </c>
      <c r="N38" s="1025">
        <f>+(PSUT_2012!E24)</f>
        <v>666401.91014646285</v>
      </c>
      <c r="P38" s="1024"/>
      <c r="Q38" s="1024"/>
      <c r="R38" s="1024"/>
      <c r="S38" s="1024"/>
      <c r="T38" s="1024"/>
      <c r="U38" s="1024"/>
      <c r="V38" s="1024"/>
      <c r="W38" s="1025">
        <f>+(PSUT_2012!F24)</f>
        <v>335270.16889591428</v>
      </c>
      <c r="X38" s="1025">
        <f>+(PSUT_2012!G24)</f>
        <v>53008.786416190094</v>
      </c>
      <c r="Y38" s="1025">
        <f>+(PSUT_2012!H24)</f>
        <v>0</v>
      </c>
      <c r="Z38" s="1025">
        <f>+(PSUT_2012!I24)</f>
        <v>0</v>
      </c>
      <c r="AB38" s="1024"/>
      <c r="AC38" s="1024"/>
      <c r="AD38" s="1025">
        <f>+(PSUT_2012!J24)</f>
        <v>0</v>
      </c>
      <c r="AF38" s="1025">
        <f>+(PSUT_2012!K24)</f>
        <v>16672.61</v>
      </c>
      <c r="AG38" s="1025">
        <f>+(PSUT_2012!L24)</f>
        <v>0</v>
      </c>
      <c r="AH38" s="1025">
        <f>+(PSUT_2012!M24)</f>
        <v>76.090545405347285</v>
      </c>
      <c r="AI38" s="1025">
        <f>+(PSUT_2012!N24)</f>
        <v>0</v>
      </c>
      <c r="AJ38" s="1025">
        <f>+(PSUT_2012!O24)</f>
        <v>0</v>
      </c>
      <c r="AK38" s="1025">
        <f>+(PSUT_2012!P24)</f>
        <v>0</v>
      </c>
      <c r="AL38" s="1025">
        <f>+(PSUT_2012!Q24)</f>
        <v>0</v>
      </c>
      <c r="AM38" s="1025">
        <f>+(PSUT_2012!R24)</f>
        <v>224505.4454</v>
      </c>
      <c r="AN38" s="1025">
        <f>+(PSUT_2012!S24)</f>
        <v>4309.7222655737705</v>
      </c>
      <c r="AO38" s="1025">
        <f>+SUM(PSUT_2012!T24:'PSUT_2012'!V24)</f>
        <v>143.40327175295593</v>
      </c>
      <c r="AP38" s="1025">
        <f>+(PSUT_2012!U24)</f>
        <v>143.40327175295593</v>
      </c>
      <c r="AQ38" s="1025">
        <f>+(PSUT_2012!V24)</f>
        <v>0</v>
      </c>
      <c r="AR38" s="1025">
        <f>+(PSUT_2012!W24)</f>
        <v>14976409.300838405</v>
      </c>
      <c r="AS38" s="1025">
        <f>+(PSUT_2012!X24)</f>
        <v>216495.89643956049</v>
      </c>
      <c r="AT38" s="1025">
        <f>+(PSUT_2012!AA24)</f>
        <v>15199419.765367964</v>
      </c>
      <c r="AU38" s="1025"/>
    </row>
    <row r="39" spans="1:47" x14ac:dyDescent="0.25">
      <c r="A39" s="1202"/>
      <c r="B39" s="1054" t="str">
        <f>+(PSUT_2012!B35)</f>
        <v>4. Supply of water to other economic units</v>
      </c>
      <c r="D39" s="1025">
        <f>+(PSUT_2012!AA35)</f>
        <v>34764.795819255363</v>
      </c>
      <c r="E39" s="1024"/>
      <c r="F39" s="1025">
        <f>+(PSUT_2012!C35)</f>
        <v>0</v>
      </c>
      <c r="H39" s="1024"/>
      <c r="I39" s="1024"/>
      <c r="J39" s="1024"/>
      <c r="K39" s="1024"/>
      <c r="L39" s="1024"/>
      <c r="M39" s="1025">
        <f>+(PSUT_2012!D35)</f>
        <v>21271.125914904464</v>
      </c>
      <c r="N39" s="1025">
        <f>+(PSUT_2012!E35)</f>
        <v>816.87563283886971</v>
      </c>
      <c r="P39" s="1024"/>
      <c r="Q39" s="1024"/>
      <c r="R39" s="1024"/>
      <c r="S39" s="1024"/>
      <c r="T39" s="1024"/>
      <c r="U39" s="1024"/>
      <c r="V39" s="1024"/>
      <c r="W39" s="1025">
        <f>+(PSUT_2012!F35)</f>
        <v>0</v>
      </c>
      <c r="X39" s="1025">
        <f>+(PSUT_2012!G35)</f>
        <v>0</v>
      </c>
      <c r="Y39" s="1025">
        <f>+(PSUT_2012!H35)</f>
        <v>0</v>
      </c>
      <c r="Z39" s="1025">
        <f>+(PSUT_2012!I35)</f>
        <v>0</v>
      </c>
      <c r="AB39" s="1024"/>
      <c r="AC39" s="1024"/>
      <c r="AD39" s="1025">
        <f>+(PSUT_2012!J35)</f>
        <v>0</v>
      </c>
      <c r="AF39" s="1025">
        <f>+(PSUT_2012!K35)</f>
        <v>12671.183667903779</v>
      </c>
      <c r="AG39" s="1025">
        <f>+(PSUT_2012!L35)</f>
        <v>0</v>
      </c>
      <c r="AH39" s="1025">
        <f>+(PSUT_2012!M35)</f>
        <v>5.6106036082474233</v>
      </c>
      <c r="AI39" s="1025">
        <f>+(PSUT_2012!N35)</f>
        <v>0</v>
      </c>
      <c r="AJ39" s="1025">
        <f>+(PSUT_2012!O35)</f>
        <v>0</v>
      </c>
      <c r="AK39" s="1025">
        <f>+(PSUT_2012!P35)</f>
        <v>0</v>
      </c>
      <c r="AL39" s="1025">
        <f>+(PSUT_2012!Q35)</f>
        <v>0</v>
      </c>
      <c r="AM39" s="1025">
        <f>+(PSUT_2012!R35)</f>
        <v>0</v>
      </c>
      <c r="AN39" s="1025">
        <f>+(PSUT_2012!S35)</f>
        <v>0</v>
      </c>
      <c r="AO39" s="1025">
        <f>+SUM(PSUT_2012!T35:'PSUT_2012'!V35)</f>
        <v>0</v>
      </c>
      <c r="AP39" s="1025">
        <f>+(PSUT_2012!U35)</f>
        <v>0</v>
      </c>
      <c r="AQ39" s="1025">
        <f>+(PSUT_2012!V35)</f>
        <v>0</v>
      </c>
      <c r="AR39" s="1025">
        <f>+(PSUT_2012!W35)</f>
        <v>34764.795819255363</v>
      </c>
      <c r="AS39" s="1025">
        <f>+(PSUT_2012!X35)</f>
        <v>0</v>
      </c>
      <c r="AT39" s="1025">
        <f>+(PSUT_2012!AA35)</f>
        <v>34764.795819255363</v>
      </c>
      <c r="AU39" s="1025"/>
    </row>
    <row r="40" spans="1:47" x14ac:dyDescent="0.25">
      <c r="A40" s="232"/>
      <c r="B40" s="1054" t="str">
        <f>+(PSUT_2012!B38)</f>
        <v>5. Total returns (= 5.a+5.b)</v>
      </c>
      <c r="D40" s="1025">
        <f>+(PSUT_2012!AA38)</f>
        <v>2636799.0858138381</v>
      </c>
      <c r="F40" s="1025">
        <f>+(PSUT_2012!C38)</f>
        <v>1529661.7232789313</v>
      </c>
      <c r="M40" s="1025">
        <f>+(PSUT_2012!D38)</f>
        <v>54.219910499999997</v>
      </c>
      <c r="N40" s="1025">
        <f>+(PSUT_2012!E38)</f>
        <v>514699.26072578493</v>
      </c>
      <c r="W40" s="1025">
        <f>+(PSUT_2012!F38)</f>
        <v>318506.66045111854</v>
      </c>
      <c r="X40" s="1025">
        <f>+(PSUT_2012!G38)</f>
        <v>2570.3302400000002</v>
      </c>
      <c r="Y40" s="1025">
        <f>+(PSUT_2012!H38)</f>
        <v>0</v>
      </c>
      <c r="Z40" s="1025">
        <f>+(PSUT_2012!I38)</f>
        <v>0</v>
      </c>
      <c r="AD40" s="1025">
        <f>+(PSUT_2012!J38)</f>
        <v>0</v>
      </c>
      <c r="AF40" s="1025">
        <f>+(PSUT_2012!K38)</f>
        <v>301.01142363711335</v>
      </c>
      <c r="AG40" s="1025">
        <f>+(PSUT_2012!L38)</f>
        <v>0</v>
      </c>
      <c r="AH40" s="1025">
        <f>+(PSUT_2012!M38)</f>
        <v>56.868619657611163</v>
      </c>
      <c r="AI40" s="1025">
        <f>+(PSUT_2012!N38)</f>
        <v>0</v>
      </c>
      <c r="AJ40" s="1025">
        <f>+(PSUT_2012!O38)</f>
        <v>0</v>
      </c>
      <c r="AK40" s="1025">
        <f>+(PSUT_2012!P38)</f>
        <v>0</v>
      </c>
      <c r="AL40" s="1025">
        <f>+(PSUT_2012!Q38)</f>
        <v>0</v>
      </c>
      <c r="AM40" s="1025">
        <f>+(PSUT_2012!R38)</f>
        <v>179497.86400000003</v>
      </c>
      <c r="AN40" s="1025">
        <f>+(PSUT_2012!S38)</f>
        <v>3447.7778158871602</v>
      </c>
      <c r="AO40" s="1025">
        <f>+SUM(PSUT_2012!T38:'PSUT_2012'!V38)</f>
        <v>10.714873014735879</v>
      </c>
      <c r="AP40" s="1025">
        <f>+(PSUT_2012!U38)</f>
        <v>10.714873014735879</v>
      </c>
      <c r="AQ40" s="1025">
        <f>+(PSUT_2012!V38)</f>
        <v>0</v>
      </c>
      <c r="AR40" s="1025">
        <f>+(PSUT_2012!W38)</f>
        <v>2548806.4313385319</v>
      </c>
      <c r="AS40" s="1025">
        <f>+(PSUT_2012!X38)</f>
        <v>82781</v>
      </c>
      <c r="AT40" s="1025">
        <f>+(PSUT_2012!AA38)</f>
        <v>2636799.0858138381</v>
      </c>
      <c r="AU40" s="1025"/>
    </row>
    <row r="41" spans="1:47" x14ac:dyDescent="0.25">
      <c r="A41" s="232"/>
      <c r="B41" s="1054" t="str">
        <f>+(PSUT_2012!A44)</f>
        <v>6. Total supply of water (= 4+5)</v>
      </c>
      <c r="D41" s="1025">
        <f>+(PSUT_2012!AA44)</f>
        <v>2671563.8816330931</v>
      </c>
      <c r="F41" s="1025">
        <f>+(PSUT_2012!C44)</f>
        <v>1529661.7232789313</v>
      </c>
      <c r="M41" s="1025">
        <f>+(PSUT_2012!D44)</f>
        <v>21325.345825404464</v>
      </c>
      <c r="N41" s="1025">
        <f>+(PSUT_2012!E44)</f>
        <v>515516.1363586238</v>
      </c>
      <c r="W41" s="1025">
        <f>+(PSUT_2012!F44)</f>
        <v>318506.66045111854</v>
      </c>
      <c r="X41" s="1025">
        <f>+(PSUT_2012!G44)</f>
        <v>2570.3302400000002</v>
      </c>
      <c r="Y41" s="1025">
        <f>+(PSUT_2012!H44)</f>
        <v>0</v>
      </c>
      <c r="Z41" s="1025">
        <f>+(PSUT_2012!I44)</f>
        <v>0</v>
      </c>
      <c r="AD41" s="1025">
        <f>+(PSUT_2012!J44)</f>
        <v>0</v>
      </c>
      <c r="AF41" s="1025">
        <f>+(PSUT_2012!K44)</f>
        <v>12972.195091540892</v>
      </c>
      <c r="AG41" s="1025">
        <f>+(PSUT_2012!L44)</f>
        <v>0</v>
      </c>
      <c r="AH41" s="1025">
        <f>+(PSUT_2012!M44)</f>
        <v>62.479223265858586</v>
      </c>
      <c r="AI41" s="1025">
        <f>+(PSUT_2012!N44)</f>
        <v>0</v>
      </c>
      <c r="AJ41" s="1025">
        <f>+(PSUT_2012!O44)</f>
        <v>0</v>
      </c>
      <c r="AK41" s="1025">
        <f>+(PSUT_2012!P44)</f>
        <v>0</v>
      </c>
      <c r="AL41" s="1025">
        <f>+(PSUT_2012!Q44)</f>
        <v>0</v>
      </c>
      <c r="AM41" s="1025">
        <f>+(PSUT_2012!R44)</f>
        <v>179497.86400000003</v>
      </c>
      <c r="AN41" s="1025">
        <f>+(PSUT_2012!S44)</f>
        <v>3447.7778158871602</v>
      </c>
      <c r="AO41" s="1025">
        <f>+SUM(PSUT_2012!T44:'PSUT_2012'!V44)</f>
        <v>10.714873014735879</v>
      </c>
      <c r="AP41" s="1025">
        <f>+(PSUT_2012!U44)</f>
        <v>10.714873014735879</v>
      </c>
      <c r="AQ41" s="1025">
        <f>+(PSUT_2012!V44)</f>
        <v>0</v>
      </c>
      <c r="AR41" s="1025">
        <f>+(PSUT_2012!W44)</f>
        <v>2583571.227157787</v>
      </c>
      <c r="AS41" s="1025">
        <f>+(PSUT_2012!X44)</f>
        <v>82781</v>
      </c>
      <c r="AT41" s="1025">
        <f>+(PSUT_2012!AA44)</f>
        <v>2671563.8816330931</v>
      </c>
      <c r="AU41" s="1025"/>
    </row>
    <row r="42" spans="1:47" x14ac:dyDescent="0.25">
      <c r="A42" s="235"/>
      <c r="B42" s="1195" t="str">
        <f>+(PSUT_2012!A45)</f>
        <v>7. Consumption (3-6)</v>
      </c>
      <c r="C42" s="295"/>
      <c r="D42" s="1028">
        <f>+(PSUT_2012!AA45)</f>
        <v>12527855.883734873</v>
      </c>
      <c r="E42" s="295"/>
      <c r="F42" s="1028">
        <f>+(PSUT_2012!C45)</f>
        <v>12123968.78176038</v>
      </c>
      <c r="G42" s="295"/>
      <c r="H42" s="295"/>
      <c r="I42" s="295"/>
      <c r="J42" s="295"/>
      <c r="K42" s="295"/>
      <c r="L42" s="295"/>
      <c r="M42" s="1028">
        <f>+(PSUT_2012!D45)</f>
        <v>1065.3130323897094</v>
      </c>
      <c r="N42" s="1028">
        <f>+(PSUT_2012!E45)</f>
        <v>150885.77378783905</v>
      </c>
      <c r="O42" s="295"/>
      <c r="P42" s="295"/>
      <c r="Q42" s="295"/>
      <c r="R42" s="295"/>
      <c r="S42" s="295"/>
      <c r="T42" s="295"/>
      <c r="U42" s="295"/>
      <c r="V42" s="295"/>
      <c r="W42" s="1028">
        <f>+(PSUT_2012!F45)</f>
        <v>16763.508444795734</v>
      </c>
      <c r="X42" s="1028">
        <f>+(PSUT_2012!G45)</f>
        <v>50438.456176190091</v>
      </c>
      <c r="Y42" s="1028">
        <f>+(PSUT_2012!H45)</f>
        <v>0</v>
      </c>
      <c r="Z42" s="1028">
        <f>+(PSUT_2012!I45)</f>
        <v>0</v>
      </c>
      <c r="AA42" s="295"/>
      <c r="AB42" s="295"/>
      <c r="AC42" s="295"/>
      <c r="AD42" s="1028">
        <f>+(PSUT_2012!J45)</f>
        <v>0</v>
      </c>
      <c r="AE42" s="295"/>
      <c r="AF42" s="1028">
        <f>+(PSUT_2012!K45)</f>
        <v>3700.4149084591081</v>
      </c>
      <c r="AG42" s="1028">
        <f>+(PSUT_2012!L45)</f>
        <v>0</v>
      </c>
      <c r="AH42" s="1028">
        <f>+(PSUT_2012!M45)</f>
        <v>13.611322139488699</v>
      </c>
      <c r="AI42" s="1028">
        <f>+(PSUT_2012!N45)</f>
        <v>0</v>
      </c>
      <c r="AJ42" s="1028">
        <f>+(PSUT_2012!O45)</f>
        <v>0</v>
      </c>
      <c r="AK42" s="1028">
        <f>+(PSUT_2012!P45)</f>
        <v>0</v>
      </c>
      <c r="AL42" s="1028">
        <f>+(PSUT_2012!Q45)</f>
        <v>0</v>
      </c>
      <c r="AM42" s="1028">
        <f>+(PSUT_2012!R45)</f>
        <v>45007.581399999966</v>
      </c>
      <c r="AN42" s="1028">
        <f>+(PSUT_2012!S45)</f>
        <v>861.94444968661037</v>
      </c>
      <c r="AO42" s="1028">
        <f>+SUM(PSUT_2012!T45:'PSUT_2012'!V45)</f>
        <v>132.68839873822006</v>
      </c>
      <c r="AP42" s="1028">
        <f>+(PSUT_2012!U45)</f>
        <v>132.68839873822006</v>
      </c>
      <c r="AQ42" s="1028">
        <f>+(PSUT_2012!V45)</f>
        <v>0</v>
      </c>
      <c r="AR42" s="1028">
        <f>+(PSUT_2012!W45)</f>
        <v>12392838.073680619</v>
      </c>
      <c r="AS42" s="1028">
        <f>+(PSUT_2012!X45)</f>
        <v>133714.89643956049</v>
      </c>
      <c r="AT42" s="1028">
        <f>+(PSUT_2012!AA45)</f>
        <v>12527855.883734873</v>
      </c>
      <c r="AU42" s="1025"/>
    </row>
    <row r="43" spans="1:47" x14ac:dyDescent="0.25">
      <c r="B43" s="1025"/>
      <c r="F43" s="1025"/>
      <c r="M43" s="1025"/>
      <c r="N43" s="1025"/>
      <c r="W43" s="1025"/>
      <c r="X43" s="1025"/>
      <c r="Y43" s="1025"/>
      <c r="Z43" s="1025"/>
      <c r="AD43" s="1025"/>
      <c r="AF43" s="1025"/>
      <c r="AG43" s="1025"/>
      <c r="AH43" s="1025"/>
      <c r="AI43" s="1025"/>
      <c r="AJ43" s="1025"/>
      <c r="AK43" s="1025"/>
      <c r="AL43" s="1025"/>
      <c r="AM43" s="1025"/>
      <c r="AN43" s="1025"/>
      <c r="AO43" s="1025"/>
      <c r="AP43" s="1025"/>
      <c r="AQ43" s="1025"/>
      <c r="AR43" s="1025"/>
      <c r="AS43" s="1025"/>
      <c r="AU43" s="1025"/>
    </row>
    <row r="44" spans="1:47" x14ac:dyDescent="0.25">
      <c r="A44" s="1032">
        <v>2012</v>
      </c>
      <c r="B44" s="1032" t="s">
        <v>1283</v>
      </c>
      <c r="C44" s="1192"/>
      <c r="D44" s="1192"/>
      <c r="E44" s="1192"/>
      <c r="F44" s="1192"/>
      <c r="G44" s="1192"/>
      <c r="H44" s="1192"/>
      <c r="I44" s="1192"/>
      <c r="J44" s="1192"/>
      <c r="K44" s="1192"/>
      <c r="L44" s="1192"/>
      <c r="M44" s="1192"/>
      <c r="N44" s="1192"/>
      <c r="O44" s="1192"/>
      <c r="P44" s="1192"/>
      <c r="Q44" s="1192"/>
      <c r="R44" s="1192"/>
      <c r="S44" s="1192"/>
      <c r="T44" s="1192"/>
      <c r="U44" s="1192"/>
      <c r="V44" s="1192"/>
      <c r="W44" s="1192"/>
      <c r="X44" s="1192"/>
      <c r="Y44" s="1192"/>
      <c r="Z44" s="1192"/>
      <c r="AA44" s="1192"/>
      <c r="AB44" s="1192"/>
      <c r="AC44" s="1192"/>
      <c r="AD44" s="1192"/>
      <c r="AE44" s="1192"/>
      <c r="AF44" s="1192"/>
      <c r="AG44" s="1192"/>
      <c r="AH44" s="1192"/>
      <c r="AI44" s="1192"/>
      <c r="AJ44" s="1192"/>
      <c r="AK44" s="1192"/>
      <c r="AL44" s="1192"/>
      <c r="AM44" s="1192"/>
      <c r="AN44" s="1192"/>
      <c r="AO44" s="1192"/>
      <c r="AP44" s="1192"/>
      <c r="AQ44" s="1192"/>
      <c r="AR44" s="1192"/>
      <c r="AS44" s="1192"/>
      <c r="AT44" s="1192"/>
      <c r="AU44" s="1025"/>
    </row>
    <row r="45" spans="1:47" x14ac:dyDescent="0.25">
      <c r="A45" s="1193"/>
      <c r="B45" s="1194" t="s">
        <v>1280</v>
      </c>
      <c r="C45" s="1030"/>
      <c r="D45" s="1030">
        <f>+(1000000*D$21/D29)</f>
        <v>345.61218675897641</v>
      </c>
      <c r="E45" s="1030"/>
      <c r="F45" s="1030">
        <f>+(1000000*F$21/F29)</f>
        <v>105.20975943053541</v>
      </c>
      <c r="G45" s="1030"/>
      <c r="H45" s="1030"/>
      <c r="I45" s="1030"/>
      <c r="J45" s="1030"/>
      <c r="K45" s="1030"/>
      <c r="L45" s="1030"/>
      <c r="M45" s="1030">
        <f t="shared" ref="M45:N48" si="0">+(1000000*M$21/M29)</f>
        <v>4376.8252029746</v>
      </c>
      <c r="N45" s="1030">
        <f t="shared" si="0"/>
        <v>12056.793887467467</v>
      </c>
      <c r="O45" s="1030"/>
      <c r="P45" s="1030"/>
      <c r="Q45" s="1030"/>
      <c r="R45" s="1030"/>
      <c r="S45" s="1030"/>
      <c r="T45" s="1030"/>
      <c r="U45" s="1030"/>
      <c r="V45" s="1030"/>
      <c r="W45" s="1030">
        <f t="shared" ref="W45:Z48" si="1">+(1000000*W$21/W29)</f>
        <v>119.30676723111065</v>
      </c>
      <c r="X45" s="1030">
        <f t="shared" si="1"/>
        <v>528.21431866337093</v>
      </c>
      <c r="Y45" s="1030" t="e">
        <f t="shared" si="1"/>
        <v>#DIV/0!</v>
      </c>
      <c r="Z45" s="1030" t="e">
        <f t="shared" si="1"/>
        <v>#DIV/0!</v>
      </c>
      <c r="AA45" s="1030"/>
      <c r="AB45" s="1030"/>
      <c r="AC45" s="1030"/>
      <c r="AD45" s="1030" t="e">
        <f>+(1000000*AD$21/AD29)</f>
        <v>#DIV/0!</v>
      </c>
      <c r="AE45" s="1030"/>
      <c r="AF45" s="1030" t="e">
        <f t="shared" ref="AF45:AS45" si="2">+(1000000*AF$21/AF29)</f>
        <v>#DIV/0!</v>
      </c>
      <c r="AG45" s="1030" t="e">
        <f t="shared" si="2"/>
        <v>#DIV/0!</v>
      </c>
      <c r="AH45" s="1030">
        <f t="shared" si="2"/>
        <v>2333333333.3333335</v>
      </c>
      <c r="AI45" s="1030" t="e">
        <f t="shared" si="2"/>
        <v>#DIV/0!</v>
      </c>
      <c r="AJ45" s="1030" t="e">
        <f t="shared" si="2"/>
        <v>#DIV/0!</v>
      </c>
      <c r="AK45" s="1030" t="e">
        <f t="shared" si="2"/>
        <v>#DIV/0!</v>
      </c>
      <c r="AL45" s="1030" t="e">
        <f t="shared" si="2"/>
        <v>#DIV/0!</v>
      </c>
      <c r="AM45" s="1030">
        <f t="shared" si="2"/>
        <v>1074255.8712215116</v>
      </c>
      <c r="AN45" s="1030">
        <f t="shared" si="2"/>
        <v>197017.72383666749</v>
      </c>
      <c r="AO45" s="1030">
        <f t="shared" si="2"/>
        <v>16823802.691808429</v>
      </c>
      <c r="AP45" s="1030">
        <f t="shared" si="2"/>
        <v>0</v>
      </c>
      <c r="AQ45" s="1030" t="e">
        <f t="shared" si="2"/>
        <v>#DIV/0!</v>
      </c>
      <c r="AR45" s="1030">
        <f t="shared" si="2"/>
        <v>0</v>
      </c>
      <c r="AS45" s="1030">
        <f t="shared" si="2"/>
        <v>0</v>
      </c>
      <c r="AT45" s="1030"/>
    </row>
    <row r="46" spans="1:47" x14ac:dyDescent="0.25">
      <c r="A46" s="232"/>
      <c r="B46" s="1054" t="s">
        <v>1324</v>
      </c>
      <c r="C46" s="1025"/>
      <c r="D46" s="1025">
        <f>+(1000000*D$21/D30)</f>
        <v>7394.1317369833378</v>
      </c>
      <c r="E46" s="1025"/>
      <c r="F46" s="1025">
        <f>+(1000000*F$21/F30)</f>
        <v>7023.8327667885706</v>
      </c>
      <c r="G46" s="1025"/>
      <c r="H46" s="1025"/>
      <c r="I46" s="1025"/>
      <c r="J46" s="1025"/>
      <c r="K46" s="1025"/>
      <c r="L46" s="1025"/>
      <c r="M46" s="1025">
        <f t="shared" si="0"/>
        <v>95066.360694324161</v>
      </c>
      <c r="N46" s="1025">
        <f t="shared" si="0"/>
        <v>12071.194678187234</v>
      </c>
      <c r="O46" s="1025"/>
      <c r="P46" s="1025"/>
      <c r="Q46" s="1025"/>
      <c r="R46" s="1025"/>
      <c r="S46" s="1025"/>
      <c r="T46" s="1025"/>
      <c r="U46" s="1025"/>
      <c r="V46" s="1025"/>
      <c r="W46" s="1025">
        <f t="shared" si="1"/>
        <v>119.30676723111065</v>
      </c>
      <c r="X46" s="1025">
        <f t="shared" si="1"/>
        <v>528.21431866337093</v>
      </c>
      <c r="Y46" s="1025" t="e">
        <f t="shared" si="1"/>
        <v>#DIV/0!</v>
      </c>
      <c r="Z46" s="1025" t="e">
        <f t="shared" si="1"/>
        <v>#DIV/0!</v>
      </c>
      <c r="AA46" s="1025"/>
      <c r="AB46" s="1025"/>
      <c r="AC46" s="1025"/>
      <c r="AD46" s="1025" t="e">
        <f>+(1000000*AD$21/AD30)</f>
        <v>#DIV/0!</v>
      </c>
      <c r="AE46" s="1025"/>
      <c r="AF46" s="1025" t="e">
        <f t="shared" ref="AF46:AS46" si="3">+(1000000*AF$21/AF30)</f>
        <v>#DIV/0!</v>
      </c>
      <c r="AG46" s="1025" t="e">
        <f t="shared" si="3"/>
        <v>#DIV/0!</v>
      </c>
      <c r="AH46" s="1025" t="e">
        <f t="shared" si="3"/>
        <v>#DIV/0!</v>
      </c>
      <c r="AI46" s="1025" t="e">
        <f t="shared" si="3"/>
        <v>#DIV/0!</v>
      </c>
      <c r="AJ46" s="1025" t="e">
        <f t="shared" si="3"/>
        <v>#DIV/0!</v>
      </c>
      <c r="AK46" s="1025" t="e">
        <f t="shared" si="3"/>
        <v>#DIV/0!</v>
      </c>
      <c r="AL46" s="1025" t="e">
        <f t="shared" si="3"/>
        <v>#DIV/0!</v>
      </c>
      <c r="AM46" s="1025">
        <f t="shared" si="3"/>
        <v>1074255.8712215116</v>
      </c>
      <c r="AN46" s="1025">
        <f t="shared" si="3"/>
        <v>1277662.2752743775</v>
      </c>
      <c r="AO46" s="1025" t="e">
        <f t="shared" si="3"/>
        <v>#DIV/0!</v>
      </c>
      <c r="AP46" s="1025">
        <f t="shared" si="3"/>
        <v>0</v>
      </c>
      <c r="AQ46" s="1025" t="e">
        <f t="shared" si="3"/>
        <v>#DIV/0!</v>
      </c>
      <c r="AR46" s="1025">
        <f t="shared" si="3"/>
        <v>0</v>
      </c>
      <c r="AS46" s="1025">
        <f t="shared" si="3"/>
        <v>0</v>
      </c>
      <c r="AT46" s="1025"/>
    </row>
    <row r="47" spans="1:47" x14ac:dyDescent="0.25">
      <c r="A47" s="232"/>
      <c r="B47" s="1054" t="s">
        <v>1279</v>
      </c>
      <c r="C47" s="1025"/>
      <c r="D47" s="1025">
        <f>+(1000000*D$21/D31)</f>
        <v>8185.6416099469352</v>
      </c>
      <c r="E47" s="1025"/>
      <c r="F47" s="1025">
        <f>+(1000000*F$21/F31)</f>
        <v>7536.8778526533333</v>
      </c>
      <c r="G47" s="1025"/>
      <c r="H47" s="1025"/>
      <c r="I47" s="1025"/>
      <c r="J47" s="1025"/>
      <c r="K47" s="1025"/>
      <c r="L47" s="1025"/>
      <c r="M47" s="1025">
        <f t="shared" si="0"/>
        <v>101336.95207953574</v>
      </c>
      <c r="N47" s="1025">
        <f t="shared" si="0"/>
        <v>19198.579895537965</v>
      </c>
      <c r="O47" s="1025"/>
      <c r="P47" s="1025"/>
      <c r="Q47" s="1025"/>
      <c r="R47" s="1025"/>
      <c r="S47" s="1025"/>
      <c r="T47" s="1025"/>
      <c r="U47" s="1025"/>
      <c r="V47" s="1025"/>
      <c r="W47" s="1025">
        <f t="shared" si="1"/>
        <v>119.30676723111065</v>
      </c>
      <c r="X47" s="1025">
        <f t="shared" si="1"/>
        <v>682.52845080507859</v>
      </c>
      <c r="Y47" s="1025" t="e">
        <f t="shared" si="1"/>
        <v>#DIV/0!</v>
      </c>
      <c r="Z47" s="1025" t="e">
        <f t="shared" si="1"/>
        <v>#DIV/0!</v>
      </c>
      <c r="AA47" s="1025"/>
      <c r="AB47" s="1025"/>
      <c r="AC47" s="1025"/>
      <c r="AD47" s="1025" t="e">
        <f>+(1000000*AD$21/AD31)</f>
        <v>#DIV/0!</v>
      </c>
      <c r="AE47" s="1025"/>
      <c r="AF47" s="1025" t="e">
        <f t="shared" ref="AF47:AS47" si="4">+(1000000*AF$21/AF31)</f>
        <v>#DIV/0!</v>
      </c>
      <c r="AG47" s="1025" t="e">
        <f t="shared" si="4"/>
        <v>#DIV/0!</v>
      </c>
      <c r="AH47" s="1025" t="e">
        <f t="shared" si="4"/>
        <v>#DIV/0!</v>
      </c>
      <c r="AI47" s="1025" t="e">
        <f t="shared" si="4"/>
        <v>#DIV/0!</v>
      </c>
      <c r="AJ47" s="1025" t="e">
        <f t="shared" si="4"/>
        <v>#DIV/0!</v>
      </c>
      <c r="AK47" s="1025" t="e">
        <f t="shared" si="4"/>
        <v>#DIV/0!</v>
      </c>
      <c r="AL47" s="1025" t="e">
        <f t="shared" si="4"/>
        <v>#DIV/0!</v>
      </c>
      <c r="AM47" s="1025" t="e">
        <f t="shared" si="4"/>
        <v>#DIV/0!</v>
      </c>
      <c r="AN47" s="1025" t="e">
        <f t="shared" si="4"/>
        <v>#DIV/0!</v>
      </c>
      <c r="AO47" s="1025">
        <f t="shared" si="4"/>
        <v>95003858.024691343</v>
      </c>
      <c r="AP47" s="1025">
        <f t="shared" si="4"/>
        <v>0</v>
      </c>
      <c r="AQ47" s="1025" t="e">
        <f t="shared" si="4"/>
        <v>#DIV/0!</v>
      </c>
      <c r="AR47" s="1025">
        <f t="shared" si="4"/>
        <v>0</v>
      </c>
      <c r="AS47" s="1025">
        <f t="shared" si="4"/>
        <v>0</v>
      </c>
      <c r="AT47" s="1025"/>
    </row>
    <row r="48" spans="1:47" x14ac:dyDescent="0.25">
      <c r="A48" s="232"/>
      <c r="B48" s="1054" t="s">
        <v>1278</v>
      </c>
      <c r="C48" s="1025"/>
      <c r="D48" s="1025">
        <f>+(1000000*D$21/D32)</f>
        <v>76468.676491750724</v>
      </c>
      <c r="E48" s="1025"/>
      <c r="F48" s="1025">
        <f>+(1000000*F$21/F32)</f>
        <v>103183.46492203586</v>
      </c>
      <c r="G48" s="1025"/>
      <c r="H48" s="1025"/>
      <c r="I48" s="1025"/>
      <c r="J48" s="1025"/>
      <c r="K48" s="1025"/>
      <c r="L48" s="1025"/>
      <c r="M48" s="1025">
        <f t="shared" si="0"/>
        <v>1536335.9922919828</v>
      </c>
      <c r="N48" s="1025">
        <f t="shared" si="0"/>
        <v>32515.401987759036</v>
      </c>
      <c r="O48" s="1025"/>
      <c r="P48" s="1025"/>
      <c r="Q48" s="1025"/>
      <c r="R48" s="1025"/>
      <c r="S48" s="1025"/>
      <c r="T48" s="1025"/>
      <c r="U48" s="1025"/>
      <c r="V48" s="1025"/>
      <c r="W48" s="1025" t="e">
        <f t="shared" si="1"/>
        <v>#DIV/0!</v>
      </c>
      <c r="X48" s="1025">
        <f t="shared" si="1"/>
        <v>2336.2818142884121</v>
      </c>
      <c r="Y48" s="1025" t="e">
        <f t="shared" si="1"/>
        <v>#DIV/0!</v>
      </c>
      <c r="Z48" s="1025" t="e">
        <f t="shared" si="1"/>
        <v>#DIV/0!</v>
      </c>
      <c r="AA48" s="1025"/>
      <c r="AB48" s="1025"/>
      <c r="AC48" s="1025"/>
      <c r="AD48" s="1025" t="e">
        <f>+(1000000*AD$21/AD32)</f>
        <v>#DIV/0!</v>
      </c>
      <c r="AE48" s="1025"/>
      <c r="AF48" s="1025" t="e">
        <f t="shared" ref="AF48:AS48" si="5">+(1000000*AF$21/AF32)</f>
        <v>#DIV/0!</v>
      </c>
      <c r="AG48" s="1025" t="e">
        <f t="shared" si="5"/>
        <v>#DIV/0!</v>
      </c>
      <c r="AH48" s="1025" t="e">
        <f t="shared" si="5"/>
        <v>#DIV/0!</v>
      </c>
      <c r="AI48" s="1025" t="e">
        <f t="shared" si="5"/>
        <v>#DIV/0!</v>
      </c>
      <c r="AJ48" s="1025" t="e">
        <f t="shared" si="5"/>
        <v>#DIV/0!</v>
      </c>
      <c r="AK48" s="1025" t="e">
        <f t="shared" si="5"/>
        <v>#DIV/0!</v>
      </c>
      <c r="AL48" s="1025" t="e">
        <f t="shared" si="5"/>
        <v>#DIV/0!</v>
      </c>
      <c r="AM48" s="1025">
        <f t="shared" si="5"/>
        <v>1074255.8712215116</v>
      </c>
      <c r="AN48" s="1025">
        <f t="shared" si="5"/>
        <v>1277662.2752743775</v>
      </c>
      <c r="AO48" s="1025" t="e">
        <f t="shared" si="5"/>
        <v>#DIV/0!</v>
      </c>
      <c r="AP48" s="1025" t="e">
        <f t="shared" si="5"/>
        <v>#DIV/0!</v>
      </c>
      <c r="AQ48" s="1025" t="e">
        <f t="shared" si="5"/>
        <v>#DIV/0!</v>
      </c>
      <c r="AR48" s="1025">
        <f t="shared" si="5"/>
        <v>0</v>
      </c>
      <c r="AS48" s="1025">
        <f t="shared" si="5"/>
        <v>0</v>
      </c>
      <c r="AT48" s="1025"/>
    </row>
    <row r="49" spans="1:56" x14ac:dyDescent="0.25">
      <c r="A49" s="232"/>
      <c r="B49" s="1054" t="s">
        <v>1277</v>
      </c>
      <c r="C49" s="1025"/>
      <c r="D49" s="1025">
        <f>+(1000000*D$21/D38)</f>
        <v>319.22271211005909</v>
      </c>
      <c r="E49" s="1025"/>
      <c r="F49" s="1025">
        <f>+(1000000*F$21/F38)</f>
        <v>104.51432675531389</v>
      </c>
      <c r="G49" s="1025"/>
      <c r="H49" s="1025"/>
      <c r="I49" s="1025"/>
      <c r="J49" s="1025"/>
      <c r="K49" s="1025"/>
      <c r="L49" s="1025"/>
      <c r="M49" s="1025">
        <f>+(1000000*M$21/M38)</f>
        <v>4376.8252029746</v>
      </c>
      <c r="N49" s="1025">
        <f>+(1000000*N$21/N38)</f>
        <v>427.669842568972</v>
      </c>
      <c r="O49" s="1025"/>
      <c r="P49" s="1025"/>
      <c r="Q49" s="1025"/>
      <c r="R49" s="1025"/>
      <c r="S49" s="1025"/>
      <c r="T49" s="1025"/>
      <c r="U49" s="1025"/>
      <c r="V49" s="1025"/>
      <c r="W49" s="1025">
        <f>+(1000000*W$21/W38)</f>
        <v>119.30676723111065</v>
      </c>
      <c r="X49" s="1025">
        <f>+(1000000*X$21/X38)</f>
        <v>528.21431866337093</v>
      </c>
      <c r="Y49" s="1025" t="e">
        <f>+(1000000*Y$21/Y38)</f>
        <v>#DIV/0!</v>
      </c>
      <c r="Z49" s="1025" t="e">
        <f>+(1000000*Z$21/Z38)</f>
        <v>#DIV/0!</v>
      </c>
      <c r="AA49" s="1025"/>
      <c r="AB49" s="1025"/>
      <c r="AC49" s="1025"/>
      <c r="AD49" s="1025" t="e">
        <f>+(1000000*AD$21/AD38)</f>
        <v>#DIV/0!</v>
      </c>
      <c r="AE49" s="1025"/>
      <c r="AF49" s="1025">
        <f t="shared" ref="AF49:AS49" si="6">+(1000000*AF$21/AF38)</f>
        <v>4918.24615342169</v>
      </c>
      <c r="AG49" s="1025" t="e">
        <f t="shared" si="6"/>
        <v>#DIV/0!</v>
      </c>
      <c r="AH49" s="1025">
        <f t="shared" si="6"/>
        <v>1839913.2146339098</v>
      </c>
      <c r="AI49" s="1025" t="e">
        <f t="shared" si="6"/>
        <v>#DIV/0!</v>
      </c>
      <c r="AJ49" s="1025" t="e">
        <f t="shared" si="6"/>
        <v>#DIV/0!</v>
      </c>
      <c r="AK49" s="1025" t="e">
        <f t="shared" si="6"/>
        <v>#DIV/0!</v>
      </c>
      <c r="AL49" s="1025" t="e">
        <f t="shared" si="6"/>
        <v>#DIV/0!</v>
      </c>
      <c r="AM49" s="1025">
        <f t="shared" si="6"/>
        <v>636.95559697992076</v>
      </c>
      <c r="AN49" s="1025">
        <f t="shared" si="6"/>
        <v>26915.887579720049</v>
      </c>
      <c r="AO49" s="1025">
        <f t="shared" si="6"/>
        <v>1373748.2945254999</v>
      </c>
      <c r="AP49" s="1025">
        <f t="shared" si="6"/>
        <v>0</v>
      </c>
      <c r="AQ49" s="1025" t="e">
        <f t="shared" si="6"/>
        <v>#DIV/0!</v>
      </c>
      <c r="AR49" s="1025">
        <f t="shared" si="6"/>
        <v>0</v>
      </c>
      <c r="AS49" s="1025">
        <f t="shared" si="6"/>
        <v>0</v>
      </c>
      <c r="AT49" s="1025"/>
    </row>
    <row r="50" spans="1:56" x14ac:dyDescent="0.25">
      <c r="A50" s="232"/>
      <c r="B50" s="1054" t="s">
        <v>1281</v>
      </c>
      <c r="C50" s="1025"/>
      <c r="D50" s="1025">
        <f>+(1000000*D$21/D41)</f>
        <v>1816.1646941543595</v>
      </c>
      <c r="E50" s="1025"/>
      <c r="F50" s="1025">
        <f>+(1000000*F$21/F41)</f>
        <v>932.88599582731979</v>
      </c>
      <c r="G50" s="1025"/>
      <c r="H50" s="1025"/>
      <c r="I50" s="1025"/>
      <c r="J50" s="1025"/>
      <c r="K50" s="1025"/>
      <c r="L50" s="1025"/>
      <c r="M50" s="1025">
        <f>+(1000000*M$21/M41)</f>
        <v>4595.4706105283667</v>
      </c>
      <c r="N50" s="1025">
        <f>+(1000000*N$21/N41)</f>
        <v>552.84399439581648</v>
      </c>
      <c r="O50" s="1025"/>
      <c r="P50" s="1025"/>
      <c r="Q50" s="1025"/>
      <c r="R50" s="1025"/>
      <c r="S50" s="1025"/>
      <c r="T50" s="1025"/>
      <c r="U50" s="1025"/>
      <c r="V50" s="1025"/>
      <c r="W50" s="1025">
        <f t="shared" ref="W50:Z51" si="7">+(1000000*W$21/W41)</f>
        <v>125.58607076959017</v>
      </c>
      <c r="X50" s="1025">
        <f t="shared" si="7"/>
        <v>10893.541835309068</v>
      </c>
      <c r="Y50" s="1025" t="e">
        <f t="shared" si="7"/>
        <v>#DIV/0!</v>
      </c>
      <c r="Z50" s="1025" t="e">
        <f t="shared" si="7"/>
        <v>#DIV/0!</v>
      </c>
      <c r="AA50" s="1025"/>
      <c r="AB50" s="1025"/>
      <c r="AC50" s="1025"/>
      <c r="AD50" s="1025" t="e">
        <f>+(1000000*AD$21/AD41)</f>
        <v>#DIV/0!</v>
      </c>
      <c r="AE50" s="1025"/>
      <c r="AF50" s="1025">
        <f t="shared" ref="AF50:AS50" si="8">+(1000000*AF$21/AF41)</f>
        <v>6321.2123639330566</v>
      </c>
      <c r="AG50" s="1025" t="e">
        <f t="shared" si="8"/>
        <v>#DIV/0!</v>
      </c>
      <c r="AH50" s="1025">
        <f t="shared" si="8"/>
        <v>2240744.885772327</v>
      </c>
      <c r="AI50" s="1025" t="e">
        <f t="shared" si="8"/>
        <v>#DIV/0!</v>
      </c>
      <c r="AJ50" s="1025" t="e">
        <f t="shared" si="8"/>
        <v>#DIV/0!</v>
      </c>
      <c r="AK50" s="1025" t="e">
        <f t="shared" si="8"/>
        <v>#DIV/0!</v>
      </c>
      <c r="AL50" s="1025" t="e">
        <f t="shared" si="8"/>
        <v>#DIV/0!</v>
      </c>
      <c r="AM50" s="1025">
        <f t="shared" si="8"/>
        <v>796.66686172934055</v>
      </c>
      <c r="AN50" s="1025">
        <f t="shared" si="8"/>
        <v>33644.859441196801</v>
      </c>
      <c r="AO50" s="1025">
        <f t="shared" si="8"/>
        <v>18385658.86213221</v>
      </c>
      <c r="AP50" s="1025">
        <f t="shared" si="8"/>
        <v>0</v>
      </c>
      <c r="AQ50" s="1025" t="e">
        <f t="shared" si="8"/>
        <v>#DIV/0!</v>
      </c>
      <c r="AR50" s="1025">
        <f t="shared" si="8"/>
        <v>0</v>
      </c>
      <c r="AS50" s="1025">
        <f t="shared" si="8"/>
        <v>0</v>
      </c>
      <c r="AT50" s="1025"/>
    </row>
    <row r="51" spans="1:56" x14ac:dyDescent="0.25">
      <c r="A51" s="235"/>
      <c r="B51" s="1195" t="s">
        <v>1282</v>
      </c>
      <c r="C51" s="1028"/>
      <c r="D51" s="1028">
        <f>+(1000000*D$21/D42)</f>
        <v>387.29692016168815</v>
      </c>
      <c r="E51" s="1028"/>
      <c r="F51" s="1028">
        <f>+(1000000*F$21/F42)</f>
        <v>117.70073197044327</v>
      </c>
      <c r="G51" s="1028"/>
      <c r="H51" s="1028"/>
      <c r="I51" s="1028"/>
      <c r="J51" s="1028"/>
      <c r="K51" s="1028"/>
      <c r="L51" s="1028"/>
      <c r="M51" s="1028">
        <f>+(1000000*M$21/M42)</f>
        <v>91991.740474784645</v>
      </c>
      <c r="N51" s="1028">
        <f>+(1000000*N$21/N42)</f>
        <v>1888.8460644456738</v>
      </c>
      <c r="O51" s="1028"/>
      <c r="P51" s="1028"/>
      <c r="Q51" s="1028"/>
      <c r="R51" s="1028"/>
      <c r="S51" s="1028"/>
      <c r="T51" s="1028"/>
      <c r="U51" s="1028"/>
      <c r="V51" s="1028"/>
      <c r="W51" s="1028">
        <f t="shared" si="7"/>
        <v>2386.1353446222101</v>
      </c>
      <c r="X51" s="1028">
        <f t="shared" si="7"/>
        <v>555.13197910323117</v>
      </c>
      <c r="Y51" s="1028" t="e">
        <f t="shared" si="7"/>
        <v>#DIV/0!</v>
      </c>
      <c r="Z51" s="1028" t="e">
        <f t="shared" si="7"/>
        <v>#DIV/0!</v>
      </c>
      <c r="AA51" s="1028"/>
      <c r="AB51" s="1028"/>
      <c r="AC51" s="1028"/>
      <c r="AD51" s="1028" t="e">
        <f>+(1000000*AD$21/AD42)</f>
        <v>#DIV/0!</v>
      </c>
      <c r="AE51" s="1028"/>
      <c r="AF51" s="1028">
        <f t="shared" ref="AF51:AS51" si="9">+(1000000*AF$21/AF42)</f>
        <v>22159.677233098617</v>
      </c>
      <c r="AG51" s="1028" t="e">
        <f t="shared" si="9"/>
        <v>#DIV/0!</v>
      </c>
      <c r="AH51" s="1028">
        <f t="shared" si="9"/>
        <v>10285554.817179503</v>
      </c>
      <c r="AI51" s="1028" t="e">
        <f t="shared" si="9"/>
        <v>#DIV/0!</v>
      </c>
      <c r="AJ51" s="1028" t="e">
        <f t="shared" si="9"/>
        <v>#DIV/0!</v>
      </c>
      <c r="AK51" s="1028" t="e">
        <f t="shared" si="9"/>
        <v>#DIV/0!</v>
      </c>
      <c r="AL51" s="1028" t="e">
        <f t="shared" si="9"/>
        <v>#DIV/0!</v>
      </c>
      <c r="AM51" s="1028">
        <f t="shared" si="9"/>
        <v>3177.2424900841283</v>
      </c>
      <c r="AN51" s="1028">
        <f t="shared" si="9"/>
        <v>134579.43843385243</v>
      </c>
      <c r="AO51" s="1028">
        <f t="shared" si="9"/>
        <v>1484681.4180692602</v>
      </c>
      <c r="AP51" s="1028">
        <f t="shared" si="9"/>
        <v>0</v>
      </c>
      <c r="AQ51" s="1028" t="e">
        <f t="shared" si="9"/>
        <v>#DIV/0!</v>
      </c>
      <c r="AR51" s="1028">
        <f t="shared" si="9"/>
        <v>0</v>
      </c>
      <c r="AS51" s="1028">
        <f t="shared" si="9"/>
        <v>0</v>
      </c>
      <c r="AT51" s="1028"/>
    </row>
    <row r="54" spans="1:56" ht="150" x14ac:dyDescent="0.25">
      <c r="A54" s="1203"/>
      <c r="B54" s="1191" t="s">
        <v>1405</v>
      </c>
      <c r="C54" s="297" t="s">
        <v>1050</v>
      </c>
      <c r="D54" s="717" t="str">
        <f>PSUT_2013!AA3</f>
        <v xml:space="preserve">Total </v>
      </c>
      <c r="E54" s="297"/>
      <c r="F54" s="717" t="str">
        <f>PSUT_2013!C4</f>
        <v xml:space="preserve">A. Agriculture, forestry and fishing </v>
      </c>
      <c r="G54" s="297"/>
      <c r="H54" s="297"/>
      <c r="I54" s="297"/>
      <c r="J54" s="297"/>
      <c r="K54" s="297"/>
      <c r="L54" s="297"/>
      <c r="M54" s="717" t="str">
        <f>PSUT_2013!D4</f>
        <v xml:space="preserve">B. Mining and Quarrying </v>
      </c>
      <c r="N54" s="717" t="str">
        <f>PSUT_2013!E4</f>
        <v>C. Manufacturing</v>
      </c>
      <c r="O54" s="297"/>
      <c r="P54" s="297"/>
      <c r="Q54" s="297"/>
      <c r="R54" s="297"/>
      <c r="S54" s="297"/>
      <c r="T54" s="297"/>
      <c r="U54" s="297"/>
      <c r="V54" s="297"/>
      <c r="W54" s="717" t="str">
        <f>PSUT_2013!F4</f>
        <v>D. Electricity, gas, steam and air conditioning supply</v>
      </c>
      <c r="X54" s="717" t="str">
        <f>PSUT_2013!G4</f>
        <v>E. Water supply (WASAC &amp; AquaVirunga)</v>
      </c>
      <c r="Y54" s="717" t="str">
        <f>PSUT_2013!H4</f>
        <v>F. Construction</v>
      </c>
      <c r="Z54" s="717" t="str">
        <f>PSUT_2013!I4</f>
        <v>G. Wholesale and retail trade; repair of motor vehicles and motorcycles</v>
      </c>
      <c r="AA54" s="297"/>
      <c r="AB54" s="297"/>
      <c r="AC54" s="297"/>
      <c r="AD54" s="717" t="str">
        <f>PSUT_2013!J4</f>
        <v>H. Transportation and storage</v>
      </c>
      <c r="AE54" s="297"/>
      <c r="AF54" s="717" t="str">
        <f>PSUT_2013!K4</f>
        <v>I. Accommodation and food service activities</v>
      </c>
      <c r="AG54" s="717" t="str">
        <f>PSUT_2013!L4</f>
        <v>J. Information and communication</v>
      </c>
      <c r="AH54" s="717" t="str">
        <f>PSUT_2013!M4</f>
        <v>K. Banking and insurance activities</v>
      </c>
      <c r="AI54" s="717" t="str">
        <f>PSUT_2013!N4</f>
        <v>L. Real estate activities</v>
      </c>
      <c r="AJ54" s="717" t="str">
        <f>PSUT_2013!O4</f>
        <v>M. Professional, scientific and technical activities</v>
      </c>
      <c r="AK54" s="717" t="str">
        <f>PSUT_2013!P4</f>
        <v>N. Administrative and support service activities</v>
      </c>
      <c r="AL54" s="717" t="str">
        <f>PSUT_2013!Q4</f>
        <v>O. Public administration and defence; compulsory social security</v>
      </c>
      <c r="AM54" s="717" t="str">
        <f>PSUT_2013!R4</f>
        <v>P. Education</v>
      </c>
      <c r="AN54" s="717" t="str">
        <f>PSUT_2013!S4</f>
        <v xml:space="preserve">Q. Human health and social work activities </v>
      </c>
      <c r="AO54" s="717" t="str">
        <f>PSUT_2013!T4</f>
        <v>R. Arts, entertainment and recreation</v>
      </c>
      <c r="AP54" s="717" t="str">
        <f>PSUT_2013!U4</f>
        <v>S. Other service activities (Religious &amp; Burial)</v>
      </c>
      <c r="AQ54" s="717" t="str">
        <f>PSUT_2013!V4</f>
        <v>T. Activities of households as employers; undifferentiated goods- and services-producing activities of households for own use</v>
      </c>
      <c r="AR54" s="717" t="str">
        <f>PSUT_2013!W3</f>
        <v xml:space="preserve">Total Production activities </v>
      </c>
      <c r="AS54" s="717" t="str">
        <f>PSUT_2013!X4</f>
        <v>Households</v>
      </c>
      <c r="AT54" s="717" t="str">
        <f>PSUT_2013!AA3</f>
        <v xml:space="preserve">Total </v>
      </c>
      <c r="AU54" s="584"/>
      <c r="AW54" s="584"/>
      <c r="AX54" s="584"/>
      <c r="AY54" s="584"/>
      <c r="AZ54" s="584"/>
      <c r="BA54" s="584"/>
      <c r="BB54" s="584"/>
      <c r="BC54" s="584"/>
      <c r="BD54" s="584"/>
    </row>
    <row r="55" spans="1:56" x14ac:dyDescent="0.25">
      <c r="A55" s="1803" t="str">
        <f>+(PSUT_2013!A6)</f>
        <v>From the environment</v>
      </c>
      <c r="B55" s="1198" t="str">
        <f>+(PSUT_2013!B9)</f>
        <v>1 - Total abstraction (1.i+1.ii)</v>
      </c>
      <c r="D55" s="1025">
        <f>+(PSUT_2013!AA9)</f>
        <v>13496753.260582799</v>
      </c>
      <c r="F55" s="1025">
        <f>+(PSUT_2013!C9)</f>
        <v>13010018.946100427</v>
      </c>
      <c r="H55" s="1024"/>
      <c r="I55" s="1024"/>
      <c r="J55" s="1024"/>
      <c r="K55" s="1024"/>
      <c r="L55" s="1024"/>
      <c r="M55" s="1025">
        <f>+(PSUT_2013!D9)</f>
        <v>22410.000272350058</v>
      </c>
      <c r="N55" s="1025">
        <f>+(PSUT_2013!E9)</f>
        <v>23937.981051793297</v>
      </c>
      <c r="P55" s="1026"/>
      <c r="Q55" s="1026"/>
      <c r="R55" s="1026"/>
      <c r="S55" s="1026"/>
      <c r="T55" s="1026"/>
      <c r="U55" s="1026"/>
      <c r="V55" s="1026"/>
      <c r="W55" s="1025">
        <f>+(PSUT_2013!F9)</f>
        <v>345951.26144545968</v>
      </c>
      <c r="X55" s="1025">
        <f>+(PSUT_2013!G9)</f>
        <v>53068.710693793837</v>
      </c>
      <c r="Y55" s="1025">
        <f>+(PSUT_2013!H9)</f>
        <v>0</v>
      </c>
      <c r="Z55" s="1025">
        <f>+(PSUT_2013!I9)</f>
        <v>0</v>
      </c>
      <c r="AB55" s="1024"/>
      <c r="AC55" s="1024"/>
      <c r="AD55" s="1025">
        <f>+(PSUT_2013!J9)</f>
        <v>0</v>
      </c>
      <c r="AF55" s="1025">
        <f>+(PSUT_2013!K9)</f>
        <v>0</v>
      </c>
      <c r="AG55" s="1025">
        <f>+(PSUT_2013!L9)</f>
        <v>0</v>
      </c>
      <c r="AH55" s="1025">
        <f>+(PSUT_2013!M9)</f>
        <v>0.06</v>
      </c>
      <c r="AI55" s="1025">
        <f>+(PSUT_2013!N9)</f>
        <v>0</v>
      </c>
      <c r="AJ55" s="1025">
        <f>+(PSUT_2013!O9)</f>
        <v>0</v>
      </c>
      <c r="AK55" s="1025">
        <f>+(PSUT_2013!P9)</f>
        <v>0</v>
      </c>
      <c r="AL55" s="1025">
        <f>+(PSUT_2013!Q9)</f>
        <v>0</v>
      </c>
      <c r="AM55" s="1025">
        <f>+(PSUT_2013!R9)</f>
        <v>133.11539999999999</v>
      </c>
      <c r="AN55" s="1025">
        <f>+(PSUT_2013!S9)</f>
        <v>588.7795155737706</v>
      </c>
      <c r="AO55" s="1025">
        <f>+SUM(PSUT_2013!T9:'PSUT_2013'!V9)</f>
        <v>11.709600000000002</v>
      </c>
      <c r="AP55" s="1025">
        <f>+(PSUT_2013!U9)</f>
        <v>11.709600000000002</v>
      </c>
      <c r="AQ55" s="1025">
        <f>+(PSUT_2013!V9)</f>
        <v>0</v>
      </c>
      <c r="AR55" s="1025">
        <f>+(PSUT_2013!W9)</f>
        <v>13456120.564079396</v>
      </c>
      <c r="AS55" s="1025">
        <f>+(PSUT_2013!X9)</f>
        <v>40632.696503402331</v>
      </c>
      <c r="AT55" s="1025">
        <f>+(PSUT_2013!AA9)</f>
        <v>13496753.260582799</v>
      </c>
      <c r="AU55" s="1025"/>
      <c r="AW55" s="584"/>
      <c r="AX55" s="584"/>
      <c r="AY55" s="584"/>
      <c r="AZ55" s="584"/>
      <c r="BA55" s="584"/>
      <c r="BB55" s="584"/>
      <c r="BC55" s="584"/>
      <c r="BD55" s="584"/>
    </row>
    <row r="56" spans="1:56" x14ac:dyDescent="0.25">
      <c r="A56" s="1803"/>
      <c r="B56" s="1198" t="str">
        <f>+B57 &amp; " &amp; "&amp; B58</f>
        <v>1.i.1 Surface water &amp; 1.i.2 Groundwater</v>
      </c>
      <c r="D56" s="1025">
        <f>+SUM(PSUT_2013!AA11,PSUT_2013!AA16)</f>
        <v>673323.53595450707</v>
      </c>
      <c r="F56" s="1025">
        <f>+SUM(PSUT_2013!C11,PSUT_2013!C16)</f>
        <v>209034.90617213416</v>
      </c>
      <c r="H56" s="1024"/>
      <c r="I56" s="1024"/>
      <c r="J56" s="1024"/>
      <c r="K56" s="1024"/>
      <c r="L56" s="1024"/>
      <c r="M56" s="1025">
        <f>+SUM(PSUT_2013!D11,PSUT_2013!D16)</f>
        <v>1050.2002723500577</v>
      </c>
      <c r="N56" s="1025">
        <f>+SUM(PSUT_2013!E11,PSUT_2013!E16)</f>
        <v>23909.781051793296</v>
      </c>
      <c r="P56" s="1026"/>
      <c r="Q56" s="1026"/>
      <c r="R56" s="1026"/>
      <c r="S56" s="1026"/>
      <c r="T56" s="1026"/>
      <c r="U56" s="1026"/>
      <c r="V56" s="1026"/>
      <c r="W56" s="1025">
        <f>+SUM(PSUT_2013!F11,PSUT_2013!F16)</f>
        <v>345951.26144545968</v>
      </c>
      <c r="X56" s="1025">
        <f>+SUM(PSUT_2013!G11,PSUT_2013!G16)</f>
        <v>53068.710693793837</v>
      </c>
      <c r="Y56" s="1025">
        <f>+SUM(PSUT_2013!H11,PSUT_2013!H16)</f>
        <v>0</v>
      </c>
      <c r="Z56" s="1025">
        <f>+SUM(PSUT_2013!I11,PSUT_2013!I16)</f>
        <v>0</v>
      </c>
      <c r="AB56" s="1024"/>
      <c r="AC56" s="1024"/>
      <c r="AD56" s="1025">
        <f>+SUM(PSUT_2013!J11,PSUT_2013!J16)</f>
        <v>0</v>
      </c>
      <c r="AF56" s="1025">
        <f>+SUM(PSUT_2013!K11,PSUT_2013!K16)</f>
        <v>0</v>
      </c>
      <c r="AG56" s="1025">
        <f>+SUM(PSUT_2013!L11,PSUT_2013!L16)</f>
        <v>0</v>
      </c>
      <c r="AH56" s="1025">
        <f>+SUM(PSUT_2013!M11,PSUT_2013!M16)</f>
        <v>0</v>
      </c>
      <c r="AI56" s="1025">
        <f>+SUM(PSUT_2013!N11,PSUT_2013!N16)</f>
        <v>0</v>
      </c>
      <c r="AJ56" s="1025">
        <f>+SUM(PSUT_2013!O11,PSUT_2013!O16)</f>
        <v>0</v>
      </c>
      <c r="AK56" s="1025">
        <f>+SUM(PSUT_2013!P11,PSUT_2013!P16)</f>
        <v>0</v>
      </c>
      <c r="AL56" s="1025">
        <f>+SUM(PSUT_2013!Q11,PSUT_2013!Q16)</f>
        <v>0</v>
      </c>
      <c r="AM56" s="1025">
        <f>+SUM(PSUT_2013!R11,PSUT_2013!R16)</f>
        <v>133.11539999999999</v>
      </c>
      <c r="AN56" s="1025">
        <f>+SUM(PSUT_2013!S11,PSUT_2013!S16)</f>
        <v>90.790815573770487</v>
      </c>
      <c r="AO56" s="1025">
        <f>+SUM(PSUT_2013!T11,PSUT_2013!T16)</f>
        <v>0</v>
      </c>
      <c r="AP56" s="1025">
        <f>+SUM(PSUT_2013!U11,PSUT_2013!U16)</f>
        <v>2.0736000000000003</v>
      </c>
      <c r="AQ56" s="1025">
        <f>+SUM(PSUT_2013!V11,PSUT_2013!V16)</f>
        <v>0</v>
      </c>
      <c r="AR56" s="1025">
        <f>+SUM(PSUT_2013!W11,PSUT_2013!W16)</f>
        <v>633240.83945110487</v>
      </c>
      <c r="AS56" s="1025">
        <f>+SUM(PSUT_2013!X11,PSUT_2013!X16)</f>
        <v>40082.696503402331</v>
      </c>
      <c r="AT56" s="1025">
        <f>+SUM(PSUT_2013!AA11,PSUT_2013!AA16)</f>
        <v>673323.53595450707</v>
      </c>
      <c r="AU56" s="1025"/>
      <c r="AW56" s="584"/>
      <c r="AX56" s="584"/>
      <c r="AY56" s="584"/>
      <c r="AZ56" s="584"/>
      <c r="BA56" s="584"/>
      <c r="BB56" s="584"/>
      <c r="BC56" s="584"/>
      <c r="BD56" s="584"/>
    </row>
    <row r="57" spans="1:56" x14ac:dyDescent="0.25">
      <c r="A57" s="1803"/>
      <c r="B57" s="1198" t="str">
        <f>+(PSUT_2013!B11)</f>
        <v>1.i.1 Surface water</v>
      </c>
      <c r="D57" s="1025">
        <f>+(PSUT_2013!AA11)</f>
        <v>609449.27943779924</v>
      </c>
      <c r="E57" s="578"/>
      <c r="F57" s="1025">
        <f>+(PSUT_2013!C11)</f>
        <v>195157.23901430785</v>
      </c>
      <c r="H57" s="1024"/>
      <c r="I57" s="1024"/>
      <c r="J57" s="1024"/>
      <c r="K57" s="1024"/>
      <c r="L57" s="1024"/>
      <c r="M57" s="1025">
        <f>+(PSUT_2013!D11)</f>
        <v>986.41214235005782</v>
      </c>
      <c r="N57" s="1025">
        <f>+(PSUT_2013!E11)</f>
        <v>15026.920891167292</v>
      </c>
      <c r="P57" s="1026"/>
      <c r="Q57" s="1026"/>
      <c r="R57" s="1026"/>
      <c r="S57" s="1026"/>
      <c r="T57" s="1026"/>
      <c r="U57" s="1026"/>
      <c r="V57" s="1026"/>
      <c r="W57" s="1025">
        <f>+(PSUT_2013!F11)</f>
        <v>345951.26144545968</v>
      </c>
      <c r="X57" s="1025">
        <f>+(PSUT_2013!G11)</f>
        <v>41023.930895441081</v>
      </c>
      <c r="Y57" s="1025">
        <f>+(PSUT_2013!H11)</f>
        <v>0</v>
      </c>
      <c r="Z57" s="1025">
        <f>+(PSUT_2013!I11)</f>
        <v>0</v>
      </c>
      <c r="AB57" s="1024"/>
      <c r="AC57" s="1024"/>
      <c r="AD57" s="1025">
        <f>+(PSUT_2013!J11)</f>
        <v>0</v>
      </c>
      <c r="AF57" s="1025">
        <f>+(PSUT_2013!K11)</f>
        <v>0</v>
      </c>
      <c r="AG57" s="1025">
        <f>+(PSUT_2013!L11)</f>
        <v>0</v>
      </c>
      <c r="AH57" s="1025">
        <f>+(PSUT_2013!M11)</f>
        <v>0</v>
      </c>
      <c r="AI57" s="1025">
        <f>+(PSUT_2013!N11)</f>
        <v>0</v>
      </c>
      <c r="AJ57" s="1025">
        <f>+(PSUT_2013!O11)</f>
        <v>0</v>
      </c>
      <c r="AK57" s="1025">
        <f>+(PSUT_2013!P11)</f>
        <v>0</v>
      </c>
      <c r="AL57" s="1025">
        <f>+(PSUT_2013!Q11)</f>
        <v>0</v>
      </c>
      <c r="AM57" s="1025">
        <f>+(PSUT_2013!R11)</f>
        <v>0</v>
      </c>
      <c r="AN57" s="1025">
        <f>+(PSUT_2013!S11)</f>
        <v>0</v>
      </c>
      <c r="AO57" s="1025">
        <f>+SUM(PSUT_2013!T11:'PSUT_2013'!V11)</f>
        <v>2.0736000000000003</v>
      </c>
      <c r="AP57" s="1025">
        <f>+(PSUT_2013!U11)</f>
        <v>2.0736000000000003</v>
      </c>
      <c r="AQ57" s="1025">
        <f>+(PSUT_2013!V11)</f>
        <v>0</v>
      </c>
      <c r="AR57" s="1025">
        <f>+(PSUT_2013!W11)</f>
        <v>598147.83798872598</v>
      </c>
      <c r="AS57" s="1025">
        <f>+(PSUT_2013!X11)</f>
        <v>11301.441449073298</v>
      </c>
      <c r="AT57" s="1025">
        <f>+(PSUT_2013!AA11)</f>
        <v>609449.27943779924</v>
      </c>
      <c r="AU57" s="1025"/>
      <c r="AW57" s="584"/>
      <c r="AX57" s="584"/>
      <c r="AY57" s="584"/>
      <c r="AZ57" s="584"/>
      <c r="BA57" s="584"/>
      <c r="BB57" s="584"/>
      <c r="BC57" s="584"/>
      <c r="BD57" s="584"/>
    </row>
    <row r="58" spans="1:56" x14ac:dyDescent="0.25">
      <c r="A58" s="1803"/>
      <c r="B58" s="1198" t="str">
        <f>+(PSUT_2013!B16)</f>
        <v>1.i.2 Groundwater</v>
      </c>
      <c r="D58" s="1025">
        <f>+(PSUT_2013!AA16)</f>
        <v>63874.256516707879</v>
      </c>
      <c r="E58" s="1024"/>
      <c r="F58" s="1025">
        <f>+(PSUT_2013!C16)</f>
        <v>13877.667157826309</v>
      </c>
      <c r="H58" s="1024"/>
      <c r="I58" s="1024"/>
      <c r="J58" s="1024"/>
      <c r="K58" s="1024"/>
      <c r="L58" s="1024"/>
      <c r="M58" s="1025">
        <f>+(PSUT_2013!D16)</f>
        <v>63.788130000000002</v>
      </c>
      <c r="N58" s="1025">
        <f>+(PSUT_2013!E16)</f>
        <v>8882.8601606260054</v>
      </c>
      <c r="P58" s="1024"/>
      <c r="Q58" s="1024"/>
      <c r="R58" s="1024"/>
      <c r="S58" s="1024"/>
      <c r="T58" s="1024"/>
      <c r="U58" s="1024"/>
      <c r="V58" s="1024"/>
      <c r="W58" s="1025">
        <f>+(PSUT_2013!F16)</f>
        <v>0</v>
      </c>
      <c r="X58" s="1025">
        <f>+(PSUT_2013!G16)</f>
        <v>12044.779798352758</v>
      </c>
      <c r="Y58" s="1025">
        <f>+(PSUT_2013!H16)</f>
        <v>0</v>
      </c>
      <c r="Z58" s="1025">
        <f>+(PSUT_2013!I16)</f>
        <v>0</v>
      </c>
      <c r="AB58" s="1024"/>
      <c r="AC58" s="1024"/>
      <c r="AD58" s="1025">
        <f>+(PSUT_2013!J16)</f>
        <v>0</v>
      </c>
      <c r="AF58" s="1025">
        <f>+(PSUT_2013!K16)</f>
        <v>0</v>
      </c>
      <c r="AG58" s="1025">
        <f>+(PSUT_2013!L16)</f>
        <v>0</v>
      </c>
      <c r="AH58" s="1025">
        <f>+(PSUT_2013!M16)</f>
        <v>0</v>
      </c>
      <c r="AI58" s="1025">
        <f>+(PSUT_2013!N16)</f>
        <v>0</v>
      </c>
      <c r="AJ58" s="1025">
        <f>+(PSUT_2013!O16)</f>
        <v>0</v>
      </c>
      <c r="AK58" s="1025">
        <f>+(PSUT_2013!P16)</f>
        <v>0</v>
      </c>
      <c r="AL58" s="1025">
        <f>+(PSUT_2013!Q16)</f>
        <v>0</v>
      </c>
      <c r="AM58" s="1025">
        <f>+(PSUT_2013!R16)</f>
        <v>133.11539999999999</v>
      </c>
      <c r="AN58" s="1025">
        <f>+(PSUT_2013!S16)</f>
        <v>90.790815573770487</v>
      </c>
      <c r="AO58" s="1025">
        <f>+SUM(PSUT_2013!T16:'PSUT_2013'!V16)</f>
        <v>0</v>
      </c>
      <c r="AP58" s="1025">
        <f>+(PSUT_2013!U16)</f>
        <v>0</v>
      </c>
      <c r="AQ58" s="1025">
        <f>+(PSUT_2013!V16)</f>
        <v>0</v>
      </c>
      <c r="AR58" s="1025">
        <f>+(PSUT_2013!W16)</f>
        <v>35093.001462378845</v>
      </c>
      <c r="AS58" s="1025">
        <f>+(PSUT_2013!X16)</f>
        <v>28781.255054329034</v>
      </c>
      <c r="AT58" s="1025">
        <f>+(PSUT_2013!AA16)</f>
        <v>63874.256516707879</v>
      </c>
      <c r="AU58" s="1025"/>
    </row>
    <row r="59" spans="1:56" x14ac:dyDescent="0.25">
      <c r="A59" s="1803"/>
      <c r="B59" s="1198" t="str">
        <f>+(PSUT_2013!B19)</f>
        <v>1.i.3 Soil water (green water)</v>
      </c>
      <c r="D59" s="1025">
        <f>+(PSUT_2013!AA19)</f>
        <v>12800177.039928293</v>
      </c>
      <c r="E59" s="1024"/>
      <c r="F59" s="1025">
        <f>+(PSUT_2013!C19)</f>
        <v>12800177.039928293</v>
      </c>
      <c r="H59" s="1024"/>
      <c r="I59" s="1024"/>
      <c r="J59" s="1024"/>
      <c r="K59" s="1024"/>
      <c r="L59" s="1024"/>
      <c r="M59" s="1025">
        <f>+(PSUT_2013!D19)</f>
        <v>0</v>
      </c>
      <c r="N59" s="1025">
        <f>+(PSUT_2013!E19)</f>
        <v>0</v>
      </c>
      <c r="P59" s="1024"/>
      <c r="Q59" s="1024"/>
      <c r="R59" s="1024"/>
      <c r="S59" s="1024"/>
      <c r="T59" s="1024"/>
      <c r="U59" s="1024"/>
      <c r="V59" s="1024"/>
      <c r="W59" s="1025">
        <f>+(PSUT_2013!F19)</f>
        <v>0</v>
      </c>
      <c r="X59" s="1025">
        <f>+(PSUT_2013!G19)</f>
        <v>0</v>
      </c>
      <c r="Y59" s="1025">
        <f>+(PSUT_2013!H19)</f>
        <v>0</v>
      </c>
      <c r="Z59" s="1025">
        <f>+(PSUT_2013!I19)</f>
        <v>0</v>
      </c>
      <c r="AB59" s="1024"/>
      <c r="AC59" s="1024"/>
      <c r="AD59" s="1025">
        <f>+(PSUT_2013!J19)</f>
        <v>0</v>
      </c>
      <c r="AF59" s="1025">
        <f>+(PSUT_2013!K19)</f>
        <v>0</v>
      </c>
      <c r="AG59" s="1025">
        <f>+(PSUT_2013!L19)</f>
        <v>0</v>
      </c>
      <c r="AH59" s="1025">
        <f>+(PSUT_2013!M19)</f>
        <v>0</v>
      </c>
      <c r="AI59" s="1025">
        <f>+(PSUT_2013!N19)</f>
        <v>0</v>
      </c>
      <c r="AJ59" s="1025">
        <f>+(PSUT_2013!O19)</f>
        <v>0</v>
      </c>
      <c r="AK59" s="1025">
        <f>+(PSUT_2013!P19)</f>
        <v>0</v>
      </c>
      <c r="AL59" s="1025">
        <f>+(PSUT_2013!Q19)</f>
        <v>0</v>
      </c>
      <c r="AM59" s="1025">
        <f>+(PSUT_2013!R19)</f>
        <v>0</v>
      </c>
      <c r="AN59" s="1025">
        <f>+(PSUT_2013!S19)</f>
        <v>0</v>
      </c>
      <c r="AO59" s="1025">
        <f>+SUM(PSUT_2013!T19:'PSUT_2013'!V19)</f>
        <v>0</v>
      </c>
      <c r="AP59" s="1025">
        <f>+(PSUT_2013!U19)</f>
        <v>0</v>
      </c>
      <c r="AQ59" s="1025">
        <f>+(PSUT_2013!V19)</f>
        <v>0</v>
      </c>
      <c r="AR59" s="1025">
        <f>+(PSUT_2013!W19)</f>
        <v>12800177.039928293</v>
      </c>
      <c r="AS59" s="1025">
        <f>+(PSUT_2013!X19)</f>
        <v>0</v>
      </c>
      <c r="AT59" s="1025">
        <f>+(PSUT_2013!AA19)</f>
        <v>12800177.039928293</v>
      </c>
      <c r="AU59" s="1025"/>
    </row>
    <row r="60" spans="1:56" x14ac:dyDescent="0.25">
      <c r="A60" s="1803"/>
      <c r="B60" s="1198" t="str">
        <f>+(PSUT_2013!B20)</f>
        <v xml:space="preserve">1.ii From other sources </v>
      </c>
      <c r="D60" s="1025">
        <f>+(PSUT_2013!AA20)</f>
        <v>23252.684700000002</v>
      </c>
      <c r="E60" s="1024"/>
      <c r="F60" s="1025">
        <f>+(PSUT_2013!C20)</f>
        <v>807</v>
      </c>
      <c r="H60" s="1024"/>
      <c r="I60" s="1024"/>
      <c r="J60" s="1024"/>
      <c r="K60" s="1024"/>
      <c r="L60" s="1024"/>
      <c r="M60" s="1025">
        <f>+(PSUT_2013!D20)</f>
        <v>21359.8</v>
      </c>
      <c r="N60" s="1025">
        <f>+(PSUT_2013!E20)</f>
        <v>28.2</v>
      </c>
      <c r="P60" s="1024"/>
      <c r="Q60" s="1024"/>
      <c r="R60" s="1024"/>
      <c r="S60" s="1024"/>
      <c r="T60" s="1024"/>
      <c r="U60" s="1024"/>
      <c r="V60" s="1024"/>
      <c r="W60" s="1025">
        <f>+(PSUT_2013!F20)</f>
        <v>0</v>
      </c>
      <c r="X60" s="1025">
        <f>+(PSUT_2013!G20)</f>
        <v>0</v>
      </c>
      <c r="Y60" s="1025">
        <f>+(PSUT_2013!H20)</f>
        <v>0</v>
      </c>
      <c r="Z60" s="1025">
        <f>+(PSUT_2013!I20)</f>
        <v>0</v>
      </c>
      <c r="AB60" s="1024"/>
      <c r="AC60" s="1024"/>
      <c r="AD60" s="1025">
        <f>+(PSUT_2013!J20)</f>
        <v>0</v>
      </c>
      <c r="AF60" s="1025">
        <f>+(PSUT_2013!K20)</f>
        <v>0</v>
      </c>
      <c r="AG60" s="1025">
        <f>+(PSUT_2013!L20)</f>
        <v>0</v>
      </c>
      <c r="AH60" s="1025">
        <f>+(PSUT_2013!M20)</f>
        <v>0.06</v>
      </c>
      <c r="AI60" s="1025">
        <f>+(PSUT_2013!N20)</f>
        <v>0</v>
      </c>
      <c r="AJ60" s="1025">
        <f>+(PSUT_2013!O20)</f>
        <v>0</v>
      </c>
      <c r="AK60" s="1025">
        <f>+(PSUT_2013!P20)</f>
        <v>0</v>
      </c>
      <c r="AL60" s="1025">
        <f>+(PSUT_2013!Q20)</f>
        <v>0</v>
      </c>
      <c r="AM60" s="1025">
        <f>+(PSUT_2013!R20)</f>
        <v>0</v>
      </c>
      <c r="AN60" s="1025">
        <f>+(PSUT_2013!S20)</f>
        <v>497.98870000000005</v>
      </c>
      <c r="AO60" s="1025">
        <f>+SUM(PSUT_2013!T20:'PSUT_2013'!V20)</f>
        <v>9.636000000000001</v>
      </c>
      <c r="AP60" s="1025">
        <f>+(PSUT_2013!U20)</f>
        <v>9.636000000000001</v>
      </c>
      <c r="AQ60" s="1025">
        <f>+(PSUT_2013!V20)</f>
        <v>0</v>
      </c>
      <c r="AR60" s="1025">
        <f>+(PSUT_2013!W20)</f>
        <v>22702.684700000002</v>
      </c>
      <c r="AS60" s="1025">
        <f>+(PSUT_2013!X20)</f>
        <v>550</v>
      </c>
      <c r="AT60" s="1025">
        <f>+(PSUT_2013!AA20)</f>
        <v>23252.684700000002</v>
      </c>
      <c r="AU60" s="1025"/>
    </row>
    <row r="61" spans="1:56" x14ac:dyDescent="0.25">
      <c r="A61" s="1803"/>
      <c r="B61" s="1198" t="str">
        <f>+(PSUT_2013!B21)</f>
        <v>1.ii.1 Collection of precipitation (rainwater harvesting; ..)</v>
      </c>
      <c r="D61" s="1025">
        <f>+(PSUT_2013!AA21)</f>
        <v>23252.684700000002</v>
      </c>
      <c r="E61" s="1024"/>
      <c r="F61" s="1025">
        <f>+(PSUT_2013!C21)</f>
        <v>807</v>
      </c>
      <c r="H61" s="1024"/>
      <c r="I61" s="1024"/>
      <c r="J61" s="1024"/>
      <c r="K61" s="1024"/>
      <c r="L61" s="1024"/>
      <c r="M61" s="1025">
        <f>+(PSUT_2013!D21)</f>
        <v>21359.8</v>
      </c>
      <c r="N61" s="1025">
        <f>+(PSUT_2013!E21)</f>
        <v>28.2</v>
      </c>
      <c r="P61" s="1024"/>
      <c r="Q61" s="1024"/>
      <c r="R61" s="1024"/>
      <c r="S61" s="1024"/>
      <c r="T61" s="1024"/>
      <c r="U61" s="1024"/>
      <c r="V61" s="1024"/>
      <c r="W61" s="1025">
        <f>+(PSUT_2013!F21)</f>
        <v>0</v>
      </c>
      <c r="X61" s="1025">
        <f>+(PSUT_2013!G21)</f>
        <v>0</v>
      </c>
      <c r="Y61" s="1025">
        <f>+(PSUT_2013!H21)</f>
        <v>0</v>
      </c>
      <c r="Z61" s="1025">
        <f>+(PSUT_2013!I21)</f>
        <v>0</v>
      </c>
      <c r="AB61" s="1024"/>
      <c r="AC61" s="1024"/>
      <c r="AD61" s="1025">
        <f>+(PSUT_2013!J21)</f>
        <v>0</v>
      </c>
      <c r="AF61" s="1025">
        <f>+(PSUT_2013!K21)</f>
        <v>0</v>
      </c>
      <c r="AG61" s="1025">
        <f>+(PSUT_2013!L21)</f>
        <v>0</v>
      </c>
      <c r="AH61" s="1025">
        <f>+(PSUT_2013!M21)</f>
        <v>0.06</v>
      </c>
      <c r="AI61" s="1025">
        <f>+(PSUT_2013!N21)</f>
        <v>0</v>
      </c>
      <c r="AJ61" s="1025">
        <f>+(PSUT_2013!O21)</f>
        <v>0</v>
      </c>
      <c r="AK61" s="1025">
        <f>+(PSUT_2013!P21)</f>
        <v>0</v>
      </c>
      <c r="AL61" s="1025">
        <f>+(PSUT_2013!Q21)</f>
        <v>0</v>
      </c>
      <c r="AM61" s="1025">
        <f>+(PSUT_2013!R21)</f>
        <v>0</v>
      </c>
      <c r="AN61" s="1025">
        <f>+(PSUT_2013!S21)</f>
        <v>497.98870000000005</v>
      </c>
      <c r="AO61" s="1025">
        <f>+SUM(PSUT_2013!T21:'PSUT_2013'!V21)</f>
        <v>9.636000000000001</v>
      </c>
      <c r="AP61" s="1025">
        <f>+(PSUT_2013!U21)</f>
        <v>9.636000000000001</v>
      </c>
      <c r="AQ61" s="1025">
        <f>+(PSUT_2013!V21)</f>
        <v>0</v>
      </c>
      <c r="AR61" s="1025">
        <f>+(PSUT_2013!W21)</f>
        <v>22702.684700000002</v>
      </c>
      <c r="AS61" s="1025">
        <f>+(PSUT_2013!X21)</f>
        <v>550</v>
      </c>
      <c r="AT61" s="1025">
        <f>+(PSUT_2013!AA21)</f>
        <v>23252.684700000002</v>
      </c>
      <c r="AU61" s="1025"/>
    </row>
    <row r="62" spans="1:56" x14ac:dyDescent="0.25">
      <c r="A62" s="1204"/>
      <c r="B62" s="1198" t="str">
        <f>+(PSUT_2013!B22)</f>
        <v>1.ii.2 Abstraction from the sea</v>
      </c>
      <c r="D62" s="1025">
        <f>+(PSUT_2013!AA22)</f>
        <v>0</v>
      </c>
      <c r="E62" s="1024"/>
      <c r="F62" s="1025">
        <f>+(PSUT_2013!C22)</f>
        <v>0</v>
      </c>
      <c r="H62" s="1024"/>
      <c r="I62" s="1024"/>
      <c r="J62" s="1024"/>
      <c r="K62" s="1024"/>
      <c r="L62" s="1024"/>
      <c r="M62" s="1025">
        <f>+(PSUT_2013!D22)</f>
        <v>0</v>
      </c>
      <c r="N62" s="1025">
        <f>+(PSUT_2013!E22)</f>
        <v>0</v>
      </c>
      <c r="P62" s="1024"/>
      <c r="Q62" s="1024"/>
      <c r="R62" s="1024"/>
      <c r="S62" s="1024"/>
      <c r="T62" s="1024"/>
      <c r="U62" s="1024"/>
      <c r="V62" s="1024"/>
      <c r="W62" s="1025">
        <f>+(PSUT_2013!F22)</f>
        <v>0</v>
      </c>
      <c r="X62" s="1025">
        <f>+(PSUT_2013!G22)</f>
        <v>0</v>
      </c>
      <c r="Y62" s="1025">
        <f>+(PSUT_2013!H22)</f>
        <v>0</v>
      </c>
      <c r="Z62" s="1025">
        <f>+(PSUT_2013!I22)</f>
        <v>0</v>
      </c>
      <c r="AB62" s="1024"/>
      <c r="AC62" s="1024"/>
      <c r="AD62" s="1025">
        <f>+(PSUT_2013!J22)</f>
        <v>0</v>
      </c>
      <c r="AF62" s="1025">
        <f>+(PSUT_2013!K22)</f>
        <v>0</v>
      </c>
      <c r="AG62" s="1025">
        <f>+(PSUT_2013!L22)</f>
        <v>0</v>
      </c>
      <c r="AH62" s="1025">
        <f>+(PSUT_2013!M22)</f>
        <v>0</v>
      </c>
      <c r="AI62" s="1025">
        <f>+(PSUT_2013!N22)</f>
        <v>0</v>
      </c>
      <c r="AJ62" s="1025">
        <f>+(PSUT_2013!O22)</f>
        <v>0</v>
      </c>
      <c r="AK62" s="1025">
        <f>+(PSUT_2013!P22)</f>
        <v>0</v>
      </c>
      <c r="AL62" s="1025">
        <f>+(PSUT_2013!Q22)</f>
        <v>0</v>
      </c>
      <c r="AM62" s="1025">
        <f>+(PSUT_2013!R22)</f>
        <v>0</v>
      </c>
      <c r="AN62" s="1025">
        <f>+(PSUT_2013!S22)</f>
        <v>0</v>
      </c>
      <c r="AO62" s="1025">
        <f>+SUM(PSUT_2013!T22:'PSUT_2013'!V22)</f>
        <v>0</v>
      </c>
      <c r="AP62" s="1025">
        <f>+(PSUT_2013!U22)</f>
        <v>0</v>
      </c>
      <c r="AQ62" s="1025">
        <f>+(PSUT_2013!V22)</f>
        <v>0</v>
      </c>
      <c r="AR62" s="1025">
        <f>+(PSUT_2013!W22)</f>
        <v>0</v>
      </c>
      <c r="AS62" s="1025">
        <f>+(PSUT_2013!X22)</f>
        <v>0</v>
      </c>
      <c r="AT62" s="1025">
        <f>+(PSUT_2013!AA22)</f>
        <v>0</v>
      </c>
      <c r="AU62" s="1025"/>
    </row>
    <row r="63" spans="1:56" x14ac:dyDescent="0.25">
      <c r="A63" s="1204"/>
      <c r="B63" s="1198" t="str">
        <f>+(PSUT_2013!B23)</f>
        <v>2. Use of water received from other economic units</v>
      </c>
      <c r="D63" s="1025">
        <f>+(PSUT_2013!AA23)</f>
        <v>1160562.9602874902</v>
      </c>
      <c r="E63" s="1024"/>
      <c r="F63" s="1025">
        <f>+(PSUT_2013!C23)</f>
        <v>90250</v>
      </c>
      <c r="H63" s="1024"/>
      <c r="I63" s="1024"/>
      <c r="J63" s="1024"/>
      <c r="K63" s="1024"/>
      <c r="L63" s="1024"/>
      <c r="M63" s="1025">
        <f>+(PSUT_2013!D23)</f>
        <v>0</v>
      </c>
      <c r="N63" s="1025">
        <f>+(PSUT_2013!E23)</f>
        <v>642763.78523033194</v>
      </c>
      <c r="P63" s="1024"/>
      <c r="Q63" s="1024"/>
      <c r="R63" s="1024"/>
      <c r="S63" s="1024"/>
      <c r="T63" s="1024"/>
      <c r="U63" s="1024"/>
      <c r="V63" s="1024"/>
      <c r="W63" s="1025">
        <f>+(PSUT_2013!F23)</f>
        <v>0</v>
      </c>
      <c r="X63" s="1025">
        <f>+(PSUT_2013!G23)</f>
        <v>0</v>
      </c>
      <c r="Y63" s="1025">
        <f>+(PSUT_2013!H23)</f>
        <v>0</v>
      </c>
      <c r="Z63" s="1025">
        <f>+(PSUT_2013!I23)</f>
        <v>0</v>
      </c>
      <c r="AB63" s="1024"/>
      <c r="AC63" s="1024"/>
      <c r="AD63" s="1025">
        <f>+(PSUT_2013!J23)</f>
        <v>0</v>
      </c>
      <c r="AF63" s="1025">
        <f>+(PSUT_2013!K23)</f>
        <v>16672.61</v>
      </c>
      <c r="AG63" s="1025">
        <f>+(PSUT_2013!L23)</f>
        <v>0</v>
      </c>
      <c r="AH63" s="1025">
        <f>+(PSUT_2013!M23)</f>
        <v>76.030545405347283</v>
      </c>
      <c r="AI63" s="1025">
        <f>+(PSUT_2013!N23)</f>
        <v>0</v>
      </c>
      <c r="AJ63" s="1025">
        <f>+(PSUT_2013!O23)</f>
        <v>0</v>
      </c>
      <c r="AK63" s="1025">
        <f>+(PSUT_2013!P23)</f>
        <v>0</v>
      </c>
      <c r="AL63" s="1025">
        <f>+(PSUT_2013!Q23)</f>
        <v>0</v>
      </c>
      <c r="AM63" s="1025">
        <f>+(PSUT_2013!R23)</f>
        <v>224372.33</v>
      </c>
      <c r="AN63" s="1025">
        <f>+(PSUT_2013!S23)</f>
        <v>3720.9427500000002</v>
      </c>
      <c r="AO63" s="1025">
        <f>+SUM(PSUT_2013!T23:'PSUT_2013'!V23)</f>
        <v>131.69367175295594</v>
      </c>
      <c r="AP63" s="1025">
        <f>+(PSUT_2013!U23)</f>
        <v>131.69367175295594</v>
      </c>
      <c r="AQ63" s="1025">
        <f>+(PSUT_2013!V23)</f>
        <v>0</v>
      </c>
      <c r="AR63" s="1025">
        <f>+(PSUT_2013!W23)</f>
        <v>977987.3921974902</v>
      </c>
      <c r="AS63" s="1025">
        <f>+(PSUT_2013!X23)</f>
        <v>176061</v>
      </c>
      <c r="AT63" s="1025">
        <f>+(PSUT_2013!AA23)</f>
        <v>1160562.9602874902</v>
      </c>
      <c r="AU63" s="1025"/>
    </row>
    <row r="64" spans="1:56" x14ac:dyDescent="0.25">
      <c r="A64" s="1204"/>
      <c r="B64" s="1198" t="str">
        <f>+(PSUT_2013!A24)</f>
        <v>3. Total use of water (=1+2)</v>
      </c>
      <c r="D64" s="1025">
        <f>+(PSUT_2013!AA24)</f>
        <v>14657521.340524765</v>
      </c>
      <c r="E64" s="1024"/>
      <c r="F64" s="1025">
        <f>+(PSUT_2013!C24)</f>
        <v>13100268.946100427</v>
      </c>
      <c r="H64" s="1024"/>
      <c r="I64" s="1024"/>
      <c r="J64" s="1024"/>
      <c r="K64" s="1024"/>
      <c r="L64" s="1024"/>
      <c r="M64" s="1025">
        <f>+(PSUT_2013!D24)</f>
        <v>22410.000272350058</v>
      </c>
      <c r="N64" s="1025">
        <f>+(PSUT_2013!E24)</f>
        <v>666701.76628212526</v>
      </c>
      <c r="P64" s="1024"/>
      <c r="Q64" s="1024"/>
      <c r="R64" s="1024"/>
      <c r="S64" s="1024"/>
      <c r="T64" s="1024"/>
      <c r="U64" s="1024"/>
      <c r="V64" s="1024"/>
      <c r="W64" s="1025">
        <f>+(PSUT_2013!F24)</f>
        <v>345951.26144545968</v>
      </c>
      <c r="X64" s="1025">
        <f>+(PSUT_2013!G24)</f>
        <v>53273.830348271033</v>
      </c>
      <c r="Y64" s="1025">
        <f>+(PSUT_2013!H24)</f>
        <v>0</v>
      </c>
      <c r="Z64" s="1025">
        <f>+(PSUT_2013!I24)</f>
        <v>0</v>
      </c>
      <c r="AB64" s="1024"/>
      <c r="AC64" s="1024"/>
      <c r="AD64" s="1025">
        <f>+(PSUT_2013!J24)</f>
        <v>0</v>
      </c>
      <c r="AF64" s="1025">
        <f>+(PSUT_2013!K24)</f>
        <v>16672.61</v>
      </c>
      <c r="AG64" s="1025">
        <f>+(PSUT_2013!L24)</f>
        <v>0</v>
      </c>
      <c r="AH64" s="1025">
        <f>+(PSUT_2013!M24)</f>
        <v>76.090545405347285</v>
      </c>
      <c r="AI64" s="1025">
        <f>+(PSUT_2013!N24)</f>
        <v>0</v>
      </c>
      <c r="AJ64" s="1025">
        <f>+(PSUT_2013!O24)</f>
        <v>0</v>
      </c>
      <c r="AK64" s="1025">
        <f>+(PSUT_2013!P24)</f>
        <v>0</v>
      </c>
      <c r="AL64" s="1025">
        <f>+(PSUT_2013!Q24)</f>
        <v>0</v>
      </c>
      <c r="AM64" s="1025">
        <f>+(PSUT_2013!R24)</f>
        <v>224505.4454</v>
      </c>
      <c r="AN64" s="1025">
        <f>+(PSUT_2013!S24)</f>
        <v>4309.7222655737705</v>
      </c>
      <c r="AO64" s="1025">
        <f>+SUM(PSUT_2013!T24:'PSUT_2013'!V24)</f>
        <v>143.40327175295593</v>
      </c>
      <c r="AP64" s="1025">
        <f>+(PSUT_2013!U24)</f>
        <v>143.40327175295593</v>
      </c>
      <c r="AQ64" s="1025">
        <f>+(PSUT_2013!V24)</f>
        <v>0</v>
      </c>
      <c r="AR64" s="1025">
        <f>+(PSUT_2013!W24)</f>
        <v>14434313.075931363</v>
      </c>
      <c r="AS64" s="1025">
        <f>+(PSUT_2013!X24)</f>
        <v>216693.69650340232</v>
      </c>
      <c r="AT64" s="1025">
        <f>+(PSUT_2013!AA24)</f>
        <v>14657521.340524765</v>
      </c>
      <c r="AU64" s="1025"/>
    </row>
    <row r="65" spans="1:56" x14ac:dyDescent="0.25">
      <c r="A65" s="1204"/>
      <c r="B65" s="1198" t="str">
        <f>+(PSUT_2013!B35)</f>
        <v>4. Supply of water to other economic units</v>
      </c>
      <c r="D65" s="1025">
        <f>+(PSUT_2013!AA35)</f>
        <v>34783.17016308345</v>
      </c>
      <c r="E65" s="1024"/>
      <c r="F65" s="1025">
        <f>+(PSUT_2013!C35)</f>
        <v>0</v>
      </c>
      <c r="H65" s="1024"/>
      <c r="I65" s="1024"/>
      <c r="J65" s="1024"/>
      <c r="K65" s="1024"/>
      <c r="L65" s="1024"/>
      <c r="M65" s="1025">
        <f>+(PSUT_2013!D35)</f>
        <v>21289.500258732554</v>
      </c>
      <c r="N65" s="1025">
        <f>+(PSUT_2013!E35)</f>
        <v>816.87563283886971</v>
      </c>
      <c r="P65" s="1024"/>
      <c r="Q65" s="1024"/>
      <c r="R65" s="1024"/>
      <c r="S65" s="1024"/>
      <c r="T65" s="1024"/>
      <c r="U65" s="1024"/>
      <c r="V65" s="1024"/>
      <c r="W65" s="1025">
        <f>+(PSUT_2013!F35)</f>
        <v>0</v>
      </c>
      <c r="X65" s="1025">
        <f>+(PSUT_2013!G35)</f>
        <v>0</v>
      </c>
      <c r="Y65" s="1025">
        <f>+(PSUT_2013!H35)</f>
        <v>0</v>
      </c>
      <c r="Z65" s="1025">
        <f>+(PSUT_2013!I35)</f>
        <v>0</v>
      </c>
      <c r="AB65" s="1024"/>
      <c r="AC65" s="1024"/>
      <c r="AD65" s="1025">
        <f>+(PSUT_2013!J35)</f>
        <v>0</v>
      </c>
      <c r="AF65" s="1025">
        <f>+(PSUT_2013!K35)</f>
        <v>12671.183667903779</v>
      </c>
      <c r="AG65" s="1025">
        <f>+(PSUT_2013!L35)</f>
        <v>0</v>
      </c>
      <c r="AH65" s="1025">
        <f>+(PSUT_2013!M35)</f>
        <v>5.6106036082474233</v>
      </c>
      <c r="AI65" s="1025">
        <f>+(PSUT_2013!N35)</f>
        <v>0</v>
      </c>
      <c r="AJ65" s="1025">
        <f>+(PSUT_2013!O35)</f>
        <v>0</v>
      </c>
      <c r="AK65" s="1025">
        <f>+(PSUT_2013!P35)</f>
        <v>0</v>
      </c>
      <c r="AL65" s="1025">
        <f>+(PSUT_2013!Q35)</f>
        <v>0</v>
      </c>
      <c r="AM65" s="1025">
        <f>+(PSUT_2013!R35)</f>
        <v>0</v>
      </c>
      <c r="AN65" s="1025">
        <f>+(PSUT_2013!S35)</f>
        <v>0</v>
      </c>
      <c r="AO65" s="1025">
        <f>+SUM(PSUT_2013!T35:'PSUT_2013'!V35)</f>
        <v>0</v>
      </c>
      <c r="AP65" s="1025">
        <f>+(PSUT_2013!U35)</f>
        <v>0</v>
      </c>
      <c r="AQ65" s="1025">
        <f>+(PSUT_2013!V35)</f>
        <v>0</v>
      </c>
      <c r="AR65" s="1025">
        <f>+(PSUT_2013!W35)</f>
        <v>34783.17016308345</v>
      </c>
      <c r="AS65" s="1025">
        <f>+(PSUT_2013!X35)</f>
        <v>0</v>
      </c>
      <c r="AT65" s="1025">
        <f>+(PSUT_2013!AA35)</f>
        <v>34783.17016308345</v>
      </c>
      <c r="AU65" s="1025"/>
    </row>
    <row r="66" spans="1:56" x14ac:dyDescent="0.25">
      <c r="A66" s="267"/>
      <c r="B66" s="1198" t="str">
        <f>+(PSUT_2013!B38)</f>
        <v>5. Total returns (= 5.a+5.b)</v>
      </c>
      <c r="D66" s="1025">
        <f>+(PSUT_2013!AA38)</f>
        <v>2591609.9678420178</v>
      </c>
      <c r="F66" s="1025">
        <f>+(PSUT_2013!C38)</f>
        <v>1474325.5673850428</v>
      </c>
      <c r="M66" s="1025">
        <f>+(PSUT_2013!D38)</f>
        <v>54.219910499999997</v>
      </c>
      <c r="N66" s="1025">
        <f>+(PSUT_2013!E38)</f>
        <v>514699.26072578493</v>
      </c>
      <c r="W66" s="1025">
        <f>+(PSUT_2013!F38)</f>
        <v>328653.69837318669</v>
      </c>
      <c r="X66" s="1025">
        <f>+(PSUT_2013!G38)</f>
        <v>2570.3302400000002</v>
      </c>
      <c r="Y66" s="1025">
        <f>+(PSUT_2013!H38)</f>
        <v>0</v>
      </c>
      <c r="Z66" s="1025">
        <f>+(PSUT_2013!I38)</f>
        <v>0</v>
      </c>
      <c r="AD66" s="1025">
        <f>+(PSUT_2013!J38)</f>
        <v>0</v>
      </c>
      <c r="AF66" s="1025">
        <f>+(PSUT_2013!K38)</f>
        <v>301.01142363711335</v>
      </c>
      <c r="AG66" s="1025">
        <f>+(PSUT_2013!L38)</f>
        <v>0</v>
      </c>
      <c r="AH66" s="1025">
        <f>+(PSUT_2013!M38)</f>
        <v>56.868619657611163</v>
      </c>
      <c r="AI66" s="1025">
        <f>+(PSUT_2013!N38)</f>
        <v>0</v>
      </c>
      <c r="AJ66" s="1025">
        <f>+(PSUT_2013!O38)</f>
        <v>0</v>
      </c>
      <c r="AK66" s="1025">
        <f>+(PSUT_2013!P38)</f>
        <v>0</v>
      </c>
      <c r="AL66" s="1025">
        <f>+(PSUT_2013!Q38)</f>
        <v>0</v>
      </c>
      <c r="AM66" s="1025">
        <f>+(PSUT_2013!R38)</f>
        <v>179497.86400000003</v>
      </c>
      <c r="AN66" s="1025">
        <f>+(PSUT_2013!S38)</f>
        <v>3447.7778158871602</v>
      </c>
      <c r="AO66" s="1025">
        <f>+SUM(PSUT_2013!T38:'PSUT_2013'!V38)</f>
        <v>10.714873014735879</v>
      </c>
      <c r="AP66" s="1025">
        <f>+(PSUT_2013!U38)</f>
        <v>10.714873014735879</v>
      </c>
      <c r="AQ66" s="1025">
        <f>+(PSUT_2013!V38)</f>
        <v>0</v>
      </c>
      <c r="AR66" s="1025">
        <f>+(PSUT_2013!W38)</f>
        <v>2503617.3133667116</v>
      </c>
      <c r="AS66" s="1025">
        <f>+(PSUT_2013!X38)</f>
        <v>82781</v>
      </c>
      <c r="AT66" s="1025">
        <f>+(PSUT_2013!AA38)</f>
        <v>2591609.9678420178</v>
      </c>
      <c r="AU66" s="1025"/>
    </row>
    <row r="67" spans="1:56" x14ac:dyDescent="0.25">
      <c r="A67" s="267"/>
      <c r="B67" s="1198" t="str">
        <f>+(PSUT_2013!A44)</f>
        <v>6. Total supply of water (= 4+5)</v>
      </c>
      <c r="D67" s="1025">
        <f>+(PSUT_2013!AA44)</f>
        <v>2626393.1380051011</v>
      </c>
      <c r="F67" s="1025">
        <f>+(PSUT_2013!C44)</f>
        <v>1474325.5673850428</v>
      </c>
      <c r="M67" s="1025">
        <f>+(PSUT_2013!D44)</f>
        <v>21343.720169232554</v>
      </c>
      <c r="N67" s="1025">
        <f>+(PSUT_2013!E44)</f>
        <v>515516.1363586238</v>
      </c>
      <c r="W67" s="1025">
        <f>+(PSUT_2013!F44)</f>
        <v>328653.69837318669</v>
      </c>
      <c r="X67" s="1025">
        <f>+(PSUT_2013!G44)</f>
        <v>2570.3302400000002</v>
      </c>
      <c r="Y67" s="1025">
        <f>+(PSUT_2013!H44)</f>
        <v>0</v>
      </c>
      <c r="Z67" s="1025">
        <f>+(PSUT_2013!I44)</f>
        <v>0</v>
      </c>
      <c r="AD67" s="1025">
        <f>+(PSUT_2013!J44)</f>
        <v>0</v>
      </c>
      <c r="AF67" s="1025">
        <f>+(PSUT_2013!K44)</f>
        <v>12972.195091540892</v>
      </c>
      <c r="AG67" s="1025">
        <f>+(PSUT_2013!L44)</f>
        <v>0</v>
      </c>
      <c r="AH67" s="1025">
        <f>+(PSUT_2013!M44)</f>
        <v>62.479223265858586</v>
      </c>
      <c r="AI67" s="1025">
        <f>+(PSUT_2013!N44)</f>
        <v>0</v>
      </c>
      <c r="AJ67" s="1025">
        <f>+(PSUT_2013!O44)</f>
        <v>0</v>
      </c>
      <c r="AK67" s="1025">
        <f>+(PSUT_2013!P44)</f>
        <v>0</v>
      </c>
      <c r="AL67" s="1025">
        <f>+(PSUT_2013!Q44)</f>
        <v>0</v>
      </c>
      <c r="AM67" s="1025">
        <f>+(PSUT_2013!R44)</f>
        <v>179497.86400000003</v>
      </c>
      <c r="AN67" s="1025">
        <f>+(PSUT_2013!S44)</f>
        <v>3447.7778158871602</v>
      </c>
      <c r="AO67" s="1025">
        <f>+SUM(PSUT_2013!T44:'PSUT_2013'!V44)</f>
        <v>10.714873014735879</v>
      </c>
      <c r="AP67" s="1025">
        <f>+(PSUT_2013!U44)</f>
        <v>10.714873014735879</v>
      </c>
      <c r="AQ67" s="1025">
        <f>+(PSUT_2013!V44)</f>
        <v>0</v>
      </c>
      <c r="AR67" s="1025">
        <f>+(PSUT_2013!W44)</f>
        <v>2538400.483529795</v>
      </c>
      <c r="AS67" s="1025">
        <f>+(PSUT_2013!X44)</f>
        <v>82781</v>
      </c>
      <c r="AT67" s="1025">
        <f>+(PSUT_2013!AA44)</f>
        <v>2626393.1380051011</v>
      </c>
      <c r="AU67" s="1025"/>
    </row>
    <row r="68" spans="1:56" x14ac:dyDescent="0.25">
      <c r="A68" s="1199"/>
      <c r="B68" s="1200" t="str">
        <f>+(PSUT_2013!A45)</f>
        <v>7. Consumption (3-6)</v>
      </c>
      <c r="C68" s="295"/>
      <c r="D68" s="1028">
        <f>+(PSUT_2013!AA45)</f>
        <v>12031128.20251967</v>
      </c>
      <c r="E68" s="295"/>
      <c r="F68" s="1028">
        <f>+(PSUT_2013!C45)</f>
        <v>11625943.378715385</v>
      </c>
      <c r="G68" s="295"/>
      <c r="H68" s="295"/>
      <c r="I68" s="295"/>
      <c r="J68" s="295"/>
      <c r="K68" s="295"/>
      <c r="L68" s="295"/>
      <c r="M68" s="1028">
        <f>+(PSUT_2013!D45)</f>
        <v>1066.280103117504</v>
      </c>
      <c r="N68" s="1028">
        <f>+(PSUT_2013!E45)</f>
        <v>151185.62992350146</v>
      </c>
      <c r="O68" s="295"/>
      <c r="P68" s="295"/>
      <c r="Q68" s="295"/>
      <c r="R68" s="295"/>
      <c r="S68" s="295"/>
      <c r="T68" s="295"/>
      <c r="U68" s="295"/>
      <c r="V68" s="295"/>
      <c r="W68" s="1028">
        <f>+(PSUT_2013!F45)</f>
        <v>17297.563072272984</v>
      </c>
      <c r="X68" s="1028">
        <f>+(PSUT_2013!G45)</f>
        <v>50703.50010827103</v>
      </c>
      <c r="Y68" s="1028">
        <f>+(PSUT_2013!H45)</f>
        <v>0</v>
      </c>
      <c r="Z68" s="1028">
        <f>+(PSUT_2013!I45)</f>
        <v>0</v>
      </c>
      <c r="AA68" s="295"/>
      <c r="AB68" s="295"/>
      <c r="AC68" s="295"/>
      <c r="AD68" s="1028">
        <f>+(PSUT_2013!J45)</f>
        <v>0</v>
      </c>
      <c r="AE68" s="295"/>
      <c r="AF68" s="1028">
        <f>+(PSUT_2013!K45)</f>
        <v>3700.4149084591081</v>
      </c>
      <c r="AG68" s="1028">
        <f>+(PSUT_2013!L45)</f>
        <v>0</v>
      </c>
      <c r="AH68" s="1028">
        <f>+(PSUT_2013!M45)</f>
        <v>13.611322139488699</v>
      </c>
      <c r="AI68" s="1028">
        <f>+(PSUT_2013!N45)</f>
        <v>0</v>
      </c>
      <c r="AJ68" s="1028">
        <f>+(PSUT_2013!O45)</f>
        <v>0</v>
      </c>
      <c r="AK68" s="1028">
        <f>+(PSUT_2013!P45)</f>
        <v>0</v>
      </c>
      <c r="AL68" s="1028">
        <f>+(PSUT_2013!Q45)</f>
        <v>0</v>
      </c>
      <c r="AM68" s="1028">
        <f>+(PSUT_2013!R45)</f>
        <v>45007.581399999966</v>
      </c>
      <c r="AN68" s="1028">
        <f>+(PSUT_2013!S45)</f>
        <v>861.94444968661037</v>
      </c>
      <c r="AO68" s="1028">
        <f>+SUM(PSUT_2013!T45:'PSUT_2013'!V45)</f>
        <v>132.68839873822006</v>
      </c>
      <c r="AP68" s="1028">
        <f>+(PSUT_2013!U45)</f>
        <v>132.68839873822006</v>
      </c>
      <c r="AQ68" s="1028">
        <f>+(PSUT_2013!V45)</f>
        <v>0</v>
      </c>
      <c r="AR68" s="1028">
        <f>+(PSUT_2013!W45)</f>
        <v>11895912.592401573</v>
      </c>
      <c r="AS68" s="1028">
        <f>+(PSUT_2013!X45)</f>
        <v>133912.69650340232</v>
      </c>
      <c r="AT68" s="1028">
        <f>+(PSUT_2013!AA45)</f>
        <v>12031128.20251967</v>
      </c>
      <c r="AU68" s="1025"/>
    </row>
    <row r="69" spans="1:56" x14ac:dyDescent="0.25">
      <c r="B69" s="1025"/>
      <c r="F69" s="1025"/>
      <c r="M69" s="1025"/>
      <c r="N69" s="1025"/>
      <c r="W69" s="1025"/>
      <c r="X69" s="1025"/>
      <c r="Y69" s="1025"/>
      <c r="Z69" s="1025"/>
      <c r="AD69" s="1025"/>
      <c r="AF69" s="1025"/>
      <c r="AG69" s="1025"/>
      <c r="AH69" s="1025"/>
      <c r="AI69" s="1025"/>
      <c r="AJ69" s="1025"/>
      <c r="AK69" s="1025"/>
      <c r="AL69" s="1025"/>
      <c r="AM69" s="1025"/>
      <c r="AN69" s="1025"/>
      <c r="AO69" s="1025"/>
      <c r="AP69" s="1025"/>
      <c r="AQ69" s="1025"/>
      <c r="AR69" s="1025"/>
      <c r="AS69" s="1025"/>
      <c r="AU69" s="1025"/>
    </row>
    <row r="70" spans="1:56" x14ac:dyDescent="0.25">
      <c r="A70" s="1190">
        <v>2013</v>
      </c>
      <c r="B70" s="1190" t="s">
        <v>1283</v>
      </c>
      <c r="C70" s="1191"/>
      <c r="D70" s="1191"/>
      <c r="E70" s="1191"/>
      <c r="F70" s="1191"/>
      <c r="G70" s="1191"/>
      <c r="H70" s="1191"/>
      <c r="I70" s="1191"/>
      <c r="J70" s="1191"/>
      <c r="K70" s="1191"/>
      <c r="L70" s="1191"/>
      <c r="M70" s="1191"/>
      <c r="N70" s="1191"/>
      <c r="O70" s="1191"/>
      <c r="P70" s="1191"/>
      <c r="Q70" s="1191"/>
      <c r="R70" s="1191"/>
      <c r="S70" s="1191"/>
      <c r="T70" s="1191"/>
      <c r="U70" s="1191"/>
      <c r="V70" s="1191"/>
      <c r="W70" s="1191"/>
      <c r="X70" s="1191"/>
      <c r="Y70" s="1191"/>
      <c r="Z70" s="1191"/>
      <c r="AA70" s="1191"/>
      <c r="AB70" s="1191"/>
      <c r="AC70" s="1191"/>
      <c r="AD70" s="1191"/>
      <c r="AE70" s="1191"/>
      <c r="AF70" s="1191"/>
      <c r="AG70" s="1191"/>
      <c r="AH70" s="1191"/>
      <c r="AI70" s="1191"/>
      <c r="AJ70" s="1191"/>
      <c r="AK70" s="1191"/>
      <c r="AL70" s="1191"/>
      <c r="AM70" s="1191"/>
      <c r="AN70" s="1191"/>
      <c r="AO70" s="1191"/>
      <c r="AP70" s="1191"/>
      <c r="AQ70" s="1191"/>
      <c r="AR70" s="1191"/>
      <c r="AS70" s="1191"/>
      <c r="AT70" s="1191"/>
      <c r="AU70" s="1025"/>
    </row>
    <row r="71" spans="1:56" x14ac:dyDescent="0.25">
      <c r="A71" s="1196"/>
      <c r="B71" s="1197" t="s">
        <v>1280</v>
      </c>
      <c r="C71" s="1030"/>
      <c r="D71" s="1030">
        <f>+(1000000*D$22/D55)</f>
        <v>376.31272513762212</v>
      </c>
      <c r="E71" s="1030"/>
      <c r="F71" s="1030">
        <f>+(1000000*F$22/F55)</f>
        <v>113.29729849792503</v>
      </c>
      <c r="G71" s="1030"/>
      <c r="H71" s="1030"/>
      <c r="I71" s="1030"/>
      <c r="J71" s="1030"/>
      <c r="K71" s="1030"/>
      <c r="L71" s="1030"/>
      <c r="M71" s="1030">
        <f t="shared" ref="M71:N74" si="10">+(1000000*M$22/M55)</f>
        <v>5265.5064063337359</v>
      </c>
      <c r="N71" s="1030">
        <f t="shared" si="10"/>
        <v>12490.610605508882</v>
      </c>
      <c r="O71" s="1030"/>
      <c r="P71" s="1030"/>
      <c r="Q71" s="1030"/>
      <c r="R71" s="1030"/>
      <c r="S71" s="1030"/>
      <c r="T71" s="1030"/>
      <c r="U71" s="1030"/>
      <c r="V71" s="1030"/>
      <c r="W71" s="1030">
        <f t="shared" ref="W71:Z74" si="11">+(1000000*W$22/W55)</f>
        <v>124.2949651934687</v>
      </c>
      <c r="X71" s="1030">
        <f t="shared" si="11"/>
        <v>565.30485869724316</v>
      </c>
      <c r="Y71" s="1030" t="e">
        <f t="shared" si="11"/>
        <v>#DIV/0!</v>
      </c>
      <c r="Z71" s="1030" t="e">
        <f t="shared" si="11"/>
        <v>#DIV/0!</v>
      </c>
      <c r="AA71" s="1030"/>
      <c r="AB71" s="1030"/>
      <c r="AC71" s="1030"/>
      <c r="AD71" s="1030" t="e">
        <f>+(1000000*AD$22/AD55)</f>
        <v>#DIV/0!</v>
      </c>
      <c r="AE71" s="1030"/>
      <c r="AF71" s="1030" t="e">
        <f t="shared" ref="AF71:AS71" si="12">+(1000000*AF$22/AF55)</f>
        <v>#DIV/0!</v>
      </c>
      <c r="AG71" s="1030" t="e">
        <f t="shared" si="12"/>
        <v>#DIV/0!</v>
      </c>
      <c r="AH71" s="1030">
        <f t="shared" si="12"/>
        <v>2566666666.666667</v>
      </c>
      <c r="AI71" s="1030" t="e">
        <f t="shared" si="12"/>
        <v>#DIV/0!</v>
      </c>
      <c r="AJ71" s="1030" t="e">
        <f t="shared" si="12"/>
        <v>#DIV/0!</v>
      </c>
      <c r="AK71" s="1030" t="e">
        <f t="shared" si="12"/>
        <v>#DIV/0!</v>
      </c>
      <c r="AL71" s="1030" t="e">
        <f t="shared" si="12"/>
        <v>#DIV/0!</v>
      </c>
      <c r="AM71" s="1030">
        <f t="shared" si="12"/>
        <v>1119329.5441398968</v>
      </c>
      <c r="AN71" s="1030">
        <f t="shared" si="12"/>
        <v>208906.72441301812</v>
      </c>
      <c r="AO71" s="1030">
        <f t="shared" si="12"/>
        <v>18873403.019744482</v>
      </c>
      <c r="AP71" s="1030">
        <f t="shared" si="12"/>
        <v>0</v>
      </c>
      <c r="AQ71" s="1030" t="e">
        <f t="shared" si="12"/>
        <v>#DIV/0!</v>
      </c>
      <c r="AR71" s="1030">
        <f t="shared" si="12"/>
        <v>0</v>
      </c>
      <c r="AS71" s="1030">
        <f t="shared" si="12"/>
        <v>0</v>
      </c>
      <c r="AT71" s="1030"/>
    </row>
    <row r="72" spans="1:56" x14ac:dyDescent="0.25">
      <c r="A72" s="267"/>
      <c r="B72" s="1198" t="s">
        <v>1324</v>
      </c>
      <c r="C72" s="1025"/>
      <c r="D72" s="1025">
        <f>+(1000000*D$22/D56)</f>
        <v>7543.1790644299736</v>
      </c>
      <c r="E72" s="1025"/>
      <c r="F72" s="1025">
        <f>+(1000000*F$22/F56)</f>
        <v>7051.4538791248769</v>
      </c>
      <c r="G72" s="1025"/>
      <c r="H72" s="1025"/>
      <c r="I72" s="1025"/>
      <c r="J72" s="1025"/>
      <c r="K72" s="1025"/>
      <c r="L72" s="1025"/>
      <c r="M72" s="1025">
        <f t="shared" si="10"/>
        <v>112359.52142342206</v>
      </c>
      <c r="N72" s="1025">
        <f t="shared" si="10"/>
        <v>12505.342451790215</v>
      </c>
      <c r="O72" s="1025"/>
      <c r="P72" s="1025"/>
      <c r="Q72" s="1025"/>
      <c r="R72" s="1025"/>
      <c r="S72" s="1025"/>
      <c r="T72" s="1025"/>
      <c r="U72" s="1025"/>
      <c r="V72" s="1025"/>
      <c r="W72" s="1025">
        <f t="shared" si="11"/>
        <v>124.2949651934687</v>
      </c>
      <c r="X72" s="1025">
        <f t="shared" si="11"/>
        <v>565.30485869724316</v>
      </c>
      <c r="Y72" s="1025" t="e">
        <f t="shared" si="11"/>
        <v>#DIV/0!</v>
      </c>
      <c r="Z72" s="1025" t="e">
        <f t="shared" si="11"/>
        <v>#DIV/0!</v>
      </c>
      <c r="AA72" s="1025"/>
      <c r="AB72" s="1025"/>
      <c r="AC72" s="1025"/>
      <c r="AD72" s="1025" t="e">
        <f>+(1000000*AD$22/AD56)</f>
        <v>#DIV/0!</v>
      </c>
      <c r="AE72" s="1025"/>
      <c r="AF72" s="1025" t="e">
        <f t="shared" ref="AF72:AS72" si="13">+(1000000*AF$22/AF56)</f>
        <v>#DIV/0!</v>
      </c>
      <c r="AG72" s="1025" t="e">
        <f t="shared" si="13"/>
        <v>#DIV/0!</v>
      </c>
      <c r="AH72" s="1025" t="e">
        <f t="shared" si="13"/>
        <v>#DIV/0!</v>
      </c>
      <c r="AI72" s="1025" t="e">
        <f t="shared" si="13"/>
        <v>#DIV/0!</v>
      </c>
      <c r="AJ72" s="1025" t="e">
        <f t="shared" si="13"/>
        <v>#DIV/0!</v>
      </c>
      <c r="AK72" s="1025" t="e">
        <f t="shared" si="13"/>
        <v>#DIV/0!</v>
      </c>
      <c r="AL72" s="1025" t="e">
        <f t="shared" si="13"/>
        <v>#DIV/0!</v>
      </c>
      <c r="AM72" s="1025">
        <f t="shared" si="13"/>
        <v>1119329.5441398968</v>
      </c>
      <c r="AN72" s="1025">
        <f t="shared" si="13"/>
        <v>1354762.5849892108</v>
      </c>
      <c r="AO72" s="1025" t="e">
        <f t="shared" si="13"/>
        <v>#DIV/0!</v>
      </c>
      <c r="AP72" s="1025">
        <f t="shared" si="13"/>
        <v>0</v>
      </c>
      <c r="AQ72" s="1025" t="e">
        <f t="shared" si="13"/>
        <v>#DIV/0!</v>
      </c>
      <c r="AR72" s="1025">
        <f t="shared" si="13"/>
        <v>0</v>
      </c>
      <c r="AS72" s="1025">
        <f t="shared" si="13"/>
        <v>0</v>
      </c>
      <c r="AT72" s="1025"/>
    </row>
    <row r="73" spans="1:56" x14ac:dyDescent="0.25">
      <c r="A73" s="267"/>
      <c r="B73" s="1198" t="s">
        <v>1279</v>
      </c>
      <c r="C73" s="1025"/>
      <c r="D73" s="1025">
        <f>+(1000000*D$22/D57)</f>
        <v>8333.7533923827796</v>
      </c>
      <c r="E73" s="1025"/>
      <c r="F73" s="1025">
        <f>+(1000000*F$22/F57)</f>
        <v>7552.8840613077873</v>
      </c>
      <c r="G73" s="1025"/>
      <c r="H73" s="1025"/>
      <c r="I73" s="1025"/>
      <c r="J73" s="1025"/>
      <c r="K73" s="1025"/>
      <c r="L73" s="1025"/>
      <c r="M73" s="1025">
        <f t="shared" si="10"/>
        <v>119625.4536353063</v>
      </c>
      <c r="N73" s="1025">
        <f t="shared" si="10"/>
        <v>19897.62255125399</v>
      </c>
      <c r="O73" s="1025"/>
      <c r="P73" s="1025"/>
      <c r="Q73" s="1025"/>
      <c r="R73" s="1025"/>
      <c r="S73" s="1025"/>
      <c r="T73" s="1025"/>
      <c r="U73" s="1025"/>
      <c r="V73" s="1025"/>
      <c r="W73" s="1025">
        <f t="shared" si="11"/>
        <v>124.2949651934687</v>
      </c>
      <c r="X73" s="1025">
        <f t="shared" si="11"/>
        <v>731.28048300544128</v>
      </c>
      <c r="Y73" s="1025" t="e">
        <f t="shared" si="11"/>
        <v>#DIV/0!</v>
      </c>
      <c r="Z73" s="1025" t="e">
        <f t="shared" si="11"/>
        <v>#DIV/0!</v>
      </c>
      <c r="AA73" s="1025"/>
      <c r="AB73" s="1025"/>
      <c r="AC73" s="1025"/>
      <c r="AD73" s="1025" t="e">
        <f>+(1000000*AD$22/AD57)</f>
        <v>#DIV/0!</v>
      </c>
      <c r="AE73" s="1025"/>
      <c r="AF73" s="1025" t="e">
        <f t="shared" ref="AF73:AS73" si="14">+(1000000*AF$22/AF57)</f>
        <v>#DIV/0!</v>
      </c>
      <c r="AG73" s="1025" t="e">
        <f t="shared" si="14"/>
        <v>#DIV/0!</v>
      </c>
      <c r="AH73" s="1025" t="e">
        <f t="shared" si="14"/>
        <v>#DIV/0!</v>
      </c>
      <c r="AI73" s="1025" t="e">
        <f t="shared" si="14"/>
        <v>#DIV/0!</v>
      </c>
      <c r="AJ73" s="1025" t="e">
        <f t="shared" si="14"/>
        <v>#DIV/0!</v>
      </c>
      <c r="AK73" s="1025" t="e">
        <f t="shared" si="14"/>
        <v>#DIV/0!</v>
      </c>
      <c r="AL73" s="1025" t="e">
        <f t="shared" si="14"/>
        <v>#DIV/0!</v>
      </c>
      <c r="AM73" s="1025" t="e">
        <f t="shared" si="14"/>
        <v>#DIV/0!</v>
      </c>
      <c r="AN73" s="1025" t="e">
        <f t="shared" si="14"/>
        <v>#DIV/0!</v>
      </c>
      <c r="AO73" s="1025">
        <f t="shared" si="14"/>
        <v>106577932.09876542</v>
      </c>
      <c r="AP73" s="1025">
        <f t="shared" si="14"/>
        <v>0</v>
      </c>
      <c r="AQ73" s="1025" t="e">
        <f t="shared" si="14"/>
        <v>#DIV/0!</v>
      </c>
      <c r="AR73" s="1025">
        <f t="shared" si="14"/>
        <v>0</v>
      </c>
      <c r="AS73" s="1025">
        <f t="shared" si="14"/>
        <v>0</v>
      </c>
      <c r="AT73" s="1025"/>
    </row>
    <row r="74" spans="1:56" x14ac:dyDescent="0.25">
      <c r="A74" s="267"/>
      <c r="B74" s="1198" t="s">
        <v>1278</v>
      </c>
      <c r="C74" s="1025"/>
      <c r="D74" s="1025">
        <f>+(1000000*D$22/D58)</f>
        <v>79515.602638309574</v>
      </c>
      <c r="E74" s="1025"/>
      <c r="F74" s="1025">
        <f>+(1000000*F$22/F58)</f>
        <v>106213.8170080508</v>
      </c>
      <c r="G74" s="1025"/>
      <c r="H74" s="1025"/>
      <c r="I74" s="1025"/>
      <c r="J74" s="1025"/>
      <c r="K74" s="1025"/>
      <c r="L74" s="1025"/>
      <c r="M74" s="1025">
        <f t="shared" si="10"/>
        <v>1849873.9499025915</v>
      </c>
      <c r="N74" s="1025">
        <f t="shared" si="10"/>
        <v>33660.329510233838</v>
      </c>
      <c r="O74" s="1025"/>
      <c r="P74" s="1025"/>
      <c r="Q74" s="1025"/>
      <c r="R74" s="1025"/>
      <c r="S74" s="1025"/>
      <c r="T74" s="1025"/>
      <c r="U74" s="1025"/>
      <c r="V74" s="1025"/>
      <c r="W74" s="1025" t="e">
        <f t="shared" si="11"/>
        <v>#DIV/0!</v>
      </c>
      <c r="X74" s="1025">
        <f t="shared" si="11"/>
        <v>2490.7055589428705</v>
      </c>
      <c r="Y74" s="1025" t="e">
        <f t="shared" si="11"/>
        <v>#DIV/0!</v>
      </c>
      <c r="Z74" s="1025" t="e">
        <f t="shared" si="11"/>
        <v>#DIV/0!</v>
      </c>
      <c r="AA74" s="1025"/>
      <c r="AB74" s="1025"/>
      <c r="AC74" s="1025"/>
      <c r="AD74" s="1025" t="e">
        <f>+(1000000*AD$22/AD58)</f>
        <v>#DIV/0!</v>
      </c>
      <c r="AE74" s="1025"/>
      <c r="AF74" s="1025" t="e">
        <f t="shared" ref="AF74:AS74" si="15">+(1000000*AF$22/AF58)</f>
        <v>#DIV/0!</v>
      </c>
      <c r="AG74" s="1025" t="e">
        <f t="shared" si="15"/>
        <v>#DIV/0!</v>
      </c>
      <c r="AH74" s="1025" t="e">
        <f t="shared" si="15"/>
        <v>#DIV/0!</v>
      </c>
      <c r="AI74" s="1025" t="e">
        <f t="shared" si="15"/>
        <v>#DIV/0!</v>
      </c>
      <c r="AJ74" s="1025" t="e">
        <f t="shared" si="15"/>
        <v>#DIV/0!</v>
      </c>
      <c r="AK74" s="1025" t="e">
        <f t="shared" si="15"/>
        <v>#DIV/0!</v>
      </c>
      <c r="AL74" s="1025" t="e">
        <f t="shared" si="15"/>
        <v>#DIV/0!</v>
      </c>
      <c r="AM74" s="1025">
        <f t="shared" si="15"/>
        <v>1119329.5441398968</v>
      </c>
      <c r="AN74" s="1025">
        <f t="shared" si="15"/>
        <v>1354762.5849892108</v>
      </c>
      <c r="AO74" s="1025" t="e">
        <f t="shared" si="15"/>
        <v>#DIV/0!</v>
      </c>
      <c r="AP74" s="1025" t="e">
        <f t="shared" si="15"/>
        <v>#DIV/0!</v>
      </c>
      <c r="AQ74" s="1025" t="e">
        <f t="shared" si="15"/>
        <v>#DIV/0!</v>
      </c>
      <c r="AR74" s="1025">
        <f t="shared" si="15"/>
        <v>0</v>
      </c>
      <c r="AS74" s="1025">
        <f t="shared" si="15"/>
        <v>0</v>
      </c>
      <c r="AT74" s="1025"/>
    </row>
    <row r="75" spans="1:56" x14ac:dyDescent="0.25">
      <c r="A75" s="267"/>
      <c r="B75" s="1198" t="s">
        <v>1277</v>
      </c>
      <c r="C75" s="1025"/>
      <c r="D75" s="1025">
        <f>+(1000000*D$22/D64)</f>
        <v>346.51152005883165</v>
      </c>
      <c r="E75" s="1025"/>
      <c r="F75" s="1025">
        <f>+(1000000*F$22/F64)</f>
        <v>112.5167739734662</v>
      </c>
      <c r="G75" s="1025"/>
      <c r="H75" s="1025"/>
      <c r="I75" s="1025"/>
      <c r="J75" s="1025"/>
      <c r="K75" s="1025"/>
      <c r="L75" s="1025"/>
      <c r="M75" s="1025">
        <f>+(1000000*M$22/M64)</f>
        <v>5265.5064063337359</v>
      </c>
      <c r="N75" s="1025">
        <f>+(1000000*N$22/N64)</f>
        <v>448.47638797685966</v>
      </c>
      <c r="O75" s="1025"/>
      <c r="P75" s="1025"/>
      <c r="Q75" s="1025"/>
      <c r="R75" s="1025"/>
      <c r="S75" s="1025"/>
      <c r="T75" s="1025"/>
      <c r="U75" s="1025"/>
      <c r="V75" s="1025"/>
      <c r="W75" s="1025">
        <f>+(1000000*W$22/W64)</f>
        <v>124.2949651934687</v>
      </c>
      <c r="X75" s="1025">
        <f>+(1000000*X$22/X64)</f>
        <v>563.12827149613111</v>
      </c>
      <c r="Y75" s="1025" t="e">
        <f>+(1000000*Y$22/Y64)</f>
        <v>#DIV/0!</v>
      </c>
      <c r="Z75" s="1025" t="e">
        <f>+(1000000*Z$22/Z64)</f>
        <v>#DIV/0!</v>
      </c>
      <c r="AA75" s="1025"/>
      <c r="AB75" s="1025"/>
      <c r="AC75" s="1025"/>
      <c r="AD75" s="1025" t="e">
        <f>+(1000000*AD$22/AD64)</f>
        <v>#DIV/0!</v>
      </c>
      <c r="AE75" s="1025"/>
      <c r="AF75" s="1025">
        <f t="shared" ref="AF75:AS75" si="16">+(1000000*AF$22/AF64)</f>
        <v>5098.1819883029711</v>
      </c>
      <c r="AG75" s="1025" t="e">
        <f t="shared" si="16"/>
        <v>#DIV/0!</v>
      </c>
      <c r="AH75" s="1025">
        <f t="shared" si="16"/>
        <v>2023904.5360973007</v>
      </c>
      <c r="AI75" s="1025" t="e">
        <f t="shared" si="16"/>
        <v>#DIV/0!</v>
      </c>
      <c r="AJ75" s="1025" t="e">
        <f t="shared" si="16"/>
        <v>#DIV/0!</v>
      </c>
      <c r="AK75" s="1025" t="e">
        <f t="shared" si="16"/>
        <v>#DIV/0!</v>
      </c>
      <c r="AL75" s="1025" t="e">
        <f t="shared" si="16"/>
        <v>#DIV/0!</v>
      </c>
      <c r="AM75" s="1025">
        <f t="shared" si="16"/>
        <v>663.68100664341398</v>
      </c>
      <c r="AN75" s="1025">
        <f t="shared" si="16"/>
        <v>28540.122175047982</v>
      </c>
      <c r="AO75" s="1025">
        <f t="shared" si="16"/>
        <v>1541108.4928433273</v>
      </c>
      <c r="AP75" s="1025">
        <f t="shared" si="16"/>
        <v>0</v>
      </c>
      <c r="AQ75" s="1025" t="e">
        <f t="shared" si="16"/>
        <v>#DIV/0!</v>
      </c>
      <c r="AR75" s="1025">
        <f t="shared" si="16"/>
        <v>0</v>
      </c>
      <c r="AS75" s="1025">
        <f t="shared" si="16"/>
        <v>0</v>
      </c>
      <c r="AT75" s="1025"/>
    </row>
    <row r="76" spans="1:56" x14ac:dyDescent="0.25">
      <c r="A76" s="267"/>
      <c r="B76" s="1198" t="s">
        <v>1281</v>
      </c>
      <c r="C76" s="1025"/>
      <c r="D76" s="1025">
        <f>+(1000000*D$22/D67)</f>
        <v>1933.8308216331227</v>
      </c>
      <c r="E76" s="1025"/>
      <c r="F76" s="1025">
        <f>+(1000000*F$22/F67)</f>
        <v>999.77917537873248</v>
      </c>
      <c r="G76" s="1025"/>
      <c r="H76" s="1025"/>
      <c r="I76" s="1025"/>
      <c r="J76" s="1025"/>
      <c r="K76" s="1025"/>
      <c r="L76" s="1025"/>
      <c r="M76" s="1025">
        <f>+(1000000*M$22/M67)</f>
        <v>5528.5582393504019</v>
      </c>
      <c r="N76" s="1025">
        <f>+(1000000*N$22/N67)</f>
        <v>580.00124324333035</v>
      </c>
      <c r="O76" s="1025"/>
      <c r="P76" s="1025"/>
      <c r="Q76" s="1025"/>
      <c r="R76" s="1025"/>
      <c r="S76" s="1025"/>
      <c r="T76" s="1025"/>
      <c r="U76" s="1025"/>
      <c r="V76" s="1025"/>
      <c r="W76" s="1025">
        <f t="shared" ref="W76:Z77" si="17">+(1000000*W$22/W67)</f>
        <v>130.83680546680915</v>
      </c>
      <c r="X76" s="1025">
        <f t="shared" si="17"/>
        <v>11671.651966402573</v>
      </c>
      <c r="Y76" s="1025" t="e">
        <f t="shared" si="17"/>
        <v>#DIV/0!</v>
      </c>
      <c r="Z76" s="1025" t="e">
        <f t="shared" si="17"/>
        <v>#DIV/0!</v>
      </c>
      <c r="AA76" s="1025"/>
      <c r="AB76" s="1025"/>
      <c r="AC76" s="1025"/>
      <c r="AD76" s="1025" t="e">
        <f>+(1000000*AD$22/AD67)</f>
        <v>#DIV/0!</v>
      </c>
      <c r="AE76" s="1025"/>
      <c r="AF76" s="1025">
        <f t="shared" ref="AF76:AS76" si="18">+(1000000*AF$22/AF67)</f>
        <v>6552.4762309062171</v>
      </c>
      <c r="AG76" s="1025" t="e">
        <f t="shared" si="18"/>
        <v>#DIV/0!</v>
      </c>
      <c r="AH76" s="1025">
        <f t="shared" si="18"/>
        <v>2464819.3743495597</v>
      </c>
      <c r="AI76" s="1025" t="e">
        <f t="shared" si="18"/>
        <v>#DIV/0!</v>
      </c>
      <c r="AJ76" s="1025" t="e">
        <f t="shared" si="18"/>
        <v>#DIV/0!</v>
      </c>
      <c r="AK76" s="1025" t="e">
        <f t="shared" si="18"/>
        <v>#DIV/0!</v>
      </c>
      <c r="AL76" s="1025" t="e">
        <f t="shared" si="18"/>
        <v>#DIV/0!</v>
      </c>
      <c r="AM76" s="1025">
        <f t="shared" si="18"/>
        <v>830.09344334036189</v>
      </c>
      <c r="AN76" s="1025">
        <f t="shared" si="18"/>
        <v>35675.152683337983</v>
      </c>
      <c r="AO76" s="1025">
        <f t="shared" si="18"/>
        <v>20625536.083914816</v>
      </c>
      <c r="AP76" s="1025">
        <f t="shared" si="18"/>
        <v>0</v>
      </c>
      <c r="AQ76" s="1025" t="e">
        <f t="shared" si="18"/>
        <v>#DIV/0!</v>
      </c>
      <c r="AR76" s="1025">
        <f t="shared" si="18"/>
        <v>0</v>
      </c>
      <c r="AS76" s="1025">
        <f t="shared" si="18"/>
        <v>0</v>
      </c>
      <c r="AT76" s="1025"/>
    </row>
    <row r="77" spans="1:56" x14ac:dyDescent="0.25">
      <c r="A77" s="1199"/>
      <c r="B77" s="1200" t="s">
        <v>1282</v>
      </c>
      <c r="C77" s="1028"/>
      <c r="D77" s="1028">
        <f>+(1000000*D$22/D68)</f>
        <v>422.15492300516826</v>
      </c>
      <c r="E77" s="1028"/>
      <c r="F77" s="1028">
        <f>+(1000000*F$22/F68)</f>
        <v>126.78541018000988</v>
      </c>
      <c r="G77" s="1028"/>
      <c r="H77" s="1028"/>
      <c r="I77" s="1028"/>
      <c r="J77" s="1028"/>
      <c r="K77" s="1028"/>
      <c r="L77" s="1028"/>
      <c r="M77" s="1028">
        <f>+(1000000*M$22/M68)</f>
        <v>110665.10540241827</v>
      </c>
      <c r="N77" s="1028">
        <f>+(1000000*N$22/N68)</f>
        <v>1977.7011886069547</v>
      </c>
      <c r="O77" s="1028"/>
      <c r="P77" s="1028"/>
      <c r="Q77" s="1028"/>
      <c r="R77" s="1028"/>
      <c r="S77" s="1028"/>
      <c r="T77" s="1028"/>
      <c r="U77" s="1028"/>
      <c r="V77" s="1028"/>
      <c r="W77" s="1028">
        <f t="shared" si="17"/>
        <v>2485.8993038693739</v>
      </c>
      <c r="X77" s="1028">
        <f t="shared" si="17"/>
        <v>591.67512964467392</v>
      </c>
      <c r="Y77" s="1028" t="e">
        <f t="shared" si="17"/>
        <v>#DIV/0!</v>
      </c>
      <c r="Z77" s="1028" t="e">
        <f t="shared" si="17"/>
        <v>#DIV/0!</v>
      </c>
      <c r="AA77" s="1028"/>
      <c r="AB77" s="1028"/>
      <c r="AC77" s="1028"/>
      <c r="AD77" s="1028" t="e">
        <f>+(1000000*AD$22/AD68)</f>
        <v>#DIV/0!</v>
      </c>
      <c r="AE77" s="1028"/>
      <c r="AF77" s="1028">
        <f t="shared" ref="AF77:AS77" si="19">+(1000000*AF$22/AF68)</f>
        <v>22970.397131870519</v>
      </c>
      <c r="AG77" s="1028" t="e">
        <f t="shared" si="19"/>
        <v>#DIV/0!</v>
      </c>
      <c r="AH77" s="1028">
        <f t="shared" si="19"/>
        <v>11314110.298897453</v>
      </c>
      <c r="AI77" s="1028" t="e">
        <f t="shared" si="19"/>
        <v>#DIV/0!</v>
      </c>
      <c r="AJ77" s="1028" t="e">
        <f t="shared" si="19"/>
        <v>#DIV/0!</v>
      </c>
      <c r="AK77" s="1028" t="e">
        <f t="shared" si="19"/>
        <v>#DIV/0!</v>
      </c>
      <c r="AL77" s="1028" t="e">
        <f t="shared" si="19"/>
        <v>#DIV/0!</v>
      </c>
      <c r="AM77" s="1028">
        <f t="shared" si="19"/>
        <v>3310.553363793952</v>
      </c>
      <c r="AN77" s="1028">
        <f t="shared" si="19"/>
        <v>142700.61144279182</v>
      </c>
      <c r="AO77" s="1028">
        <f t="shared" si="19"/>
        <v>1665556.3116411499</v>
      </c>
      <c r="AP77" s="1028">
        <f t="shared" si="19"/>
        <v>0</v>
      </c>
      <c r="AQ77" s="1028" t="e">
        <f t="shared" si="19"/>
        <v>#DIV/0!</v>
      </c>
      <c r="AR77" s="1028">
        <f t="shared" si="19"/>
        <v>0</v>
      </c>
      <c r="AS77" s="1028">
        <f t="shared" si="19"/>
        <v>0</v>
      </c>
      <c r="AT77" s="1028"/>
    </row>
    <row r="80" spans="1:56" ht="150" x14ac:dyDescent="0.25">
      <c r="A80" s="1206"/>
      <c r="B80" s="1207" t="s">
        <v>1406</v>
      </c>
      <c r="C80" s="297" t="s">
        <v>1050</v>
      </c>
      <c r="D80" s="717" t="str">
        <f>PSUT_2014!AA3</f>
        <v xml:space="preserve">Total </v>
      </c>
      <c r="E80" s="297"/>
      <c r="F80" s="717" t="str">
        <f>PSUT_2014!C4</f>
        <v xml:space="preserve">A. Agriculture, forestry and fishing </v>
      </c>
      <c r="G80" s="297"/>
      <c r="H80" s="297"/>
      <c r="I80" s="297"/>
      <c r="J80" s="297"/>
      <c r="K80" s="297"/>
      <c r="L80" s="297"/>
      <c r="M80" s="717" t="str">
        <f>PSUT_2014!D4</f>
        <v xml:space="preserve">B. Mining and Quarrying </v>
      </c>
      <c r="N80" s="717" t="str">
        <f>PSUT_2014!E4</f>
        <v>C. Manufacturing</v>
      </c>
      <c r="O80" s="297"/>
      <c r="P80" s="297"/>
      <c r="Q80" s="297"/>
      <c r="R80" s="297"/>
      <c r="S80" s="297"/>
      <c r="T80" s="297"/>
      <c r="U80" s="297"/>
      <c r="V80" s="297"/>
      <c r="W80" s="717" t="str">
        <f>PSUT_2014!F4</f>
        <v>D. Electricity, gas, steam and air conditioning supply</v>
      </c>
      <c r="X80" s="717" t="str">
        <f>PSUT_2014!G4</f>
        <v>E. Water supply (WASAC &amp; AquaVirunga)</v>
      </c>
      <c r="Y80" s="717" t="str">
        <f>PSUT_2014!H4</f>
        <v>F. Construction</v>
      </c>
      <c r="Z80" s="717" t="str">
        <f>PSUT_2014!I4</f>
        <v>G. Wholesale and retail trade; repair of motor vehicles and motorcycles</v>
      </c>
      <c r="AA80" s="297"/>
      <c r="AB80" s="297"/>
      <c r="AC80" s="297"/>
      <c r="AD80" s="717" t="str">
        <f>PSUT_2014!J4</f>
        <v>H. Transportation and storage</v>
      </c>
      <c r="AE80" s="297"/>
      <c r="AF80" s="717" t="str">
        <f>PSUT_2014!K4</f>
        <v>I. Accommodation and food service activities</v>
      </c>
      <c r="AG80" s="717" t="str">
        <f>PSUT_2014!L4</f>
        <v>J. Information and communication</v>
      </c>
      <c r="AH80" s="717" t="str">
        <f>PSUT_2014!M4</f>
        <v>K. Banking and insurance activities</v>
      </c>
      <c r="AI80" s="717" t="str">
        <f>PSUT_2014!N4</f>
        <v>L. Real estate activities</v>
      </c>
      <c r="AJ80" s="717" t="str">
        <f>PSUT_2014!O4</f>
        <v>M. Professional, scientific and technical activities</v>
      </c>
      <c r="AK80" s="717" t="str">
        <f>PSUT_2014!P4</f>
        <v>N. Administrative and support service activities</v>
      </c>
      <c r="AL80" s="717" t="str">
        <f>PSUT_2014!Q4</f>
        <v>O. Public administration and defence; compulsory social security</v>
      </c>
      <c r="AM80" s="717" t="str">
        <f>PSUT_2014!R4</f>
        <v>P. Education</v>
      </c>
      <c r="AN80" s="717" t="str">
        <f>PSUT_2014!S4</f>
        <v xml:space="preserve">Q. Human health and social work activities </v>
      </c>
      <c r="AO80" s="717" t="str">
        <f>PSUT_2014!T4</f>
        <v>R. Arts, entertainment and recreation</v>
      </c>
      <c r="AP80" s="717" t="str">
        <f>PSUT_2014!U4</f>
        <v>S. Other service activities (Religious &amp; Burial)</v>
      </c>
      <c r="AQ80" s="717" t="str">
        <f>PSUT_2014!V4</f>
        <v>T. Activities of households as employers; undifferentiated goods- and services-producing activities of households for own use</v>
      </c>
      <c r="AR80" s="717" t="str">
        <f>PSUT_2014!W3</f>
        <v xml:space="preserve">Total Production activities </v>
      </c>
      <c r="AS80" s="717" t="str">
        <f>PSUT_2014!X4</f>
        <v>Households</v>
      </c>
      <c r="AT80" s="717" t="str">
        <f>PSUT_2014!AA3</f>
        <v xml:space="preserve">Total </v>
      </c>
      <c r="AU80" s="584"/>
      <c r="AW80" s="584"/>
      <c r="AX80" s="584"/>
      <c r="AY80" s="584"/>
      <c r="AZ80" s="584"/>
      <c r="BA80" s="584"/>
      <c r="BB80" s="584"/>
      <c r="BC80" s="584"/>
      <c r="BD80" s="584"/>
    </row>
    <row r="81" spans="1:56" x14ac:dyDescent="0.25">
      <c r="A81" s="1804" t="str">
        <f>+(PSUT_2014!A6)</f>
        <v>From the environment</v>
      </c>
      <c r="B81" s="1208" t="str">
        <f>+(PSUT_2014!B9)</f>
        <v>1 - Total abstraction (1.i+1.ii)</v>
      </c>
      <c r="D81" s="1025">
        <f>+(PSUT_2014!AA9)</f>
        <v>14005635.690500624</v>
      </c>
      <c r="F81" s="1025">
        <f>+(PSUT_2014!C9)</f>
        <v>13506848.022465833</v>
      </c>
      <c r="H81" s="1024"/>
      <c r="I81" s="1024"/>
      <c r="J81" s="1024"/>
      <c r="K81" s="1024"/>
      <c r="L81" s="1024"/>
      <c r="M81" s="1025">
        <f>+(PSUT_2014!D9)</f>
        <v>22429.728515197057</v>
      </c>
      <c r="N81" s="1025">
        <f>+(PSUT_2014!E9)</f>
        <v>24242.398478108429</v>
      </c>
      <c r="P81" s="1026"/>
      <c r="Q81" s="1026"/>
      <c r="R81" s="1026"/>
      <c r="S81" s="1026"/>
      <c r="T81" s="1026"/>
      <c r="U81" s="1026"/>
      <c r="V81" s="1026"/>
      <c r="W81" s="1025">
        <f>+(PSUT_2014!F9)</f>
        <v>357008.97910203272</v>
      </c>
      <c r="X81" s="1025">
        <f>+(PSUT_2014!G9)</f>
        <v>53540.199500012393</v>
      </c>
      <c r="Y81" s="1025">
        <f>+(PSUT_2014!H9)</f>
        <v>0</v>
      </c>
      <c r="Z81" s="1025">
        <f>+(PSUT_2014!I9)</f>
        <v>0</v>
      </c>
      <c r="AB81" s="1024"/>
      <c r="AC81" s="1024"/>
      <c r="AD81" s="1025">
        <f>+(PSUT_2014!J9)</f>
        <v>0</v>
      </c>
      <c r="AF81" s="1025">
        <f>+(PSUT_2014!K9)</f>
        <v>0</v>
      </c>
      <c r="AG81" s="1025">
        <f>+(PSUT_2014!L9)</f>
        <v>0</v>
      </c>
      <c r="AH81" s="1025">
        <f>+(PSUT_2014!M9)</f>
        <v>0.06</v>
      </c>
      <c r="AI81" s="1025">
        <f>+(PSUT_2014!N9)</f>
        <v>0</v>
      </c>
      <c r="AJ81" s="1025">
        <f>+(PSUT_2014!O9)</f>
        <v>0</v>
      </c>
      <c r="AK81" s="1025">
        <f>+(PSUT_2014!P9)</f>
        <v>0</v>
      </c>
      <c r="AL81" s="1025">
        <f>+(PSUT_2014!Q9)</f>
        <v>0</v>
      </c>
      <c r="AM81" s="1025">
        <f>+(PSUT_2014!R9)</f>
        <v>133.11539999999999</v>
      </c>
      <c r="AN81" s="1025">
        <f>+(PSUT_2014!S9)</f>
        <v>588.7795155737706</v>
      </c>
      <c r="AO81" s="1025">
        <f>+SUM(PSUT_2014!T9:'PSUT_2014'!V9)</f>
        <v>11.709600000000002</v>
      </c>
      <c r="AP81" s="1025">
        <f>+(PSUT_2014!U9)</f>
        <v>11.709600000000002</v>
      </c>
      <c r="AQ81" s="1025">
        <f>+(PSUT_2014!V9)</f>
        <v>0</v>
      </c>
      <c r="AR81" s="1025">
        <f>+(PSUT_2014!W9)</f>
        <v>13964802.992576756</v>
      </c>
      <c r="AS81" s="1025">
        <f>+(PSUT_2014!X9)</f>
        <v>40832.697923868138</v>
      </c>
      <c r="AT81" s="1025">
        <f>+(PSUT_2014!AA9)</f>
        <v>14005635.690500624</v>
      </c>
      <c r="AU81" s="1025"/>
      <c r="AW81" s="584"/>
      <c r="AX81" s="584"/>
      <c r="AY81" s="584"/>
      <c r="AZ81" s="584"/>
      <c r="BA81" s="584"/>
      <c r="BB81" s="584"/>
      <c r="BC81" s="584"/>
      <c r="BD81" s="584"/>
    </row>
    <row r="82" spans="1:56" x14ac:dyDescent="0.25">
      <c r="A82" s="1804"/>
      <c r="B82" s="1208" t="str">
        <f>+B83 &amp; " &amp; "&amp; B84</f>
        <v>1.i.1 Surface water &amp; 1.i.2 Groundwater</v>
      </c>
      <c r="D82" s="1025">
        <f>+SUM(PSUT_2014!AA11,PSUT_2014!AA16)</f>
        <v>695446.05236139591</v>
      </c>
      <c r="F82" s="1025">
        <f>+SUM(PSUT_2014!C11,PSUT_2014!C16)</f>
        <v>219104.06902660336</v>
      </c>
      <c r="H82" s="1024"/>
      <c r="I82" s="1024"/>
      <c r="J82" s="1024"/>
      <c r="K82" s="1024"/>
      <c r="L82" s="1024"/>
      <c r="M82" s="1025">
        <f>+SUM(PSUT_2014!D11,PSUT_2014!D16)</f>
        <v>1069.9285151970589</v>
      </c>
      <c r="N82" s="1025">
        <f>+SUM(PSUT_2014!E11,PSUT_2014!E16)</f>
        <v>24214.198478108428</v>
      </c>
      <c r="P82" s="1026"/>
      <c r="Q82" s="1026"/>
      <c r="R82" s="1026"/>
      <c r="S82" s="1026"/>
      <c r="T82" s="1026"/>
      <c r="U82" s="1026"/>
      <c r="V82" s="1026"/>
      <c r="W82" s="1025">
        <f>+SUM(PSUT_2014!F11,PSUT_2014!F16)</f>
        <v>357008.97910203272</v>
      </c>
      <c r="X82" s="1025">
        <f>+SUM(PSUT_2014!G11,PSUT_2014!G16)</f>
        <v>53540.199500012393</v>
      </c>
      <c r="Y82" s="1025">
        <f>+SUM(PSUT_2014!H11,PSUT_2014!H16)</f>
        <v>0</v>
      </c>
      <c r="Z82" s="1025">
        <f>+SUM(PSUT_2014!I11,PSUT_2014!I16)</f>
        <v>0</v>
      </c>
      <c r="AB82" s="1024"/>
      <c r="AC82" s="1024"/>
      <c r="AD82" s="1025">
        <f>+SUM(PSUT_2014!J11,PSUT_2014!J16)</f>
        <v>0</v>
      </c>
      <c r="AF82" s="1025">
        <f>+SUM(PSUT_2014!K11,PSUT_2014!K16)</f>
        <v>0</v>
      </c>
      <c r="AG82" s="1025">
        <f>+SUM(PSUT_2014!L11,PSUT_2014!L16)</f>
        <v>0</v>
      </c>
      <c r="AH82" s="1025">
        <f>+SUM(PSUT_2014!M11,PSUT_2014!M16)</f>
        <v>0</v>
      </c>
      <c r="AI82" s="1025">
        <f>+SUM(PSUT_2014!N11,PSUT_2014!N16)</f>
        <v>0</v>
      </c>
      <c r="AJ82" s="1025">
        <f>+SUM(PSUT_2014!O11,PSUT_2014!O16)</f>
        <v>0</v>
      </c>
      <c r="AK82" s="1025">
        <f>+SUM(PSUT_2014!P11,PSUT_2014!P16)</f>
        <v>0</v>
      </c>
      <c r="AL82" s="1025">
        <f>+SUM(PSUT_2014!Q11,PSUT_2014!Q16)</f>
        <v>0</v>
      </c>
      <c r="AM82" s="1025">
        <f>+SUM(PSUT_2014!R11,PSUT_2014!R16)</f>
        <v>133.11539999999999</v>
      </c>
      <c r="AN82" s="1025">
        <f>+SUM(PSUT_2014!S11,PSUT_2014!S16)</f>
        <v>90.790815573770487</v>
      </c>
      <c r="AO82" s="1025">
        <f>+SUM(PSUT_2014!T11,PSUT_2014!T16)</f>
        <v>0</v>
      </c>
      <c r="AP82" s="1025">
        <f>+SUM(PSUT_2014!U11,PSUT_2014!U16)</f>
        <v>2.0736000000000003</v>
      </c>
      <c r="AQ82" s="1025">
        <f>+SUM(PSUT_2014!V11,PSUT_2014!V16)</f>
        <v>0</v>
      </c>
      <c r="AR82" s="1025">
        <f>+SUM(PSUT_2014!W11,PSUT_2014!W16)</f>
        <v>655163.35443752783</v>
      </c>
      <c r="AS82" s="1025">
        <f>+SUM(PSUT_2014!X11,PSUT_2014!X16)</f>
        <v>40282.697923868138</v>
      </c>
      <c r="AT82" s="1025">
        <f>+SUM(PSUT_2014!AA11,PSUT_2014!AA16)</f>
        <v>695446.05236139591</v>
      </c>
      <c r="AU82" s="1025"/>
      <c r="AW82" s="584"/>
      <c r="AX82" s="584"/>
      <c r="AY82" s="584"/>
      <c r="AZ82" s="584"/>
      <c r="BA82" s="584"/>
      <c r="BB82" s="584"/>
      <c r="BC82" s="584"/>
      <c r="BD82" s="584"/>
    </row>
    <row r="83" spans="1:56" x14ac:dyDescent="0.25">
      <c r="A83" s="1804"/>
      <c r="B83" s="1208" t="str">
        <f>+(PSUT_2014!B11)</f>
        <v>1.i.1 Surface water</v>
      </c>
      <c r="D83" s="1025">
        <f>+(PSUT_2014!AA11)</f>
        <v>631143.66234001028</v>
      </c>
      <c r="E83" s="578"/>
      <c r="F83" s="1025">
        <f>+(PSUT_2014!C11)</f>
        <v>205178.23028145044</v>
      </c>
      <c r="H83" s="1024"/>
      <c r="I83" s="1024"/>
      <c r="J83" s="1024"/>
      <c r="K83" s="1024"/>
      <c r="L83" s="1024"/>
      <c r="M83" s="1025">
        <f>+(PSUT_2014!D11)</f>
        <v>1006.140385197059</v>
      </c>
      <c r="N83" s="1025">
        <f>+(PSUT_2014!E11)</f>
        <v>15211.48701906186</v>
      </c>
      <c r="P83" s="1026"/>
      <c r="Q83" s="1026"/>
      <c r="R83" s="1026"/>
      <c r="S83" s="1026"/>
      <c r="T83" s="1026"/>
      <c r="U83" s="1026"/>
      <c r="V83" s="1026"/>
      <c r="W83" s="1025">
        <f>+(PSUT_2014!F11)</f>
        <v>357008.97910203272</v>
      </c>
      <c r="X83" s="1025">
        <f>+(PSUT_2014!G11)</f>
        <v>41435.195802667869</v>
      </c>
      <c r="Y83" s="1025">
        <f>+(PSUT_2014!H11)</f>
        <v>0</v>
      </c>
      <c r="Z83" s="1025">
        <f>+(PSUT_2014!I11)</f>
        <v>0</v>
      </c>
      <c r="AB83" s="1024"/>
      <c r="AC83" s="1024"/>
      <c r="AD83" s="1025">
        <f>+(PSUT_2014!J11)</f>
        <v>0</v>
      </c>
      <c r="AF83" s="1025">
        <f>+(PSUT_2014!K11)</f>
        <v>0</v>
      </c>
      <c r="AG83" s="1025">
        <f>+(PSUT_2014!L11)</f>
        <v>0</v>
      </c>
      <c r="AH83" s="1025">
        <f>+(PSUT_2014!M11)</f>
        <v>0</v>
      </c>
      <c r="AI83" s="1025">
        <f>+(PSUT_2014!N11)</f>
        <v>0</v>
      </c>
      <c r="AJ83" s="1025">
        <f>+(PSUT_2014!O11)</f>
        <v>0</v>
      </c>
      <c r="AK83" s="1025">
        <f>+(PSUT_2014!P11)</f>
        <v>0</v>
      </c>
      <c r="AL83" s="1025">
        <f>+(PSUT_2014!Q11)</f>
        <v>0</v>
      </c>
      <c r="AM83" s="1025">
        <f>+(PSUT_2014!R11)</f>
        <v>0</v>
      </c>
      <c r="AN83" s="1025">
        <f>+(PSUT_2014!S11)</f>
        <v>0</v>
      </c>
      <c r="AO83" s="1025">
        <f>+SUM(PSUT_2014!T11:'PSUT_2014'!V11)</f>
        <v>2.0736000000000003</v>
      </c>
      <c r="AP83" s="1025">
        <f>+(PSUT_2014!U11)</f>
        <v>2.0736000000000003</v>
      </c>
      <c r="AQ83" s="1025">
        <f>+(PSUT_2014!V11)</f>
        <v>0</v>
      </c>
      <c r="AR83" s="1025">
        <f>+(PSUT_2014!W11)</f>
        <v>619842.10619040998</v>
      </c>
      <c r="AS83" s="1025">
        <f>+(PSUT_2014!X11)</f>
        <v>11301.556149600257</v>
      </c>
      <c r="AT83" s="1025">
        <f>+(PSUT_2014!AA11)</f>
        <v>631143.66234001028</v>
      </c>
      <c r="AU83" s="1025"/>
      <c r="AW83" s="584"/>
      <c r="AX83" s="584"/>
      <c r="AY83" s="584"/>
      <c r="AZ83" s="584"/>
      <c r="BA83" s="584"/>
      <c r="BB83" s="584"/>
      <c r="BC83" s="584"/>
      <c r="BD83" s="584"/>
    </row>
    <row r="84" spans="1:56" x14ac:dyDescent="0.25">
      <c r="A84" s="1804"/>
      <c r="B84" s="1208" t="str">
        <f>+(PSUT_2014!B16)</f>
        <v>1.i.2 Groundwater</v>
      </c>
      <c r="D84" s="1025">
        <f>+(PSUT_2014!AA16)</f>
        <v>64302.390021385683</v>
      </c>
      <c r="E84" s="1024"/>
      <c r="F84" s="1025">
        <f>+(PSUT_2014!C16)</f>
        <v>13925.838745152938</v>
      </c>
      <c r="H84" s="1024"/>
      <c r="I84" s="1024"/>
      <c r="J84" s="1024"/>
      <c r="K84" s="1024"/>
      <c r="L84" s="1024"/>
      <c r="M84" s="1025">
        <f>+(PSUT_2014!D16)</f>
        <v>63.788130000000002</v>
      </c>
      <c r="N84" s="1025">
        <f>+(PSUT_2014!E16)</f>
        <v>9002.7114590465681</v>
      </c>
      <c r="P84" s="1024"/>
      <c r="Q84" s="1024"/>
      <c r="R84" s="1024"/>
      <c r="S84" s="1024"/>
      <c r="T84" s="1024"/>
      <c r="U84" s="1024"/>
      <c r="V84" s="1024"/>
      <c r="W84" s="1025">
        <f>+(PSUT_2014!F16)</f>
        <v>0</v>
      </c>
      <c r="X84" s="1025">
        <f>+(PSUT_2014!G16)</f>
        <v>12105.003697344522</v>
      </c>
      <c r="Y84" s="1025">
        <f>+(PSUT_2014!H16)</f>
        <v>0</v>
      </c>
      <c r="Z84" s="1025">
        <f>+(PSUT_2014!I16)</f>
        <v>0</v>
      </c>
      <c r="AB84" s="1024"/>
      <c r="AC84" s="1024"/>
      <c r="AD84" s="1025">
        <f>+(PSUT_2014!J16)</f>
        <v>0</v>
      </c>
      <c r="AF84" s="1025">
        <f>+(PSUT_2014!K16)</f>
        <v>0</v>
      </c>
      <c r="AG84" s="1025">
        <f>+(PSUT_2014!L16)</f>
        <v>0</v>
      </c>
      <c r="AH84" s="1025">
        <f>+(PSUT_2014!M16)</f>
        <v>0</v>
      </c>
      <c r="AI84" s="1025">
        <f>+(PSUT_2014!N16)</f>
        <v>0</v>
      </c>
      <c r="AJ84" s="1025">
        <f>+(PSUT_2014!O16)</f>
        <v>0</v>
      </c>
      <c r="AK84" s="1025">
        <f>+(PSUT_2014!P16)</f>
        <v>0</v>
      </c>
      <c r="AL84" s="1025">
        <f>+(PSUT_2014!Q16)</f>
        <v>0</v>
      </c>
      <c r="AM84" s="1025">
        <f>+(PSUT_2014!R16)</f>
        <v>133.11539999999999</v>
      </c>
      <c r="AN84" s="1025">
        <f>+(PSUT_2014!S16)</f>
        <v>90.790815573770487</v>
      </c>
      <c r="AO84" s="1025">
        <f>+SUM(PSUT_2014!T16:'PSUT_2014'!V16)</f>
        <v>0</v>
      </c>
      <c r="AP84" s="1025">
        <f>+(PSUT_2014!U16)</f>
        <v>0</v>
      </c>
      <c r="AQ84" s="1025">
        <f>+(PSUT_2014!V16)</f>
        <v>0</v>
      </c>
      <c r="AR84" s="1025">
        <f>+(PSUT_2014!W16)</f>
        <v>35321.248247117801</v>
      </c>
      <c r="AS84" s="1025">
        <f>+(PSUT_2014!X16)</f>
        <v>28981.141774267882</v>
      </c>
      <c r="AT84" s="1025">
        <f>+(PSUT_2014!AA16)</f>
        <v>64302.390021385683</v>
      </c>
      <c r="AU84" s="1025"/>
    </row>
    <row r="85" spans="1:56" x14ac:dyDescent="0.25">
      <c r="A85" s="1804"/>
      <c r="B85" s="1208" t="str">
        <f>+(PSUT_2014!B19)</f>
        <v>1.i.3 Soil water (green water)</v>
      </c>
      <c r="D85" s="1025">
        <f>+(PSUT_2014!AA19)</f>
        <v>13286936.953439228</v>
      </c>
      <c r="E85" s="1024"/>
      <c r="F85" s="1025">
        <f>+(PSUT_2014!C19)</f>
        <v>13286936.953439228</v>
      </c>
      <c r="H85" s="1024"/>
      <c r="I85" s="1024"/>
      <c r="J85" s="1024"/>
      <c r="K85" s="1024"/>
      <c r="L85" s="1024"/>
      <c r="M85" s="1025">
        <f>+(PSUT_2014!D19)</f>
        <v>0</v>
      </c>
      <c r="N85" s="1025">
        <f>+(PSUT_2014!E19)</f>
        <v>0</v>
      </c>
      <c r="P85" s="1024"/>
      <c r="Q85" s="1024"/>
      <c r="R85" s="1024"/>
      <c r="S85" s="1024"/>
      <c r="T85" s="1024"/>
      <c r="U85" s="1024"/>
      <c r="V85" s="1024"/>
      <c r="W85" s="1025">
        <f>+(PSUT_2014!F19)</f>
        <v>0</v>
      </c>
      <c r="X85" s="1025">
        <f>+(PSUT_2014!G19)</f>
        <v>0</v>
      </c>
      <c r="Y85" s="1025">
        <f>+(PSUT_2014!H19)</f>
        <v>0</v>
      </c>
      <c r="Z85" s="1025">
        <f>+(PSUT_2014!I19)</f>
        <v>0</v>
      </c>
      <c r="AB85" s="1024"/>
      <c r="AC85" s="1024"/>
      <c r="AD85" s="1025">
        <f>+(PSUT_2014!J19)</f>
        <v>0</v>
      </c>
      <c r="AF85" s="1025">
        <f>+(PSUT_2014!K19)</f>
        <v>0</v>
      </c>
      <c r="AG85" s="1025">
        <f>+(PSUT_2014!L19)</f>
        <v>0</v>
      </c>
      <c r="AH85" s="1025">
        <f>+(PSUT_2014!M19)</f>
        <v>0</v>
      </c>
      <c r="AI85" s="1025">
        <f>+(PSUT_2014!N19)</f>
        <v>0</v>
      </c>
      <c r="AJ85" s="1025">
        <f>+(PSUT_2014!O19)</f>
        <v>0</v>
      </c>
      <c r="AK85" s="1025">
        <f>+(PSUT_2014!P19)</f>
        <v>0</v>
      </c>
      <c r="AL85" s="1025">
        <f>+(PSUT_2014!Q19)</f>
        <v>0</v>
      </c>
      <c r="AM85" s="1025">
        <f>+(PSUT_2014!R19)</f>
        <v>0</v>
      </c>
      <c r="AN85" s="1025">
        <f>+(PSUT_2014!S19)</f>
        <v>0</v>
      </c>
      <c r="AO85" s="1025">
        <f>+SUM(PSUT_2014!T19:'PSUT_2014'!V19)</f>
        <v>0</v>
      </c>
      <c r="AP85" s="1025">
        <f>+(PSUT_2014!U19)</f>
        <v>0</v>
      </c>
      <c r="AQ85" s="1025">
        <f>+(PSUT_2014!V19)</f>
        <v>0</v>
      </c>
      <c r="AR85" s="1025">
        <f>+(PSUT_2014!W19)</f>
        <v>13286936.953439228</v>
      </c>
      <c r="AS85" s="1025">
        <f>+(PSUT_2014!X19)</f>
        <v>0</v>
      </c>
      <c r="AT85" s="1025">
        <f>+(PSUT_2014!AA19)</f>
        <v>13286936.953439228</v>
      </c>
      <c r="AU85" s="1025"/>
    </row>
    <row r="86" spans="1:56" x14ac:dyDescent="0.25">
      <c r="A86" s="1804"/>
      <c r="B86" s="1208" t="str">
        <f>+(PSUT_2014!B20)</f>
        <v xml:space="preserve">1.ii From other sources </v>
      </c>
      <c r="D86" s="1025">
        <f>+(PSUT_2014!AA20)</f>
        <v>23252.684700000002</v>
      </c>
      <c r="E86" s="1024"/>
      <c r="F86" s="1025">
        <f>+(PSUT_2014!C20)</f>
        <v>807</v>
      </c>
      <c r="H86" s="1024"/>
      <c r="I86" s="1024"/>
      <c r="J86" s="1024"/>
      <c r="K86" s="1024"/>
      <c r="L86" s="1024"/>
      <c r="M86" s="1025">
        <f>+(PSUT_2014!D20)</f>
        <v>21359.8</v>
      </c>
      <c r="N86" s="1025">
        <f>+(PSUT_2014!E20)</f>
        <v>28.2</v>
      </c>
      <c r="P86" s="1024"/>
      <c r="Q86" s="1024"/>
      <c r="R86" s="1024"/>
      <c r="S86" s="1024"/>
      <c r="T86" s="1024"/>
      <c r="U86" s="1024"/>
      <c r="V86" s="1024"/>
      <c r="W86" s="1025">
        <f>+(PSUT_2014!F20)</f>
        <v>0</v>
      </c>
      <c r="X86" s="1025">
        <f>+(PSUT_2014!G20)</f>
        <v>0</v>
      </c>
      <c r="Y86" s="1025">
        <f>+(PSUT_2014!H20)</f>
        <v>0</v>
      </c>
      <c r="Z86" s="1025">
        <f>+(PSUT_2014!I20)</f>
        <v>0</v>
      </c>
      <c r="AB86" s="1024"/>
      <c r="AC86" s="1024"/>
      <c r="AD86" s="1025">
        <f>+(PSUT_2014!J20)</f>
        <v>0</v>
      </c>
      <c r="AF86" s="1025">
        <f>+(PSUT_2014!K20)</f>
        <v>0</v>
      </c>
      <c r="AG86" s="1025">
        <f>+(PSUT_2014!L20)</f>
        <v>0</v>
      </c>
      <c r="AH86" s="1025">
        <f>+(PSUT_2014!M20)</f>
        <v>0.06</v>
      </c>
      <c r="AI86" s="1025">
        <f>+(PSUT_2014!N20)</f>
        <v>0</v>
      </c>
      <c r="AJ86" s="1025">
        <f>+(PSUT_2014!O20)</f>
        <v>0</v>
      </c>
      <c r="AK86" s="1025">
        <f>+(PSUT_2014!P20)</f>
        <v>0</v>
      </c>
      <c r="AL86" s="1025">
        <f>+(PSUT_2014!Q20)</f>
        <v>0</v>
      </c>
      <c r="AM86" s="1025">
        <f>+(PSUT_2014!R20)</f>
        <v>0</v>
      </c>
      <c r="AN86" s="1025">
        <f>+(PSUT_2014!S20)</f>
        <v>497.98870000000005</v>
      </c>
      <c r="AO86" s="1025">
        <f>+SUM(PSUT_2014!T20:'PSUT_2014'!V20)</f>
        <v>9.636000000000001</v>
      </c>
      <c r="AP86" s="1025">
        <f>+(PSUT_2014!U20)</f>
        <v>9.636000000000001</v>
      </c>
      <c r="AQ86" s="1025">
        <f>+(PSUT_2014!V20)</f>
        <v>0</v>
      </c>
      <c r="AR86" s="1025">
        <f>+(PSUT_2014!W20)</f>
        <v>22702.684700000002</v>
      </c>
      <c r="AS86" s="1025">
        <f>+(PSUT_2014!X20)</f>
        <v>550</v>
      </c>
      <c r="AT86" s="1025">
        <f>+(PSUT_2014!AA20)</f>
        <v>23252.684700000002</v>
      </c>
      <c r="AU86" s="1025"/>
    </row>
    <row r="87" spans="1:56" x14ac:dyDescent="0.25">
      <c r="A87" s="1804"/>
      <c r="B87" s="1208" t="str">
        <f>+(PSUT_2014!B21)</f>
        <v>1.ii.1 Collection of precipitation (rainwater harvesting; ..)</v>
      </c>
      <c r="D87" s="1025">
        <f>+(PSUT_2014!AA21)</f>
        <v>23252.684700000002</v>
      </c>
      <c r="E87" s="1024"/>
      <c r="F87" s="1025">
        <f>+(PSUT_2014!C21)</f>
        <v>807</v>
      </c>
      <c r="H87" s="1024"/>
      <c r="I87" s="1024"/>
      <c r="J87" s="1024"/>
      <c r="K87" s="1024"/>
      <c r="L87" s="1024"/>
      <c r="M87" s="1025">
        <f>+(PSUT_2014!D21)</f>
        <v>21359.8</v>
      </c>
      <c r="N87" s="1025">
        <f>+(PSUT_2014!E21)</f>
        <v>28.2</v>
      </c>
      <c r="P87" s="1024"/>
      <c r="Q87" s="1024"/>
      <c r="R87" s="1024"/>
      <c r="S87" s="1024"/>
      <c r="T87" s="1024"/>
      <c r="U87" s="1024"/>
      <c r="V87" s="1024"/>
      <c r="W87" s="1025">
        <f>+(PSUT_2014!F21)</f>
        <v>0</v>
      </c>
      <c r="X87" s="1025">
        <f>+(PSUT_2014!G21)</f>
        <v>0</v>
      </c>
      <c r="Y87" s="1025">
        <f>+(PSUT_2014!H21)</f>
        <v>0</v>
      </c>
      <c r="Z87" s="1025">
        <f>+(PSUT_2014!I21)</f>
        <v>0</v>
      </c>
      <c r="AB87" s="1024"/>
      <c r="AC87" s="1024"/>
      <c r="AD87" s="1025">
        <f>+(PSUT_2014!J21)</f>
        <v>0</v>
      </c>
      <c r="AF87" s="1025">
        <f>+(PSUT_2014!K21)</f>
        <v>0</v>
      </c>
      <c r="AG87" s="1025">
        <f>+(PSUT_2014!L21)</f>
        <v>0</v>
      </c>
      <c r="AH87" s="1025">
        <f>+(PSUT_2014!M21)</f>
        <v>0.06</v>
      </c>
      <c r="AI87" s="1025">
        <f>+(PSUT_2014!N21)</f>
        <v>0</v>
      </c>
      <c r="AJ87" s="1025">
        <f>+(PSUT_2014!O21)</f>
        <v>0</v>
      </c>
      <c r="AK87" s="1025">
        <f>+(PSUT_2014!P21)</f>
        <v>0</v>
      </c>
      <c r="AL87" s="1025">
        <f>+(PSUT_2014!Q21)</f>
        <v>0</v>
      </c>
      <c r="AM87" s="1025">
        <f>+(PSUT_2014!R21)</f>
        <v>0</v>
      </c>
      <c r="AN87" s="1025">
        <f>+(PSUT_2014!S21)</f>
        <v>497.98870000000005</v>
      </c>
      <c r="AO87" s="1025">
        <f>+SUM(PSUT_2014!T21:'PSUT_2014'!V21)</f>
        <v>9.636000000000001</v>
      </c>
      <c r="AP87" s="1025">
        <f>+(PSUT_2014!U21)</f>
        <v>9.636000000000001</v>
      </c>
      <c r="AQ87" s="1025">
        <f>+(PSUT_2014!V21)</f>
        <v>0</v>
      </c>
      <c r="AR87" s="1025">
        <f>+(PSUT_2014!W21)</f>
        <v>22702.684700000002</v>
      </c>
      <c r="AS87" s="1025">
        <f>+(PSUT_2014!X21)</f>
        <v>550</v>
      </c>
      <c r="AT87" s="1025">
        <f>+(PSUT_2014!AA21)</f>
        <v>23252.684700000002</v>
      </c>
      <c r="AU87" s="1025"/>
    </row>
    <row r="88" spans="1:56" x14ac:dyDescent="0.25">
      <c r="A88" s="1209"/>
      <c r="B88" s="1208" t="str">
        <f>+(PSUT_2014!B22)</f>
        <v>1.ii.2 Abstraction from the sea</v>
      </c>
      <c r="D88" s="1025">
        <f>+(PSUT_2014!AA22)</f>
        <v>0</v>
      </c>
      <c r="E88" s="1024"/>
      <c r="F88" s="1025">
        <f>+(PSUT_2014!C22)</f>
        <v>0</v>
      </c>
      <c r="H88" s="1024"/>
      <c r="I88" s="1024"/>
      <c r="J88" s="1024"/>
      <c r="K88" s="1024"/>
      <c r="L88" s="1024"/>
      <c r="M88" s="1025">
        <f>+(PSUT_2014!D22)</f>
        <v>0</v>
      </c>
      <c r="N88" s="1025">
        <f>+(PSUT_2014!E22)</f>
        <v>0</v>
      </c>
      <c r="P88" s="1024"/>
      <c r="Q88" s="1024"/>
      <c r="R88" s="1024"/>
      <c r="S88" s="1024"/>
      <c r="T88" s="1024"/>
      <c r="U88" s="1024"/>
      <c r="V88" s="1024"/>
      <c r="W88" s="1025">
        <f>+(PSUT_2014!F22)</f>
        <v>0</v>
      </c>
      <c r="X88" s="1025">
        <f>+(PSUT_2014!G22)</f>
        <v>0</v>
      </c>
      <c r="Y88" s="1025">
        <f>+(PSUT_2014!H22)</f>
        <v>0</v>
      </c>
      <c r="Z88" s="1025">
        <f>+(PSUT_2014!I22)</f>
        <v>0</v>
      </c>
      <c r="AB88" s="1024"/>
      <c r="AC88" s="1024"/>
      <c r="AD88" s="1025">
        <f>+(PSUT_2014!J22)</f>
        <v>0</v>
      </c>
      <c r="AF88" s="1025">
        <f>+(PSUT_2014!K22)</f>
        <v>0</v>
      </c>
      <c r="AG88" s="1025">
        <f>+(PSUT_2014!L22)</f>
        <v>0</v>
      </c>
      <c r="AH88" s="1025">
        <f>+(PSUT_2014!M22)</f>
        <v>0</v>
      </c>
      <c r="AI88" s="1025">
        <f>+(PSUT_2014!N22)</f>
        <v>0</v>
      </c>
      <c r="AJ88" s="1025">
        <f>+(PSUT_2014!O22)</f>
        <v>0</v>
      </c>
      <c r="AK88" s="1025">
        <f>+(PSUT_2014!P22)</f>
        <v>0</v>
      </c>
      <c r="AL88" s="1025">
        <f>+(PSUT_2014!Q22)</f>
        <v>0</v>
      </c>
      <c r="AM88" s="1025">
        <f>+(PSUT_2014!R22)</f>
        <v>0</v>
      </c>
      <c r="AN88" s="1025">
        <f>+(PSUT_2014!S22)</f>
        <v>0</v>
      </c>
      <c r="AO88" s="1025">
        <f>+SUM(PSUT_2014!T22:'PSUT_2014'!V22)</f>
        <v>0</v>
      </c>
      <c r="AP88" s="1025">
        <f>+(PSUT_2014!U22)</f>
        <v>0</v>
      </c>
      <c r="AQ88" s="1025">
        <f>+(PSUT_2014!V22)</f>
        <v>0</v>
      </c>
      <c r="AR88" s="1025">
        <f>+(PSUT_2014!W22)</f>
        <v>0</v>
      </c>
      <c r="AS88" s="1025">
        <f>+(PSUT_2014!X22)</f>
        <v>0</v>
      </c>
      <c r="AT88" s="1025">
        <f>+(PSUT_2014!AA22)</f>
        <v>0</v>
      </c>
      <c r="AU88" s="1025"/>
    </row>
    <row r="89" spans="1:56" x14ac:dyDescent="0.25">
      <c r="A89" s="1209"/>
      <c r="B89" s="1208" t="str">
        <f>+(PSUT_2014!B23)</f>
        <v>2. Use of water received from other economic units</v>
      </c>
      <c r="D89" s="1025">
        <f>+(PSUT_2014!AA23)</f>
        <v>1160562.9602874902</v>
      </c>
      <c r="E89" s="1024"/>
      <c r="F89" s="1025">
        <f>+(PSUT_2014!C23)</f>
        <v>90250</v>
      </c>
      <c r="H89" s="1024"/>
      <c r="I89" s="1024"/>
      <c r="J89" s="1024"/>
      <c r="K89" s="1024"/>
      <c r="L89" s="1024"/>
      <c r="M89" s="1025">
        <f>+(PSUT_2014!D23)</f>
        <v>0</v>
      </c>
      <c r="N89" s="1025">
        <f>+(PSUT_2014!E23)</f>
        <v>642763.78523033194</v>
      </c>
      <c r="P89" s="1024"/>
      <c r="Q89" s="1024"/>
      <c r="R89" s="1024"/>
      <c r="S89" s="1024"/>
      <c r="T89" s="1024"/>
      <c r="U89" s="1024"/>
      <c r="V89" s="1024"/>
      <c r="W89" s="1025">
        <f>+(PSUT_2014!F23)</f>
        <v>0</v>
      </c>
      <c r="X89" s="1025">
        <f>+(PSUT_2014!G23)</f>
        <v>0</v>
      </c>
      <c r="Y89" s="1025">
        <f>+(PSUT_2014!H23)</f>
        <v>0</v>
      </c>
      <c r="Z89" s="1025">
        <f>+(PSUT_2014!I23)</f>
        <v>0</v>
      </c>
      <c r="AB89" s="1024"/>
      <c r="AC89" s="1024"/>
      <c r="AD89" s="1025">
        <f>+(PSUT_2014!J23)</f>
        <v>0</v>
      </c>
      <c r="AF89" s="1025">
        <f>+(PSUT_2014!K23)</f>
        <v>16672.61</v>
      </c>
      <c r="AG89" s="1025">
        <f>+(PSUT_2014!L23)</f>
        <v>0</v>
      </c>
      <c r="AH89" s="1025">
        <f>+(PSUT_2014!M23)</f>
        <v>76.030545405347283</v>
      </c>
      <c r="AI89" s="1025">
        <f>+(PSUT_2014!N23)</f>
        <v>0</v>
      </c>
      <c r="AJ89" s="1025">
        <f>+(PSUT_2014!O23)</f>
        <v>0</v>
      </c>
      <c r="AK89" s="1025">
        <f>+(PSUT_2014!P23)</f>
        <v>0</v>
      </c>
      <c r="AL89" s="1025">
        <f>+(PSUT_2014!Q23)</f>
        <v>0</v>
      </c>
      <c r="AM89" s="1025">
        <f>+(PSUT_2014!R23)</f>
        <v>224372.33</v>
      </c>
      <c r="AN89" s="1025">
        <f>+(PSUT_2014!S23)</f>
        <v>3720.9427500000002</v>
      </c>
      <c r="AO89" s="1025">
        <f>+SUM(PSUT_2014!T23:'PSUT_2014'!V23)</f>
        <v>131.69367175295594</v>
      </c>
      <c r="AP89" s="1025">
        <f>+(PSUT_2014!U23)</f>
        <v>131.69367175295594</v>
      </c>
      <c r="AQ89" s="1025">
        <f>+(PSUT_2014!V23)</f>
        <v>0</v>
      </c>
      <c r="AR89" s="1025">
        <f>+(PSUT_2014!W23)</f>
        <v>977987.3921974902</v>
      </c>
      <c r="AS89" s="1025">
        <f>+(PSUT_2014!X23)</f>
        <v>176061</v>
      </c>
      <c r="AT89" s="1025">
        <f>+(PSUT_2014!AA23)</f>
        <v>1160562.9602874902</v>
      </c>
      <c r="AU89" s="1025"/>
    </row>
    <row r="90" spans="1:56" x14ac:dyDescent="0.25">
      <c r="A90" s="1209"/>
      <c r="B90" s="1208" t="str">
        <f>+(PSUT_2014!A24)</f>
        <v>3. Total use of water (=1+2)</v>
      </c>
      <c r="D90" s="1025">
        <f>+(PSUT_2014!AA24)</f>
        <v>15166198.650788113</v>
      </c>
      <c r="E90" s="1024"/>
      <c r="F90" s="1025">
        <f>+(PSUT_2014!C24)</f>
        <v>13597098.022465833</v>
      </c>
      <c r="H90" s="1024"/>
      <c r="I90" s="1024"/>
      <c r="J90" s="1024"/>
      <c r="K90" s="1024"/>
      <c r="L90" s="1024"/>
      <c r="M90" s="1025">
        <f>+(PSUT_2014!D24)</f>
        <v>22429.728515197057</v>
      </c>
      <c r="N90" s="1025">
        <f>+(PSUT_2014!E24)</f>
        <v>667006.1837084404</v>
      </c>
      <c r="P90" s="1024"/>
      <c r="Q90" s="1024"/>
      <c r="R90" s="1024"/>
      <c r="S90" s="1024"/>
      <c r="T90" s="1024"/>
      <c r="U90" s="1024"/>
      <c r="V90" s="1024"/>
      <c r="W90" s="1025">
        <f>+(PSUT_2014!F24)</f>
        <v>357008.97910203272</v>
      </c>
      <c r="X90" s="1025">
        <f>+(PSUT_2014!G24)</f>
        <v>53540.199500012386</v>
      </c>
      <c r="Y90" s="1025">
        <f>+(PSUT_2014!H24)</f>
        <v>0</v>
      </c>
      <c r="Z90" s="1025">
        <f>+(PSUT_2014!I24)</f>
        <v>0</v>
      </c>
      <c r="AB90" s="1024"/>
      <c r="AC90" s="1024"/>
      <c r="AD90" s="1025">
        <f>+(PSUT_2014!J24)</f>
        <v>0</v>
      </c>
      <c r="AF90" s="1025">
        <f>+(PSUT_2014!K24)</f>
        <v>16672.61</v>
      </c>
      <c r="AG90" s="1025">
        <f>+(PSUT_2014!L24)</f>
        <v>0</v>
      </c>
      <c r="AH90" s="1025">
        <f>+(PSUT_2014!M24)</f>
        <v>76.090545405347285</v>
      </c>
      <c r="AI90" s="1025">
        <f>+(PSUT_2014!N24)</f>
        <v>0</v>
      </c>
      <c r="AJ90" s="1025">
        <f>+(PSUT_2014!O24)</f>
        <v>0</v>
      </c>
      <c r="AK90" s="1025">
        <f>+(PSUT_2014!P24)</f>
        <v>0</v>
      </c>
      <c r="AL90" s="1025">
        <f>+(PSUT_2014!Q24)</f>
        <v>0</v>
      </c>
      <c r="AM90" s="1025">
        <f>+(PSUT_2014!R24)</f>
        <v>224505.4454</v>
      </c>
      <c r="AN90" s="1025">
        <f>+(PSUT_2014!S24)</f>
        <v>4309.7222655737705</v>
      </c>
      <c r="AO90" s="1025">
        <f>+SUM(PSUT_2014!T24:'PSUT_2014'!V24)</f>
        <v>143.40327175295593</v>
      </c>
      <c r="AP90" s="1025">
        <f>+(PSUT_2014!U24)</f>
        <v>143.40327175295593</v>
      </c>
      <c r="AQ90" s="1025">
        <f>+(PSUT_2014!V24)</f>
        <v>0</v>
      </c>
      <c r="AR90" s="1025">
        <f>+(PSUT_2014!W24)</f>
        <v>14942790.384774245</v>
      </c>
      <c r="AS90" s="1025">
        <f>+(PSUT_2014!X24)</f>
        <v>216893.69792386814</v>
      </c>
      <c r="AT90" s="1025">
        <f>+(PSUT_2014!AA24)</f>
        <v>15166198.650788113</v>
      </c>
      <c r="AU90" s="1025"/>
    </row>
    <row r="91" spans="1:56" x14ac:dyDescent="0.25">
      <c r="A91" s="1209"/>
      <c r="B91" s="1208" t="str">
        <f>+(PSUT_2014!B35)</f>
        <v>4. Supply of water to other economic units</v>
      </c>
      <c r="D91" s="1025">
        <f>+(PSUT_2014!AA35)</f>
        <v>34801.911993788104</v>
      </c>
      <c r="E91" s="1024"/>
      <c r="F91" s="1025">
        <f>+(PSUT_2014!C35)</f>
        <v>0</v>
      </c>
      <c r="H91" s="1024"/>
      <c r="I91" s="1024"/>
      <c r="J91" s="1024"/>
      <c r="K91" s="1024"/>
      <c r="L91" s="1024"/>
      <c r="M91" s="1025">
        <f>+(PSUT_2014!D35)</f>
        <v>21308.242089437204</v>
      </c>
      <c r="N91" s="1025">
        <f>+(PSUT_2014!E35)</f>
        <v>816.87563283886971</v>
      </c>
      <c r="P91" s="1024"/>
      <c r="Q91" s="1024"/>
      <c r="R91" s="1024"/>
      <c r="S91" s="1024"/>
      <c r="T91" s="1024"/>
      <c r="U91" s="1024"/>
      <c r="V91" s="1024"/>
      <c r="W91" s="1025">
        <f>+(PSUT_2014!F35)</f>
        <v>0</v>
      </c>
      <c r="X91" s="1025">
        <f>+(PSUT_2014!G35)</f>
        <v>0</v>
      </c>
      <c r="Y91" s="1025">
        <f>+(PSUT_2014!H35)</f>
        <v>0</v>
      </c>
      <c r="Z91" s="1025">
        <f>+(PSUT_2014!I35)</f>
        <v>0</v>
      </c>
      <c r="AB91" s="1024"/>
      <c r="AC91" s="1024"/>
      <c r="AD91" s="1025">
        <f>+(PSUT_2014!J35)</f>
        <v>0</v>
      </c>
      <c r="AF91" s="1025">
        <f>+(PSUT_2014!K35)</f>
        <v>12671.183667903779</v>
      </c>
      <c r="AG91" s="1025">
        <f>+(PSUT_2014!L35)</f>
        <v>0</v>
      </c>
      <c r="AH91" s="1025">
        <f>+(PSUT_2014!M35)</f>
        <v>5.6106036082474233</v>
      </c>
      <c r="AI91" s="1025">
        <f>+(PSUT_2014!N35)</f>
        <v>0</v>
      </c>
      <c r="AJ91" s="1025">
        <f>+(PSUT_2014!O35)</f>
        <v>0</v>
      </c>
      <c r="AK91" s="1025">
        <f>+(PSUT_2014!P35)</f>
        <v>0</v>
      </c>
      <c r="AL91" s="1025">
        <f>+(PSUT_2014!Q35)</f>
        <v>0</v>
      </c>
      <c r="AM91" s="1025">
        <f>+(PSUT_2014!R35)</f>
        <v>0</v>
      </c>
      <c r="AN91" s="1025">
        <f>+(PSUT_2014!S35)</f>
        <v>0</v>
      </c>
      <c r="AO91" s="1025">
        <f>+SUM(PSUT_2014!T35:'PSUT_2014'!V35)</f>
        <v>0</v>
      </c>
      <c r="AP91" s="1025">
        <f>+(PSUT_2014!U35)</f>
        <v>0</v>
      </c>
      <c r="AQ91" s="1025">
        <f>+(PSUT_2014!V35)</f>
        <v>0</v>
      </c>
      <c r="AR91" s="1025">
        <f>+(PSUT_2014!W35)</f>
        <v>34801.911993788104</v>
      </c>
      <c r="AS91" s="1025">
        <f>+(PSUT_2014!X35)</f>
        <v>0</v>
      </c>
      <c r="AT91" s="1025">
        <f>+(PSUT_2014!AA35)</f>
        <v>34801.911993788104</v>
      </c>
      <c r="AU91" s="1025"/>
    </row>
    <row r="92" spans="1:56" x14ac:dyDescent="0.25">
      <c r="A92" s="1210"/>
      <c r="B92" s="1208" t="str">
        <f>+(PSUT_2014!B38)</f>
        <v>5. Total returns (= 5.a+5.b)</v>
      </c>
      <c r="D92" s="1025">
        <f>+(PSUT_2014!AA38)</f>
        <v>2651797.7072523031</v>
      </c>
      <c r="F92" s="1025">
        <f>+(PSUT_2014!C38)</f>
        <v>1524008.4750215835</v>
      </c>
      <c r="M92" s="1025">
        <f>+(PSUT_2014!D38)</f>
        <v>54.219910499999997</v>
      </c>
      <c r="N92" s="1025">
        <f>+(PSUT_2014!E38)</f>
        <v>514699.26072578493</v>
      </c>
      <c r="W92" s="1025">
        <f>+(PSUT_2014!F38)</f>
        <v>339158.53014693107</v>
      </c>
      <c r="X92" s="1025">
        <f>+(PSUT_2014!G38)</f>
        <v>2570.3302400000002</v>
      </c>
      <c r="Y92" s="1025">
        <f>+(PSUT_2014!H38)</f>
        <v>0</v>
      </c>
      <c r="Z92" s="1025">
        <f>+(PSUT_2014!I38)</f>
        <v>0</v>
      </c>
      <c r="AD92" s="1025">
        <f>+(PSUT_2014!J38)</f>
        <v>0</v>
      </c>
      <c r="AF92" s="1025">
        <f>+(PSUT_2014!K38)</f>
        <v>301.01142363711335</v>
      </c>
      <c r="AG92" s="1025">
        <f>+(PSUT_2014!L38)</f>
        <v>0</v>
      </c>
      <c r="AH92" s="1025">
        <f>+(PSUT_2014!M38)</f>
        <v>56.868619657611163</v>
      </c>
      <c r="AI92" s="1025">
        <f>+(PSUT_2014!N38)</f>
        <v>0</v>
      </c>
      <c r="AJ92" s="1025">
        <f>+(PSUT_2014!O38)</f>
        <v>0</v>
      </c>
      <c r="AK92" s="1025">
        <f>+(PSUT_2014!P38)</f>
        <v>0</v>
      </c>
      <c r="AL92" s="1025">
        <f>+(PSUT_2014!Q38)</f>
        <v>0</v>
      </c>
      <c r="AM92" s="1025">
        <f>+(PSUT_2014!R38)</f>
        <v>179497.86400000003</v>
      </c>
      <c r="AN92" s="1025">
        <f>+(PSUT_2014!S38)</f>
        <v>3447.7778158871602</v>
      </c>
      <c r="AO92" s="1025">
        <f>+SUM(PSUT_2014!T38:'PSUT_2014'!V38)</f>
        <v>10.714873014735879</v>
      </c>
      <c r="AP92" s="1025">
        <f>+(PSUT_2014!U38)</f>
        <v>10.714873014735879</v>
      </c>
      <c r="AQ92" s="1025">
        <f>+(PSUT_2014!V38)</f>
        <v>0</v>
      </c>
      <c r="AR92" s="1025">
        <f>+(PSUT_2014!W38)</f>
        <v>2563805.052776997</v>
      </c>
      <c r="AS92" s="1025">
        <f>+(PSUT_2014!X38)</f>
        <v>82781</v>
      </c>
      <c r="AT92" s="1025">
        <f>+(PSUT_2014!AA38)</f>
        <v>2651797.7072523031</v>
      </c>
      <c r="AU92" s="1025"/>
    </row>
    <row r="93" spans="1:56" x14ac:dyDescent="0.25">
      <c r="A93" s="1210"/>
      <c r="B93" s="1208" t="str">
        <f>+(PSUT_2014!A44)</f>
        <v>6. Total supply of water (= 4+5)</v>
      </c>
      <c r="D93" s="1025">
        <f>+(PSUT_2014!AA44)</f>
        <v>2686599.6192460908</v>
      </c>
      <c r="F93" s="1025">
        <f>+(PSUT_2014!C44)</f>
        <v>1524008.4750215835</v>
      </c>
      <c r="M93" s="1025">
        <f>+(PSUT_2014!D44)</f>
        <v>21362.461999937204</v>
      </c>
      <c r="N93" s="1025">
        <f>+(PSUT_2014!E44)</f>
        <v>515516.1363586238</v>
      </c>
      <c r="W93" s="1025">
        <f>+(PSUT_2014!F44)</f>
        <v>339158.53014693107</v>
      </c>
      <c r="X93" s="1025">
        <f>+(PSUT_2014!G44)</f>
        <v>2570.3302400000002</v>
      </c>
      <c r="Y93" s="1025">
        <f>+(PSUT_2014!H44)</f>
        <v>0</v>
      </c>
      <c r="Z93" s="1025">
        <f>+(PSUT_2014!I44)</f>
        <v>0</v>
      </c>
      <c r="AD93" s="1025">
        <f>+(PSUT_2014!J44)</f>
        <v>0</v>
      </c>
      <c r="AF93" s="1025">
        <f>+(PSUT_2014!K44)</f>
        <v>12972.195091540892</v>
      </c>
      <c r="AG93" s="1025">
        <f>+(PSUT_2014!L44)</f>
        <v>0</v>
      </c>
      <c r="AH93" s="1025">
        <f>+(PSUT_2014!M44)</f>
        <v>62.479223265858586</v>
      </c>
      <c r="AI93" s="1025">
        <f>+(PSUT_2014!N44)</f>
        <v>0</v>
      </c>
      <c r="AJ93" s="1025">
        <f>+(PSUT_2014!O44)</f>
        <v>0</v>
      </c>
      <c r="AK93" s="1025">
        <f>+(PSUT_2014!P44)</f>
        <v>0</v>
      </c>
      <c r="AL93" s="1025">
        <f>+(PSUT_2014!Q44)</f>
        <v>0</v>
      </c>
      <c r="AM93" s="1025">
        <f>+(PSUT_2014!R44)</f>
        <v>179497.86400000003</v>
      </c>
      <c r="AN93" s="1025">
        <f>+(PSUT_2014!S44)</f>
        <v>3447.7778158871602</v>
      </c>
      <c r="AO93" s="1025">
        <f>+SUM(PSUT_2014!T44:'PSUT_2014'!V44)</f>
        <v>10.714873014735879</v>
      </c>
      <c r="AP93" s="1025">
        <f>+(PSUT_2014!U44)</f>
        <v>10.714873014735879</v>
      </c>
      <c r="AQ93" s="1025">
        <f>+(PSUT_2014!V44)</f>
        <v>0</v>
      </c>
      <c r="AR93" s="1025">
        <f>+(PSUT_2014!W44)</f>
        <v>2598606.9647707846</v>
      </c>
      <c r="AS93" s="1025">
        <f>+(PSUT_2014!X44)</f>
        <v>82781</v>
      </c>
      <c r="AT93" s="1025">
        <f>+(PSUT_2014!AA44)</f>
        <v>2686599.6192460908</v>
      </c>
      <c r="AU93" s="1025"/>
    </row>
    <row r="94" spans="1:56" x14ac:dyDescent="0.25">
      <c r="A94" s="1211"/>
      <c r="B94" s="1212" t="str">
        <f>+(PSUT_2014!A45)</f>
        <v>7. Consumption (3-6)</v>
      </c>
      <c r="C94" s="295"/>
      <c r="D94" s="1028">
        <f>+(PSUT_2014!AA45)</f>
        <v>12479599.031542027</v>
      </c>
      <c r="E94" s="295"/>
      <c r="F94" s="1028">
        <f>+(PSUT_2014!C45)</f>
        <v>12073089.547444249</v>
      </c>
      <c r="G94" s="295"/>
      <c r="H94" s="295"/>
      <c r="I94" s="295"/>
      <c r="J94" s="295"/>
      <c r="K94" s="295"/>
      <c r="L94" s="295"/>
      <c r="M94" s="1028">
        <f>+(PSUT_2014!D45)</f>
        <v>1067.2665152598529</v>
      </c>
      <c r="N94" s="1028">
        <f>+(PSUT_2014!E45)</f>
        <v>151490.0473498166</v>
      </c>
      <c r="O94" s="295"/>
      <c r="P94" s="295"/>
      <c r="Q94" s="295"/>
      <c r="R94" s="295"/>
      <c r="S94" s="295"/>
      <c r="T94" s="295"/>
      <c r="U94" s="295"/>
      <c r="V94" s="295"/>
      <c r="W94" s="1028">
        <f>+(PSUT_2014!F45)</f>
        <v>17850.44895510166</v>
      </c>
      <c r="X94" s="1028">
        <f>+(PSUT_2014!G45)</f>
        <v>50969.869260012383</v>
      </c>
      <c r="Y94" s="1028">
        <f>+(PSUT_2014!H45)</f>
        <v>0</v>
      </c>
      <c r="Z94" s="1028">
        <f>+(PSUT_2014!I45)</f>
        <v>0</v>
      </c>
      <c r="AA94" s="295"/>
      <c r="AB94" s="295"/>
      <c r="AC94" s="295"/>
      <c r="AD94" s="1028">
        <f>+(PSUT_2014!J45)</f>
        <v>0</v>
      </c>
      <c r="AE94" s="295"/>
      <c r="AF94" s="1028">
        <f>+(PSUT_2014!K45)</f>
        <v>3700.4149084591081</v>
      </c>
      <c r="AG94" s="1028">
        <f>+(PSUT_2014!L45)</f>
        <v>0</v>
      </c>
      <c r="AH94" s="1028">
        <f>+(PSUT_2014!M45)</f>
        <v>13.611322139488699</v>
      </c>
      <c r="AI94" s="1028">
        <f>+(PSUT_2014!N45)</f>
        <v>0</v>
      </c>
      <c r="AJ94" s="1028">
        <f>+(PSUT_2014!O45)</f>
        <v>0</v>
      </c>
      <c r="AK94" s="1028">
        <f>+(PSUT_2014!P45)</f>
        <v>0</v>
      </c>
      <c r="AL94" s="1028">
        <f>+(PSUT_2014!Q45)</f>
        <v>0</v>
      </c>
      <c r="AM94" s="1028">
        <f>+(PSUT_2014!R45)</f>
        <v>45007.581399999966</v>
      </c>
      <c r="AN94" s="1028">
        <f>+(PSUT_2014!S45)</f>
        <v>861.94444968661037</v>
      </c>
      <c r="AO94" s="1028">
        <f>+SUM(PSUT_2014!T45:'PSUT_2014'!V45)</f>
        <v>132.68839873822006</v>
      </c>
      <c r="AP94" s="1028">
        <f>+(PSUT_2014!U45)</f>
        <v>132.68839873822006</v>
      </c>
      <c r="AQ94" s="1028">
        <f>+(PSUT_2014!V45)</f>
        <v>0</v>
      </c>
      <c r="AR94" s="1028">
        <f>+(PSUT_2014!W45)</f>
        <v>12344183.420003464</v>
      </c>
      <c r="AS94" s="1028">
        <f>+(PSUT_2014!X45)</f>
        <v>134112.69792386814</v>
      </c>
      <c r="AT94" s="1028">
        <f>+(PSUT_2014!AA45)</f>
        <v>12479599.031542027</v>
      </c>
      <c r="AU94" s="1025"/>
    </row>
    <row r="95" spans="1:56" x14ac:dyDescent="0.25">
      <c r="B95" s="1025"/>
      <c r="F95" s="1025"/>
      <c r="M95" s="1025"/>
      <c r="N95" s="1025"/>
      <c r="W95" s="1025"/>
      <c r="X95" s="1025"/>
      <c r="Y95" s="1025"/>
      <c r="Z95" s="1025"/>
      <c r="AD95" s="1025"/>
      <c r="AF95" s="1025"/>
      <c r="AG95" s="1025"/>
      <c r="AH95" s="1025"/>
      <c r="AI95" s="1025"/>
      <c r="AJ95" s="1025"/>
      <c r="AK95" s="1025"/>
      <c r="AL95" s="1025"/>
      <c r="AM95" s="1025"/>
      <c r="AN95" s="1025"/>
      <c r="AO95" s="1025"/>
      <c r="AP95" s="1025"/>
      <c r="AQ95" s="1025"/>
      <c r="AR95" s="1025"/>
      <c r="AS95" s="1025"/>
      <c r="AU95" s="1025"/>
    </row>
    <row r="96" spans="1:56" x14ac:dyDescent="0.25">
      <c r="A96" s="1213">
        <v>2014</v>
      </c>
      <c r="B96" s="1213" t="s">
        <v>1283</v>
      </c>
      <c r="C96" s="1207"/>
      <c r="D96" s="1207"/>
      <c r="E96" s="1207"/>
      <c r="F96" s="1207"/>
      <c r="G96" s="1207"/>
      <c r="H96" s="1207"/>
      <c r="I96" s="1207"/>
      <c r="J96" s="1207"/>
      <c r="K96" s="1207"/>
      <c r="L96" s="1207"/>
      <c r="M96" s="1207"/>
      <c r="N96" s="1207"/>
      <c r="O96" s="1207"/>
      <c r="P96" s="1207"/>
      <c r="Q96" s="1207"/>
      <c r="R96" s="1207"/>
      <c r="S96" s="1207"/>
      <c r="T96" s="1207"/>
      <c r="U96" s="1207"/>
      <c r="V96" s="1207"/>
      <c r="W96" s="1207"/>
      <c r="X96" s="1207"/>
      <c r="Y96" s="1207"/>
      <c r="Z96" s="1207"/>
      <c r="AA96" s="1207"/>
      <c r="AB96" s="1207"/>
      <c r="AC96" s="1207"/>
      <c r="AD96" s="1207"/>
      <c r="AE96" s="1207"/>
      <c r="AF96" s="1207"/>
      <c r="AG96" s="1207"/>
      <c r="AH96" s="1207"/>
      <c r="AI96" s="1207"/>
      <c r="AJ96" s="1207"/>
      <c r="AK96" s="1207"/>
      <c r="AL96" s="1207"/>
      <c r="AM96" s="1207"/>
      <c r="AN96" s="1207"/>
      <c r="AO96" s="1207"/>
      <c r="AP96" s="1207"/>
      <c r="AQ96" s="1207"/>
      <c r="AR96" s="1207"/>
      <c r="AS96" s="1207"/>
      <c r="AT96" s="1207"/>
      <c r="AU96" s="1025"/>
    </row>
    <row r="97" spans="1:56" x14ac:dyDescent="0.25">
      <c r="A97" s="1214"/>
      <c r="B97" s="1215" t="s">
        <v>1280</v>
      </c>
      <c r="C97" s="1030"/>
      <c r="D97" s="1030">
        <f>+(1000000*D$23/D81)</f>
        <v>390.27146791397234</v>
      </c>
      <c r="E97" s="1030"/>
      <c r="F97" s="1030">
        <f>+(1000000*F$23/F81)</f>
        <v>116.38540667558449</v>
      </c>
      <c r="G97" s="1030"/>
      <c r="H97" s="1030"/>
      <c r="I97" s="1030"/>
      <c r="J97" s="1030"/>
      <c r="K97" s="1030"/>
      <c r="L97" s="1030"/>
      <c r="M97" s="1030">
        <f t="shared" ref="M97:N100" si="20">+(1000000*M$23/M81)</f>
        <v>6553.8020177284579</v>
      </c>
      <c r="N97" s="1030">
        <f t="shared" si="20"/>
        <v>13282.514116364151</v>
      </c>
      <c r="O97" s="1030"/>
      <c r="P97" s="1030"/>
      <c r="Q97" s="1030"/>
      <c r="R97" s="1030"/>
      <c r="S97" s="1030"/>
      <c r="T97" s="1030"/>
      <c r="U97" s="1030"/>
      <c r="V97" s="1030"/>
      <c r="W97" s="1030">
        <f t="shared" ref="W97:Z100" si="21">+(1000000*W$23/W81)</f>
        <v>131.64934987970557</v>
      </c>
      <c r="X97" s="1030">
        <f t="shared" si="21"/>
        <v>579.00419291476157</v>
      </c>
      <c r="Y97" s="1030" t="e">
        <f t="shared" si="21"/>
        <v>#DIV/0!</v>
      </c>
      <c r="Z97" s="1030" t="e">
        <f t="shared" si="21"/>
        <v>#DIV/0!</v>
      </c>
      <c r="AA97" s="1030"/>
      <c r="AB97" s="1030"/>
      <c r="AC97" s="1030"/>
      <c r="AD97" s="1030" t="e">
        <f>+(1000000*AD$23/AD81)</f>
        <v>#DIV/0!</v>
      </c>
      <c r="AE97" s="1030"/>
      <c r="AF97" s="1030" t="e">
        <f t="shared" ref="AF97:AS97" si="22">+(1000000*AF$23/AF81)</f>
        <v>#DIV/0!</v>
      </c>
      <c r="AG97" s="1030" t="e">
        <f t="shared" si="22"/>
        <v>#DIV/0!</v>
      </c>
      <c r="AH97" s="1030">
        <f t="shared" si="22"/>
        <v>2650000000</v>
      </c>
      <c r="AI97" s="1030" t="e">
        <f t="shared" si="22"/>
        <v>#DIV/0!</v>
      </c>
      <c r="AJ97" s="1030" t="e">
        <f t="shared" si="22"/>
        <v>#DIV/0!</v>
      </c>
      <c r="AK97" s="1030" t="e">
        <f t="shared" si="22"/>
        <v>#DIV/0!</v>
      </c>
      <c r="AL97" s="1030" t="e">
        <f t="shared" si="22"/>
        <v>#DIV/0!</v>
      </c>
      <c r="AM97" s="1030">
        <f t="shared" si="22"/>
        <v>1156890.9382385509</v>
      </c>
      <c r="AN97" s="1030">
        <f t="shared" si="22"/>
        <v>225891.01095066188</v>
      </c>
      <c r="AO97" s="1030">
        <f t="shared" si="22"/>
        <v>21947803.511648558</v>
      </c>
      <c r="AP97" s="1030">
        <f t="shared" si="22"/>
        <v>0</v>
      </c>
      <c r="AQ97" s="1030" t="e">
        <f t="shared" si="22"/>
        <v>#DIV/0!</v>
      </c>
      <c r="AR97" s="1030">
        <f t="shared" si="22"/>
        <v>0</v>
      </c>
      <c r="AS97" s="1030">
        <f t="shared" si="22"/>
        <v>0</v>
      </c>
      <c r="AT97" s="1030"/>
    </row>
    <row r="98" spans="1:56" x14ac:dyDescent="0.25">
      <c r="A98" s="1210"/>
      <c r="B98" s="1208" t="s">
        <v>1324</v>
      </c>
      <c r="C98" s="1025"/>
      <c r="D98" s="1025">
        <f>+(1000000*D$23/D82)</f>
        <v>7859.7038281260311</v>
      </c>
      <c r="E98" s="1025"/>
      <c r="F98" s="1025">
        <f>+(1000000*F$23/F82)</f>
        <v>7174.6727798520687</v>
      </c>
      <c r="G98" s="1025"/>
      <c r="H98" s="1025"/>
      <c r="I98" s="1025"/>
      <c r="J98" s="1025"/>
      <c r="K98" s="1025"/>
      <c r="L98" s="1025"/>
      <c r="M98" s="1025">
        <f t="shared" si="20"/>
        <v>137392.3565098418</v>
      </c>
      <c r="N98" s="1025">
        <f t="shared" si="20"/>
        <v>13297.983011542328</v>
      </c>
      <c r="O98" s="1025"/>
      <c r="P98" s="1025"/>
      <c r="Q98" s="1025"/>
      <c r="R98" s="1025"/>
      <c r="S98" s="1025"/>
      <c r="T98" s="1025"/>
      <c r="U98" s="1025"/>
      <c r="V98" s="1025"/>
      <c r="W98" s="1025">
        <f t="shared" si="21"/>
        <v>131.64934987970557</v>
      </c>
      <c r="X98" s="1025">
        <f t="shared" si="21"/>
        <v>579.00419291476157</v>
      </c>
      <c r="Y98" s="1025" t="e">
        <f t="shared" si="21"/>
        <v>#DIV/0!</v>
      </c>
      <c r="Z98" s="1025" t="e">
        <f t="shared" si="21"/>
        <v>#DIV/0!</v>
      </c>
      <c r="AA98" s="1025"/>
      <c r="AB98" s="1025"/>
      <c r="AC98" s="1025"/>
      <c r="AD98" s="1025" t="e">
        <f>+(1000000*AD$23/AD82)</f>
        <v>#DIV/0!</v>
      </c>
      <c r="AE98" s="1025"/>
      <c r="AF98" s="1025" t="e">
        <f t="shared" ref="AF98:AS98" si="23">+(1000000*AF$23/AF82)</f>
        <v>#DIV/0!</v>
      </c>
      <c r="AG98" s="1025" t="e">
        <f t="shared" si="23"/>
        <v>#DIV/0!</v>
      </c>
      <c r="AH98" s="1025" t="e">
        <f t="shared" si="23"/>
        <v>#DIV/0!</v>
      </c>
      <c r="AI98" s="1025" t="e">
        <f t="shared" si="23"/>
        <v>#DIV/0!</v>
      </c>
      <c r="AJ98" s="1025" t="e">
        <f t="shared" si="23"/>
        <v>#DIV/0!</v>
      </c>
      <c r="AK98" s="1025" t="e">
        <f t="shared" si="23"/>
        <v>#DIV/0!</v>
      </c>
      <c r="AL98" s="1025" t="e">
        <f t="shared" si="23"/>
        <v>#DIV/0!</v>
      </c>
      <c r="AM98" s="1025">
        <f t="shared" si="23"/>
        <v>1156890.9382385509</v>
      </c>
      <c r="AN98" s="1025">
        <f t="shared" si="23"/>
        <v>1464905.8845818294</v>
      </c>
      <c r="AO98" s="1025" t="e">
        <f t="shared" si="23"/>
        <v>#DIV/0!</v>
      </c>
      <c r="AP98" s="1025">
        <f t="shared" si="23"/>
        <v>0</v>
      </c>
      <c r="AQ98" s="1025" t="e">
        <f t="shared" si="23"/>
        <v>#DIV/0!</v>
      </c>
      <c r="AR98" s="1025">
        <f t="shared" si="23"/>
        <v>0</v>
      </c>
      <c r="AS98" s="1025">
        <f t="shared" si="23"/>
        <v>0</v>
      </c>
      <c r="AT98" s="1025"/>
    </row>
    <row r="99" spans="1:56" x14ac:dyDescent="0.25">
      <c r="A99" s="1210"/>
      <c r="B99" s="1208" t="s">
        <v>1279</v>
      </c>
      <c r="C99" s="1025"/>
      <c r="D99" s="1025">
        <f>+(1000000*D$23/D83)</f>
        <v>8660.4688063164795</v>
      </c>
      <c r="E99" s="1025"/>
      <c r="F99" s="1025">
        <f>+(1000000*F$23/F83)</f>
        <v>7661.6315378275294</v>
      </c>
      <c r="G99" s="1025"/>
      <c r="H99" s="1025"/>
      <c r="I99" s="1025"/>
      <c r="J99" s="1025"/>
      <c r="K99" s="1025"/>
      <c r="L99" s="1025"/>
      <c r="M99" s="1025">
        <f t="shared" si="20"/>
        <v>146102.87208698926</v>
      </c>
      <c r="N99" s="1025">
        <f t="shared" si="20"/>
        <v>21168.213179717044</v>
      </c>
      <c r="O99" s="1025"/>
      <c r="P99" s="1025"/>
      <c r="Q99" s="1025"/>
      <c r="R99" s="1025"/>
      <c r="S99" s="1025"/>
      <c r="T99" s="1025"/>
      <c r="U99" s="1025"/>
      <c r="V99" s="1025"/>
      <c r="W99" s="1025">
        <f t="shared" si="21"/>
        <v>131.64934987970557</v>
      </c>
      <c r="X99" s="1025">
        <f t="shared" si="21"/>
        <v>748.1562328710902</v>
      </c>
      <c r="Y99" s="1025" t="e">
        <f t="shared" si="21"/>
        <v>#DIV/0!</v>
      </c>
      <c r="Z99" s="1025" t="e">
        <f t="shared" si="21"/>
        <v>#DIV/0!</v>
      </c>
      <c r="AA99" s="1025"/>
      <c r="AB99" s="1025"/>
      <c r="AC99" s="1025"/>
      <c r="AD99" s="1025" t="e">
        <f>+(1000000*AD$23/AD83)</f>
        <v>#DIV/0!</v>
      </c>
      <c r="AE99" s="1025"/>
      <c r="AF99" s="1025" t="e">
        <f t="shared" ref="AF99:AS99" si="24">+(1000000*AF$23/AF83)</f>
        <v>#DIV/0!</v>
      </c>
      <c r="AG99" s="1025" t="e">
        <f t="shared" si="24"/>
        <v>#DIV/0!</v>
      </c>
      <c r="AH99" s="1025" t="e">
        <f t="shared" si="24"/>
        <v>#DIV/0!</v>
      </c>
      <c r="AI99" s="1025" t="e">
        <f t="shared" si="24"/>
        <v>#DIV/0!</v>
      </c>
      <c r="AJ99" s="1025" t="e">
        <f t="shared" si="24"/>
        <v>#DIV/0!</v>
      </c>
      <c r="AK99" s="1025" t="e">
        <f t="shared" si="24"/>
        <v>#DIV/0!</v>
      </c>
      <c r="AL99" s="1025" t="e">
        <f t="shared" si="24"/>
        <v>#DIV/0!</v>
      </c>
      <c r="AM99" s="1025" t="e">
        <f t="shared" si="24"/>
        <v>#DIV/0!</v>
      </c>
      <c r="AN99" s="1025" t="e">
        <f t="shared" si="24"/>
        <v>#DIV/0!</v>
      </c>
      <c r="AO99" s="1025">
        <f t="shared" si="24"/>
        <v>123939043.20987652</v>
      </c>
      <c r="AP99" s="1025">
        <f t="shared" si="24"/>
        <v>0</v>
      </c>
      <c r="AQ99" s="1025" t="e">
        <f t="shared" si="24"/>
        <v>#DIV/0!</v>
      </c>
      <c r="AR99" s="1025">
        <f t="shared" si="24"/>
        <v>0</v>
      </c>
      <c r="AS99" s="1025">
        <f t="shared" si="24"/>
        <v>0</v>
      </c>
      <c r="AT99" s="1025"/>
    </row>
    <row r="100" spans="1:56" x14ac:dyDescent="0.25">
      <c r="A100" s="1210"/>
      <c r="B100" s="1208" t="s">
        <v>1278</v>
      </c>
      <c r="C100" s="1025"/>
      <c r="D100" s="1025">
        <f>+(1000000*D$23/D84)</f>
        <v>85004.616440883736</v>
      </c>
      <c r="E100" s="1025"/>
      <c r="F100" s="1025">
        <f>+(1000000*F$23/F84)</f>
        <v>112883.68541156304</v>
      </c>
      <c r="G100" s="1025"/>
      <c r="H100" s="1025"/>
      <c r="I100" s="1025"/>
      <c r="J100" s="1025"/>
      <c r="K100" s="1025"/>
      <c r="L100" s="1025"/>
      <c r="M100" s="1025">
        <f t="shared" si="20"/>
        <v>2304503.9884379744</v>
      </c>
      <c r="N100" s="1025">
        <f t="shared" si="20"/>
        <v>35767.002137609481</v>
      </c>
      <c r="O100" s="1025"/>
      <c r="P100" s="1025"/>
      <c r="Q100" s="1025"/>
      <c r="R100" s="1025"/>
      <c r="S100" s="1025"/>
      <c r="T100" s="1025"/>
      <c r="U100" s="1025"/>
      <c r="V100" s="1025"/>
      <c r="W100" s="1025" t="e">
        <f t="shared" si="21"/>
        <v>#DIV/0!</v>
      </c>
      <c r="X100" s="1025">
        <f t="shared" si="21"/>
        <v>2560.9244552978103</v>
      </c>
      <c r="Y100" s="1025" t="e">
        <f t="shared" si="21"/>
        <v>#DIV/0!</v>
      </c>
      <c r="Z100" s="1025" t="e">
        <f t="shared" si="21"/>
        <v>#DIV/0!</v>
      </c>
      <c r="AA100" s="1025"/>
      <c r="AB100" s="1025"/>
      <c r="AC100" s="1025"/>
      <c r="AD100" s="1025" t="e">
        <f>+(1000000*AD$23/AD84)</f>
        <v>#DIV/0!</v>
      </c>
      <c r="AE100" s="1025"/>
      <c r="AF100" s="1025" t="e">
        <f t="shared" ref="AF100:AS100" si="25">+(1000000*AF$23/AF84)</f>
        <v>#DIV/0!</v>
      </c>
      <c r="AG100" s="1025" t="e">
        <f t="shared" si="25"/>
        <v>#DIV/0!</v>
      </c>
      <c r="AH100" s="1025" t="e">
        <f t="shared" si="25"/>
        <v>#DIV/0!</v>
      </c>
      <c r="AI100" s="1025" t="e">
        <f t="shared" si="25"/>
        <v>#DIV/0!</v>
      </c>
      <c r="AJ100" s="1025" t="e">
        <f t="shared" si="25"/>
        <v>#DIV/0!</v>
      </c>
      <c r="AK100" s="1025" t="e">
        <f t="shared" si="25"/>
        <v>#DIV/0!</v>
      </c>
      <c r="AL100" s="1025" t="e">
        <f t="shared" si="25"/>
        <v>#DIV/0!</v>
      </c>
      <c r="AM100" s="1025">
        <f t="shared" si="25"/>
        <v>1156890.9382385509</v>
      </c>
      <c r="AN100" s="1025">
        <f t="shared" si="25"/>
        <v>1464905.8845818294</v>
      </c>
      <c r="AO100" s="1025" t="e">
        <f t="shared" si="25"/>
        <v>#DIV/0!</v>
      </c>
      <c r="AP100" s="1025" t="e">
        <f t="shared" si="25"/>
        <v>#DIV/0!</v>
      </c>
      <c r="AQ100" s="1025" t="e">
        <f t="shared" si="25"/>
        <v>#DIV/0!</v>
      </c>
      <c r="AR100" s="1025">
        <f t="shared" si="25"/>
        <v>0</v>
      </c>
      <c r="AS100" s="1025">
        <f t="shared" si="25"/>
        <v>0</v>
      </c>
      <c r="AT100" s="1025"/>
    </row>
    <row r="101" spans="1:56" x14ac:dyDescent="0.25">
      <c r="A101" s="1210"/>
      <c r="B101" s="1208" t="s">
        <v>1277</v>
      </c>
      <c r="C101" s="1025"/>
      <c r="D101" s="1025">
        <f>+(1000000*D$23/D90)</f>
        <v>360.40672589475537</v>
      </c>
      <c r="E101" s="1025"/>
      <c r="F101" s="1025">
        <f>+(1000000*F$23/F90)</f>
        <v>115.61290485680546</v>
      </c>
      <c r="G101" s="1025"/>
      <c r="H101" s="1025"/>
      <c r="I101" s="1025"/>
      <c r="J101" s="1025"/>
      <c r="K101" s="1025"/>
      <c r="L101" s="1025"/>
      <c r="M101" s="1025">
        <f>+(1000000*M$23/M90)</f>
        <v>6553.8020177284579</v>
      </c>
      <c r="N101" s="1025">
        <f>+(1000000*N$23/N90)</f>
        <v>482.75414511112177</v>
      </c>
      <c r="O101" s="1025"/>
      <c r="P101" s="1025"/>
      <c r="Q101" s="1025"/>
      <c r="R101" s="1025"/>
      <c r="S101" s="1025"/>
      <c r="T101" s="1025"/>
      <c r="U101" s="1025"/>
      <c r="V101" s="1025"/>
      <c r="W101" s="1025">
        <f>+(1000000*W$23/W90)</f>
        <v>131.64934987970557</v>
      </c>
      <c r="X101" s="1025">
        <f>+(1000000*X$23/X90)</f>
        <v>579.00419291476169</v>
      </c>
      <c r="Y101" s="1025" t="e">
        <f>+(1000000*Y$23/Y90)</f>
        <v>#DIV/0!</v>
      </c>
      <c r="Z101" s="1025" t="e">
        <f>+(1000000*Z$23/Z90)</f>
        <v>#DIV/0!</v>
      </c>
      <c r="AA101" s="1025"/>
      <c r="AB101" s="1025"/>
      <c r="AC101" s="1025"/>
      <c r="AD101" s="1025" t="e">
        <f>+(1000000*AD$23/AD90)</f>
        <v>#DIV/0!</v>
      </c>
      <c r="AE101" s="1025"/>
      <c r="AF101" s="1025">
        <f t="shared" ref="AF101:AS101" si="26">+(1000000*AF$23/AF90)</f>
        <v>5757.9467162010023</v>
      </c>
      <c r="AG101" s="1025" t="e">
        <f t="shared" si="26"/>
        <v>#DIV/0!</v>
      </c>
      <c r="AH101" s="1025">
        <f t="shared" si="26"/>
        <v>2089615.7223342261</v>
      </c>
      <c r="AI101" s="1025" t="e">
        <f t="shared" si="26"/>
        <v>#DIV/0!</v>
      </c>
      <c r="AJ101" s="1025" t="e">
        <f t="shared" si="26"/>
        <v>#DIV/0!</v>
      </c>
      <c r="AK101" s="1025" t="e">
        <f t="shared" si="26"/>
        <v>#DIV/0!</v>
      </c>
      <c r="AL101" s="1025" t="e">
        <f t="shared" si="26"/>
        <v>#DIV/0!</v>
      </c>
      <c r="AM101" s="1025">
        <f t="shared" si="26"/>
        <v>685.95218136299161</v>
      </c>
      <c r="AN101" s="1025">
        <f t="shared" si="26"/>
        <v>30860.457311230744</v>
      </c>
      <c r="AO101" s="1025">
        <f t="shared" si="26"/>
        <v>1792148.7903200684</v>
      </c>
      <c r="AP101" s="1025">
        <f t="shared" si="26"/>
        <v>0</v>
      </c>
      <c r="AQ101" s="1025" t="e">
        <f t="shared" si="26"/>
        <v>#DIV/0!</v>
      </c>
      <c r="AR101" s="1025">
        <f t="shared" si="26"/>
        <v>0</v>
      </c>
      <c r="AS101" s="1025">
        <f t="shared" si="26"/>
        <v>0</v>
      </c>
      <c r="AT101" s="1025"/>
    </row>
    <row r="102" spans="1:56" x14ac:dyDescent="0.25">
      <c r="A102" s="1210"/>
      <c r="B102" s="1208" t="s">
        <v>1281</v>
      </c>
      <c r="C102" s="1025"/>
      <c r="D102" s="1025">
        <f>+(1000000*D$23/D93)</f>
        <v>2034.5420883867541</v>
      </c>
      <c r="E102" s="1025"/>
      <c r="F102" s="1025">
        <f>+(1000000*F$23/F93)</f>
        <v>1031.4903268354442</v>
      </c>
      <c r="G102" s="1025"/>
      <c r="H102" s="1025"/>
      <c r="I102" s="1025"/>
      <c r="J102" s="1025"/>
      <c r="K102" s="1025"/>
      <c r="L102" s="1025"/>
      <c r="M102" s="1025">
        <f>+(1000000*M$23/M93)</f>
        <v>6881.2293264901818</v>
      </c>
      <c r="N102" s="1025">
        <f>+(1000000*N$23/N93)</f>
        <v>624.6167234928173</v>
      </c>
      <c r="O102" s="1025"/>
      <c r="P102" s="1025"/>
      <c r="Q102" s="1025"/>
      <c r="R102" s="1025"/>
      <c r="S102" s="1025"/>
      <c r="T102" s="1025"/>
      <c r="U102" s="1025"/>
      <c r="V102" s="1025"/>
      <c r="W102" s="1025">
        <f t="shared" ref="W102:Z103" si="27">+(1000000*W$23/W93)</f>
        <v>138.57826303126902</v>
      </c>
      <c r="X102" s="1025">
        <f t="shared" si="27"/>
        <v>12060.707031949325</v>
      </c>
      <c r="Y102" s="1025" t="e">
        <f t="shared" si="27"/>
        <v>#DIV/0!</v>
      </c>
      <c r="Z102" s="1025" t="e">
        <f t="shared" si="27"/>
        <v>#DIV/0!</v>
      </c>
      <c r="AA102" s="1025"/>
      <c r="AB102" s="1025"/>
      <c r="AC102" s="1025"/>
      <c r="AD102" s="1025" t="e">
        <f>+(1000000*AD$23/AD93)</f>
        <v>#DIV/0!</v>
      </c>
      <c r="AE102" s="1025"/>
      <c r="AF102" s="1025">
        <f t="shared" ref="AF102:AS102" si="28">+(1000000*AF$23/AF93)</f>
        <v>7400.4437431411397</v>
      </c>
      <c r="AG102" s="1025" t="e">
        <f t="shared" si="28"/>
        <v>#DIV/0!</v>
      </c>
      <c r="AH102" s="1025">
        <f t="shared" si="28"/>
        <v>2544845.9774128566</v>
      </c>
      <c r="AI102" s="1025" t="e">
        <f t="shared" si="28"/>
        <v>#DIV/0!</v>
      </c>
      <c r="AJ102" s="1025" t="e">
        <f t="shared" si="28"/>
        <v>#DIV/0!</v>
      </c>
      <c r="AK102" s="1025" t="e">
        <f t="shared" si="28"/>
        <v>#DIV/0!</v>
      </c>
      <c r="AL102" s="1025" t="e">
        <f t="shared" si="28"/>
        <v>#DIV/0!</v>
      </c>
      <c r="AM102" s="1025">
        <f t="shared" si="28"/>
        <v>857.9489280162129</v>
      </c>
      <c r="AN102" s="1025">
        <f t="shared" si="28"/>
        <v>38575.571600682539</v>
      </c>
      <c r="AO102" s="1025">
        <f t="shared" si="28"/>
        <v>23985351.916588724</v>
      </c>
      <c r="AP102" s="1025">
        <f t="shared" si="28"/>
        <v>0</v>
      </c>
      <c r="AQ102" s="1025" t="e">
        <f t="shared" si="28"/>
        <v>#DIV/0!</v>
      </c>
      <c r="AR102" s="1025">
        <f t="shared" si="28"/>
        <v>0</v>
      </c>
      <c r="AS102" s="1025">
        <f t="shared" si="28"/>
        <v>0</v>
      </c>
      <c r="AT102" s="1025"/>
    </row>
    <row r="103" spans="1:56" x14ac:dyDescent="0.25">
      <c r="A103" s="1211"/>
      <c r="B103" s="1212" t="s">
        <v>1282</v>
      </c>
      <c r="C103" s="1028"/>
      <c r="D103" s="1028">
        <f>+(1000000*D$23/D94)</f>
        <v>437.99484151572136</v>
      </c>
      <c r="E103" s="1028"/>
      <c r="F103" s="1028">
        <f>+(1000000*F$23/F94)</f>
        <v>130.20693616347577</v>
      </c>
      <c r="G103" s="1028"/>
      <c r="H103" s="1028"/>
      <c r="I103" s="1028"/>
      <c r="J103" s="1028"/>
      <c r="K103" s="1028"/>
      <c r="L103" s="1028"/>
      <c r="M103" s="1028">
        <f>+(1000000*M$23/M94)</f>
        <v>137735.04358862899</v>
      </c>
      <c r="N103" s="1028">
        <f>+(1000000*N$23/N94)</f>
        <v>2125.5521774077115</v>
      </c>
      <c r="O103" s="1028"/>
      <c r="P103" s="1028"/>
      <c r="Q103" s="1028"/>
      <c r="R103" s="1028"/>
      <c r="S103" s="1028"/>
      <c r="T103" s="1028"/>
      <c r="U103" s="1028"/>
      <c r="V103" s="1028"/>
      <c r="W103" s="1028">
        <f t="shared" si="27"/>
        <v>2632.9869975941078</v>
      </c>
      <c r="X103" s="1028">
        <f t="shared" si="27"/>
        <v>608.20246255409893</v>
      </c>
      <c r="Y103" s="1028" t="e">
        <f t="shared" si="27"/>
        <v>#DIV/0!</v>
      </c>
      <c r="Z103" s="1028" t="e">
        <f t="shared" si="27"/>
        <v>#DIV/0!</v>
      </c>
      <c r="AA103" s="1028"/>
      <c r="AB103" s="1028"/>
      <c r="AC103" s="1028"/>
      <c r="AD103" s="1028" t="e">
        <f>+(1000000*AD$23/AD94)</f>
        <v>#DIV/0!</v>
      </c>
      <c r="AE103" s="1028"/>
      <c r="AF103" s="1028">
        <f t="shared" ref="AF103:AS103" si="29">+(1000000*AF$23/AF94)</f>
        <v>25943.036760700819</v>
      </c>
      <c r="AG103" s="1028" t="e">
        <f t="shared" si="29"/>
        <v>#DIV/0!</v>
      </c>
      <c r="AH103" s="1028">
        <f t="shared" si="29"/>
        <v>11681451.542368149</v>
      </c>
      <c r="AI103" s="1028" t="e">
        <f t="shared" si="29"/>
        <v>#DIV/0!</v>
      </c>
      <c r="AJ103" s="1028" t="e">
        <f t="shared" si="29"/>
        <v>#DIV/0!</v>
      </c>
      <c r="AK103" s="1028" t="e">
        <f t="shared" si="29"/>
        <v>#DIV/0!</v>
      </c>
      <c r="AL103" s="1028" t="e">
        <f t="shared" si="29"/>
        <v>#DIV/0!</v>
      </c>
      <c r="AM103" s="1028">
        <f t="shared" si="29"/>
        <v>3421.6457585521384</v>
      </c>
      <c r="AN103" s="1028">
        <f t="shared" si="29"/>
        <v>154302.28716984804</v>
      </c>
      <c r="AO103" s="1028">
        <f t="shared" si="29"/>
        <v>1936868.6519989842</v>
      </c>
      <c r="AP103" s="1028">
        <f t="shared" si="29"/>
        <v>0</v>
      </c>
      <c r="AQ103" s="1028" t="e">
        <f t="shared" si="29"/>
        <v>#DIV/0!</v>
      </c>
      <c r="AR103" s="1028">
        <f t="shared" si="29"/>
        <v>0</v>
      </c>
      <c r="AS103" s="1028">
        <f t="shared" si="29"/>
        <v>0</v>
      </c>
      <c r="AT103" s="1028"/>
    </row>
    <row r="106" spans="1:56" ht="150" x14ac:dyDescent="0.25">
      <c r="A106" s="1218"/>
      <c r="B106" s="1219" t="s">
        <v>1407</v>
      </c>
      <c r="C106" s="297" t="s">
        <v>1050</v>
      </c>
      <c r="D106" s="717" t="str">
        <f>PSUT_2015!AA3</f>
        <v xml:space="preserve">Total </v>
      </c>
      <c r="E106" s="297"/>
      <c r="F106" s="717" t="str">
        <f>PSUT_2015!C4</f>
        <v xml:space="preserve">A. Agriculture, forestry and fishing </v>
      </c>
      <c r="G106" s="297"/>
      <c r="H106" s="297"/>
      <c r="I106" s="297"/>
      <c r="J106" s="297"/>
      <c r="K106" s="297"/>
      <c r="L106" s="297"/>
      <c r="M106" s="717" t="str">
        <f>PSUT_2015!D4</f>
        <v xml:space="preserve">B. Mining and Quarrying </v>
      </c>
      <c r="N106" s="717" t="str">
        <f>PSUT_2015!E4</f>
        <v>C. Manufacturing</v>
      </c>
      <c r="O106" s="297"/>
      <c r="P106" s="297"/>
      <c r="Q106" s="297"/>
      <c r="R106" s="297"/>
      <c r="S106" s="297"/>
      <c r="T106" s="297"/>
      <c r="U106" s="297"/>
      <c r="V106" s="297"/>
      <c r="W106" s="717" t="str">
        <f>PSUT_2015!F4</f>
        <v>D. Electricity, gas, steam and air conditioning supply</v>
      </c>
      <c r="X106" s="717" t="str">
        <f>PSUT_2015!G4</f>
        <v>E. Water supply (WASAC &amp; AquaVirunga)</v>
      </c>
      <c r="Y106" s="717" t="str">
        <f>PSUT_2015!H4</f>
        <v>F. Construction</v>
      </c>
      <c r="Z106" s="717" t="str">
        <f>PSUT_2015!I4</f>
        <v>G. Wholesale and retail trade; repair of motor vehicles and motorcycles</v>
      </c>
      <c r="AA106" s="297"/>
      <c r="AB106" s="297"/>
      <c r="AC106" s="297"/>
      <c r="AD106" s="717" t="str">
        <f>PSUT_2015!J4</f>
        <v>H. Transportation and storage</v>
      </c>
      <c r="AE106" s="297"/>
      <c r="AF106" s="717" t="str">
        <f>PSUT_2015!K4</f>
        <v>I. Accommodation and food service activities</v>
      </c>
      <c r="AG106" s="717" t="str">
        <f>PSUT_2015!L4</f>
        <v>J. Information and communication</v>
      </c>
      <c r="AH106" s="717" t="str">
        <f>PSUT_2015!M4</f>
        <v>K. Banking and insurance activities</v>
      </c>
      <c r="AI106" s="717" t="str">
        <f>PSUT_2015!N4</f>
        <v>L. Real estate activities</v>
      </c>
      <c r="AJ106" s="717" t="str">
        <f>PSUT_2015!O4</f>
        <v>M. Professional, scientific and technical activities</v>
      </c>
      <c r="AK106" s="717" t="str">
        <f>PSUT_2015!P4</f>
        <v>N. Administrative and support service activities</v>
      </c>
      <c r="AL106" s="717" t="str">
        <f>PSUT_2015!Q4</f>
        <v>O. Public administration and defence; compulsory social security</v>
      </c>
      <c r="AM106" s="717" t="str">
        <f>PSUT_2015!R4</f>
        <v>P. Education</v>
      </c>
      <c r="AN106" s="717" t="str">
        <f>PSUT_2015!S4</f>
        <v xml:space="preserve">Q. Human health and social work activities </v>
      </c>
      <c r="AO106" s="717" t="str">
        <f>PSUT_2015!T4</f>
        <v>R. Arts, entertainment and recreation</v>
      </c>
      <c r="AP106" s="717" t="str">
        <f>PSUT_2015!U4</f>
        <v>S. Other service activities (Religious &amp; Burial)</v>
      </c>
      <c r="AQ106" s="717" t="str">
        <f>PSUT_2015!V4</f>
        <v>T. Activities of households as employers; undifferentiated goods- and services-producing activities of households for own use</v>
      </c>
      <c r="AR106" s="717" t="str">
        <f>PSUT_2015!W3</f>
        <v xml:space="preserve">Total Production activities </v>
      </c>
      <c r="AS106" s="717" t="str">
        <f>PSUT_2015!X4</f>
        <v>Households</v>
      </c>
      <c r="AT106" s="717" t="str">
        <f>PSUT_2015!AA3</f>
        <v xml:space="preserve">Total </v>
      </c>
      <c r="AU106" s="584"/>
      <c r="AW106" s="584"/>
      <c r="AX106" s="584"/>
      <c r="AY106" s="584"/>
      <c r="AZ106" s="584"/>
      <c r="BA106" s="584"/>
      <c r="BB106" s="584"/>
      <c r="BC106" s="584"/>
      <c r="BD106" s="584"/>
    </row>
    <row r="107" spans="1:56" x14ac:dyDescent="0.25">
      <c r="A107" s="1805" t="str">
        <f>+(PSUT_2015!A6)</f>
        <v>From the environment</v>
      </c>
      <c r="B107" s="1220" t="str">
        <f>+(PSUT_2015!B9)</f>
        <v>1 - Total abstraction (1.i+1.ii)</v>
      </c>
      <c r="D107" s="1025">
        <f>+(PSUT_2015!AA9)</f>
        <v>14357623.154118931</v>
      </c>
      <c r="F107" s="1025">
        <f>+(PSUT_2015!C9)</f>
        <v>13846587.983314097</v>
      </c>
      <c r="H107" s="1024"/>
      <c r="I107" s="1024"/>
      <c r="J107" s="1024"/>
      <c r="K107" s="1024"/>
      <c r="L107" s="1024"/>
      <c r="M107" s="1025">
        <f>+(PSUT_2015!D9)</f>
        <v>22449.851322900999</v>
      </c>
      <c r="N107" s="1025">
        <f>+(PSUT_2015!E9)</f>
        <v>24551.455500526612</v>
      </c>
      <c r="P107" s="1026"/>
      <c r="Q107" s="1026"/>
      <c r="R107" s="1026"/>
      <c r="S107" s="1026"/>
      <c r="T107" s="1026"/>
      <c r="U107" s="1026"/>
      <c r="V107" s="1026"/>
      <c r="W107" s="1025">
        <f>+(PSUT_2015!F9)</f>
        <v>368457.53750127146</v>
      </c>
      <c r="X107" s="1025">
        <f>+(PSUT_2015!G9)</f>
        <v>53807.900497512448</v>
      </c>
      <c r="Y107" s="1025">
        <f>+(PSUT_2015!H9)</f>
        <v>0</v>
      </c>
      <c r="Z107" s="1025">
        <f>+(PSUT_2015!I9)</f>
        <v>0</v>
      </c>
      <c r="AB107" s="1024"/>
      <c r="AC107" s="1024"/>
      <c r="AD107" s="1025">
        <f>+(PSUT_2015!J9)</f>
        <v>0</v>
      </c>
      <c r="AF107" s="1025">
        <f>+(PSUT_2015!K9)</f>
        <v>0</v>
      </c>
      <c r="AG107" s="1025">
        <f>+(PSUT_2015!L9)</f>
        <v>0</v>
      </c>
      <c r="AH107" s="1025">
        <f>+(PSUT_2015!M9)</f>
        <v>0.06</v>
      </c>
      <c r="AI107" s="1025">
        <f>+(PSUT_2015!N9)</f>
        <v>0</v>
      </c>
      <c r="AJ107" s="1025">
        <f>+(PSUT_2015!O9)</f>
        <v>0</v>
      </c>
      <c r="AK107" s="1025">
        <f>+(PSUT_2015!P9)</f>
        <v>0</v>
      </c>
      <c r="AL107" s="1025">
        <f>+(PSUT_2015!Q9)</f>
        <v>0</v>
      </c>
      <c r="AM107" s="1025">
        <f>+(PSUT_2015!R9)</f>
        <v>133.11539999999999</v>
      </c>
      <c r="AN107" s="1025">
        <f>+(PSUT_2015!S9)</f>
        <v>588.7795155737706</v>
      </c>
      <c r="AO107" s="1025">
        <f>+SUM(PSUT_2015!T9:'PSUT_2015'!V9)</f>
        <v>11.709600000000002</v>
      </c>
      <c r="AP107" s="1025">
        <f>+(PSUT_2015!U9)</f>
        <v>11.709600000000002</v>
      </c>
      <c r="AQ107" s="1025">
        <f>+(PSUT_2015!V9)</f>
        <v>0</v>
      </c>
      <c r="AR107" s="1025">
        <f>+(PSUT_2015!W9)</f>
        <v>14316588.392651882</v>
      </c>
      <c r="AS107" s="1025">
        <f>+(PSUT_2015!X9)</f>
        <v>41034.76146704804</v>
      </c>
      <c r="AT107" s="1025">
        <f>+(PSUT_2015!AA9)</f>
        <v>14357623.154118931</v>
      </c>
      <c r="AU107" s="1025"/>
      <c r="AW107" s="584"/>
      <c r="AX107" s="584"/>
      <c r="AY107" s="584"/>
      <c r="AZ107" s="584"/>
      <c r="BA107" s="584"/>
      <c r="BB107" s="584"/>
      <c r="BC107" s="584"/>
      <c r="BD107" s="584"/>
    </row>
    <row r="108" spans="1:56" x14ac:dyDescent="0.25">
      <c r="A108" s="1805"/>
      <c r="B108" s="1220" t="str">
        <f>+B109 &amp; " &amp; "&amp; B110</f>
        <v>1.i.1 Surface water &amp; 1.i.2 Groundwater</v>
      </c>
      <c r="D108" s="1025">
        <f>+SUM(PSUT_2015!AA11,PSUT_2015!AA16)</f>
        <v>716153.65098616108</v>
      </c>
      <c r="F108" s="1025">
        <f>+SUM(PSUT_2015!C11,PSUT_2015!C16)</f>
        <v>227564.16488132768</v>
      </c>
      <c r="H108" s="1024"/>
      <c r="I108" s="1024"/>
      <c r="J108" s="1024"/>
      <c r="K108" s="1024"/>
      <c r="L108" s="1024"/>
      <c r="M108" s="1025">
        <f>+SUM(PSUT_2015!D11,PSUT_2015!D16)</f>
        <v>1090.051322901</v>
      </c>
      <c r="N108" s="1025">
        <f>+SUM(PSUT_2015!E11,PSUT_2015!E16)</f>
        <v>24523.255500526611</v>
      </c>
      <c r="P108" s="1026"/>
      <c r="Q108" s="1026"/>
      <c r="R108" s="1026"/>
      <c r="S108" s="1026"/>
      <c r="T108" s="1026"/>
      <c r="U108" s="1026"/>
      <c r="V108" s="1026"/>
      <c r="W108" s="1025">
        <f>+SUM(PSUT_2015!F11,PSUT_2015!F16)</f>
        <v>368457.53750127146</v>
      </c>
      <c r="X108" s="1025">
        <f>+SUM(PSUT_2015!G11,PSUT_2015!G16)</f>
        <v>53807.900497512448</v>
      </c>
      <c r="Y108" s="1025">
        <f>+SUM(PSUT_2015!H11,PSUT_2015!H16)</f>
        <v>0</v>
      </c>
      <c r="Z108" s="1025">
        <f>+SUM(PSUT_2015!I11,PSUT_2015!I16)</f>
        <v>0</v>
      </c>
      <c r="AB108" s="1024"/>
      <c r="AC108" s="1024"/>
      <c r="AD108" s="1025">
        <f>+SUM(PSUT_2015!J11,PSUT_2015!J16)</f>
        <v>0</v>
      </c>
      <c r="AF108" s="1025">
        <f>+SUM(PSUT_2015!K11,PSUT_2015!K16)</f>
        <v>0</v>
      </c>
      <c r="AG108" s="1025">
        <f>+SUM(PSUT_2015!L11,PSUT_2015!L16)</f>
        <v>0</v>
      </c>
      <c r="AH108" s="1025">
        <f>+SUM(PSUT_2015!M11,PSUT_2015!M16)</f>
        <v>0</v>
      </c>
      <c r="AI108" s="1025">
        <f>+SUM(PSUT_2015!N11,PSUT_2015!N16)</f>
        <v>0</v>
      </c>
      <c r="AJ108" s="1025">
        <f>+SUM(PSUT_2015!O11,PSUT_2015!O16)</f>
        <v>0</v>
      </c>
      <c r="AK108" s="1025">
        <f>+SUM(PSUT_2015!P11,PSUT_2015!P16)</f>
        <v>0</v>
      </c>
      <c r="AL108" s="1025">
        <f>+SUM(PSUT_2015!Q11,PSUT_2015!Q16)</f>
        <v>0</v>
      </c>
      <c r="AM108" s="1025">
        <f>+SUM(PSUT_2015!R11,PSUT_2015!R16)</f>
        <v>133.11539999999999</v>
      </c>
      <c r="AN108" s="1025">
        <f>+SUM(PSUT_2015!S11,PSUT_2015!S16)</f>
        <v>90.790815573770487</v>
      </c>
      <c r="AO108" s="1025">
        <f>+SUM(PSUT_2015!T11,PSUT_2015!T16)</f>
        <v>0</v>
      </c>
      <c r="AP108" s="1025">
        <f>+SUM(PSUT_2015!U11,PSUT_2015!U16)</f>
        <v>2.0736000000000003</v>
      </c>
      <c r="AQ108" s="1025">
        <f>+SUM(PSUT_2015!V11,PSUT_2015!V16)</f>
        <v>0</v>
      </c>
      <c r="AR108" s="1025">
        <f>+SUM(PSUT_2015!W11,PSUT_2015!W16)</f>
        <v>675668.889519113</v>
      </c>
      <c r="AS108" s="1025">
        <f>+SUM(PSUT_2015!X11,PSUT_2015!X16)</f>
        <v>40484.76146704804</v>
      </c>
      <c r="AT108" s="1025">
        <f>+SUM(PSUT_2015!AA11,PSUT_2015!AA16)</f>
        <v>716153.65098616108</v>
      </c>
      <c r="AU108" s="1025"/>
      <c r="AW108" s="584"/>
      <c r="AX108" s="584"/>
      <c r="AY108" s="584"/>
      <c r="AZ108" s="584"/>
      <c r="BA108" s="584"/>
      <c r="BB108" s="584"/>
      <c r="BC108" s="584"/>
      <c r="BD108" s="584"/>
    </row>
    <row r="109" spans="1:56" x14ac:dyDescent="0.25">
      <c r="A109" s="1805"/>
      <c r="B109" s="1220" t="str">
        <f>+(PSUT_2015!B11)</f>
        <v>1.i.1 Surface water</v>
      </c>
      <c r="D109" s="1025">
        <f>+(PSUT_2015!AA11)</f>
        <v>651418.35844372853</v>
      </c>
      <c r="E109" s="578"/>
      <c r="F109" s="1025">
        <f>+(PSUT_2015!C11)</f>
        <v>213589.91369091149</v>
      </c>
      <c r="H109" s="1024"/>
      <c r="I109" s="1024"/>
      <c r="J109" s="1024"/>
      <c r="K109" s="1024"/>
      <c r="L109" s="1024"/>
      <c r="M109" s="1025">
        <f>+(PSUT_2015!D11)</f>
        <v>1026.2631929010001</v>
      </c>
      <c r="N109" s="1025">
        <f>+(PSUT_2015!E11)</f>
        <v>15398.58474661503</v>
      </c>
      <c r="P109" s="1026"/>
      <c r="Q109" s="1026"/>
      <c r="R109" s="1026"/>
      <c r="S109" s="1026"/>
      <c r="T109" s="1026"/>
      <c r="U109" s="1026"/>
      <c r="V109" s="1026"/>
      <c r="W109" s="1025">
        <f>+(PSUT_2015!F11)</f>
        <v>368457.53750127146</v>
      </c>
      <c r="X109" s="1025">
        <f>+(PSUT_2015!G11)</f>
        <v>41642.371781681206</v>
      </c>
      <c r="Y109" s="1025">
        <f>+(PSUT_2015!H11)</f>
        <v>0</v>
      </c>
      <c r="Z109" s="1025">
        <f>+(PSUT_2015!I11)</f>
        <v>0</v>
      </c>
      <c r="AB109" s="1024"/>
      <c r="AC109" s="1024"/>
      <c r="AD109" s="1025">
        <f>+(PSUT_2015!J11)</f>
        <v>0</v>
      </c>
      <c r="AF109" s="1025">
        <f>+(PSUT_2015!K11)</f>
        <v>0</v>
      </c>
      <c r="AG109" s="1025">
        <f>+(PSUT_2015!L11)</f>
        <v>0</v>
      </c>
      <c r="AH109" s="1025">
        <f>+(PSUT_2015!M11)</f>
        <v>0</v>
      </c>
      <c r="AI109" s="1025">
        <f>+(PSUT_2015!N11)</f>
        <v>0</v>
      </c>
      <c r="AJ109" s="1025">
        <f>+(PSUT_2015!O11)</f>
        <v>0</v>
      </c>
      <c r="AK109" s="1025">
        <f>+(PSUT_2015!P11)</f>
        <v>0</v>
      </c>
      <c r="AL109" s="1025">
        <f>+(PSUT_2015!Q11)</f>
        <v>0</v>
      </c>
      <c r="AM109" s="1025">
        <f>+(PSUT_2015!R11)</f>
        <v>0</v>
      </c>
      <c r="AN109" s="1025">
        <f>+(PSUT_2015!S11)</f>
        <v>0</v>
      </c>
      <c r="AO109" s="1025">
        <f>+SUM(PSUT_2015!T11:'PSUT_2015'!V11)</f>
        <v>2.0736000000000003</v>
      </c>
      <c r="AP109" s="1025">
        <f>+(PSUT_2015!U11)</f>
        <v>2.0736000000000003</v>
      </c>
      <c r="AQ109" s="1025">
        <f>+(PSUT_2015!V11)</f>
        <v>0</v>
      </c>
      <c r="AR109" s="1025">
        <f>+(PSUT_2015!W11)</f>
        <v>640116.74451338022</v>
      </c>
      <c r="AS109" s="1025">
        <f>+(PSUT_2015!X11)</f>
        <v>11301.61393034826</v>
      </c>
      <c r="AT109" s="1025">
        <f>+(PSUT_2015!AA11)</f>
        <v>651418.35844372853</v>
      </c>
      <c r="AU109" s="1025"/>
      <c r="AW109" s="584"/>
      <c r="AX109" s="584"/>
      <c r="AY109" s="584"/>
      <c r="AZ109" s="584"/>
      <c r="BA109" s="584"/>
      <c r="BB109" s="584"/>
      <c r="BC109" s="584"/>
      <c r="BD109" s="584"/>
    </row>
    <row r="110" spans="1:56" x14ac:dyDescent="0.25">
      <c r="A110" s="1805"/>
      <c r="B110" s="1220" t="str">
        <f>+(PSUT_2015!B16)</f>
        <v>1.i.2 Groundwater</v>
      </c>
      <c r="D110" s="1025">
        <f>+(PSUT_2015!AA16)</f>
        <v>64735.292542432573</v>
      </c>
      <c r="E110" s="1024"/>
      <c r="F110" s="1025">
        <f>+(PSUT_2015!C16)</f>
        <v>13974.251190416202</v>
      </c>
      <c r="H110" s="1024"/>
      <c r="I110" s="1024"/>
      <c r="J110" s="1024"/>
      <c r="K110" s="1024"/>
      <c r="L110" s="1024"/>
      <c r="M110" s="1025">
        <f>+(PSUT_2015!D16)</f>
        <v>63.788130000000002</v>
      </c>
      <c r="N110" s="1025">
        <f>+(PSUT_2015!E16)</f>
        <v>9124.6707539115796</v>
      </c>
      <c r="P110" s="1024"/>
      <c r="Q110" s="1024"/>
      <c r="R110" s="1024"/>
      <c r="S110" s="1024"/>
      <c r="T110" s="1024"/>
      <c r="U110" s="1024"/>
      <c r="V110" s="1024"/>
      <c r="W110" s="1025">
        <f>+(PSUT_2015!F16)</f>
        <v>0</v>
      </c>
      <c r="X110" s="1025">
        <f>+(PSUT_2015!G16)</f>
        <v>12165.528715831242</v>
      </c>
      <c r="Y110" s="1025">
        <f>+(PSUT_2015!H16)</f>
        <v>0</v>
      </c>
      <c r="Z110" s="1025">
        <f>+(PSUT_2015!I16)</f>
        <v>0</v>
      </c>
      <c r="AB110" s="1024"/>
      <c r="AC110" s="1024"/>
      <c r="AD110" s="1025">
        <f>+(PSUT_2015!J16)</f>
        <v>0</v>
      </c>
      <c r="AF110" s="1025">
        <f>+(PSUT_2015!K16)</f>
        <v>0</v>
      </c>
      <c r="AG110" s="1025">
        <f>+(PSUT_2015!L16)</f>
        <v>0</v>
      </c>
      <c r="AH110" s="1025">
        <f>+(PSUT_2015!M16)</f>
        <v>0</v>
      </c>
      <c r="AI110" s="1025">
        <f>+(PSUT_2015!N16)</f>
        <v>0</v>
      </c>
      <c r="AJ110" s="1025">
        <f>+(PSUT_2015!O16)</f>
        <v>0</v>
      </c>
      <c r="AK110" s="1025">
        <f>+(PSUT_2015!P16)</f>
        <v>0</v>
      </c>
      <c r="AL110" s="1025">
        <f>+(PSUT_2015!Q16)</f>
        <v>0</v>
      </c>
      <c r="AM110" s="1025">
        <f>+(PSUT_2015!R16)</f>
        <v>133.11539999999999</v>
      </c>
      <c r="AN110" s="1025">
        <f>+(PSUT_2015!S16)</f>
        <v>90.790815573770487</v>
      </c>
      <c r="AO110" s="1025">
        <f>+SUM(PSUT_2015!T16:'PSUT_2015'!V16)</f>
        <v>0</v>
      </c>
      <c r="AP110" s="1025">
        <f>+(PSUT_2015!U16)</f>
        <v>0</v>
      </c>
      <c r="AQ110" s="1025">
        <f>+(PSUT_2015!V16)</f>
        <v>0</v>
      </c>
      <c r="AR110" s="1025">
        <f>+(PSUT_2015!W16)</f>
        <v>35552.145005732797</v>
      </c>
      <c r="AS110" s="1025">
        <f>+(PSUT_2015!X16)</f>
        <v>29183.147536699777</v>
      </c>
      <c r="AT110" s="1025">
        <f>+(PSUT_2015!AA16)</f>
        <v>64735.292542432573</v>
      </c>
      <c r="AU110" s="1025"/>
    </row>
    <row r="111" spans="1:56" x14ac:dyDescent="0.25">
      <c r="A111" s="1805"/>
      <c r="B111" s="1220" t="str">
        <f>+(PSUT_2015!B19)</f>
        <v>1.i.3 Soil water (green water)</v>
      </c>
      <c r="D111" s="1025">
        <f>+(PSUT_2015!AA19)</f>
        <v>13618216.818432769</v>
      </c>
      <c r="E111" s="1024"/>
      <c r="F111" s="1025">
        <f>+(PSUT_2015!C19)</f>
        <v>13618216.818432769</v>
      </c>
      <c r="H111" s="1024"/>
      <c r="I111" s="1024"/>
      <c r="J111" s="1024"/>
      <c r="K111" s="1024"/>
      <c r="L111" s="1024"/>
      <c r="M111" s="1025">
        <f>+(PSUT_2015!D19)</f>
        <v>0</v>
      </c>
      <c r="N111" s="1025">
        <f>+(PSUT_2015!E19)</f>
        <v>0</v>
      </c>
      <c r="P111" s="1024"/>
      <c r="Q111" s="1024"/>
      <c r="R111" s="1024"/>
      <c r="S111" s="1024"/>
      <c r="T111" s="1024"/>
      <c r="U111" s="1024"/>
      <c r="V111" s="1024"/>
      <c r="W111" s="1025">
        <f>+(PSUT_2015!F19)</f>
        <v>0</v>
      </c>
      <c r="X111" s="1025">
        <f>+(PSUT_2015!G19)</f>
        <v>0</v>
      </c>
      <c r="Y111" s="1025">
        <f>+(PSUT_2015!H19)</f>
        <v>0</v>
      </c>
      <c r="Z111" s="1025">
        <f>+(PSUT_2015!I19)</f>
        <v>0</v>
      </c>
      <c r="AB111" s="1024"/>
      <c r="AC111" s="1024"/>
      <c r="AD111" s="1025">
        <f>+(PSUT_2015!J19)</f>
        <v>0</v>
      </c>
      <c r="AF111" s="1025">
        <f>+(PSUT_2015!K19)</f>
        <v>0</v>
      </c>
      <c r="AG111" s="1025">
        <f>+(PSUT_2015!L19)</f>
        <v>0</v>
      </c>
      <c r="AH111" s="1025">
        <f>+(PSUT_2015!M19)</f>
        <v>0</v>
      </c>
      <c r="AI111" s="1025">
        <f>+(PSUT_2015!N19)</f>
        <v>0</v>
      </c>
      <c r="AJ111" s="1025">
        <f>+(PSUT_2015!O19)</f>
        <v>0</v>
      </c>
      <c r="AK111" s="1025">
        <f>+(PSUT_2015!P19)</f>
        <v>0</v>
      </c>
      <c r="AL111" s="1025">
        <f>+(PSUT_2015!Q19)</f>
        <v>0</v>
      </c>
      <c r="AM111" s="1025">
        <f>+(PSUT_2015!R19)</f>
        <v>0</v>
      </c>
      <c r="AN111" s="1025">
        <f>+(PSUT_2015!S19)</f>
        <v>0</v>
      </c>
      <c r="AO111" s="1025">
        <f>+SUM(PSUT_2015!T19:'PSUT_2015'!V19)</f>
        <v>0</v>
      </c>
      <c r="AP111" s="1025">
        <f>+(PSUT_2015!U19)</f>
        <v>0</v>
      </c>
      <c r="AQ111" s="1025">
        <f>+(PSUT_2015!V19)</f>
        <v>0</v>
      </c>
      <c r="AR111" s="1025">
        <f>+(PSUT_2015!W19)</f>
        <v>13618216.818432769</v>
      </c>
      <c r="AS111" s="1025">
        <f>+(PSUT_2015!X19)</f>
        <v>0</v>
      </c>
      <c r="AT111" s="1025">
        <f>+(PSUT_2015!AA19)</f>
        <v>13618216.818432769</v>
      </c>
      <c r="AU111" s="1025"/>
    </row>
    <row r="112" spans="1:56" x14ac:dyDescent="0.25">
      <c r="A112" s="1805"/>
      <c r="B112" s="1220" t="str">
        <f>+(PSUT_2015!B20)</f>
        <v xml:space="preserve">1.ii From other sources </v>
      </c>
      <c r="D112" s="1025">
        <f>+(PSUT_2015!AA20)</f>
        <v>23252.684700000002</v>
      </c>
      <c r="E112" s="1024"/>
      <c r="F112" s="1025">
        <f>+(PSUT_2015!C20)</f>
        <v>807</v>
      </c>
      <c r="H112" s="1024"/>
      <c r="I112" s="1024"/>
      <c r="J112" s="1024"/>
      <c r="K112" s="1024"/>
      <c r="L112" s="1024"/>
      <c r="M112" s="1025">
        <f>+(PSUT_2015!D20)</f>
        <v>21359.8</v>
      </c>
      <c r="N112" s="1025">
        <f>+(PSUT_2015!E20)</f>
        <v>28.2</v>
      </c>
      <c r="P112" s="1024"/>
      <c r="Q112" s="1024"/>
      <c r="R112" s="1024"/>
      <c r="S112" s="1024"/>
      <c r="T112" s="1024"/>
      <c r="U112" s="1024"/>
      <c r="V112" s="1024"/>
      <c r="W112" s="1025">
        <f>+(PSUT_2015!F20)</f>
        <v>0</v>
      </c>
      <c r="X112" s="1025">
        <f>+(PSUT_2015!G20)</f>
        <v>0</v>
      </c>
      <c r="Y112" s="1025">
        <f>+(PSUT_2015!H20)</f>
        <v>0</v>
      </c>
      <c r="Z112" s="1025">
        <f>+(PSUT_2015!I20)</f>
        <v>0</v>
      </c>
      <c r="AB112" s="1024"/>
      <c r="AC112" s="1024"/>
      <c r="AD112" s="1025">
        <f>+(PSUT_2015!J20)</f>
        <v>0</v>
      </c>
      <c r="AF112" s="1025">
        <f>+(PSUT_2015!K20)</f>
        <v>0</v>
      </c>
      <c r="AG112" s="1025">
        <f>+(PSUT_2015!L20)</f>
        <v>0</v>
      </c>
      <c r="AH112" s="1025">
        <f>+(PSUT_2015!M20)</f>
        <v>0.06</v>
      </c>
      <c r="AI112" s="1025">
        <f>+(PSUT_2015!N20)</f>
        <v>0</v>
      </c>
      <c r="AJ112" s="1025">
        <f>+(PSUT_2015!O20)</f>
        <v>0</v>
      </c>
      <c r="AK112" s="1025">
        <f>+(PSUT_2015!P20)</f>
        <v>0</v>
      </c>
      <c r="AL112" s="1025">
        <f>+(PSUT_2015!Q20)</f>
        <v>0</v>
      </c>
      <c r="AM112" s="1025">
        <f>+(PSUT_2015!R20)</f>
        <v>0</v>
      </c>
      <c r="AN112" s="1025">
        <f>+(PSUT_2015!S20)</f>
        <v>497.98870000000005</v>
      </c>
      <c r="AO112" s="1025">
        <f>+SUM(PSUT_2015!T20:'PSUT_2015'!V20)</f>
        <v>9.636000000000001</v>
      </c>
      <c r="AP112" s="1025">
        <f>+(PSUT_2015!U20)</f>
        <v>9.636000000000001</v>
      </c>
      <c r="AQ112" s="1025">
        <f>+(PSUT_2015!V20)</f>
        <v>0</v>
      </c>
      <c r="AR112" s="1025">
        <f>+(PSUT_2015!W20)</f>
        <v>22702.684700000002</v>
      </c>
      <c r="AS112" s="1025">
        <f>+(PSUT_2015!X20)</f>
        <v>550</v>
      </c>
      <c r="AT112" s="1025">
        <f>+(PSUT_2015!AA20)</f>
        <v>23252.684700000002</v>
      </c>
      <c r="AU112" s="1025"/>
    </row>
    <row r="113" spans="1:47" x14ac:dyDescent="0.25">
      <c r="A113" s="1805"/>
      <c r="B113" s="1220" t="str">
        <f>+(PSUT_2015!B21)</f>
        <v>1.ii.1 Collection of precipitation (rainwater harvesting; ..)</v>
      </c>
      <c r="D113" s="1025">
        <f>+(PSUT_2015!AA21)</f>
        <v>23252.684700000002</v>
      </c>
      <c r="E113" s="1024"/>
      <c r="F113" s="1025">
        <f>+(PSUT_2015!C21)</f>
        <v>807</v>
      </c>
      <c r="H113" s="1024"/>
      <c r="I113" s="1024"/>
      <c r="J113" s="1024"/>
      <c r="K113" s="1024"/>
      <c r="L113" s="1024"/>
      <c r="M113" s="1025">
        <f>+(PSUT_2015!D21)</f>
        <v>21359.8</v>
      </c>
      <c r="N113" s="1025">
        <f>+(PSUT_2015!E21)</f>
        <v>28.2</v>
      </c>
      <c r="P113" s="1024"/>
      <c r="Q113" s="1024"/>
      <c r="R113" s="1024"/>
      <c r="S113" s="1024"/>
      <c r="T113" s="1024"/>
      <c r="U113" s="1024"/>
      <c r="V113" s="1024"/>
      <c r="W113" s="1025">
        <f>+(PSUT_2015!F21)</f>
        <v>0</v>
      </c>
      <c r="X113" s="1025">
        <f>+(PSUT_2015!G21)</f>
        <v>0</v>
      </c>
      <c r="Y113" s="1025">
        <f>+(PSUT_2015!H21)</f>
        <v>0</v>
      </c>
      <c r="Z113" s="1025">
        <f>+(PSUT_2015!I21)</f>
        <v>0</v>
      </c>
      <c r="AB113" s="1024"/>
      <c r="AC113" s="1024"/>
      <c r="AD113" s="1025">
        <f>+(PSUT_2015!J21)</f>
        <v>0</v>
      </c>
      <c r="AF113" s="1025">
        <f>+(PSUT_2015!K21)</f>
        <v>0</v>
      </c>
      <c r="AG113" s="1025">
        <f>+(PSUT_2015!L21)</f>
        <v>0</v>
      </c>
      <c r="AH113" s="1025">
        <f>+(PSUT_2015!M21)</f>
        <v>0.06</v>
      </c>
      <c r="AI113" s="1025">
        <f>+(PSUT_2015!N21)</f>
        <v>0</v>
      </c>
      <c r="AJ113" s="1025">
        <f>+(PSUT_2015!O21)</f>
        <v>0</v>
      </c>
      <c r="AK113" s="1025">
        <f>+(PSUT_2015!P21)</f>
        <v>0</v>
      </c>
      <c r="AL113" s="1025">
        <f>+(PSUT_2015!Q21)</f>
        <v>0</v>
      </c>
      <c r="AM113" s="1025">
        <f>+(PSUT_2015!R21)</f>
        <v>0</v>
      </c>
      <c r="AN113" s="1025">
        <f>+(PSUT_2015!S21)</f>
        <v>497.98870000000005</v>
      </c>
      <c r="AO113" s="1025">
        <f>+SUM(PSUT_2015!T21:'PSUT_2015'!V21)</f>
        <v>9.636000000000001</v>
      </c>
      <c r="AP113" s="1025">
        <f>+(PSUT_2015!U21)</f>
        <v>9.636000000000001</v>
      </c>
      <c r="AQ113" s="1025">
        <f>+(PSUT_2015!V21)</f>
        <v>0</v>
      </c>
      <c r="AR113" s="1025">
        <f>+(PSUT_2015!W21)</f>
        <v>22702.684700000002</v>
      </c>
      <c r="AS113" s="1025">
        <f>+(PSUT_2015!X21)</f>
        <v>550</v>
      </c>
      <c r="AT113" s="1025">
        <f>+(PSUT_2015!AA21)</f>
        <v>23252.684700000002</v>
      </c>
      <c r="AU113" s="1025"/>
    </row>
    <row r="114" spans="1:47" x14ac:dyDescent="0.25">
      <c r="A114" s="1221"/>
      <c r="B114" s="1220" t="str">
        <f>+(PSUT_2015!B22)</f>
        <v>1.ii.2 Abstraction from the sea</v>
      </c>
      <c r="D114" s="1025">
        <f>+(PSUT_2015!AA22)</f>
        <v>0</v>
      </c>
      <c r="E114" s="1024"/>
      <c r="F114" s="1025">
        <f>+(PSUT_2015!C22)</f>
        <v>0</v>
      </c>
      <c r="H114" s="1024"/>
      <c r="I114" s="1024"/>
      <c r="J114" s="1024"/>
      <c r="K114" s="1024"/>
      <c r="L114" s="1024"/>
      <c r="M114" s="1025">
        <f>+(PSUT_2015!D22)</f>
        <v>0</v>
      </c>
      <c r="N114" s="1025">
        <f>+(PSUT_2015!E22)</f>
        <v>0</v>
      </c>
      <c r="P114" s="1024"/>
      <c r="Q114" s="1024"/>
      <c r="R114" s="1024"/>
      <c r="S114" s="1024"/>
      <c r="T114" s="1024"/>
      <c r="U114" s="1024"/>
      <c r="V114" s="1024"/>
      <c r="W114" s="1025">
        <f>+(PSUT_2015!F22)</f>
        <v>0</v>
      </c>
      <c r="X114" s="1025">
        <f>+(PSUT_2015!G22)</f>
        <v>0</v>
      </c>
      <c r="Y114" s="1025">
        <f>+(PSUT_2015!H22)</f>
        <v>0</v>
      </c>
      <c r="Z114" s="1025">
        <f>+(PSUT_2015!I22)</f>
        <v>0</v>
      </c>
      <c r="AB114" s="1024"/>
      <c r="AC114" s="1024"/>
      <c r="AD114" s="1025">
        <f>+(PSUT_2015!J22)</f>
        <v>0</v>
      </c>
      <c r="AF114" s="1025">
        <f>+(PSUT_2015!K22)</f>
        <v>0</v>
      </c>
      <c r="AG114" s="1025">
        <f>+(PSUT_2015!L22)</f>
        <v>0</v>
      </c>
      <c r="AH114" s="1025">
        <f>+(PSUT_2015!M22)</f>
        <v>0</v>
      </c>
      <c r="AI114" s="1025">
        <f>+(PSUT_2015!N22)</f>
        <v>0</v>
      </c>
      <c r="AJ114" s="1025">
        <f>+(PSUT_2015!O22)</f>
        <v>0</v>
      </c>
      <c r="AK114" s="1025">
        <f>+(PSUT_2015!P22)</f>
        <v>0</v>
      </c>
      <c r="AL114" s="1025">
        <f>+(PSUT_2015!Q22)</f>
        <v>0</v>
      </c>
      <c r="AM114" s="1025">
        <f>+(PSUT_2015!R22)</f>
        <v>0</v>
      </c>
      <c r="AN114" s="1025">
        <f>+(PSUT_2015!S22)</f>
        <v>0</v>
      </c>
      <c r="AO114" s="1025">
        <f>+SUM(PSUT_2015!T22:'PSUT_2015'!V22)</f>
        <v>0</v>
      </c>
      <c r="AP114" s="1025">
        <f>+(PSUT_2015!U22)</f>
        <v>0</v>
      </c>
      <c r="AQ114" s="1025">
        <f>+(PSUT_2015!V22)</f>
        <v>0</v>
      </c>
      <c r="AR114" s="1025">
        <f>+(PSUT_2015!W22)</f>
        <v>0</v>
      </c>
      <c r="AS114" s="1025">
        <f>+(PSUT_2015!X22)</f>
        <v>0</v>
      </c>
      <c r="AT114" s="1025">
        <f>+(PSUT_2015!AA22)</f>
        <v>0</v>
      </c>
      <c r="AU114" s="1025"/>
    </row>
    <row r="115" spans="1:47" x14ac:dyDescent="0.25">
      <c r="A115" s="1221"/>
      <c r="B115" s="1220" t="str">
        <f>+(PSUT_2015!B23)</f>
        <v>2. Use of water received from other economic units</v>
      </c>
      <c r="D115" s="1025">
        <f>+(PSUT_2015!AA23)</f>
        <v>1160562.9602874902</v>
      </c>
      <c r="E115" s="1024"/>
      <c r="F115" s="1025">
        <f>+(PSUT_2015!C23)</f>
        <v>90250</v>
      </c>
      <c r="H115" s="1024"/>
      <c r="I115" s="1024"/>
      <c r="J115" s="1024"/>
      <c r="K115" s="1024"/>
      <c r="L115" s="1024"/>
      <c r="M115" s="1025">
        <f>+(PSUT_2015!D23)</f>
        <v>0</v>
      </c>
      <c r="N115" s="1025">
        <f>+(PSUT_2015!E23)</f>
        <v>642763.78523033194</v>
      </c>
      <c r="P115" s="1024"/>
      <c r="Q115" s="1024"/>
      <c r="R115" s="1024"/>
      <c r="S115" s="1024"/>
      <c r="T115" s="1024"/>
      <c r="U115" s="1024"/>
      <c r="V115" s="1024"/>
      <c r="W115" s="1025">
        <f>+(PSUT_2015!F23)</f>
        <v>0</v>
      </c>
      <c r="X115" s="1025">
        <f>+(PSUT_2015!G23)</f>
        <v>0</v>
      </c>
      <c r="Y115" s="1025">
        <f>+(PSUT_2015!H23)</f>
        <v>0</v>
      </c>
      <c r="Z115" s="1025">
        <f>+(PSUT_2015!I23)</f>
        <v>0</v>
      </c>
      <c r="AB115" s="1024"/>
      <c r="AC115" s="1024"/>
      <c r="AD115" s="1025">
        <f>+(PSUT_2015!J23)</f>
        <v>0</v>
      </c>
      <c r="AF115" s="1025">
        <f>+(PSUT_2015!K23)</f>
        <v>16672.61</v>
      </c>
      <c r="AG115" s="1025">
        <f>+(PSUT_2015!L23)</f>
        <v>0</v>
      </c>
      <c r="AH115" s="1025">
        <f>+(PSUT_2015!M23)</f>
        <v>76.030545405347283</v>
      </c>
      <c r="AI115" s="1025">
        <f>+(PSUT_2015!N23)</f>
        <v>0</v>
      </c>
      <c r="AJ115" s="1025">
        <f>+(PSUT_2015!O23)</f>
        <v>0</v>
      </c>
      <c r="AK115" s="1025">
        <f>+(PSUT_2015!P23)</f>
        <v>0</v>
      </c>
      <c r="AL115" s="1025">
        <f>+(PSUT_2015!Q23)</f>
        <v>0</v>
      </c>
      <c r="AM115" s="1025">
        <f>+(PSUT_2015!R23)</f>
        <v>224372.33</v>
      </c>
      <c r="AN115" s="1025">
        <f>+(PSUT_2015!S23)</f>
        <v>3720.9427500000002</v>
      </c>
      <c r="AO115" s="1025">
        <f>+SUM(PSUT_2015!T23:'PSUT_2015'!V23)</f>
        <v>131.69367175295594</v>
      </c>
      <c r="AP115" s="1025">
        <f>+(PSUT_2015!U23)</f>
        <v>131.69367175295594</v>
      </c>
      <c r="AQ115" s="1025">
        <f>+(PSUT_2015!V23)</f>
        <v>0</v>
      </c>
      <c r="AR115" s="1025">
        <f>+(PSUT_2015!W23)</f>
        <v>977987.3921974902</v>
      </c>
      <c r="AS115" s="1025">
        <f>+(PSUT_2015!X23)</f>
        <v>176061</v>
      </c>
      <c r="AT115" s="1025">
        <f>+(PSUT_2015!AA23)</f>
        <v>1160562.9602874902</v>
      </c>
      <c r="AU115" s="1025"/>
    </row>
    <row r="116" spans="1:47" x14ac:dyDescent="0.25">
      <c r="A116" s="1221"/>
      <c r="B116" s="1220" t="str">
        <f>+(PSUT_2015!A24)</f>
        <v>3. Total use of water (=1+2)</v>
      </c>
      <c r="D116" s="1025">
        <f>+(PSUT_2015!AA24)</f>
        <v>15518186.11440642</v>
      </c>
      <c r="E116" s="1024"/>
      <c r="F116" s="1025">
        <f>+(PSUT_2015!C24)</f>
        <v>13936837.983314097</v>
      </c>
      <c r="H116" s="1024"/>
      <c r="I116" s="1024"/>
      <c r="J116" s="1024"/>
      <c r="K116" s="1024"/>
      <c r="L116" s="1024"/>
      <c r="M116" s="1025">
        <f>+(PSUT_2015!D24)</f>
        <v>22449.851322900999</v>
      </c>
      <c r="N116" s="1025">
        <f>+(PSUT_2015!E24)</f>
        <v>667315.24073085852</v>
      </c>
      <c r="P116" s="1024"/>
      <c r="Q116" s="1024"/>
      <c r="R116" s="1024"/>
      <c r="S116" s="1024"/>
      <c r="T116" s="1024"/>
      <c r="U116" s="1024"/>
      <c r="V116" s="1024"/>
      <c r="W116" s="1025">
        <f>+(PSUT_2015!F24)</f>
        <v>368457.53750127146</v>
      </c>
      <c r="X116" s="1025">
        <f>+(PSUT_2015!G24)</f>
        <v>53807.900497512441</v>
      </c>
      <c r="Y116" s="1025">
        <f>+(PSUT_2015!H24)</f>
        <v>0</v>
      </c>
      <c r="Z116" s="1025">
        <f>+(PSUT_2015!I24)</f>
        <v>0</v>
      </c>
      <c r="AB116" s="1024"/>
      <c r="AC116" s="1024"/>
      <c r="AD116" s="1025">
        <f>+(PSUT_2015!J24)</f>
        <v>0</v>
      </c>
      <c r="AF116" s="1025">
        <f>+(PSUT_2015!K24)</f>
        <v>16672.61</v>
      </c>
      <c r="AG116" s="1025">
        <f>+(PSUT_2015!L24)</f>
        <v>0</v>
      </c>
      <c r="AH116" s="1025">
        <f>+(PSUT_2015!M24)</f>
        <v>76.090545405347285</v>
      </c>
      <c r="AI116" s="1025">
        <f>+(PSUT_2015!N24)</f>
        <v>0</v>
      </c>
      <c r="AJ116" s="1025">
        <f>+(PSUT_2015!O24)</f>
        <v>0</v>
      </c>
      <c r="AK116" s="1025">
        <f>+(PSUT_2015!P24)</f>
        <v>0</v>
      </c>
      <c r="AL116" s="1025">
        <f>+(PSUT_2015!Q24)</f>
        <v>0</v>
      </c>
      <c r="AM116" s="1025">
        <f>+(PSUT_2015!R24)</f>
        <v>224505.4454</v>
      </c>
      <c r="AN116" s="1025">
        <f>+(PSUT_2015!S24)</f>
        <v>4309.7222655737705</v>
      </c>
      <c r="AO116" s="1025">
        <f>+SUM(PSUT_2015!T24:'PSUT_2015'!V24)</f>
        <v>143.40327175295593</v>
      </c>
      <c r="AP116" s="1025">
        <f>+(PSUT_2015!U24)</f>
        <v>143.40327175295593</v>
      </c>
      <c r="AQ116" s="1025">
        <f>+(PSUT_2015!V24)</f>
        <v>0</v>
      </c>
      <c r="AR116" s="1025">
        <f>+(PSUT_2015!W24)</f>
        <v>15294575.784849372</v>
      </c>
      <c r="AS116" s="1025">
        <f>+(PSUT_2015!X24)</f>
        <v>217095.76146704803</v>
      </c>
      <c r="AT116" s="1025">
        <f>+(PSUT_2015!AA24)</f>
        <v>15518186.11440642</v>
      </c>
      <c r="AU116" s="1025"/>
    </row>
    <row r="117" spans="1:47" x14ac:dyDescent="0.25">
      <c r="A117" s="1221"/>
      <c r="B117" s="1220" t="str">
        <f>+(PSUT_2015!B35)</f>
        <v>4. Supply of water to other economic units</v>
      </c>
      <c r="D117" s="1025">
        <f>+(PSUT_2015!AA35)</f>
        <v>34821.028661106844</v>
      </c>
      <c r="E117" s="1024"/>
      <c r="F117" s="1025">
        <f>+(PSUT_2015!C35)</f>
        <v>0</v>
      </c>
      <c r="H117" s="1024"/>
      <c r="I117" s="1024"/>
      <c r="J117" s="1024"/>
      <c r="K117" s="1024"/>
      <c r="L117" s="1024"/>
      <c r="M117" s="1025">
        <f>+(PSUT_2015!D35)</f>
        <v>21327.358756755948</v>
      </c>
      <c r="N117" s="1025">
        <f>+(PSUT_2015!E35)</f>
        <v>816.87563283886971</v>
      </c>
      <c r="P117" s="1024"/>
      <c r="Q117" s="1024"/>
      <c r="R117" s="1024"/>
      <c r="S117" s="1024"/>
      <c r="T117" s="1024"/>
      <c r="U117" s="1024"/>
      <c r="V117" s="1024"/>
      <c r="W117" s="1025">
        <f>+(PSUT_2015!F35)</f>
        <v>0</v>
      </c>
      <c r="X117" s="1025">
        <f>+(PSUT_2015!G35)</f>
        <v>0</v>
      </c>
      <c r="Y117" s="1025">
        <f>+(PSUT_2015!H35)</f>
        <v>0</v>
      </c>
      <c r="Z117" s="1025">
        <f>+(PSUT_2015!I35)</f>
        <v>0</v>
      </c>
      <c r="AB117" s="1024"/>
      <c r="AC117" s="1024"/>
      <c r="AD117" s="1025">
        <f>+(PSUT_2015!J35)</f>
        <v>0</v>
      </c>
      <c r="AF117" s="1025">
        <f>+(PSUT_2015!K35)</f>
        <v>12671.183667903779</v>
      </c>
      <c r="AG117" s="1025">
        <f>+(PSUT_2015!L35)</f>
        <v>0</v>
      </c>
      <c r="AH117" s="1025">
        <f>+(PSUT_2015!M35)</f>
        <v>5.6106036082474233</v>
      </c>
      <c r="AI117" s="1025">
        <f>+(PSUT_2015!N35)</f>
        <v>0</v>
      </c>
      <c r="AJ117" s="1025">
        <f>+(PSUT_2015!O35)</f>
        <v>0</v>
      </c>
      <c r="AK117" s="1025">
        <f>+(PSUT_2015!P35)</f>
        <v>0</v>
      </c>
      <c r="AL117" s="1025">
        <f>+(PSUT_2015!Q35)</f>
        <v>0</v>
      </c>
      <c r="AM117" s="1025">
        <f>+(PSUT_2015!R35)</f>
        <v>0</v>
      </c>
      <c r="AN117" s="1025">
        <f>+(PSUT_2015!S35)</f>
        <v>0</v>
      </c>
      <c r="AO117" s="1025">
        <f>+SUM(PSUT_2015!T35:'PSUT_2015'!V35)</f>
        <v>0</v>
      </c>
      <c r="AP117" s="1025">
        <f>+(PSUT_2015!U35)</f>
        <v>0</v>
      </c>
      <c r="AQ117" s="1025">
        <f>+(PSUT_2015!V35)</f>
        <v>0</v>
      </c>
      <c r="AR117" s="1025">
        <f>+(PSUT_2015!W35)</f>
        <v>34821.028661106844</v>
      </c>
      <c r="AS117" s="1025">
        <f>+(PSUT_2015!X35)</f>
        <v>0</v>
      </c>
      <c r="AT117" s="1025">
        <f>+(PSUT_2015!AA35)</f>
        <v>34821.028661106844</v>
      </c>
      <c r="AU117" s="1025"/>
    </row>
    <row r="118" spans="1:47" x14ac:dyDescent="0.25">
      <c r="A118" s="1222"/>
      <c r="B118" s="1220" t="str">
        <f>+(PSUT_2015!B38)</f>
        <v>5. Total returns (= 5.a+5.b)</v>
      </c>
      <c r="D118" s="1025">
        <f>+(PSUT_2015!AA38)</f>
        <v>2696647.8338164063</v>
      </c>
      <c r="F118" s="1025">
        <f>+(PSUT_2015!C38)</f>
        <v>1557982.4711064098</v>
      </c>
      <c r="M118" s="1025">
        <f>+(PSUT_2015!D38)</f>
        <v>54.219910499999997</v>
      </c>
      <c r="N118" s="1025">
        <f>+(PSUT_2015!E38)</f>
        <v>514699.26072578516</v>
      </c>
      <c r="W118" s="1025">
        <f>+(PSUT_2015!F38)</f>
        <v>350034.66062620789</v>
      </c>
      <c r="X118" s="1025">
        <f>+(PSUT_2015!G38)</f>
        <v>2570.3302400000002</v>
      </c>
      <c r="Y118" s="1025">
        <f>+(PSUT_2015!H38)</f>
        <v>0</v>
      </c>
      <c r="Z118" s="1025">
        <f>+(PSUT_2015!I38)</f>
        <v>0</v>
      </c>
      <c r="AD118" s="1025">
        <f>+(PSUT_2015!J38)</f>
        <v>0</v>
      </c>
      <c r="AF118" s="1025">
        <f>+(PSUT_2015!K38)</f>
        <v>301.01142363711335</v>
      </c>
      <c r="AG118" s="1025">
        <f>+(PSUT_2015!L38)</f>
        <v>0</v>
      </c>
      <c r="AH118" s="1025">
        <f>+(PSUT_2015!M38)</f>
        <v>56.868619657611163</v>
      </c>
      <c r="AI118" s="1025">
        <f>+(PSUT_2015!N38)</f>
        <v>0</v>
      </c>
      <c r="AJ118" s="1025">
        <f>+(PSUT_2015!O38)</f>
        <v>0</v>
      </c>
      <c r="AK118" s="1025">
        <f>+(PSUT_2015!P38)</f>
        <v>0</v>
      </c>
      <c r="AL118" s="1025">
        <f>+(PSUT_2015!Q38)</f>
        <v>0</v>
      </c>
      <c r="AM118" s="1025">
        <f>+(PSUT_2015!R38)</f>
        <v>179497.86400000003</v>
      </c>
      <c r="AN118" s="1025">
        <f>+(PSUT_2015!S38)</f>
        <v>3447.7778158871602</v>
      </c>
      <c r="AO118" s="1025">
        <f>+SUM(PSUT_2015!T38:'PSUT_2015'!V38)</f>
        <v>10.714873014735879</v>
      </c>
      <c r="AP118" s="1025">
        <f>+(PSUT_2015!U38)</f>
        <v>10.714873014735879</v>
      </c>
      <c r="AQ118" s="1025">
        <f>+(PSUT_2015!V38)</f>
        <v>0</v>
      </c>
      <c r="AR118" s="1025">
        <f>+(PSUT_2015!W38)</f>
        <v>2608655.1793411002</v>
      </c>
      <c r="AS118" s="1025">
        <f>+(PSUT_2015!X38)</f>
        <v>82781</v>
      </c>
      <c r="AT118" s="1025">
        <f>+(PSUT_2015!AA38)</f>
        <v>2696647.8338164063</v>
      </c>
      <c r="AU118" s="1025"/>
    </row>
    <row r="119" spans="1:47" x14ac:dyDescent="0.25">
      <c r="A119" s="1222"/>
      <c r="B119" s="1220" t="str">
        <f>+(PSUT_2015!A44)</f>
        <v>6. Total supply of water (= 4+5)</v>
      </c>
      <c r="D119" s="1025">
        <f>+(PSUT_2015!AA44)</f>
        <v>2731468.862477513</v>
      </c>
      <c r="F119" s="1025">
        <f>+(PSUT_2015!C44)</f>
        <v>1557982.4711064098</v>
      </c>
      <c r="M119" s="1025">
        <f>+(PSUT_2015!D44)</f>
        <v>21381.578667255948</v>
      </c>
      <c r="N119" s="1025">
        <f>+(PSUT_2015!E44)</f>
        <v>515516.13635862403</v>
      </c>
      <c r="W119" s="1025">
        <f>+(PSUT_2015!F44)</f>
        <v>350034.66062620789</v>
      </c>
      <c r="X119" s="1025">
        <f>+(PSUT_2015!G44)</f>
        <v>2570.3302400000002</v>
      </c>
      <c r="Y119" s="1025">
        <f>+(PSUT_2015!H44)</f>
        <v>0</v>
      </c>
      <c r="Z119" s="1025">
        <f>+(PSUT_2015!I44)</f>
        <v>0</v>
      </c>
      <c r="AD119" s="1025">
        <f>+(PSUT_2015!J44)</f>
        <v>0</v>
      </c>
      <c r="AF119" s="1025">
        <f>+(PSUT_2015!K44)</f>
        <v>12972.195091540892</v>
      </c>
      <c r="AG119" s="1025">
        <f>+(PSUT_2015!L44)</f>
        <v>0</v>
      </c>
      <c r="AH119" s="1025">
        <f>+(PSUT_2015!M44)</f>
        <v>62.479223265858586</v>
      </c>
      <c r="AI119" s="1025">
        <f>+(PSUT_2015!N44)</f>
        <v>0</v>
      </c>
      <c r="AJ119" s="1025">
        <f>+(PSUT_2015!O44)</f>
        <v>0</v>
      </c>
      <c r="AK119" s="1025">
        <f>+(PSUT_2015!P44)</f>
        <v>0</v>
      </c>
      <c r="AL119" s="1025">
        <f>+(PSUT_2015!Q44)</f>
        <v>0</v>
      </c>
      <c r="AM119" s="1025">
        <f>+(PSUT_2015!R44)</f>
        <v>179497.86400000003</v>
      </c>
      <c r="AN119" s="1025">
        <f>+(PSUT_2015!S44)</f>
        <v>3447.7778158871602</v>
      </c>
      <c r="AO119" s="1025">
        <f>+SUM(PSUT_2015!T44:'PSUT_2015'!V44)</f>
        <v>10.714873014735879</v>
      </c>
      <c r="AP119" s="1025">
        <f>+(PSUT_2015!U44)</f>
        <v>10.714873014735879</v>
      </c>
      <c r="AQ119" s="1025">
        <f>+(PSUT_2015!V44)</f>
        <v>0</v>
      </c>
      <c r="AR119" s="1025">
        <f>+(PSUT_2015!W44)</f>
        <v>2643476.2080022069</v>
      </c>
      <c r="AS119" s="1025">
        <f>+(PSUT_2015!X44)</f>
        <v>82781</v>
      </c>
      <c r="AT119" s="1025">
        <f>+(PSUT_2015!AA44)</f>
        <v>2731468.862477513</v>
      </c>
      <c r="AU119" s="1025"/>
    </row>
    <row r="120" spans="1:47" x14ac:dyDescent="0.25">
      <c r="A120" s="1223"/>
      <c r="B120" s="1224" t="str">
        <f>+(PSUT_2015!A45)</f>
        <v>7. Consumption (3-6)</v>
      </c>
      <c r="C120" s="295"/>
      <c r="D120" s="1028">
        <f>+(PSUT_2015!AA45)</f>
        <v>12786717.251928911</v>
      </c>
      <c r="E120" s="295"/>
      <c r="F120" s="1028">
        <f>+(PSUT_2015!C45)</f>
        <v>12378855.512207687</v>
      </c>
      <c r="G120" s="295"/>
      <c r="H120" s="295"/>
      <c r="I120" s="295"/>
      <c r="J120" s="295"/>
      <c r="K120" s="295"/>
      <c r="L120" s="295"/>
      <c r="M120" s="1028">
        <f>+(PSUT_2015!D45)</f>
        <v>1068.2726556450507</v>
      </c>
      <c r="N120" s="1028">
        <f>+(PSUT_2015!E45)</f>
        <v>151799.10437223449</v>
      </c>
      <c r="O120" s="295"/>
      <c r="P120" s="295"/>
      <c r="Q120" s="295"/>
      <c r="R120" s="295"/>
      <c r="S120" s="295"/>
      <c r="T120" s="295"/>
      <c r="U120" s="295"/>
      <c r="V120" s="295"/>
      <c r="W120" s="1028">
        <f>+(PSUT_2015!F45)</f>
        <v>18422.876875063579</v>
      </c>
      <c r="X120" s="1028">
        <f>+(PSUT_2015!G45)</f>
        <v>51237.570257512438</v>
      </c>
      <c r="Y120" s="1028">
        <f>+(PSUT_2015!H45)</f>
        <v>0</v>
      </c>
      <c r="Z120" s="1028">
        <f>+(PSUT_2015!I45)</f>
        <v>0</v>
      </c>
      <c r="AA120" s="295"/>
      <c r="AB120" s="295"/>
      <c r="AC120" s="295"/>
      <c r="AD120" s="1028">
        <f>+(PSUT_2015!J45)</f>
        <v>0</v>
      </c>
      <c r="AE120" s="295"/>
      <c r="AF120" s="1028">
        <f>+(PSUT_2015!K45)</f>
        <v>3700.4149084591081</v>
      </c>
      <c r="AG120" s="1028">
        <f>+(PSUT_2015!L45)</f>
        <v>0</v>
      </c>
      <c r="AH120" s="1028">
        <f>+(PSUT_2015!M45)</f>
        <v>13.611322139488699</v>
      </c>
      <c r="AI120" s="1028">
        <f>+(PSUT_2015!N45)</f>
        <v>0</v>
      </c>
      <c r="AJ120" s="1028">
        <f>+(PSUT_2015!O45)</f>
        <v>0</v>
      </c>
      <c r="AK120" s="1028">
        <f>+(PSUT_2015!P45)</f>
        <v>0</v>
      </c>
      <c r="AL120" s="1028">
        <f>+(PSUT_2015!Q45)</f>
        <v>0</v>
      </c>
      <c r="AM120" s="1028">
        <f>+(PSUT_2015!R45)</f>
        <v>45007.581399999966</v>
      </c>
      <c r="AN120" s="1028">
        <f>+(PSUT_2015!S45)</f>
        <v>861.94444968661037</v>
      </c>
      <c r="AO120" s="1028">
        <f>+SUM(PSUT_2015!T45:'PSUT_2015'!V45)</f>
        <v>132.68839873822006</v>
      </c>
      <c r="AP120" s="1028">
        <f>+(PSUT_2015!U45)</f>
        <v>132.68839873822006</v>
      </c>
      <c r="AQ120" s="1028">
        <f>+(PSUT_2015!V45)</f>
        <v>0</v>
      </c>
      <c r="AR120" s="1028">
        <f>+(PSUT_2015!W45)</f>
        <v>12651099.576847168</v>
      </c>
      <c r="AS120" s="1028">
        <f>+(PSUT_2015!X45)</f>
        <v>134314.76146704803</v>
      </c>
      <c r="AT120" s="1028">
        <f>+(PSUT_2015!AA45)</f>
        <v>12786717.251928911</v>
      </c>
      <c r="AU120" s="1025"/>
    </row>
    <row r="121" spans="1:47" x14ac:dyDescent="0.25">
      <c r="B121" s="1025"/>
      <c r="F121" s="1025"/>
      <c r="M121" s="1025"/>
      <c r="N121" s="1025"/>
      <c r="W121" s="1025"/>
      <c r="X121" s="1025"/>
      <c r="Y121" s="1025"/>
      <c r="Z121" s="1025"/>
      <c r="AD121" s="1025"/>
      <c r="AF121" s="1025"/>
      <c r="AG121" s="1025"/>
      <c r="AH121" s="1025"/>
      <c r="AI121" s="1025"/>
      <c r="AJ121" s="1025"/>
      <c r="AK121" s="1025"/>
      <c r="AL121" s="1025"/>
      <c r="AM121" s="1025"/>
      <c r="AN121" s="1025"/>
      <c r="AO121" s="1025"/>
      <c r="AP121" s="1025"/>
      <c r="AQ121" s="1025"/>
      <c r="AR121" s="1025"/>
      <c r="AS121" s="1025"/>
      <c r="AU121" s="1025"/>
    </row>
    <row r="122" spans="1:47" x14ac:dyDescent="0.25">
      <c r="A122" s="1225">
        <v>2015</v>
      </c>
      <c r="B122" s="1225" t="s">
        <v>1283</v>
      </c>
      <c r="C122" s="1219"/>
      <c r="D122" s="1219"/>
      <c r="E122" s="1219"/>
      <c r="F122" s="1219"/>
      <c r="G122" s="1219"/>
      <c r="H122" s="1219"/>
      <c r="I122" s="1219"/>
      <c r="J122" s="1219"/>
      <c r="K122" s="1219"/>
      <c r="L122" s="1219"/>
      <c r="M122" s="1219"/>
      <c r="N122" s="1219"/>
      <c r="O122" s="1219"/>
      <c r="P122" s="1219"/>
      <c r="Q122" s="1219"/>
      <c r="R122" s="1219"/>
      <c r="S122" s="1219"/>
      <c r="T122" s="1219"/>
      <c r="U122" s="1219"/>
      <c r="V122" s="1219"/>
      <c r="W122" s="1219"/>
      <c r="X122" s="1219"/>
      <c r="Y122" s="1219"/>
      <c r="Z122" s="1219"/>
      <c r="AA122" s="1219"/>
      <c r="AB122" s="1219"/>
      <c r="AC122" s="1219"/>
      <c r="AD122" s="1219"/>
      <c r="AE122" s="1219"/>
      <c r="AF122" s="1219"/>
      <c r="AG122" s="1219"/>
      <c r="AH122" s="1219"/>
      <c r="AI122" s="1219"/>
      <c r="AJ122" s="1219"/>
      <c r="AK122" s="1219"/>
      <c r="AL122" s="1219"/>
      <c r="AM122" s="1219"/>
      <c r="AN122" s="1219"/>
      <c r="AO122" s="1219"/>
      <c r="AP122" s="1219"/>
      <c r="AQ122" s="1219"/>
      <c r="AR122" s="1219"/>
      <c r="AS122" s="1219"/>
      <c r="AT122" s="1219"/>
      <c r="AU122" s="1025"/>
    </row>
    <row r="123" spans="1:47" x14ac:dyDescent="0.25">
      <c r="A123" s="1226"/>
      <c r="B123" s="1227" t="s">
        <v>1280</v>
      </c>
      <c r="C123" s="1030"/>
      <c r="D123" s="1030">
        <f>+(1000000*D$24/D107)</f>
        <v>414.48364650055402</v>
      </c>
      <c r="E123" s="1030"/>
      <c r="F123" s="1030">
        <f>+(1000000*F$24/F107)</f>
        <v>119.16293039038506</v>
      </c>
      <c r="G123" s="1030"/>
      <c r="H123" s="1030"/>
      <c r="I123" s="1030"/>
      <c r="J123" s="1030"/>
      <c r="K123" s="1030"/>
      <c r="L123" s="1030"/>
      <c r="M123" s="1030">
        <f t="shared" ref="M123:N126" si="30">+(1000000*M$24/M107)</f>
        <v>6236.121477436538</v>
      </c>
      <c r="N123" s="1030">
        <f t="shared" si="30"/>
        <v>14215.043177074132</v>
      </c>
      <c r="O123" s="1030"/>
      <c r="P123" s="1030"/>
      <c r="Q123" s="1030"/>
      <c r="R123" s="1030"/>
      <c r="S123" s="1030"/>
      <c r="T123" s="1030"/>
      <c r="U123" s="1030"/>
      <c r="V123" s="1030"/>
      <c r="W123" s="1030">
        <f t="shared" ref="W123:Z126" si="31">+(1000000*W$24/W107)</f>
        <v>138.41486415466264</v>
      </c>
      <c r="X123" s="1030">
        <f t="shared" si="31"/>
        <v>576.12357503956389</v>
      </c>
      <c r="Y123" s="1030" t="e">
        <f t="shared" si="31"/>
        <v>#DIV/0!</v>
      </c>
      <c r="Z123" s="1030" t="e">
        <f t="shared" si="31"/>
        <v>#DIV/0!</v>
      </c>
      <c r="AA123" s="1030"/>
      <c r="AB123" s="1030"/>
      <c r="AC123" s="1030"/>
      <c r="AD123" s="1030" t="e">
        <f>+(1000000*AD$24/AD107)</f>
        <v>#DIV/0!</v>
      </c>
      <c r="AE123" s="1030"/>
      <c r="AF123" s="1030" t="e">
        <f t="shared" ref="AF123:AS123" si="32">+(1000000*AF$24/AF107)</f>
        <v>#DIV/0!</v>
      </c>
      <c r="AG123" s="1030" t="e">
        <f t="shared" si="32"/>
        <v>#DIV/0!</v>
      </c>
      <c r="AH123" s="1030">
        <f t="shared" si="32"/>
        <v>2983333333.3333335</v>
      </c>
      <c r="AI123" s="1030" t="e">
        <f t="shared" si="32"/>
        <v>#DIV/0!</v>
      </c>
      <c r="AJ123" s="1030" t="e">
        <f t="shared" si="32"/>
        <v>#DIV/0!</v>
      </c>
      <c r="AK123" s="1030" t="e">
        <f t="shared" si="32"/>
        <v>#DIV/0!</v>
      </c>
      <c r="AL123" s="1030" t="e">
        <f t="shared" si="32"/>
        <v>#DIV/0!</v>
      </c>
      <c r="AM123" s="1030">
        <f t="shared" si="32"/>
        <v>1179427.7746977436</v>
      </c>
      <c r="AN123" s="1030">
        <f t="shared" si="32"/>
        <v>247970.58344959872</v>
      </c>
      <c r="AO123" s="1030">
        <f t="shared" si="32"/>
        <v>26132404.181184664</v>
      </c>
      <c r="AP123" s="1030">
        <f t="shared" si="32"/>
        <v>0</v>
      </c>
      <c r="AQ123" s="1030" t="e">
        <f t="shared" si="32"/>
        <v>#DIV/0!</v>
      </c>
      <c r="AR123" s="1030">
        <f t="shared" si="32"/>
        <v>0</v>
      </c>
      <c r="AS123" s="1030">
        <f t="shared" si="32"/>
        <v>0</v>
      </c>
      <c r="AT123" s="1030"/>
    </row>
    <row r="124" spans="1:47" x14ac:dyDescent="0.25">
      <c r="A124" s="1222"/>
      <c r="B124" s="1220" t="s">
        <v>1324</v>
      </c>
      <c r="C124" s="1025"/>
      <c r="D124" s="1025">
        <f>+(1000000*D$24/D108)</f>
        <v>8309.6692892723895</v>
      </c>
      <c r="E124" s="1025"/>
      <c r="F124" s="1025">
        <f>+(1000000*F$24/F108)</f>
        <v>7250.7022397856781</v>
      </c>
      <c r="G124" s="1025"/>
      <c r="H124" s="1025"/>
      <c r="I124" s="1025"/>
      <c r="J124" s="1025"/>
      <c r="K124" s="1025"/>
      <c r="L124" s="1025"/>
      <c r="M124" s="1025">
        <f t="shared" si="30"/>
        <v>128434.31961296283</v>
      </c>
      <c r="N124" s="1025">
        <f t="shared" si="30"/>
        <v>14231.389465909435</v>
      </c>
      <c r="O124" s="1025"/>
      <c r="P124" s="1025"/>
      <c r="Q124" s="1025"/>
      <c r="R124" s="1025"/>
      <c r="S124" s="1025"/>
      <c r="T124" s="1025"/>
      <c r="U124" s="1025"/>
      <c r="V124" s="1025"/>
      <c r="W124" s="1025">
        <f t="shared" si="31"/>
        <v>138.41486415466264</v>
      </c>
      <c r="X124" s="1025">
        <f t="shared" si="31"/>
        <v>576.12357503956389</v>
      </c>
      <c r="Y124" s="1025" t="e">
        <f t="shared" si="31"/>
        <v>#DIV/0!</v>
      </c>
      <c r="Z124" s="1025" t="e">
        <f t="shared" si="31"/>
        <v>#DIV/0!</v>
      </c>
      <c r="AA124" s="1025"/>
      <c r="AB124" s="1025"/>
      <c r="AC124" s="1025"/>
      <c r="AD124" s="1025" t="e">
        <f>+(1000000*AD$24/AD108)</f>
        <v>#DIV/0!</v>
      </c>
      <c r="AE124" s="1025"/>
      <c r="AF124" s="1025" t="e">
        <f t="shared" ref="AF124:AS124" si="33">+(1000000*AF$24/AF108)</f>
        <v>#DIV/0!</v>
      </c>
      <c r="AG124" s="1025" t="e">
        <f t="shared" si="33"/>
        <v>#DIV/0!</v>
      </c>
      <c r="AH124" s="1025" t="e">
        <f t="shared" si="33"/>
        <v>#DIV/0!</v>
      </c>
      <c r="AI124" s="1025" t="e">
        <f t="shared" si="33"/>
        <v>#DIV/0!</v>
      </c>
      <c r="AJ124" s="1025" t="e">
        <f t="shared" si="33"/>
        <v>#DIV/0!</v>
      </c>
      <c r="AK124" s="1025" t="e">
        <f t="shared" si="33"/>
        <v>#DIV/0!</v>
      </c>
      <c r="AL124" s="1025" t="e">
        <f t="shared" si="33"/>
        <v>#DIV/0!</v>
      </c>
      <c r="AM124" s="1025">
        <f t="shared" si="33"/>
        <v>1179427.7746977436</v>
      </c>
      <c r="AN124" s="1025">
        <f t="shared" si="33"/>
        <v>1608092.1740522338</v>
      </c>
      <c r="AO124" s="1025" t="e">
        <f t="shared" si="33"/>
        <v>#DIV/0!</v>
      </c>
      <c r="AP124" s="1025">
        <f t="shared" si="33"/>
        <v>0</v>
      </c>
      <c r="AQ124" s="1025" t="e">
        <f t="shared" si="33"/>
        <v>#DIV/0!</v>
      </c>
      <c r="AR124" s="1025">
        <f t="shared" si="33"/>
        <v>0</v>
      </c>
      <c r="AS124" s="1025">
        <f t="shared" si="33"/>
        <v>0</v>
      </c>
      <c r="AT124" s="1025"/>
    </row>
    <row r="125" spans="1:47" x14ac:dyDescent="0.25">
      <c r="A125" s="1222"/>
      <c r="B125" s="1220" t="s">
        <v>1279</v>
      </c>
      <c r="C125" s="1025"/>
      <c r="D125" s="1025">
        <f>+(1000000*D$24/D109)</f>
        <v>9135.4502415578845</v>
      </c>
      <c r="E125" s="1025"/>
      <c r="F125" s="1025">
        <f>+(1000000*F$24/F109)</f>
        <v>7725.0838838192267</v>
      </c>
      <c r="G125" s="1025"/>
      <c r="H125" s="1025"/>
      <c r="I125" s="1025"/>
      <c r="J125" s="1025"/>
      <c r="K125" s="1025"/>
      <c r="L125" s="1025"/>
      <c r="M125" s="1025">
        <f t="shared" si="30"/>
        <v>136417.24751352871</v>
      </c>
      <c r="N125" s="1025">
        <f t="shared" si="30"/>
        <v>22664.420512847351</v>
      </c>
      <c r="O125" s="1025"/>
      <c r="P125" s="1025"/>
      <c r="Q125" s="1025"/>
      <c r="R125" s="1025"/>
      <c r="S125" s="1025"/>
      <c r="T125" s="1025"/>
      <c r="U125" s="1025"/>
      <c r="V125" s="1025"/>
      <c r="W125" s="1025">
        <f t="shared" si="31"/>
        <v>138.41486415466264</v>
      </c>
      <c r="X125" s="1025">
        <f t="shared" si="31"/>
        <v>744.43406255829871</v>
      </c>
      <c r="Y125" s="1025" t="e">
        <f t="shared" si="31"/>
        <v>#DIV/0!</v>
      </c>
      <c r="Z125" s="1025" t="e">
        <f t="shared" si="31"/>
        <v>#DIV/0!</v>
      </c>
      <c r="AA125" s="1025"/>
      <c r="AB125" s="1025"/>
      <c r="AC125" s="1025"/>
      <c r="AD125" s="1025" t="e">
        <f>+(1000000*AD$24/AD109)</f>
        <v>#DIV/0!</v>
      </c>
      <c r="AE125" s="1025"/>
      <c r="AF125" s="1025" t="e">
        <f t="shared" ref="AF125:AS125" si="34">+(1000000*AF$24/AF109)</f>
        <v>#DIV/0!</v>
      </c>
      <c r="AG125" s="1025" t="e">
        <f t="shared" si="34"/>
        <v>#DIV/0!</v>
      </c>
      <c r="AH125" s="1025" t="e">
        <f t="shared" si="34"/>
        <v>#DIV/0!</v>
      </c>
      <c r="AI125" s="1025" t="e">
        <f t="shared" si="34"/>
        <v>#DIV/0!</v>
      </c>
      <c r="AJ125" s="1025" t="e">
        <f t="shared" si="34"/>
        <v>#DIV/0!</v>
      </c>
      <c r="AK125" s="1025" t="e">
        <f t="shared" si="34"/>
        <v>#DIV/0!</v>
      </c>
      <c r="AL125" s="1025" t="e">
        <f t="shared" si="34"/>
        <v>#DIV/0!</v>
      </c>
      <c r="AM125" s="1025" t="e">
        <f t="shared" si="34"/>
        <v>#DIV/0!</v>
      </c>
      <c r="AN125" s="1025" t="e">
        <f t="shared" si="34"/>
        <v>#DIV/0!</v>
      </c>
      <c r="AO125" s="1025">
        <f t="shared" si="34"/>
        <v>147569444.44444442</v>
      </c>
      <c r="AP125" s="1025">
        <f t="shared" si="34"/>
        <v>0</v>
      </c>
      <c r="AQ125" s="1025" t="e">
        <f t="shared" si="34"/>
        <v>#DIV/0!</v>
      </c>
      <c r="AR125" s="1025">
        <f t="shared" si="34"/>
        <v>0</v>
      </c>
      <c r="AS125" s="1025">
        <f t="shared" si="34"/>
        <v>0</v>
      </c>
      <c r="AT125" s="1025"/>
    </row>
    <row r="126" spans="1:47" x14ac:dyDescent="0.25">
      <c r="A126" s="1222"/>
      <c r="B126" s="1220" t="s">
        <v>1278</v>
      </c>
      <c r="C126" s="1025"/>
      <c r="D126" s="1025">
        <f>+(1000000*D$24/D110)</f>
        <v>91928.2166848825</v>
      </c>
      <c r="E126" s="1025"/>
      <c r="F126" s="1025">
        <f>+(1000000*F$24/F110)</f>
        <v>118074.30520009546</v>
      </c>
      <c r="G126" s="1025"/>
      <c r="H126" s="1025"/>
      <c r="I126" s="1025"/>
      <c r="J126" s="1025"/>
      <c r="K126" s="1025"/>
      <c r="L126" s="1025"/>
      <c r="M126" s="1025">
        <f t="shared" si="30"/>
        <v>2194765.7032742612</v>
      </c>
      <c r="N126" s="1025">
        <f t="shared" si="30"/>
        <v>38247.955396131976</v>
      </c>
      <c r="O126" s="1025"/>
      <c r="P126" s="1025"/>
      <c r="Q126" s="1025"/>
      <c r="R126" s="1025"/>
      <c r="S126" s="1025"/>
      <c r="T126" s="1025"/>
      <c r="U126" s="1025"/>
      <c r="V126" s="1025"/>
      <c r="W126" s="1025" t="e">
        <f t="shared" si="31"/>
        <v>#DIV/0!</v>
      </c>
      <c r="X126" s="1025">
        <f t="shared" si="31"/>
        <v>2548.183537609762</v>
      </c>
      <c r="Y126" s="1025" t="e">
        <f t="shared" si="31"/>
        <v>#DIV/0!</v>
      </c>
      <c r="Z126" s="1025" t="e">
        <f t="shared" si="31"/>
        <v>#DIV/0!</v>
      </c>
      <c r="AA126" s="1025"/>
      <c r="AB126" s="1025"/>
      <c r="AC126" s="1025"/>
      <c r="AD126" s="1025" t="e">
        <f>+(1000000*AD$24/AD110)</f>
        <v>#DIV/0!</v>
      </c>
      <c r="AE126" s="1025"/>
      <c r="AF126" s="1025" t="e">
        <f t="shared" ref="AF126:AS126" si="35">+(1000000*AF$24/AF110)</f>
        <v>#DIV/0!</v>
      </c>
      <c r="AG126" s="1025" t="e">
        <f t="shared" si="35"/>
        <v>#DIV/0!</v>
      </c>
      <c r="AH126" s="1025" t="e">
        <f t="shared" si="35"/>
        <v>#DIV/0!</v>
      </c>
      <c r="AI126" s="1025" t="e">
        <f t="shared" si="35"/>
        <v>#DIV/0!</v>
      </c>
      <c r="AJ126" s="1025" t="e">
        <f t="shared" si="35"/>
        <v>#DIV/0!</v>
      </c>
      <c r="AK126" s="1025" t="e">
        <f t="shared" si="35"/>
        <v>#DIV/0!</v>
      </c>
      <c r="AL126" s="1025" t="e">
        <f t="shared" si="35"/>
        <v>#DIV/0!</v>
      </c>
      <c r="AM126" s="1025">
        <f t="shared" si="35"/>
        <v>1179427.7746977436</v>
      </c>
      <c r="AN126" s="1025">
        <f t="shared" si="35"/>
        <v>1608092.1740522338</v>
      </c>
      <c r="AO126" s="1025" t="e">
        <f t="shared" si="35"/>
        <v>#DIV/0!</v>
      </c>
      <c r="AP126" s="1025" t="e">
        <f t="shared" si="35"/>
        <v>#DIV/0!</v>
      </c>
      <c r="AQ126" s="1025" t="e">
        <f t="shared" si="35"/>
        <v>#DIV/0!</v>
      </c>
      <c r="AR126" s="1025">
        <f t="shared" si="35"/>
        <v>0</v>
      </c>
      <c r="AS126" s="1025">
        <f t="shared" si="35"/>
        <v>0</v>
      </c>
      <c r="AT126" s="1025"/>
    </row>
    <row r="127" spans="1:47" x14ac:dyDescent="0.25">
      <c r="A127" s="1222"/>
      <c r="B127" s="1220" t="s">
        <v>1277</v>
      </c>
      <c r="C127" s="1025"/>
      <c r="D127" s="1025">
        <f>+(1000000*D$24/D116)</f>
        <v>383.48554116613838</v>
      </c>
      <c r="E127" s="1025"/>
      <c r="F127" s="1025">
        <f>+(1000000*F$24/F116)</f>
        <v>118.39127368600147</v>
      </c>
      <c r="G127" s="1025"/>
      <c r="H127" s="1025"/>
      <c r="I127" s="1025"/>
      <c r="J127" s="1025"/>
      <c r="K127" s="1025"/>
      <c r="L127" s="1025"/>
      <c r="M127" s="1025">
        <f>+(1000000*M$24/M116)</f>
        <v>6236.121477436538</v>
      </c>
      <c r="N127" s="1025">
        <f>+(1000000*N$24/N116)</f>
        <v>522.99120220567329</v>
      </c>
      <c r="O127" s="1025"/>
      <c r="P127" s="1025"/>
      <c r="Q127" s="1025"/>
      <c r="R127" s="1025"/>
      <c r="S127" s="1025"/>
      <c r="T127" s="1025"/>
      <c r="U127" s="1025"/>
      <c r="V127" s="1025"/>
      <c r="W127" s="1025">
        <f>+(1000000*W$24/W116)</f>
        <v>138.41486415466264</v>
      </c>
      <c r="X127" s="1025">
        <f>+(1000000*X$24/X116)</f>
        <v>576.123575039564</v>
      </c>
      <c r="Y127" s="1025" t="e">
        <f>+(1000000*Y$24/Y116)</f>
        <v>#DIV/0!</v>
      </c>
      <c r="Z127" s="1025" t="e">
        <f>+(1000000*Z$24/Z116)</f>
        <v>#DIV/0!</v>
      </c>
      <c r="AA127" s="1025"/>
      <c r="AB127" s="1025"/>
      <c r="AC127" s="1025"/>
      <c r="AD127" s="1025" t="e">
        <f>+(1000000*AD$24/AD116)</f>
        <v>#DIV/0!</v>
      </c>
      <c r="AE127" s="1025"/>
      <c r="AF127" s="1025">
        <f t="shared" ref="AF127:AS127" si="36">+(1000000*AF$24/AF116)</f>
        <v>6297.7542208448467</v>
      </c>
      <c r="AG127" s="1025" t="e">
        <f t="shared" si="36"/>
        <v>#DIV/0!</v>
      </c>
      <c r="AH127" s="1025">
        <f t="shared" si="36"/>
        <v>2352460.4672819274</v>
      </c>
      <c r="AI127" s="1025" t="e">
        <f t="shared" si="36"/>
        <v>#DIV/0!</v>
      </c>
      <c r="AJ127" s="1025" t="e">
        <f t="shared" si="36"/>
        <v>#DIV/0!</v>
      </c>
      <c r="AK127" s="1025" t="e">
        <f t="shared" si="36"/>
        <v>#DIV/0!</v>
      </c>
      <c r="AL127" s="1025" t="e">
        <f t="shared" si="36"/>
        <v>#DIV/0!</v>
      </c>
      <c r="AM127" s="1025">
        <f t="shared" si="36"/>
        <v>699.31488619473816</v>
      </c>
      <c r="AN127" s="1025">
        <f t="shared" si="36"/>
        <v>33876.892988268337</v>
      </c>
      <c r="AO127" s="1025">
        <f t="shared" si="36"/>
        <v>2133842.5285522994</v>
      </c>
      <c r="AP127" s="1025">
        <f t="shared" si="36"/>
        <v>0</v>
      </c>
      <c r="AQ127" s="1025" t="e">
        <f t="shared" si="36"/>
        <v>#DIV/0!</v>
      </c>
      <c r="AR127" s="1025">
        <f t="shared" si="36"/>
        <v>0</v>
      </c>
      <c r="AS127" s="1025">
        <f t="shared" si="36"/>
        <v>0</v>
      </c>
      <c r="AT127" s="1025"/>
    </row>
    <row r="128" spans="1:47" x14ac:dyDescent="0.25">
      <c r="A128" s="1222"/>
      <c r="B128" s="1220" t="s">
        <v>1281</v>
      </c>
      <c r="C128" s="1025"/>
      <c r="D128" s="1025">
        <f>+(1000000*D$24/D119)</f>
        <v>2178.6812515967285</v>
      </c>
      <c r="E128" s="1025"/>
      <c r="F128" s="1025">
        <f>+(1000000*F$24/F119)</f>
        <v>1059.061979579426</v>
      </c>
      <c r="G128" s="1025"/>
      <c r="H128" s="1025"/>
      <c r="I128" s="1025"/>
      <c r="J128" s="1025"/>
      <c r="K128" s="1025"/>
      <c r="L128" s="1025"/>
      <c r="M128" s="1025">
        <f>+(1000000*M$24/M119)</f>
        <v>6547.6923934713004</v>
      </c>
      <c r="N128" s="1025">
        <f>+(1000000*N$24/N119)</f>
        <v>676.99141769873643</v>
      </c>
      <c r="O128" s="1025"/>
      <c r="P128" s="1025"/>
      <c r="Q128" s="1025"/>
      <c r="R128" s="1025"/>
      <c r="S128" s="1025"/>
      <c r="T128" s="1025"/>
      <c r="U128" s="1025"/>
      <c r="V128" s="1025"/>
      <c r="W128" s="1025">
        <f t="shared" ref="W128:Z129" si="37">+(1000000*W$24/W119)</f>
        <v>145.69985700490804</v>
      </c>
      <c r="X128" s="1025">
        <f t="shared" si="37"/>
        <v>12060.707031949325</v>
      </c>
      <c r="Y128" s="1025" t="e">
        <f t="shared" si="37"/>
        <v>#DIV/0!</v>
      </c>
      <c r="Z128" s="1025" t="e">
        <f t="shared" si="37"/>
        <v>#DIV/0!</v>
      </c>
      <c r="AA128" s="1025"/>
      <c r="AB128" s="1025"/>
      <c r="AC128" s="1025"/>
      <c r="AD128" s="1025" t="e">
        <f>+(1000000*AD$24/AD119)</f>
        <v>#DIV/0!</v>
      </c>
      <c r="AE128" s="1025"/>
      <c r="AF128" s="1025">
        <f t="shared" ref="AF128:AS128" si="38">+(1000000*AF$24/AF119)</f>
        <v>8094.2353440606212</v>
      </c>
      <c r="AG128" s="1025" t="e">
        <f t="shared" si="38"/>
        <v>#DIV/0!</v>
      </c>
      <c r="AH128" s="1025">
        <f t="shared" si="38"/>
        <v>2864952.3896660465</v>
      </c>
      <c r="AI128" s="1025" t="e">
        <f t="shared" si="38"/>
        <v>#DIV/0!</v>
      </c>
      <c r="AJ128" s="1025" t="e">
        <f t="shared" si="38"/>
        <v>#DIV/0!</v>
      </c>
      <c r="AK128" s="1025" t="e">
        <f t="shared" si="38"/>
        <v>#DIV/0!</v>
      </c>
      <c r="AL128" s="1025" t="e">
        <f t="shared" si="38"/>
        <v>#DIV/0!</v>
      </c>
      <c r="AM128" s="1025">
        <f t="shared" si="38"/>
        <v>874.66221882172351</v>
      </c>
      <c r="AN128" s="1025">
        <f t="shared" si="38"/>
        <v>42346.116193230453</v>
      </c>
      <c r="AO128" s="1025">
        <f t="shared" si="38"/>
        <v>28558434.577728208</v>
      </c>
      <c r="AP128" s="1025">
        <f t="shared" si="38"/>
        <v>0</v>
      </c>
      <c r="AQ128" s="1025" t="e">
        <f t="shared" si="38"/>
        <v>#DIV/0!</v>
      </c>
      <c r="AR128" s="1025">
        <f t="shared" si="38"/>
        <v>0</v>
      </c>
      <c r="AS128" s="1025">
        <f t="shared" si="38"/>
        <v>0</v>
      </c>
      <c r="AT128" s="1025"/>
    </row>
    <row r="129" spans="1:46" x14ac:dyDescent="0.25">
      <c r="A129" s="1223"/>
      <c r="B129" s="1224" t="s">
        <v>1282</v>
      </c>
      <c r="C129" s="1028"/>
      <c r="D129" s="1028">
        <f>+(1000000*D$24/D120)</f>
        <v>465.40483243283381</v>
      </c>
      <c r="E129" s="1028"/>
      <c r="F129" s="1028">
        <f>+(1000000*F$24/F120)</f>
        <v>133.29180539936146</v>
      </c>
      <c r="G129" s="1028"/>
      <c r="H129" s="1028"/>
      <c r="I129" s="1028"/>
      <c r="J129" s="1028"/>
      <c r="K129" s="1028"/>
      <c r="L129" s="1028"/>
      <c r="M129" s="1028">
        <f>+(1000000*M$24/M120)</f>
        <v>131052.68515505003</v>
      </c>
      <c r="N129" s="1028">
        <f>+(1000000*N$24/N120)</f>
        <v>2299.0912986166172</v>
      </c>
      <c r="O129" s="1028"/>
      <c r="P129" s="1028"/>
      <c r="Q129" s="1028"/>
      <c r="R129" s="1028"/>
      <c r="S129" s="1028"/>
      <c r="T129" s="1028"/>
      <c r="U129" s="1028"/>
      <c r="V129" s="1028"/>
      <c r="W129" s="1028">
        <f t="shared" si="37"/>
        <v>2768.2972830932517</v>
      </c>
      <c r="X129" s="1028">
        <f t="shared" si="37"/>
        <v>605.0247863862121</v>
      </c>
      <c r="Y129" s="1028" t="e">
        <f t="shared" si="37"/>
        <v>#DIV/0!</v>
      </c>
      <c r="Z129" s="1028" t="e">
        <f t="shared" si="37"/>
        <v>#DIV/0!</v>
      </c>
      <c r="AA129" s="1028"/>
      <c r="AB129" s="1028"/>
      <c r="AC129" s="1028"/>
      <c r="AD129" s="1028" t="e">
        <f>+(1000000*AD$24/AD120)</f>
        <v>#DIV/0!</v>
      </c>
      <c r="AE129" s="1028"/>
      <c r="AF129" s="1028">
        <f t="shared" ref="AF129:AS129" si="39">+(1000000*AF$24/AF120)</f>
        <v>28375.196457016522</v>
      </c>
      <c r="AG129" s="1028" t="e">
        <f t="shared" si="39"/>
        <v>#DIV/0!</v>
      </c>
      <c r="AH129" s="1028">
        <f t="shared" si="39"/>
        <v>13150816.516250934</v>
      </c>
      <c r="AI129" s="1028" t="e">
        <f t="shared" si="39"/>
        <v>#DIV/0!</v>
      </c>
      <c r="AJ129" s="1028" t="e">
        <f t="shared" si="39"/>
        <v>#DIV/0!</v>
      </c>
      <c r="AK129" s="1028" t="e">
        <f t="shared" si="39"/>
        <v>#DIV/0!</v>
      </c>
      <c r="AL129" s="1028" t="e">
        <f t="shared" si="39"/>
        <v>#DIV/0!</v>
      </c>
      <c r="AM129" s="1028">
        <f t="shared" si="39"/>
        <v>3488.3011954070503</v>
      </c>
      <c r="AN129" s="1028">
        <f t="shared" si="39"/>
        <v>169384.46561502118</v>
      </c>
      <c r="AO129" s="1028">
        <f t="shared" si="39"/>
        <v>2306154.8930415921</v>
      </c>
      <c r="AP129" s="1028">
        <f t="shared" si="39"/>
        <v>0</v>
      </c>
      <c r="AQ129" s="1028" t="e">
        <f t="shared" si="39"/>
        <v>#DIV/0!</v>
      </c>
      <c r="AR129" s="1028">
        <f t="shared" si="39"/>
        <v>0</v>
      </c>
      <c r="AS129" s="1028">
        <f t="shared" si="39"/>
        <v>0</v>
      </c>
      <c r="AT129" s="1028"/>
    </row>
  </sheetData>
  <mergeCells count="4">
    <mergeCell ref="A29:A35"/>
    <mergeCell ref="A55:A61"/>
    <mergeCell ref="A81:A87"/>
    <mergeCell ref="A107:A113"/>
  </mergeCells>
  <conditionalFormatting sqref="AP8:AP20 E8:E20 D8:D25 G8:K25 O8:Y25">
    <cfRule type="cellIs" dxfId="110" priority="10" operator="lessThan">
      <formula>0</formula>
    </cfRule>
  </conditionalFormatting>
  <conditionalFormatting sqref="L8:L25">
    <cfRule type="cellIs" dxfId="109" priority="9" operator="lessThan">
      <formula>0</formula>
    </cfRule>
  </conditionalFormatting>
  <conditionalFormatting sqref="Z8:AA25">
    <cfRule type="cellIs" dxfId="108" priority="8" operator="lessThan">
      <formula>0</formula>
    </cfRule>
  </conditionalFormatting>
  <conditionalFormatting sqref="N8:N25">
    <cfRule type="cellIs" dxfId="107" priority="7" operator="lessThan">
      <formula>0</formula>
    </cfRule>
  </conditionalFormatting>
  <conditionalFormatting sqref="AE8:AE25">
    <cfRule type="cellIs" dxfId="106" priority="6" operator="lessThan">
      <formula>0</formula>
    </cfRule>
  </conditionalFormatting>
  <conditionalFormatting sqref="AQ8:AQ25">
    <cfRule type="cellIs" dxfId="105" priority="5" operator="lessThan">
      <formula>0</formula>
    </cfRule>
  </conditionalFormatting>
  <conditionalFormatting sqref="F8:F25">
    <cfRule type="cellIs" dxfId="104" priority="4" operator="lessThan">
      <formula>0</formula>
    </cfRule>
  </conditionalFormatting>
  <conditionalFormatting sqref="M8:M25">
    <cfRule type="cellIs" dxfId="103" priority="3" operator="lessThan">
      <formula>0</formula>
    </cfRule>
  </conditionalFormatting>
  <conditionalFormatting sqref="AB8:AD25">
    <cfRule type="cellIs" dxfId="102" priority="2" operator="lessThan">
      <formula>0</formula>
    </cfRule>
  </conditionalFormatting>
  <conditionalFormatting sqref="AF8:AO25">
    <cfRule type="cellIs" dxfId="101" priority="1" operator="lessThan">
      <formula>0</formula>
    </cfRule>
  </conditionalFormatting>
  <pageMargins left="0.51181102362204722" right="0.51181102362204722" top="0.74803149606299213" bottom="0.74803149606299213" header="0.31496062992125984" footer="0.31496062992125984"/>
  <pageSetup paperSize="9" scale="19" orientation="landscape" r:id="rId1"/>
  <headerFooter>
    <oddHeader>&amp;L&amp;F    &amp;&amp;&amp;A&amp;C
&amp;D&amp;RPage &amp;P of &amp;N</oddHeader>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BD137"/>
  <sheetViews>
    <sheetView zoomScale="70" zoomScaleNormal="70" workbookViewId="0">
      <pane xSplit="4" ySplit="7" topLeftCell="AR20" activePane="bottomRight" state="frozen"/>
      <selection activeCell="Y26" sqref="Y26"/>
      <selection pane="topRight" activeCell="Y26" sqref="Y26"/>
      <selection pane="bottomLeft" activeCell="Y26" sqref="Y26"/>
      <selection pane="bottomRight" activeCell="F24" sqref="F24"/>
    </sheetView>
  </sheetViews>
  <sheetFormatPr defaultRowHeight="15" x14ac:dyDescent="0.25"/>
  <cols>
    <col min="2" max="2" width="37.7109375" customWidth="1"/>
    <col min="4" max="4" width="10.85546875" customWidth="1"/>
    <col min="6" max="6" width="13.7109375" customWidth="1"/>
    <col min="23" max="23" width="13" bestFit="1" customWidth="1"/>
    <col min="26" max="26" width="18.140625" customWidth="1"/>
    <col min="34" max="34" width="16.42578125" customWidth="1"/>
    <col min="41" max="41" width="12.5703125" bestFit="1" customWidth="1"/>
    <col min="43" max="43" width="17.5703125" customWidth="1"/>
    <col min="44" max="44" width="13" customWidth="1"/>
    <col min="45" max="45" width="14.42578125" customWidth="1"/>
    <col min="46" max="46" width="17.42578125" bestFit="1" customWidth="1"/>
  </cols>
  <sheetData>
    <row r="1" spans="1:56" ht="18" x14ac:dyDescent="0.25">
      <c r="A1" s="565"/>
      <c r="B1" s="566" t="s">
        <v>743</v>
      </c>
      <c r="C1" s="565"/>
      <c r="D1" s="565"/>
      <c r="E1" s="565"/>
      <c r="F1" s="565"/>
      <c r="G1" s="573"/>
      <c r="H1" s="573"/>
      <c r="I1" s="573"/>
      <c r="J1" s="573"/>
      <c r="K1" s="573"/>
      <c r="L1" s="565"/>
      <c r="M1" s="573"/>
      <c r="N1" s="565"/>
      <c r="O1" s="590"/>
      <c r="P1" s="590"/>
      <c r="Q1" s="590"/>
      <c r="R1" s="590"/>
      <c r="S1" s="590"/>
      <c r="T1" s="590"/>
      <c r="U1" s="590"/>
      <c r="V1" s="590"/>
      <c r="W1" s="573"/>
      <c r="X1" s="573"/>
      <c r="Y1" s="573"/>
      <c r="Z1" s="565"/>
      <c r="AA1" s="565"/>
      <c r="AB1" s="573"/>
      <c r="AC1" s="573"/>
      <c r="AD1" s="573"/>
      <c r="AE1" s="565"/>
      <c r="AF1" s="573"/>
      <c r="AG1" s="573"/>
      <c r="AH1" s="573"/>
      <c r="AI1" s="573"/>
      <c r="AJ1" s="573"/>
      <c r="AK1" s="573"/>
      <c r="AL1" s="573"/>
      <c r="AM1" s="573"/>
      <c r="AN1" s="573"/>
      <c r="AO1" s="573"/>
      <c r="AP1" s="565"/>
      <c r="AQ1" s="565"/>
      <c r="AR1" s="565"/>
      <c r="AS1" s="598"/>
      <c r="AT1" s="598"/>
      <c r="AU1" s="565"/>
      <c r="AV1" s="565"/>
      <c r="AW1" s="565"/>
      <c r="AX1" s="565"/>
      <c r="AY1" s="565"/>
      <c r="AZ1" s="565"/>
      <c r="BA1" s="565"/>
      <c r="BB1" s="565"/>
      <c r="BC1" s="565"/>
      <c r="BD1" s="565"/>
    </row>
    <row r="2" spans="1:56" ht="18" x14ac:dyDescent="0.25">
      <c r="A2" s="565"/>
      <c r="B2" s="569" t="s">
        <v>744</v>
      </c>
      <c r="C2" s="565"/>
      <c r="D2" s="565"/>
      <c r="E2" s="565"/>
      <c r="F2" s="565"/>
      <c r="G2" s="573"/>
      <c r="H2" s="573"/>
      <c r="I2" s="573"/>
      <c r="J2" s="573"/>
      <c r="K2" s="573"/>
      <c r="L2" s="565"/>
      <c r="M2" s="573"/>
      <c r="N2" s="565"/>
      <c r="O2" s="590"/>
      <c r="P2" s="590"/>
      <c r="Q2" s="590"/>
      <c r="R2" s="590"/>
      <c r="S2" s="590"/>
      <c r="T2" s="590"/>
      <c r="U2" s="590"/>
      <c r="V2" s="590"/>
      <c r="W2" s="573"/>
      <c r="X2" s="573"/>
      <c r="Y2" s="573"/>
      <c r="Z2" s="565"/>
      <c r="AA2" s="565"/>
      <c r="AB2" s="573"/>
      <c r="AC2" s="573"/>
      <c r="AD2" s="573"/>
      <c r="AE2" s="565"/>
      <c r="AF2" s="573"/>
      <c r="AG2" s="573"/>
      <c r="AH2" s="573"/>
      <c r="AI2" s="573"/>
      <c r="AJ2" s="573"/>
      <c r="AK2" s="573"/>
      <c r="AL2" s="573"/>
      <c r="AM2" s="573"/>
      <c r="AN2" s="573"/>
      <c r="AO2" s="573"/>
      <c r="AP2" s="565"/>
      <c r="AQ2" s="565"/>
      <c r="AR2" s="565"/>
      <c r="AS2" s="598"/>
      <c r="AT2" s="598"/>
      <c r="AU2" s="565"/>
      <c r="AV2" s="565"/>
      <c r="AW2" s="565"/>
      <c r="AX2" s="565"/>
      <c r="AY2" s="565"/>
      <c r="AZ2" s="565"/>
      <c r="BA2" s="565"/>
      <c r="BB2" s="565"/>
      <c r="BC2" s="565"/>
      <c r="BD2" s="565"/>
    </row>
    <row r="3" spans="1:56" ht="18" x14ac:dyDescent="0.25">
      <c r="A3" s="565"/>
      <c r="B3" s="1023" t="s">
        <v>745</v>
      </c>
      <c r="C3" s="565"/>
      <c r="D3" s="565"/>
      <c r="E3" s="565"/>
      <c r="F3" s="565"/>
      <c r="G3" s="573"/>
      <c r="H3" s="573"/>
      <c r="I3" s="573"/>
      <c r="J3" s="573"/>
      <c r="K3" s="573"/>
      <c r="L3" s="565"/>
      <c r="M3" s="573"/>
      <c r="N3" s="565"/>
      <c r="O3" s="590"/>
      <c r="P3" s="590"/>
      <c r="Q3" s="590"/>
      <c r="R3" s="590"/>
      <c r="S3" s="590"/>
      <c r="T3" s="590"/>
      <c r="U3" s="590"/>
      <c r="V3" s="590"/>
      <c r="W3" s="573"/>
      <c r="X3" s="573"/>
      <c r="Y3" s="573"/>
      <c r="Z3" s="565"/>
      <c r="AA3" s="565"/>
      <c r="AB3" s="573"/>
      <c r="AC3" s="573"/>
      <c r="AD3" s="573"/>
      <c r="AE3" s="565"/>
      <c r="AF3" s="573"/>
      <c r="AG3" s="573"/>
      <c r="AH3" s="573"/>
      <c r="AI3" s="573"/>
      <c r="AJ3" s="573"/>
      <c r="AK3" s="573"/>
      <c r="AL3" s="573"/>
      <c r="AM3" s="573"/>
      <c r="AN3" s="573"/>
      <c r="AO3" s="573"/>
      <c r="AP3" s="565"/>
      <c r="AQ3" s="565"/>
      <c r="AR3" s="565"/>
      <c r="AS3" s="598"/>
      <c r="AT3" s="598"/>
      <c r="AU3" s="565"/>
      <c r="AV3" s="565"/>
      <c r="AW3" s="565"/>
      <c r="AX3" s="565"/>
      <c r="AY3" s="565"/>
      <c r="AZ3" s="565"/>
      <c r="BA3" s="565"/>
      <c r="BB3" s="565"/>
      <c r="BC3" s="565"/>
      <c r="BD3" s="565"/>
    </row>
    <row r="4" spans="1:56" ht="18.75" thickBot="1" x14ac:dyDescent="0.3">
      <c r="A4" s="565"/>
      <c r="B4" s="574" t="s">
        <v>746</v>
      </c>
      <c r="C4" s="565"/>
      <c r="D4" s="565"/>
      <c r="E4" s="565"/>
      <c r="F4" s="565"/>
      <c r="G4" s="573"/>
      <c r="H4" s="573"/>
      <c r="I4" s="573"/>
      <c r="J4" s="573"/>
      <c r="K4" s="573"/>
      <c r="L4" s="565"/>
      <c r="M4" s="573"/>
      <c r="N4" s="565"/>
      <c r="O4" s="590"/>
      <c r="P4" s="590"/>
      <c r="Q4" s="590"/>
      <c r="R4" s="590"/>
      <c r="S4" s="590"/>
      <c r="T4" s="590"/>
      <c r="U4" s="590"/>
      <c r="V4" s="590"/>
      <c r="W4" s="573"/>
      <c r="X4" s="573"/>
      <c r="Y4" s="573"/>
      <c r="Z4" s="565"/>
      <c r="AA4" s="565"/>
      <c r="AB4" s="573"/>
      <c r="AC4" s="573"/>
      <c r="AD4" s="573"/>
      <c r="AE4" s="565"/>
      <c r="AF4" s="573"/>
      <c r="AG4" s="573"/>
      <c r="AH4" s="573"/>
      <c r="AI4" s="573"/>
      <c r="AJ4" s="573"/>
      <c r="AK4" s="573"/>
      <c r="AL4" s="573"/>
      <c r="AM4" s="573"/>
      <c r="AN4" s="573"/>
      <c r="AO4" s="573"/>
      <c r="AP4" s="565"/>
      <c r="AQ4" s="565"/>
      <c r="AR4" s="565"/>
      <c r="AS4" s="598"/>
      <c r="AT4" s="598"/>
      <c r="AU4" s="565"/>
      <c r="AV4" s="565"/>
      <c r="AW4" s="565"/>
      <c r="AX4" s="565"/>
      <c r="AY4" s="565"/>
      <c r="AZ4" s="565"/>
      <c r="BA4" s="565"/>
      <c r="BB4" s="565"/>
      <c r="BC4" s="565"/>
      <c r="BD4" s="565"/>
    </row>
    <row r="5" spans="1:56" ht="91.5" thickTop="1" thickBot="1" x14ac:dyDescent="0.3">
      <c r="B5" s="575" t="s">
        <v>747</v>
      </c>
      <c r="C5" s="579"/>
      <c r="D5" s="738" t="s">
        <v>749</v>
      </c>
      <c r="E5" s="579"/>
      <c r="F5" s="738" t="s">
        <v>750</v>
      </c>
      <c r="G5" s="739" t="s">
        <v>752</v>
      </c>
      <c r="H5" s="739" t="s">
        <v>754</v>
      </c>
      <c r="I5" s="739" t="s">
        <v>756</v>
      </c>
      <c r="J5" s="739" t="s">
        <v>220</v>
      </c>
      <c r="K5" s="739" t="s">
        <v>205</v>
      </c>
      <c r="L5" s="738" t="s">
        <v>760</v>
      </c>
      <c r="M5" s="739" t="s">
        <v>762</v>
      </c>
      <c r="N5" s="740" t="s">
        <v>764</v>
      </c>
      <c r="O5" s="741" t="s">
        <v>766</v>
      </c>
      <c r="P5" s="741" t="s">
        <v>768</v>
      </c>
      <c r="Q5" s="741" t="s">
        <v>770</v>
      </c>
      <c r="R5" s="741" t="s">
        <v>772</v>
      </c>
      <c r="S5" s="741" t="s">
        <v>774</v>
      </c>
      <c r="T5" s="741" t="s">
        <v>776</v>
      </c>
      <c r="U5" s="741" t="s">
        <v>778</v>
      </c>
      <c r="V5" s="741" t="s">
        <v>780</v>
      </c>
      <c r="W5" s="739" t="s">
        <v>698</v>
      </c>
      <c r="X5" s="739" t="s">
        <v>783</v>
      </c>
      <c r="Y5" s="739" t="s">
        <v>785</v>
      </c>
      <c r="Z5" s="738" t="s">
        <v>787</v>
      </c>
      <c r="AA5" s="738" t="s">
        <v>789</v>
      </c>
      <c r="AB5" s="739" t="s">
        <v>791</v>
      </c>
      <c r="AC5" s="739" t="s">
        <v>793</v>
      </c>
      <c r="AD5" s="739" t="s">
        <v>795</v>
      </c>
      <c r="AE5" s="738" t="s">
        <v>797</v>
      </c>
      <c r="AF5" s="739" t="s">
        <v>799</v>
      </c>
      <c r="AG5" s="739" t="s">
        <v>801</v>
      </c>
      <c r="AH5" s="739" t="s">
        <v>803</v>
      </c>
      <c r="AI5" s="739" t="s">
        <v>805</v>
      </c>
      <c r="AJ5" s="739" t="s">
        <v>807</v>
      </c>
      <c r="AK5" s="739" t="s">
        <v>809</v>
      </c>
      <c r="AL5" s="739" t="s">
        <v>811</v>
      </c>
      <c r="AM5" s="739" t="s">
        <v>813</v>
      </c>
      <c r="AN5" s="739" t="s">
        <v>814</v>
      </c>
      <c r="AO5" s="739" t="s">
        <v>816</v>
      </c>
      <c r="AP5" s="742"/>
      <c r="AQ5" s="738" t="s">
        <v>818</v>
      </c>
      <c r="AR5" s="743"/>
      <c r="AS5" s="744" t="s">
        <v>819</v>
      </c>
      <c r="AT5" s="1021">
        <v>42807</v>
      </c>
      <c r="AU5" s="603"/>
      <c r="AV5" s="584"/>
      <c r="AW5" s="584"/>
      <c r="AX5" s="584"/>
      <c r="AY5" s="584"/>
      <c r="AZ5" s="584"/>
      <c r="BA5" s="584"/>
      <c r="BB5" s="584"/>
      <c r="BC5" s="584"/>
      <c r="BD5" s="584"/>
    </row>
    <row r="6" spans="1:56" ht="19.5" thickTop="1" thickBot="1" x14ac:dyDescent="0.3">
      <c r="A6" s="567"/>
      <c r="B6" s="576" t="s">
        <v>748</v>
      </c>
      <c r="C6" s="580"/>
      <c r="D6" s="582" t="s">
        <v>1408</v>
      </c>
      <c r="E6" s="580"/>
      <c r="F6" s="582" t="s">
        <v>751</v>
      </c>
      <c r="G6" s="567" t="s">
        <v>753</v>
      </c>
      <c r="H6" s="567" t="s">
        <v>755</v>
      </c>
      <c r="I6" s="567" t="s">
        <v>757</v>
      </c>
      <c r="J6" s="567" t="s">
        <v>758</v>
      </c>
      <c r="K6" s="567" t="s">
        <v>759</v>
      </c>
      <c r="L6" s="582" t="s">
        <v>761</v>
      </c>
      <c r="M6" s="567" t="s">
        <v>763</v>
      </c>
      <c r="N6" s="588" t="s">
        <v>765</v>
      </c>
      <c r="O6" s="592" t="s">
        <v>767</v>
      </c>
      <c r="P6" s="592" t="s">
        <v>769</v>
      </c>
      <c r="Q6" s="592" t="s">
        <v>771</v>
      </c>
      <c r="R6" s="592" t="s">
        <v>773</v>
      </c>
      <c r="S6" s="592" t="s">
        <v>775</v>
      </c>
      <c r="T6" s="592" t="s">
        <v>777</v>
      </c>
      <c r="U6" s="592" t="s">
        <v>779</v>
      </c>
      <c r="V6" s="592" t="s">
        <v>781</v>
      </c>
      <c r="W6" s="567" t="s">
        <v>782</v>
      </c>
      <c r="X6" s="567" t="s">
        <v>784</v>
      </c>
      <c r="Y6" s="567" t="s">
        <v>786</v>
      </c>
      <c r="Z6" s="582" t="s">
        <v>788</v>
      </c>
      <c r="AA6" s="582" t="s">
        <v>790</v>
      </c>
      <c r="AB6" s="567" t="s">
        <v>792</v>
      </c>
      <c r="AC6" s="567" t="s">
        <v>794</v>
      </c>
      <c r="AD6" s="567" t="s">
        <v>796</v>
      </c>
      <c r="AE6" s="582" t="s">
        <v>798</v>
      </c>
      <c r="AF6" s="567" t="s">
        <v>800</v>
      </c>
      <c r="AG6" s="567" t="s">
        <v>802</v>
      </c>
      <c r="AH6" s="567" t="s">
        <v>804</v>
      </c>
      <c r="AI6" s="567" t="s">
        <v>806</v>
      </c>
      <c r="AJ6" s="567" t="s">
        <v>808</v>
      </c>
      <c r="AK6" s="567" t="s">
        <v>810</v>
      </c>
      <c r="AL6" s="567" t="s">
        <v>812</v>
      </c>
      <c r="AM6" s="567" t="s">
        <v>385</v>
      </c>
      <c r="AN6" s="567" t="s">
        <v>815</v>
      </c>
      <c r="AO6" s="567" t="s">
        <v>817</v>
      </c>
      <c r="AP6" s="572"/>
      <c r="AQ6" s="582"/>
      <c r="AR6" s="597"/>
      <c r="AS6" s="600"/>
      <c r="AT6" s="600"/>
      <c r="AU6" s="604"/>
      <c r="AV6" s="604"/>
      <c r="AW6" s="604"/>
      <c r="AX6" s="604"/>
      <c r="AY6" s="604"/>
      <c r="AZ6" s="604"/>
      <c r="BA6" s="604"/>
      <c r="BB6" s="604"/>
      <c r="BC6" s="604"/>
      <c r="BD6" s="604"/>
    </row>
    <row r="7" spans="1:56" ht="7.5" customHeight="1" thickTop="1" thickBot="1" x14ac:dyDescent="0.3">
      <c r="A7" s="567"/>
      <c r="B7" s="576"/>
      <c r="C7" s="580"/>
      <c r="D7" s="582"/>
      <c r="E7" s="580"/>
      <c r="F7" s="582"/>
      <c r="G7" s="567"/>
      <c r="H7" s="567"/>
      <c r="I7" s="567"/>
      <c r="J7" s="567"/>
      <c r="K7" s="567"/>
      <c r="L7" s="582"/>
      <c r="M7" s="567"/>
      <c r="N7" s="588"/>
      <c r="O7" s="592"/>
      <c r="P7" s="592"/>
      <c r="Q7" s="592"/>
      <c r="R7" s="592"/>
      <c r="S7" s="592"/>
      <c r="T7" s="592"/>
      <c r="U7" s="592"/>
      <c r="V7" s="592"/>
      <c r="W7" s="567"/>
      <c r="X7" s="567"/>
      <c r="Y7" s="567"/>
      <c r="Z7" s="582"/>
      <c r="AA7" s="582"/>
      <c r="AB7" s="567"/>
      <c r="AC7" s="567"/>
      <c r="AD7" s="567"/>
      <c r="AE7" s="582"/>
      <c r="AF7" s="567"/>
      <c r="AG7" s="567"/>
      <c r="AH7" s="567"/>
      <c r="AI7" s="567"/>
      <c r="AJ7" s="567"/>
      <c r="AK7" s="567"/>
      <c r="AL7" s="567"/>
      <c r="AM7" s="567"/>
      <c r="AN7" s="567"/>
      <c r="AO7" s="567"/>
      <c r="AP7" s="572"/>
      <c r="AQ7" s="582"/>
      <c r="AR7" s="597"/>
      <c r="AS7" s="601"/>
      <c r="AT7" s="601"/>
      <c r="AU7" s="604"/>
      <c r="AV7" s="604"/>
      <c r="AW7" s="604"/>
      <c r="AX7" s="604"/>
      <c r="AY7" s="604"/>
      <c r="AZ7" s="604"/>
      <c r="BA7" s="604"/>
      <c r="BB7" s="604"/>
      <c r="BC7" s="604"/>
      <c r="BD7" s="604"/>
    </row>
    <row r="8" spans="1:56" ht="19.5" thickTop="1" thickBot="1" x14ac:dyDescent="0.3">
      <c r="A8" s="568"/>
      <c r="B8" s="577">
        <v>1999</v>
      </c>
      <c r="C8" s="580"/>
      <c r="D8" s="583">
        <v>1736</v>
      </c>
      <c r="E8" s="585"/>
      <c r="F8" s="583">
        <v>702</v>
      </c>
      <c r="G8" s="586">
        <v>398</v>
      </c>
      <c r="H8" s="586">
        <v>60</v>
      </c>
      <c r="I8" s="586">
        <v>88</v>
      </c>
      <c r="J8" s="586">
        <v>153</v>
      </c>
      <c r="K8" s="586">
        <v>13</v>
      </c>
      <c r="L8" s="583">
        <v>243</v>
      </c>
      <c r="M8" s="586">
        <v>21</v>
      </c>
      <c r="N8" s="589">
        <v>114</v>
      </c>
      <c r="O8" s="593">
        <v>25</v>
      </c>
      <c r="P8" s="593">
        <v>58</v>
      </c>
      <c r="Q8" s="593">
        <v>7</v>
      </c>
      <c r="R8" s="593">
        <v>2</v>
      </c>
      <c r="S8" s="593">
        <v>13</v>
      </c>
      <c r="T8" s="593">
        <v>5</v>
      </c>
      <c r="U8" s="593">
        <v>4</v>
      </c>
      <c r="V8" s="593">
        <v>6</v>
      </c>
      <c r="W8" s="586">
        <v>49</v>
      </c>
      <c r="X8" s="586">
        <v>37</v>
      </c>
      <c r="Y8" s="586">
        <v>75</v>
      </c>
      <c r="Z8" s="583">
        <v>646</v>
      </c>
      <c r="AA8" s="583">
        <v>126</v>
      </c>
      <c r="AB8" s="586">
        <v>5</v>
      </c>
      <c r="AC8" s="586">
        <v>89</v>
      </c>
      <c r="AD8" s="586">
        <v>32</v>
      </c>
      <c r="AE8" s="583">
        <v>607</v>
      </c>
      <c r="AF8" s="586">
        <v>14</v>
      </c>
      <c r="AG8" s="586">
        <v>12</v>
      </c>
      <c r="AH8" s="586">
        <v>43</v>
      </c>
      <c r="AI8" s="586">
        <v>224</v>
      </c>
      <c r="AJ8" s="586">
        <v>74</v>
      </c>
      <c r="AK8" s="586">
        <v>84</v>
      </c>
      <c r="AL8" s="586">
        <v>89</v>
      </c>
      <c r="AM8" s="586">
        <v>28</v>
      </c>
      <c r="AN8" s="586">
        <v>31</v>
      </c>
      <c r="AO8" s="586">
        <v>9</v>
      </c>
      <c r="AP8" s="595"/>
      <c r="AQ8" s="583">
        <v>168</v>
      </c>
      <c r="AR8" s="596"/>
      <c r="AS8" s="601"/>
      <c r="AT8" s="601"/>
      <c r="AU8" s="605"/>
      <c r="AV8" s="584"/>
      <c r="AW8" s="584"/>
      <c r="AX8" s="584"/>
      <c r="AY8" s="584"/>
      <c r="AZ8" s="584"/>
      <c r="BA8" s="584"/>
      <c r="BB8" s="584"/>
      <c r="BC8" s="584"/>
      <c r="BD8" s="584"/>
    </row>
    <row r="9" spans="1:56" ht="19.5" thickTop="1" thickBot="1" x14ac:dyDescent="0.3">
      <c r="A9" s="568"/>
      <c r="B9" s="577">
        <v>2000</v>
      </c>
      <c r="C9" s="580"/>
      <c r="D9" s="583">
        <v>1881</v>
      </c>
      <c r="E9" s="585"/>
      <c r="F9" s="583">
        <v>754</v>
      </c>
      <c r="G9" s="586">
        <v>428</v>
      </c>
      <c r="H9" s="586">
        <v>69</v>
      </c>
      <c r="I9" s="586">
        <v>92</v>
      </c>
      <c r="J9" s="586">
        <v>161</v>
      </c>
      <c r="K9" s="586">
        <v>13</v>
      </c>
      <c r="L9" s="583">
        <v>246</v>
      </c>
      <c r="M9" s="586">
        <v>29</v>
      </c>
      <c r="N9" s="589">
        <v>114</v>
      </c>
      <c r="O9" s="593">
        <v>26</v>
      </c>
      <c r="P9" s="593">
        <v>53</v>
      </c>
      <c r="Q9" s="593">
        <v>8</v>
      </c>
      <c r="R9" s="593">
        <v>2</v>
      </c>
      <c r="S9" s="593">
        <v>13</v>
      </c>
      <c r="T9" s="593">
        <v>6</v>
      </c>
      <c r="U9" s="593">
        <v>5</v>
      </c>
      <c r="V9" s="593">
        <v>6</v>
      </c>
      <c r="W9" s="586">
        <v>43</v>
      </c>
      <c r="X9" s="586">
        <v>33</v>
      </c>
      <c r="Y9" s="586">
        <v>77</v>
      </c>
      <c r="Z9" s="583">
        <v>720</v>
      </c>
      <c r="AA9" s="583">
        <v>144</v>
      </c>
      <c r="AB9" s="586">
        <v>6</v>
      </c>
      <c r="AC9" s="586">
        <v>101</v>
      </c>
      <c r="AD9" s="586">
        <v>37</v>
      </c>
      <c r="AE9" s="583">
        <v>681</v>
      </c>
      <c r="AF9" s="586">
        <v>14</v>
      </c>
      <c r="AG9" s="586">
        <v>13</v>
      </c>
      <c r="AH9" s="586">
        <v>52</v>
      </c>
      <c r="AI9" s="586">
        <v>231</v>
      </c>
      <c r="AJ9" s="586">
        <v>77</v>
      </c>
      <c r="AK9" s="586">
        <v>87</v>
      </c>
      <c r="AL9" s="586">
        <v>94</v>
      </c>
      <c r="AM9" s="586">
        <v>33</v>
      </c>
      <c r="AN9" s="586">
        <v>32</v>
      </c>
      <c r="AO9" s="586">
        <v>48</v>
      </c>
      <c r="AP9" s="595"/>
      <c r="AQ9" s="583">
        <v>182</v>
      </c>
      <c r="AR9" s="596"/>
      <c r="AS9" s="601"/>
      <c r="AT9" s="601"/>
      <c r="AU9" s="605"/>
      <c r="AV9" s="584"/>
      <c r="AW9" s="584"/>
      <c r="AX9" s="584"/>
      <c r="AY9" s="584"/>
      <c r="AZ9" s="584"/>
      <c r="BA9" s="584"/>
      <c r="BB9" s="584"/>
      <c r="BC9" s="584"/>
      <c r="BD9" s="584"/>
    </row>
    <row r="10" spans="1:56" ht="19.5" thickTop="1" thickBot="1" x14ac:dyDescent="0.3">
      <c r="A10" s="568"/>
      <c r="B10" s="577">
        <v>2001</v>
      </c>
      <c r="C10" s="580"/>
      <c r="D10" s="583">
        <v>2041</v>
      </c>
      <c r="E10" s="585"/>
      <c r="F10" s="583">
        <v>821</v>
      </c>
      <c r="G10" s="586">
        <v>466</v>
      </c>
      <c r="H10" s="586">
        <v>79</v>
      </c>
      <c r="I10" s="586">
        <v>98</v>
      </c>
      <c r="J10" s="586">
        <v>174</v>
      </c>
      <c r="K10" s="586">
        <v>14</v>
      </c>
      <c r="L10" s="583">
        <v>278</v>
      </c>
      <c r="M10" s="586">
        <v>79</v>
      </c>
      <c r="N10" s="589">
        <v>125</v>
      </c>
      <c r="O10" s="593">
        <v>32</v>
      </c>
      <c r="P10" s="593">
        <v>53</v>
      </c>
      <c r="Q10" s="593">
        <v>8</v>
      </c>
      <c r="R10" s="593">
        <v>2</v>
      </c>
      <c r="S10" s="593">
        <v>14</v>
      </c>
      <c r="T10" s="593">
        <v>7</v>
      </c>
      <c r="U10" s="593">
        <v>5</v>
      </c>
      <c r="V10" s="593">
        <v>6</v>
      </c>
      <c r="W10" s="586">
        <v>39</v>
      </c>
      <c r="X10" s="586">
        <v>30</v>
      </c>
      <c r="Y10" s="586">
        <v>85</v>
      </c>
      <c r="Z10" s="583">
        <v>769</v>
      </c>
      <c r="AA10" s="583">
        <v>156</v>
      </c>
      <c r="AB10" s="586">
        <v>7</v>
      </c>
      <c r="AC10" s="586">
        <v>107</v>
      </c>
      <c r="AD10" s="586">
        <v>42</v>
      </c>
      <c r="AE10" s="583">
        <v>714</v>
      </c>
      <c r="AF10" s="586">
        <v>15</v>
      </c>
      <c r="AG10" s="586">
        <v>15</v>
      </c>
      <c r="AH10" s="586">
        <v>54</v>
      </c>
      <c r="AI10" s="586">
        <v>239</v>
      </c>
      <c r="AJ10" s="586">
        <v>79</v>
      </c>
      <c r="AK10" s="586">
        <v>90</v>
      </c>
      <c r="AL10" s="586">
        <v>98</v>
      </c>
      <c r="AM10" s="586">
        <v>37</v>
      </c>
      <c r="AN10" s="586">
        <v>37</v>
      </c>
      <c r="AO10" s="586">
        <v>51</v>
      </c>
      <c r="AP10" s="595"/>
      <c r="AQ10" s="583">
        <v>197</v>
      </c>
      <c r="AR10" s="596"/>
      <c r="AS10" s="601"/>
      <c r="AT10" s="601"/>
      <c r="AU10" s="605"/>
      <c r="AV10" s="584"/>
      <c r="AW10" s="584"/>
      <c r="AX10" s="584"/>
      <c r="AY10" s="584"/>
      <c r="AZ10" s="584"/>
      <c r="BA10" s="584"/>
      <c r="BB10" s="584"/>
      <c r="BC10" s="584"/>
      <c r="BD10" s="584"/>
    </row>
    <row r="11" spans="1:56" ht="19.5" thickTop="1" thickBot="1" x14ac:dyDescent="0.3">
      <c r="A11" s="568"/>
      <c r="B11" s="577">
        <v>2002</v>
      </c>
      <c r="C11" s="580"/>
      <c r="D11" s="583">
        <v>2310</v>
      </c>
      <c r="E11" s="585"/>
      <c r="F11" s="583">
        <v>960</v>
      </c>
      <c r="G11" s="586">
        <v>553</v>
      </c>
      <c r="H11" s="586">
        <v>83</v>
      </c>
      <c r="I11" s="586">
        <v>102</v>
      </c>
      <c r="J11" s="586">
        <v>190</v>
      </c>
      <c r="K11" s="586">
        <v>15</v>
      </c>
      <c r="L11" s="583">
        <v>298</v>
      </c>
      <c r="M11" s="586">
        <v>60</v>
      </c>
      <c r="N11" s="589">
        <v>144</v>
      </c>
      <c r="O11" s="593">
        <v>36</v>
      </c>
      <c r="P11" s="593">
        <v>64</v>
      </c>
      <c r="Q11" s="593">
        <v>10</v>
      </c>
      <c r="R11" s="593">
        <v>3</v>
      </c>
      <c r="S11" s="593">
        <v>16</v>
      </c>
      <c r="T11" s="593">
        <v>8</v>
      </c>
      <c r="U11" s="593">
        <v>5</v>
      </c>
      <c r="V11" s="593">
        <v>6</v>
      </c>
      <c r="W11" s="586">
        <v>39</v>
      </c>
      <c r="X11" s="586">
        <v>29</v>
      </c>
      <c r="Y11" s="586">
        <v>87</v>
      </c>
      <c r="Z11" s="583">
        <v>858</v>
      </c>
      <c r="AA11" s="583">
        <v>179</v>
      </c>
      <c r="AB11" s="586">
        <v>8</v>
      </c>
      <c r="AC11" s="586">
        <v>122</v>
      </c>
      <c r="AD11" s="586">
        <v>49</v>
      </c>
      <c r="AE11" s="583">
        <v>773</v>
      </c>
      <c r="AF11" s="586">
        <v>21</v>
      </c>
      <c r="AG11" s="586">
        <v>18</v>
      </c>
      <c r="AH11" s="586">
        <v>53</v>
      </c>
      <c r="AI11" s="586">
        <v>250</v>
      </c>
      <c r="AJ11" s="586">
        <v>83</v>
      </c>
      <c r="AK11" s="586">
        <v>94</v>
      </c>
      <c r="AL11" s="586">
        <v>98</v>
      </c>
      <c r="AM11" s="586">
        <v>51</v>
      </c>
      <c r="AN11" s="586">
        <v>40</v>
      </c>
      <c r="AO11" s="586">
        <v>64</v>
      </c>
      <c r="AP11" s="595"/>
      <c r="AQ11" s="583">
        <v>217</v>
      </c>
      <c r="AR11" s="596"/>
      <c r="AS11" s="601"/>
      <c r="AT11" s="601"/>
      <c r="AU11" s="605"/>
      <c r="AV11" s="584"/>
      <c r="AW11" s="584"/>
      <c r="AX11" s="584"/>
      <c r="AY11" s="584"/>
      <c r="AZ11" s="584"/>
      <c r="BA11" s="584"/>
      <c r="BB11" s="584"/>
      <c r="BC11" s="584"/>
      <c r="BD11" s="584"/>
    </row>
    <row r="12" spans="1:56" ht="19.5" thickTop="1" thickBot="1" x14ac:dyDescent="0.3">
      <c r="A12" s="568"/>
      <c r="B12" s="577">
        <v>2003</v>
      </c>
      <c r="C12" s="580"/>
      <c r="D12" s="583">
        <v>2361</v>
      </c>
      <c r="E12" s="585"/>
      <c r="F12" s="583">
        <v>930</v>
      </c>
      <c r="G12" s="586">
        <v>533</v>
      </c>
      <c r="H12" s="586">
        <v>69</v>
      </c>
      <c r="I12" s="586">
        <v>107</v>
      </c>
      <c r="J12" s="586">
        <v>207</v>
      </c>
      <c r="K12" s="586">
        <v>15</v>
      </c>
      <c r="L12" s="583">
        <v>312</v>
      </c>
      <c r="M12" s="586">
        <v>48</v>
      </c>
      <c r="N12" s="589">
        <v>151</v>
      </c>
      <c r="O12" s="593">
        <v>40</v>
      </c>
      <c r="P12" s="593">
        <v>58</v>
      </c>
      <c r="Q12" s="593">
        <v>11</v>
      </c>
      <c r="R12" s="593">
        <v>4</v>
      </c>
      <c r="S12" s="593">
        <v>19</v>
      </c>
      <c r="T12" s="593">
        <v>9</v>
      </c>
      <c r="U12" s="593">
        <v>6</v>
      </c>
      <c r="V12" s="593">
        <v>7</v>
      </c>
      <c r="W12" s="586">
        <v>35</v>
      </c>
      <c r="X12" s="586">
        <v>27</v>
      </c>
      <c r="Y12" s="586">
        <v>95</v>
      </c>
      <c r="Z12" s="583">
        <v>918</v>
      </c>
      <c r="AA12" s="583">
        <v>184</v>
      </c>
      <c r="AB12" s="586">
        <v>8</v>
      </c>
      <c r="AC12" s="586">
        <v>124</v>
      </c>
      <c r="AD12" s="586">
        <v>52</v>
      </c>
      <c r="AE12" s="583">
        <v>847</v>
      </c>
      <c r="AF12" s="586">
        <v>32</v>
      </c>
      <c r="AG12" s="586">
        <v>19</v>
      </c>
      <c r="AH12" s="586">
        <v>64</v>
      </c>
      <c r="AI12" s="586">
        <v>264</v>
      </c>
      <c r="AJ12" s="586">
        <v>88</v>
      </c>
      <c r="AK12" s="586">
        <v>99</v>
      </c>
      <c r="AL12" s="586">
        <v>104</v>
      </c>
      <c r="AM12" s="586">
        <v>49</v>
      </c>
      <c r="AN12" s="586">
        <v>48</v>
      </c>
      <c r="AO12" s="586">
        <v>82</v>
      </c>
      <c r="AP12" s="595"/>
      <c r="AQ12" s="583">
        <v>216</v>
      </c>
      <c r="AR12" s="596"/>
      <c r="AS12" s="601"/>
      <c r="AT12" s="601"/>
      <c r="AU12" s="605"/>
      <c r="AV12" s="584"/>
      <c r="AW12" s="584"/>
      <c r="AX12" s="584"/>
      <c r="AY12" s="584"/>
      <c r="AZ12" s="584"/>
      <c r="BA12" s="584"/>
      <c r="BB12" s="584"/>
      <c r="BC12" s="584"/>
      <c r="BD12" s="584"/>
    </row>
    <row r="13" spans="1:56" ht="19.5" thickTop="1" thickBot="1" x14ac:dyDescent="0.3">
      <c r="A13" s="568"/>
      <c r="B13" s="577">
        <v>2004</v>
      </c>
      <c r="C13" s="580"/>
      <c r="D13" s="583">
        <v>2537</v>
      </c>
      <c r="E13" s="585"/>
      <c r="F13" s="583">
        <v>947</v>
      </c>
      <c r="G13" s="586">
        <v>531</v>
      </c>
      <c r="H13" s="586">
        <v>112</v>
      </c>
      <c r="I13" s="586">
        <v>111</v>
      </c>
      <c r="J13" s="586">
        <v>225</v>
      </c>
      <c r="K13" s="586">
        <v>16</v>
      </c>
      <c r="L13" s="583">
        <v>360</v>
      </c>
      <c r="M13" s="586">
        <v>71</v>
      </c>
      <c r="N13" s="589">
        <v>170</v>
      </c>
      <c r="O13" s="593">
        <v>54</v>
      </c>
      <c r="P13" s="593">
        <v>59</v>
      </c>
      <c r="Q13" s="593">
        <v>13</v>
      </c>
      <c r="R13" s="593">
        <v>5</v>
      </c>
      <c r="S13" s="593">
        <v>21</v>
      </c>
      <c r="T13" s="593">
        <v>9</v>
      </c>
      <c r="U13" s="593">
        <v>5</v>
      </c>
      <c r="V13" s="593">
        <v>7</v>
      </c>
      <c r="W13" s="586">
        <v>24</v>
      </c>
      <c r="X13" s="586">
        <v>18</v>
      </c>
      <c r="Y13" s="586">
        <v>114</v>
      </c>
      <c r="Z13" s="583">
        <v>1012</v>
      </c>
      <c r="AA13" s="583">
        <v>210</v>
      </c>
      <c r="AB13" s="586">
        <v>9</v>
      </c>
      <c r="AC13" s="586">
        <v>140</v>
      </c>
      <c r="AD13" s="586">
        <v>62</v>
      </c>
      <c r="AE13" s="583">
        <v>904</v>
      </c>
      <c r="AF13" s="586">
        <v>40</v>
      </c>
      <c r="AG13" s="586">
        <v>23</v>
      </c>
      <c r="AH13" s="586">
        <v>69</v>
      </c>
      <c r="AI13" s="586">
        <v>271</v>
      </c>
      <c r="AJ13" s="586">
        <v>90</v>
      </c>
      <c r="AK13" s="586">
        <v>102</v>
      </c>
      <c r="AL13" s="586">
        <v>104</v>
      </c>
      <c r="AM13" s="586">
        <v>58</v>
      </c>
      <c r="AN13" s="586">
        <v>52</v>
      </c>
      <c r="AO13" s="586">
        <v>95</v>
      </c>
      <c r="AP13" s="595"/>
      <c r="AQ13" s="583">
        <v>226</v>
      </c>
      <c r="AR13" s="596"/>
      <c r="AS13" s="601"/>
      <c r="AT13" s="601"/>
      <c r="AU13" s="605"/>
      <c r="AV13" s="584"/>
      <c r="AW13" s="584"/>
      <c r="AX13" s="584"/>
      <c r="AY13" s="584"/>
      <c r="AZ13" s="584"/>
      <c r="BA13" s="584"/>
      <c r="BB13" s="584"/>
      <c r="BC13" s="584"/>
      <c r="BD13" s="584"/>
    </row>
    <row r="14" spans="1:56" ht="19.5" thickTop="1" thickBot="1" x14ac:dyDescent="0.3">
      <c r="A14" s="568"/>
      <c r="B14" s="577">
        <v>2005</v>
      </c>
      <c r="C14" s="580"/>
      <c r="D14" s="583">
        <v>2775</v>
      </c>
      <c r="E14" s="585"/>
      <c r="F14" s="583">
        <v>1009</v>
      </c>
      <c r="G14" s="586">
        <v>573</v>
      </c>
      <c r="H14" s="586">
        <v>87</v>
      </c>
      <c r="I14" s="586">
        <v>116</v>
      </c>
      <c r="J14" s="586">
        <v>244</v>
      </c>
      <c r="K14" s="586">
        <v>16</v>
      </c>
      <c r="L14" s="583">
        <v>394</v>
      </c>
      <c r="M14" s="586">
        <v>93</v>
      </c>
      <c r="N14" s="589">
        <v>184</v>
      </c>
      <c r="O14" s="593">
        <v>61</v>
      </c>
      <c r="P14" s="593">
        <v>66</v>
      </c>
      <c r="Q14" s="593">
        <v>14</v>
      </c>
      <c r="R14" s="593">
        <v>6</v>
      </c>
      <c r="S14" s="593">
        <v>23</v>
      </c>
      <c r="T14" s="593">
        <v>9</v>
      </c>
      <c r="U14" s="593">
        <v>4</v>
      </c>
      <c r="V14" s="593">
        <v>5</v>
      </c>
      <c r="W14" s="586">
        <v>21</v>
      </c>
      <c r="X14" s="586">
        <v>16</v>
      </c>
      <c r="Y14" s="586">
        <v>124</v>
      </c>
      <c r="Z14" s="583">
        <v>1132</v>
      </c>
      <c r="AA14" s="583">
        <v>240</v>
      </c>
      <c r="AB14" s="586">
        <v>10</v>
      </c>
      <c r="AC14" s="586">
        <v>158</v>
      </c>
      <c r="AD14" s="586">
        <v>72</v>
      </c>
      <c r="AE14" s="583">
        <v>1005</v>
      </c>
      <c r="AF14" s="586">
        <v>55</v>
      </c>
      <c r="AG14" s="586">
        <v>27</v>
      </c>
      <c r="AH14" s="586">
        <v>70</v>
      </c>
      <c r="AI14" s="586">
        <v>293</v>
      </c>
      <c r="AJ14" s="586">
        <v>97</v>
      </c>
      <c r="AK14" s="586">
        <v>110</v>
      </c>
      <c r="AL14" s="586">
        <v>107</v>
      </c>
      <c r="AM14" s="586">
        <v>69</v>
      </c>
      <c r="AN14" s="586">
        <v>50</v>
      </c>
      <c r="AO14" s="586">
        <v>127</v>
      </c>
      <c r="AP14" s="595"/>
      <c r="AQ14" s="583">
        <v>240</v>
      </c>
      <c r="AR14" s="596"/>
      <c r="AS14" s="601"/>
      <c r="AT14" s="601"/>
      <c r="AU14" s="605"/>
      <c r="AV14" s="584"/>
      <c r="AW14" s="584"/>
      <c r="AX14" s="584"/>
      <c r="AY14" s="584"/>
      <c r="AZ14" s="584"/>
      <c r="BA14" s="584"/>
      <c r="BB14" s="584"/>
      <c r="BC14" s="584"/>
      <c r="BD14" s="584"/>
    </row>
    <row r="15" spans="1:56" ht="19.5" thickTop="1" thickBot="1" x14ac:dyDescent="0.3">
      <c r="A15" s="568"/>
      <c r="B15" s="577">
        <v>2006</v>
      </c>
      <c r="C15" s="580"/>
      <c r="D15" s="583">
        <v>3031</v>
      </c>
      <c r="E15" s="585"/>
      <c r="F15" s="583">
        <v>1036</v>
      </c>
      <c r="G15" s="586">
        <v>581</v>
      </c>
      <c r="H15" s="586">
        <v>115</v>
      </c>
      <c r="I15" s="586">
        <v>121</v>
      </c>
      <c r="J15" s="586">
        <v>264</v>
      </c>
      <c r="K15" s="586">
        <v>16</v>
      </c>
      <c r="L15" s="583">
        <v>440</v>
      </c>
      <c r="M15" s="586">
        <v>80</v>
      </c>
      <c r="N15" s="589">
        <v>208</v>
      </c>
      <c r="O15" s="593">
        <v>71</v>
      </c>
      <c r="P15" s="593">
        <v>71</v>
      </c>
      <c r="Q15" s="593">
        <v>16</v>
      </c>
      <c r="R15" s="593">
        <v>8</v>
      </c>
      <c r="S15" s="593">
        <v>27</v>
      </c>
      <c r="T15" s="593">
        <v>10</v>
      </c>
      <c r="U15" s="593">
        <v>5</v>
      </c>
      <c r="V15" s="593">
        <v>7</v>
      </c>
      <c r="W15" s="586">
        <v>18</v>
      </c>
      <c r="X15" s="586">
        <v>14</v>
      </c>
      <c r="Y15" s="586">
        <v>140</v>
      </c>
      <c r="Z15" s="583">
        <v>1282</v>
      </c>
      <c r="AA15" s="583">
        <v>290</v>
      </c>
      <c r="AB15" s="586">
        <v>12</v>
      </c>
      <c r="AC15" s="586">
        <v>187</v>
      </c>
      <c r="AD15" s="586">
        <v>89</v>
      </c>
      <c r="AE15" s="583">
        <v>1016</v>
      </c>
      <c r="AF15" s="586">
        <v>68</v>
      </c>
      <c r="AG15" s="586">
        <v>33</v>
      </c>
      <c r="AH15" s="586">
        <v>77</v>
      </c>
      <c r="AI15" s="586">
        <v>305</v>
      </c>
      <c r="AJ15" s="586">
        <v>101</v>
      </c>
      <c r="AK15" s="586">
        <v>114</v>
      </c>
      <c r="AL15" s="586">
        <v>117</v>
      </c>
      <c r="AM15" s="586">
        <v>74</v>
      </c>
      <c r="AN15" s="586">
        <v>54</v>
      </c>
      <c r="AO15" s="586">
        <v>152</v>
      </c>
      <c r="AP15" s="595">
        <v>0</v>
      </c>
      <c r="AQ15" s="583">
        <v>261</v>
      </c>
      <c r="AR15" s="596"/>
      <c r="AS15" s="601"/>
      <c r="AT15" s="601"/>
      <c r="AU15" s="605"/>
      <c r="AV15" s="584"/>
      <c r="AW15" s="584"/>
      <c r="AX15" s="584"/>
      <c r="AY15" s="584"/>
      <c r="AZ15" s="584"/>
      <c r="BA15" s="584"/>
      <c r="BB15" s="584"/>
      <c r="BC15" s="584"/>
      <c r="BD15" s="584"/>
    </row>
    <row r="16" spans="1:56" ht="19.5" thickTop="1" thickBot="1" x14ac:dyDescent="0.3">
      <c r="A16" s="568"/>
      <c r="B16" s="577">
        <v>2007</v>
      </c>
      <c r="C16" s="580"/>
      <c r="D16" s="583">
        <v>3262</v>
      </c>
      <c r="E16" s="585"/>
      <c r="F16" s="583">
        <v>1063</v>
      </c>
      <c r="G16" s="586">
        <v>604</v>
      </c>
      <c r="H16" s="586">
        <v>82</v>
      </c>
      <c r="I16" s="586">
        <v>124</v>
      </c>
      <c r="J16" s="586">
        <v>272</v>
      </c>
      <c r="K16" s="586">
        <v>17</v>
      </c>
      <c r="L16" s="583">
        <v>480</v>
      </c>
      <c r="M16" s="586">
        <v>114</v>
      </c>
      <c r="N16" s="589">
        <v>210</v>
      </c>
      <c r="O16" s="593">
        <v>67</v>
      </c>
      <c r="P16" s="593">
        <v>70</v>
      </c>
      <c r="Q16" s="593">
        <v>17</v>
      </c>
      <c r="R16" s="593">
        <v>9</v>
      </c>
      <c r="S16" s="593">
        <v>27</v>
      </c>
      <c r="T16" s="593">
        <v>10</v>
      </c>
      <c r="U16" s="593">
        <v>6</v>
      </c>
      <c r="V16" s="593">
        <v>8</v>
      </c>
      <c r="W16" s="586">
        <v>19</v>
      </c>
      <c r="X16" s="586">
        <v>15</v>
      </c>
      <c r="Y16" s="586">
        <v>161</v>
      </c>
      <c r="Z16" s="583">
        <v>1439</v>
      </c>
      <c r="AA16" s="583">
        <v>333</v>
      </c>
      <c r="AB16" s="586">
        <v>13</v>
      </c>
      <c r="AC16" s="586">
        <v>215</v>
      </c>
      <c r="AD16" s="586">
        <v>102</v>
      </c>
      <c r="AE16" s="583">
        <v>1126</v>
      </c>
      <c r="AF16" s="586">
        <v>70</v>
      </c>
      <c r="AG16" s="586">
        <v>37</v>
      </c>
      <c r="AH16" s="586">
        <v>86</v>
      </c>
      <c r="AI16" s="586">
        <v>338</v>
      </c>
      <c r="AJ16" s="586">
        <v>112</v>
      </c>
      <c r="AK16" s="586">
        <v>127</v>
      </c>
      <c r="AL16" s="586">
        <v>124</v>
      </c>
      <c r="AM16" s="586">
        <v>84</v>
      </c>
      <c r="AN16" s="586">
        <v>62</v>
      </c>
      <c r="AO16" s="586">
        <v>173</v>
      </c>
      <c r="AP16" s="595">
        <v>0</v>
      </c>
      <c r="AQ16" s="583">
        <v>272</v>
      </c>
      <c r="AR16" s="596"/>
      <c r="AS16" s="601"/>
      <c r="AT16" s="601"/>
      <c r="AU16" s="605"/>
      <c r="AV16" s="584"/>
      <c r="AW16" s="584"/>
      <c r="AX16" s="584"/>
      <c r="AY16" s="584"/>
      <c r="AZ16" s="584"/>
      <c r="BA16" s="584"/>
      <c r="BB16" s="584"/>
      <c r="BC16" s="584"/>
      <c r="BD16" s="584"/>
    </row>
    <row r="17" spans="1:56" ht="19.5" thickTop="1" thickBot="1" x14ac:dyDescent="0.3">
      <c r="A17" s="568"/>
      <c r="B17" s="577">
        <v>2008</v>
      </c>
      <c r="C17" s="580"/>
      <c r="D17" s="583">
        <v>3626</v>
      </c>
      <c r="E17" s="585"/>
      <c r="F17" s="583">
        <v>1132</v>
      </c>
      <c r="G17" s="586">
        <v>642</v>
      </c>
      <c r="H17" s="586">
        <v>106</v>
      </c>
      <c r="I17" s="586">
        <v>128</v>
      </c>
      <c r="J17" s="586">
        <v>283</v>
      </c>
      <c r="K17" s="586">
        <v>17</v>
      </c>
      <c r="L17" s="583">
        <v>552</v>
      </c>
      <c r="M17" s="586">
        <v>96</v>
      </c>
      <c r="N17" s="589">
        <v>221</v>
      </c>
      <c r="O17" s="593">
        <v>73</v>
      </c>
      <c r="P17" s="593">
        <v>72</v>
      </c>
      <c r="Q17" s="593">
        <v>17</v>
      </c>
      <c r="R17" s="593">
        <v>10</v>
      </c>
      <c r="S17" s="593">
        <v>28</v>
      </c>
      <c r="T17" s="593">
        <v>10</v>
      </c>
      <c r="U17" s="593">
        <v>7</v>
      </c>
      <c r="V17" s="593">
        <v>9</v>
      </c>
      <c r="W17" s="586">
        <v>23</v>
      </c>
      <c r="X17" s="586">
        <v>17</v>
      </c>
      <c r="Y17" s="586">
        <v>206</v>
      </c>
      <c r="Z17" s="583">
        <v>1638</v>
      </c>
      <c r="AA17" s="583">
        <v>401</v>
      </c>
      <c r="AB17" s="586">
        <v>16</v>
      </c>
      <c r="AC17" s="586">
        <v>256</v>
      </c>
      <c r="AD17" s="586">
        <v>126</v>
      </c>
      <c r="AE17" s="583">
        <v>1237</v>
      </c>
      <c r="AF17" s="586">
        <v>74</v>
      </c>
      <c r="AG17" s="586">
        <v>46</v>
      </c>
      <c r="AH17" s="586">
        <v>87</v>
      </c>
      <c r="AI17" s="586">
        <v>390</v>
      </c>
      <c r="AJ17" s="586">
        <v>130</v>
      </c>
      <c r="AK17" s="586">
        <v>146</v>
      </c>
      <c r="AL17" s="586">
        <v>130</v>
      </c>
      <c r="AM17" s="586">
        <v>90</v>
      </c>
      <c r="AN17" s="586">
        <v>69</v>
      </c>
      <c r="AO17" s="586">
        <v>177</v>
      </c>
      <c r="AP17" s="595">
        <v>0</v>
      </c>
      <c r="AQ17" s="583">
        <v>304</v>
      </c>
      <c r="AR17" s="596"/>
      <c r="AS17" s="601"/>
      <c r="AT17" s="601"/>
      <c r="AU17" s="605"/>
      <c r="AV17" s="584"/>
      <c r="AW17" s="584"/>
      <c r="AX17" s="584"/>
      <c r="AY17" s="584"/>
      <c r="AZ17" s="584"/>
      <c r="BA17" s="584"/>
      <c r="BB17" s="584"/>
      <c r="BC17" s="584"/>
      <c r="BD17" s="584"/>
    </row>
    <row r="18" spans="1:56" ht="19.5" thickTop="1" thickBot="1" x14ac:dyDescent="0.3">
      <c r="A18" s="568"/>
      <c r="B18" s="577">
        <v>2009</v>
      </c>
      <c r="C18" s="580"/>
      <c r="D18" s="583">
        <v>3853</v>
      </c>
      <c r="E18" s="585"/>
      <c r="F18" s="583">
        <v>1219</v>
      </c>
      <c r="G18" s="586">
        <v>702</v>
      </c>
      <c r="H18" s="586">
        <v>90</v>
      </c>
      <c r="I18" s="586">
        <v>132</v>
      </c>
      <c r="J18" s="586">
        <v>289</v>
      </c>
      <c r="K18" s="586">
        <v>18</v>
      </c>
      <c r="L18" s="583">
        <v>559</v>
      </c>
      <c r="M18" s="586">
        <v>79</v>
      </c>
      <c r="N18" s="589">
        <v>228</v>
      </c>
      <c r="O18" s="593">
        <v>77</v>
      </c>
      <c r="P18" s="593">
        <v>75</v>
      </c>
      <c r="Q18" s="593">
        <v>17</v>
      </c>
      <c r="R18" s="593">
        <v>10</v>
      </c>
      <c r="S18" s="593">
        <v>28</v>
      </c>
      <c r="T18" s="593">
        <v>10</v>
      </c>
      <c r="U18" s="593">
        <v>7</v>
      </c>
      <c r="V18" s="593">
        <v>8</v>
      </c>
      <c r="W18" s="586">
        <v>26</v>
      </c>
      <c r="X18" s="586">
        <v>20</v>
      </c>
      <c r="Y18" s="586">
        <v>209</v>
      </c>
      <c r="Z18" s="583">
        <v>1740</v>
      </c>
      <c r="AA18" s="583">
        <v>423</v>
      </c>
      <c r="AB18" s="586">
        <v>16</v>
      </c>
      <c r="AC18" s="586">
        <v>267</v>
      </c>
      <c r="AD18" s="586">
        <v>138</v>
      </c>
      <c r="AE18" s="583">
        <v>1321</v>
      </c>
      <c r="AF18" s="586">
        <v>70</v>
      </c>
      <c r="AG18" s="586">
        <v>50</v>
      </c>
      <c r="AH18" s="586">
        <v>84</v>
      </c>
      <c r="AI18" s="586">
        <v>422</v>
      </c>
      <c r="AJ18" s="586">
        <v>140</v>
      </c>
      <c r="AK18" s="586">
        <v>158</v>
      </c>
      <c r="AL18" s="586">
        <v>140</v>
      </c>
      <c r="AM18" s="586">
        <v>104</v>
      </c>
      <c r="AN18" s="586">
        <v>80</v>
      </c>
      <c r="AO18" s="586">
        <v>167</v>
      </c>
      <c r="AP18" s="595">
        <v>0</v>
      </c>
      <c r="AQ18" s="583">
        <v>333</v>
      </c>
      <c r="AR18" s="596"/>
      <c r="AS18" s="601"/>
      <c r="AT18" s="601"/>
      <c r="AU18" s="605"/>
      <c r="AV18" s="584"/>
      <c r="AW18" s="584"/>
      <c r="AX18" s="584"/>
      <c r="AY18" s="584"/>
      <c r="AZ18" s="584"/>
      <c r="BA18" s="584"/>
      <c r="BB18" s="584"/>
      <c r="BC18" s="584"/>
      <c r="BD18" s="584"/>
    </row>
    <row r="19" spans="1:56" ht="19.5" thickTop="1" thickBot="1" x14ac:dyDescent="0.3">
      <c r="A19" s="568"/>
      <c r="B19" s="577">
        <v>2010</v>
      </c>
      <c r="C19" s="580"/>
      <c r="D19" s="583">
        <v>4135</v>
      </c>
      <c r="E19" s="585"/>
      <c r="F19" s="583">
        <v>1280</v>
      </c>
      <c r="G19" s="586">
        <v>737</v>
      </c>
      <c r="H19" s="586">
        <v>102</v>
      </c>
      <c r="I19" s="586">
        <v>138</v>
      </c>
      <c r="J19" s="586">
        <v>299</v>
      </c>
      <c r="K19" s="586">
        <v>18</v>
      </c>
      <c r="L19" s="583">
        <v>606</v>
      </c>
      <c r="M19" s="586">
        <v>71</v>
      </c>
      <c r="N19" s="589">
        <v>249</v>
      </c>
      <c r="O19" s="593">
        <v>84</v>
      </c>
      <c r="P19" s="593">
        <v>76</v>
      </c>
      <c r="Q19" s="593">
        <v>17</v>
      </c>
      <c r="R19" s="593">
        <v>11</v>
      </c>
      <c r="S19" s="593">
        <v>29</v>
      </c>
      <c r="T19" s="593">
        <v>11</v>
      </c>
      <c r="U19" s="593">
        <v>10</v>
      </c>
      <c r="V19" s="593">
        <v>12</v>
      </c>
      <c r="W19" s="586">
        <v>30</v>
      </c>
      <c r="X19" s="586">
        <v>23</v>
      </c>
      <c r="Y19" s="586">
        <v>228</v>
      </c>
      <c r="Z19" s="583">
        <v>1900</v>
      </c>
      <c r="AA19" s="583">
        <v>461</v>
      </c>
      <c r="AB19" s="586">
        <v>18</v>
      </c>
      <c r="AC19" s="586">
        <v>291</v>
      </c>
      <c r="AD19" s="586">
        <v>150</v>
      </c>
      <c r="AE19" s="583">
        <v>1443</v>
      </c>
      <c r="AF19" s="586">
        <v>75</v>
      </c>
      <c r="AG19" s="586">
        <v>55</v>
      </c>
      <c r="AH19" s="586">
        <v>103</v>
      </c>
      <c r="AI19" s="586">
        <v>427</v>
      </c>
      <c r="AJ19" s="586">
        <v>142</v>
      </c>
      <c r="AK19" s="586">
        <v>160</v>
      </c>
      <c r="AL19" s="586">
        <v>160</v>
      </c>
      <c r="AM19" s="586">
        <v>113</v>
      </c>
      <c r="AN19" s="586">
        <v>92</v>
      </c>
      <c r="AO19" s="586">
        <v>179</v>
      </c>
      <c r="AP19" s="595">
        <v>0</v>
      </c>
      <c r="AQ19" s="583">
        <v>349</v>
      </c>
      <c r="AR19" s="596"/>
      <c r="AS19" s="601"/>
      <c r="AT19" s="601"/>
      <c r="AU19" s="605"/>
      <c r="AV19" s="584"/>
      <c r="AW19" s="584"/>
      <c r="AX19" s="584"/>
      <c r="AY19" s="584"/>
      <c r="AZ19" s="584"/>
      <c r="BA19" s="584"/>
      <c r="BB19" s="584"/>
      <c r="BC19" s="584"/>
      <c r="BD19" s="584"/>
    </row>
    <row r="20" spans="1:56" ht="19.5" thickTop="1" thickBot="1" x14ac:dyDescent="0.3">
      <c r="A20" s="568"/>
      <c r="B20" s="577">
        <v>2011</v>
      </c>
      <c r="C20" s="580"/>
      <c r="D20" s="583">
        <v>4459</v>
      </c>
      <c r="E20" s="585"/>
      <c r="F20" s="583">
        <v>1340</v>
      </c>
      <c r="G20" s="586">
        <v>774</v>
      </c>
      <c r="H20" s="586">
        <v>105</v>
      </c>
      <c r="I20" s="586">
        <v>142</v>
      </c>
      <c r="J20" s="586">
        <v>306</v>
      </c>
      <c r="K20" s="586">
        <v>19</v>
      </c>
      <c r="L20" s="583">
        <v>714</v>
      </c>
      <c r="M20" s="586">
        <v>106</v>
      </c>
      <c r="N20" s="589">
        <v>270</v>
      </c>
      <c r="O20" s="593">
        <v>88</v>
      </c>
      <c r="P20" s="593">
        <v>82</v>
      </c>
      <c r="Q20" s="593">
        <v>17</v>
      </c>
      <c r="R20" s="593">
        <v>10</v>
      </c>
      <c r="S20" s="593">
        <v>34</v>
      </c>
      <c r="T20" s="593">
        <v>13</v>
      </c>
      <c r="U20" s="593">
        <v>13</v>
      </c>
      <c r="V20" s="593">
        <v>16</v>
      </c>
      <c r="W20" s="586">
        <v>34</v>
      </c>
      <c r="X20" s="586">
        <v>26</v>
      </c>
      <c r="Y20" s="586">
        <v>281</v>
      </c>
      <c r="Z20" s="583">
        <v>2052</v>
      </c>
      <c r="AA20" s="583">
        <v>493</v>
      </c>
      <c r="AB20" s="586">
        <v>19</v>
      </c>
      <c r="AC20" s="586">
        <v>314</v>
      </c>
      <c r="AD20" s="586">
        <v>157</v>
      </c>
      <c r="AE20" s="583">
        <v>1569</v>
      </c>
      <c r="AF20" s="586">
        <v>78</v>
      </c>
      <c r="AG20" s="586">
        <v>57</v>
      </c>
      <c r="AH20" s="586">
        <v>124</v>
      </c>
      <c r="AI20" s="586">
        <v>426</v>
      </c>
      <c r="AJ20" s="586">
        <v>141</v>
      </c>
      <c r="AK20" s="586">
        <v>160</v>
      </c>
      <c r="AL20" s="586">
        <v>183</v>
      </c>
      <c r="AM20" s="586">
        <v>134</v>
      </c>
      <c r="AN20" s="586">
        <v>94</v>
      </c>
      <c r="AO20" s="586">
        <v>178</v>
      </c>
      <c r="AP20" s="595">
        <v>0</v>
      </c>
      <c r="AQ20" s="583">
        <v>354</v>
      </c>
      <c r="AR20" s="596"/>
      <c r="AS20" s="601"/>
      <c r="AT20" s="601"/>
      <c r="AU20" s="605"/>
      <c r="AV20" s="584"/>
      <c r="AW20" s="584"/>
      <c r="AX20" s="584"/>
      <c r="AY20" s="584"/>
      <c r="AZ20" s="584"/>
      <c r="BA20" s="584"/>
      <c r="BB20" s="584"/>
      <c r="BC20" s="584"/>
      <c r="BD20" s="584"/>
    </row>
    <row r="21" spans="1:56" ht="16.5" thickTop="1" thickBot="1" x14ac:dyDescent="0.3">
      <c r="A21" s="568"/>
      <c r="B21" s="697">
        <v>2012</v>
      </c>
      <c r="C21" s="578"/>
      <c r="D21" s="583">
        <v>4852</v>
      </c>
      <c r="E21" s="578"/>
      <c r="F21" s="583">
        <v>1427</v>
      </c>
      <c r="G21" s="586">
        <v>829</v>
      </c>
      <c r="H21" s="586">
        <v>114</v>
      </c>
      <c r="I21" s="586">
        <v>151</v>
      </c>
      <c r="J21" s="586">
        <v>317</v>
      </c>
      <c r="K21" s="586">
        <v>18</v>
      </c>
      <c r="L21" s="583">
        <v>774</v>
      </c>
      <c r="M21" s="586">
        <v>98</v>
      </c>
      <c r="N21" s="589">
        <v>285</v>
      </c>
      <c r="O21" s="593">
        <v>89</v>
      </c>
      <c r="P21" s="593">
        <v>86</v>
      </c>
      <c r="Q21" s="593">
        <v>18</v>
      </c>
      <c r="R21" s="593">
        <v>11</v>
      </c>
      <c r="S21" s="593">
        <v>34</v>
      </c>
      <c r="T21" s="593">
        <v>15</v>
      </c>
      <c r="U21" s="593">
        <v>16</v>
      </c>
      <c r="V21" s="593">
        <v>18</v>
      </c>
      <c r="W21" s="586">
        <v>40</v>
      </c>
      <c r="X21" s="586">
        <v>28</v>
      </c>
      <c r="Y21" s="586">
        <v>322</v>
      </c>
      <c r="Z21" s="583">
        <v>2290</v>
      </c>
      <c r="AA21" s="583">
        <v>566</v>
      </c>
      <c r="AB21" s="586">
        <v>21</v>
      </c>
      <c r="AC21" s="586">
        <v>358</v>
      </c>
      <c r="AD21" s="586">
        <v>186</v>
      </c>
      <c r="AE21" s="583">
        <v>1725</v>
      </c>
      <c r="AF21" s="586">
        <v>82</v>
      </c>
      <c r="AG21" s="586">
        <v>75</v>
      </c>
      <c r="AH21" s="586">
        <v>140</v>
      </c>
      <c r="AI21" s="586">
        <v>425</v>
      </c>
      <c r="AJ21" s="586">
        <v>150</v>
      </c>
      <c r="AK21" s="586">
        <v>170</v>
      </c>
      <c r="AL21" s="586">
        <v>223</v>
      </c>
      <c r="AM21" s="586">
        <v>143</v>
      </c>
      <c r="AN21" s="586">
        <v>116</v>
      </c>
      <c r="AO21" s="586">
        <v>197</v>
      </c>
      <c r="AP21" s="584">
        <v>0</v>
      </c>
      <c r="AQ21" s="583">
        <v>361</v>
      </c>
      <c r="AR21" s="596"/>
      <c r="AS21" s="601"/>
      <c r="AT21" s="601"/>
      <c r="AU21" s="584"/>
      <c r="AV21" s="584"/>
      <c r="AW21" s="584"/>
      <c r="AX21" s="584"/>
      <c r="AY21" s="584"/>
      <c r="AZ21" s="584"/>
      <c r="BA21" s="584"/>
      <c r="BB21" s="584"/>
      <c r="BC21" s="584"/>
      <c r="BD21" s="584"/>
    </row>
    <row r="22" spans="1:56" ht="16.5" thickTop="1" thickBot="1" x14ac:dyDescent="0.3">
      <c r="A22" s="568"/>
      <c r="B22" s="1205">
        <v>2013</v>
      </c>
      <c r="C22" s="578"/>
      <c r="D22" s="583">
        <v>5079</v>
      </c>
      <c r="E22" s="578"/>
      <c r="F22" s="583">
        <v>1474</v>
      </c>
      <c r="G22" s="586">
        <v>859</v>
      </c>
      <c r="H22" s="586">
        <v>109</v>
      </c>
      <c r="I22" s="586">
        <v>160</v>
      </c>
      <c r="J22" s="586">
        <v>326</v>
      </c>
      <c r="K22" s="586">
        <v>19</v>
      </c>
      <c r="L22" s="583">
        <v>846</v>
      </c>
      <c r="M22" s="586">
        <v>118</v>
      </c>
      <c r="N22" s="589">
        <v>299</v>
      </c>
      <c r="O22" s="593">
        <v>96</v>
      </c>
      <c r="P22" s="593">
        <v>89</v>
      </c>
      <c r="Q22" s="593">
        <v>19</v>
      </c>
      <c r="R22" s="593">
        <v>12</v>
      </c>
      <c r="S22" s="593">
        <v>33</v>
      </c>
      <c r="T22" s="593">
        <v>16</v>
      </c>
      <c r="U22" s="593">
        <v>14</v>
      </c>
      <c r="V22" s="593">
        <v>20</v>
      </c>
      <c r="W22" s="586">
        <v>43</v>
      </c>
      <c r="X22" s="586">
        <v>30</v>
      </c>
      <c r="Y22" s="586">
        <v>357</v>
      </c>
      <c r="Z22" s="583">
        <v>2410</v>
      </c>
      <c r="AA22" s="583">
        <v>599</v>
      </c>
      <c r="AB22" s="586">
        <v>22</v>
      </c>
      <c r="AC22" s="586">
        <v>378</v>
      </c>
      <c r="AD22" s="586">
        <v>199</v>
      </c>
      <c r="AE22" s="583">
        <v>1811</v>
      </c>
      <c r="AF22" s="586">
        <v>85</v>
      </c>
      <c r="AG22" s="586">
        <v>75</v>
      </c>
      <c r="AH22" s="586">
        <v>154</v>
      </c>
      <c r="AI22" s="586">
        <v>428</v>
      </c>
      <c r="AJ22" s="586">
        <v>156</v>
      </c>
      <c r="AK22" s="586">
        <v>176</v>
      </c>
      <c r="AL22" s="586">
        <v>244</v>
      </c>
      <c r="AM22" s="586">
        <v>149</v>
      </c>
      <c r="AN22" s="586">
        <v>123</v>
      </c>
      <c r="AO22" s="586">
        <v>221</v>
      </c>
      <c r="AP22" s="584">
        <v>0</v>
      </c>
      <c r="AQ22" s="583">
        <v>349</v>
      </c>
      <c r="AR22" s="596"/>
      <c r="AS22" s="601"/>
      <c r="AT22" s="601"/>
      <c r="AU22" s="584"/>
      <c r="AV22" s="584"/>
      <c r="AW22" s="584"/>
      <c r="AX22" s="584"/>
      <c r="AY22" s="584"/>
      <c r="AZ22" s="584"/>
      <c r="BA22" s="584"/>
      <c r="BB22" s="584"/>
      <c r="BC22" s="584"/>
      <c r="BD22" s="584"/>
    </row>
    <row r="23" spans="1:56" ht="16.5" thickTop="1" thickBot="1" x14ac:dyDescent="0.3">
      <c r="A23" s="568"/>
      <c r="B23" s="1216">
        <v>2014</v>
      </c>
      <c r="C23" s="578"/>
      <c r="D23" s="583">
        <v>5466</v>
      </c>
      <c r="E23" s="578"/>
      <c r="F23" s="583">
        <v>1572</v>
      </c>
      <c r="G23" s="586">
        <v>934</v>
      </c>
      <c r="H23" s="586">
        <v>107</v>
      </c>
      <c r="I23" s="586">
        <v>174</v>
      </c>
      <c r="J23" s="586">
        <v>337</v>
      </c>
      <c r="K23" s="586">
        <v>20</v>
      </c>
      <c r="L23" s="583">
        <v>939</v>
      </c>
      <c r="M23" s="586">
        <v>147</v>
      </c>
      <c r="N23" s="589">
        <v>322</v>
      </c>
      <c r="O23" s="593">
        <v>101</v>
      </c>
      <c r="P23" s="593">
        <v>95</v>
      </c>
      <c r="Q23" s="593">
        <v>20</v>
      </c>
      <c r="R23" s="593">
        <v>14</v>
      </c>
      <c r="S23" s="593">
        <v>32</v>
      </c>
      <c r="T23" s="593">
        <v>18</v>
      </c>
      <c r="U23" s="593">
        <v>18</v>
      </c>
      <c r="V23" s="593">
        <v>22</v>
      </c>
      <c r="W23" s="586">
        <v>47</v>
      </c>
      <c r="X23" s="586">
        <v>31</v>
      </c>
      <c r="Y23" s="586">
        <v>392</v>
      </c>
      <c r="Z23" s="583">
        <v>2578</v>
      </c>
      <c r="AA23" s="583">
        <v>640</v>
      </c>
      <c r="AB23" s="586">
        <v>23</v>
      </c>
      <c r="AC23" s="586">
        <v>410</v>
      </c>
      <c r="AD23" s="586">
        <v>207</v>
      </c>
      <c r="AE23" s="583">
        <v>1938</v>
      </c>
      <c r="AF23" s="586">
        <v>96</v>
      </c>
      <c r="AG23" s="586">
        <v>80</v>
      </c>
      <c r="AH23" s="586">
        <v>159</v>
      </c>
      <c r="AI23" s="586">
        <v>452</v>
      </c>
      <c r="AJ23" s="586">
        <v>144</v>
      </c>
      <c r="AK23" s="586">
        <v>202</v>
      </c>
      <c r="AL23" s="586">
        <v>260</v>
      </c>
      <c r="AM23" s="586">
        <v>154</v>
      </c>
      <c r="AN23" s="586">
        <v>133</v>
      </c>
      <c r="AO23" s="586">
        <v>257</v>
      </c>
      <c r="AP23" s="584">
        <v>0</v>
      </c>
      <c r="AQ23" s="583">
        <v>377</v>
      </c>
      <c r="AR23" s="596"/>
      <c r="AS23" s="601"/>
      <c r="AT23" s="601"/>
      <c r="AU23" s="584"/>
      <c r="AV23" s="584"/>
      <c r="AW23" s="584"/>
      <c r="AX23" s="584"/>
      <c r="AY23" s="584"/>
      <c r="AZ23" s="584"/>
      <c r="BA23" s="584"/>
      <c r="BB23" s="584"/>
      <c r="BC23" s="584"/>
      <c r="BD23" s="584"/>
    </row>
    <row r="24" spans="1:56" ht="16.5" thickTop="1" thickBot="1" x14ac:dyDescent="0.3">
      <c r="A24" s="568"/>
      <c r="B24" s="1217">
        <v>2015</v>
      </c>
      <c r="C24" s="578"/>
      <c r="D24" s="583">
        <v>5951</v>
      </c>
      <c r="E24" s="578"/>
      <c r="F24" s="583">
        <v>1650</v>
      </c>
      <c r="G24" s="586">
        <v>968</v>
      </c>
      <c r="H24" s="586">
        <v>122</v>
      </c>
      <c r="I24" s="586">
        <v>189</v>
      </c>
      <c r="J24" s="586">
        <v>350</v>
      </c>
      <c r="K24" s="586">
        <v>21</v>
      </c>
      <c r="L24" s="583">
        <v>1023</v>
      </c>
      <c r="M24" s="586">
        <v>140</v>
      </c>
      <c r="N24" s="589">
        <v>349</v>
      </c>
      <c r="O24" s="593">
        <v>102</v>
      </c>
      <c r="P24" s="593">
        <v>101</v>
      </c>
      <c r="Q24" s="593">
        <v>21</v>
      </c>
      <c r="R24" s="593">
        <v>15</v>
      </c>
      <c r="S24" s="593">
        <v>37</v>
      </c>
      <c r="T24" s="593">
        <v>22</v>
      </c>
      <c r="U24" s="593">
        <v>25</v>
      </c>
      <c r="V24" s="593">
        <v>26</v>
      </c>
      <c r="W24" s="586">
        <v>51</v>
      </c>
      <c r="X24" s="586">
        <v>31</v>
      </c>
      <c r="Y24" s="586">
        <v>453</v>
      </c>
      <c r="Z24" s="583">
        <v>2847</v>
      </c>
      <c r="AA24" s="583">
        <v>714</v>
      </c>
      <c r="AB24" s="586">
        <v>24</v>
      </c>
      <c r="AC24" s="586">
        <v>462</v>
      </c>
      <c r="AD24" s="586">
        <v>227</v>
      </c>
      <c r="AE24" s="583">
        <v>2134</v>
      </c>
      <c r="AF24" s="586">
        <v>105</v>
      </c>
      <c r="AG24" s="586">
        <v>94</v>
      </c>
      <c r="AH24" s="586">
        <v>179</v>
      </c>
      <c r="AI24" s="586">
        <v>472</v>
      </c>
      <c r="AJ24" s="586">
        <v>165</v>
      </c>
      <c r="AK24" s="586">
        <v>235</v>
      </c>
      <c r="AL24" s="586">
        <v>275</v>
      </c>
      <c r="AM24" s="586">
        <v>157</v>
      </c>
      <c r="AN24" s="586">
        <v>146</v>
      </c>
      <c r="AO24" s="586">
        <v>306</v>
      </c>
      <c r="AP24" s="584">
        <v>0</v>
      </c>
      <c r="AQ24" s="583">
        <v>430</v>
      </c>
      <c r="AR24" s="596"/>
      <c r="AS24" s="601"/>
      <c r="AT24" s="601"/>
      <c r="AU24" s="584"/>
      <c r="AV24" s="584"/>
      <c r="AW24" s="584"/>
      <c r="AX24" s="584"/>
      <c r="AY24" s="584"/>
      <c r="AZ24" s="584"/>
      <c r="BA24" s="584"/>
      <c r="BB24" s="584"/>
      <c r="BC24" s="584"/>
      <c r="BD24" s="584"/>
    </row>
    <row r="25" spans="1:56" ht="16.5" thickTop="1" thickBot="1" x14ac:dyDescent="0.3">
      <c r="A25" s="568"/>
      <c r="B25" s="577">
        <v>2016</v>
      </c>
      <c r="C25" s="578"/>
      <c r="D25" s="583">
        <v>6304</v>
      </c>
      <c r="E25" s="578"/>
      <c r="F25" s="583">
        <v>1714</v>
      </c>
      <c r="G25" s="586">
        <v>997</v>
      </c>
      <c r="H25" s="586">
        <v>125</v>
      </c>
      <c r="I25" s="586">
        <v>208</v>
      </c>
      <c r="J25" s="586">
        <v>363</v>
      </c>
      <c r="K25" s="586">
        <v>21</v>
      </c>
      <c r="L25" s="583">
        <v>1093</v>
      </c>
      <c r="M25" s="586">
        <v>154</v>
      </c>
      <c r="N25" s="589">
        <v>372</v>
      </c>
      <c r="O25" s="593">
        <v>110</v>
      </c>
      <c r="P25" s="593">
        <v>104</v>
      </c>
      <c r="Q25" s="593">
        <v>23</v>
      </c>
      <c r="R25" s="593">
        <v>17</v>
      </c>
      <c r="S25" s="593">
        <v>39</v>
      </c>
      <c r="T25" s="593">
        <v>26</v>
      </c>
      <c r="U25" s="593">
        <v>29</v>
      </c>
      <c r="V25" s="593">
        <v>24</v>
      </c>
      <c r="W25" s="586">
        <v>59</v>
      </c>
      <c r="X25" s="586">
        <v>33</v>
      </c>
      <c r="Y25" s="586">
        <v>475</v>
      </c>
      <c r="Z25" s="583">
        <v>3049</v>
      </c>
      <c r="AA25" s="583">
        <v>762</v>
      </c>
      <c r="AB25" s="586">
        <v>26</v>
      </c>
      <c r="AC25" s="586">
        <v>491</v>
      </c>
      <c r="AD25" s="586">
        <v>245</v>
      </c>
      <c r="AE25" s="583">
        <v>2287</v>
      </c>
      <c r="AF25" s="586">
        <v>116</v>
      </c>
      <c r="AG25" s="586">
        <v>102</v>
      </c>
      <c r="AH25" s="586">
        <v>185</v>
      </c>
      <c r="AI25" s="586">
        <v>501</v>
      </c>
      <c r="AJ25" s="586">
        <v>175</v>
      </c>
      <c r="AK25" s="586">
        <v>258</v>
      </c>
      <c r="AL25" s="586">
        <v>307</v>
      </c>
      <c r="AM25" s="586">
        <v>160</v>
      </c>
      <c r="AN25" s="586">
        <v>155</v>
      </c>
      <c r="AO25" s="586">
        <v>328</v>
      </c>
      <c r="AP25" s="584">
        <v>0</v>
      </c>
      <c r="AQ25" s="583">
        <v>449</v>
      </c>
      <c r="AR25" s="596"/>
      <c r="AS25" s="601"/>
      <c r="AT25" s="601"/>
      <c r="AU25" s="584"/>
      <c r="AV25" s="584"/>
      <c r="AW25" s="584"/>
      <c r="AX25" s="584"/>
      <c r="AY25" s="584"/>
      <c r="AZ25" s="584"/>
      <c r="BA25" s="584"/>
      <c r="BB25" s="584"/>
      <c r="BC25" s="584"/>
      <c r="BD25" s="584"/>
    </row>
    <row r="26" spans="1:56" ht="15.75" thickTop="1" x14ac:dyDescent="0.25">
      <c r="A26" s="568"/>
      <c r="B26" s="578"/>
      <c r="C26" s="578"/>
      <c r="D26" s="584"/>
      <c r="E26" s="578"/>
      <c r="F26" s="584"/>
      <c r="G26" s="584"/>
      <c r="H26" s="584"/>
      <c r="I26" s="584"/>
      <c r="J26" s="584"/>
      <c r="K26" s="584"/>
      <c r="L26" s="584"/>
      <c r="M26" s="584"/>
      <c r="N26" s="584"/>
      <c r="O26" s="594"/>
      <c r="P26" s="594"/>
      <c r="Q26" s="594"/>
      <c r="R26" s="594"/>
      <c r="S26" s="594"/>
      <c r="T26" s="594"/>
      <c r="U26" s="594"/>
      <c r="V26" s="59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601"/>
      <c r="AT26" s="601"/>
      <c r="AU26" s="584"/>
      <c r="AV26" s="584"/>
      <c r="AW26" s="584"/>
      <c r="AX26" s="584"/>
      <c r="AY26" s="584"/>
      <c r="AZ26" s="584"/>
      <c r="BA26" s="584"/>
      <c r="BB26" s="584"/>
      <c r="BC26" s="584"/>
      <c r="BD26" s="584"/>
    </row>
    <row r="27" spans="1:56" x14ac:dyDescent="0.25">
      <c r="A27" s="568"/>
      <c r="B27" s="578"/>
      <c r="C27" s="578"/>
      <c r="D27" s="584"/>
      <c r="E27" s="578"/>
      <c r="F27" s="584"/>
      <c r="G27" s="584"/>
      <c r="H27" s="584"/>
      <c r="I27" s="584"/>
      <c r="J27" s="584"/>
      <c r="K27" s="584"/>
      <c r="L27" s="584"/>
      <c r="M27" s="584"/>
      <c r="N27" s="584"/>
      <c r="O27" s="594"/>
      <c r="P27" s="594"/>
      <c r="Q27" s="594"/>
      <c r="R27" s="594"/>
      <c r="S27" s="594"/>
      <c r="T27" s="594"/>
      <c r="U27" s="594"/>
      <c r="V27" s="59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601"/>
      <c r="AT27" s="601"/>
      <c r="AU27" s="584"/>
      <c r="AV27" s="584"/>
      <c r="AW27" s="584"/>
      <c r="AX27" s="584"/>
      <c r="AY27" s="584"/>
      <c r="AZ27" s="584"/>
      <c r="BA27" s="584"/>
      <c r="BB27" s="584"/>
      <c r="BC27" s="584"/>
      <c r="BD27" s="584"/>
    </row>
    <row r="28" spans="1:56" x14ac:dyDescent="0.25">
      <c r="A28" s="1032">
        <v>2012</v>
      </c>
      <c r="B28" s="1032" t="s">
        <v>1283</v>
      </c>
      <c r="C28" s="1192"/>
      <c r="D28" s="1192"/>
      <c r="E28" s="1192"/>
      <c r="F28" s="1192"/>
      <c r="G28" s="1192"/>
      <c r="H28" s="1192"/>
      <c r="I28" s="1192"/>
      <c r="J28" s="1192"/>
      <c r="K28" s="1192"/>
      <c r="L28" s="1192"/>
      <c r="M28" s="1192"/>
      <c r="N28" s="1192"/>
      <c r="O28" s="1192"/>
      <c r="P28" s="1192"/>
      <c r="Q28" s="1192"/>
      <c r="R28" s="1192"/>
      <c r="S28" s="1192"/>
      <c r="T28" s="1192"/>
      <c r="U28" s="1192"/>
      <c r="V28" s="1192"/>
      <c r="W28" s="1192"/>
      <c r="X28" s="1192"/>
      <c r="Y28" s="1192"/>
      <c r="Z28" s="1192"/>
      <c r="AA28" s="1192"/>
      <c r="AB28" s="1192"/>
      <c r="AC28" s="1192"/>
      <c r="AD28" s="1192"/>
      <c r="AE28" s="1192"/>
      <c r="AF28" s="1192"/>
      <c r="AG28" s="1192"/>
      <c r="AH28" s="1192"/>
      <c r="AI28" s="1192"/>
      <c r="AJ28" s="1192"/>
      <c r="AK28" s="1192"/>
      <c r="AL28" s="1192"/>
      <c r="AM28" s="1192"/>
      <c r="AN28" s="1192"/>
      <c r="AO28" s="1192"/>
      <c r="AP28" s="1192"/>
      <c r="AQ28" s="1192"/>
      <c r="AR28" s="1192"/>
      <c r="AS28" s="1192"/>
      <c r="AT28" s="1192"/>
      <c r="AU28" s="1025"/>
    </row>
    <row r="29" spans="1:56" x14ac:dyDescent="0.25">
      <c r="A29" s="1190">
        <v>2013</v>
      </c>
      <c r="B29" s="1190" t="s">
        <v>1283</v>
      </c>
      <c r="C29" s="1191"/>
      <c r="D29" s="1191"/>
      <c r="E29" s="1191"/>
      <c r="F29" s="1191"/>
      <c r="G29" s="1191"/>
      <c r="H29" s="1191"/>
      <c r="I29" s="1191"/>
      <c r="J29" s="1191"/>
      <c r="K29" s="1191"/>
      <c r="L29" s="1191"/>
      <c r="M29" s="1191"/>
      <c r="N29" s="1191"/>
      <c r="O29" s="1191"/>
      <c r="P29" s="1191"/>
      <c r="Q29" s="1191"/>
      <c r="R29" s="1191"/>
      <c r="S29" s="1191"/>
      <c r="T29" s="1191"/>
      <c r="U29" s="1191"/>
      <c r="V29" s="1191"/>
      <c r="W29" s="1191"/>
      <c r="X29" s="1191"/>
      <c r="Y29" s="1191"/>
      <c r="Z29" s="1191"/>
      <c r="AA29" s="1191"/>
      <c r="AB29" s="1191"/>
      <c r="AC29" s="1191"/>
      <c r="AD29" s="1191"/>
      <c r="AE29" s="1191"/>
      <c r="AF29" s="1191"/>
      <c r="AG29" s="1191"/>
      <c r="AH29" s="1191"/>
      <c r="AI29" s="1191"/>
      <c r="AJ29" s="1191"/>
      <c r="AK29" s="1191"/>
      <c r="AL29" s="1191"/>
      <c r="AM29" s="1191"/>
      <c r="AN29" s="1191"/>
      <c r="AO29" s="1191"/>
      <c r="AP29" s="1191"/>
      <c r="AQ29" s="1191"/>
      <c r="AR29" s="1191"/>
      <c r="AS29" s="1191"/>
      <c r="AT29" s="1191"/>
      <c r="AU29" s="1025"/>
    </row>
    <row r="30" spans="1:56" x14ac:dyDescent="0.25">
      <c r="A30" s="1213">
        <v>2014</v>
      </c>
      <c r="B30" s="1213" t="s">
        <v>1283</v>
      </c>
      <c r="C30" s="1207"/>
      <c r="D30" s="1207"/>
      <c r="E30" s="1207"/>
      <c r="F30" s="1207"/>
      <c r="G30" s="1207"/>
      <c r="H30" s="1207"/>
      <c r="I30" s="1207"/>
      <c r="J30" s="1207"/>
      <c r="K30" s="1207"/>
      <c r="L30" s="1207"/>
      <c r="M30" s="1207"/>
      <c r="N30" s="1207"/>
      <c r="O30" s="1207"/>
      <c r="P30" s="1207"/>
      <c r="Q30" s="1207"/>
      <c r="R30" s="1207"/>
      <c r="S30" s="1207"/>
      <c r="T30" s="1207"/>
      <c r="U30" s="1207"/>
      <c r="V30" s="1207"/>
      <c r="W30" s="1207"/>
      <c r="X30" s="1207"/>
      <c r="Y30" s="1207"/>
      <c r="Z30" s="1207"/>
      <c r="AA30" s="1207"/>
      <c r="AB30" s="1207"/>
      <c r="AC30" s="1207"/>
      <c r="AD30" s="1207"/>
      <c r="AE30" s="1207"/>
      <c r="AF30" s="1207"/>
      <c r="AG30" s="1207"/>
      <c r="AH30" s="1207"/>
      <c r="AI30" s="1207"/>
      <c r="AJ30" s="1207"/>
      <c r="AK30" s="1207"/>
      <c r="AL30" s="1207"/>
      <c r="AM30" s="1207"/>
      <c r="AN30" s="1207"/>
      <c r="AO30" s="1207"/>
      <c r="AP30" s="1207"/>
      <c r="AQ30" s="1207"/>
      <c r="AR30" s="1207"/>
      <c r="AS30" s="1207"/>
      <c r="AT30" s="1207"/>
      <c r="AU30" s="1025"/>
    </row>
    <row r="31" spans="1:56" x14ac:dyDescent="0.25">
      <c r="A31" s="1225">
        <v>2015</v>
      </c>
      <c r="B31" s="1225" t="s">
        <v>1283</v>
      </c>
      <c r="C31" s="1219"/>
      <c r="D31" s="1219"/>
      <c r="E31" s="1219"/>
      <c r="F31" s="1219"/>
      <c r="G31" s="1219"/>
      <c r="H31" s="1219"/>
      <c r="I31" s="1219"/>
      <c r="J31" s="1219"/>
      <c r="K31" s="1219"/>
      <c r="L31" s="1219"/>
      <c r="M31" s="1219"/>
      <c r="N31" s="1219"/>
      <c r="O31" s="1219"/>
      <c r="P31" s="1219"/>
      <c r="Q31" s="1219"/>
      <c r="R31" s="1219"/>
      <c r="S31" s="1219"/>
      <c r="T31" s="1219"/>
      <c r="U31" s="1219"/>
      <c r="V31" s="1219"/>
      <c r="W31" s="1219"/>
      <c r="X31" s="1219"/>
      <c r="Y31" s="1219"/>
      <c r="Z31" s="1219"/>
      <c r="AA31" s="1219"/>
      <c r="AB31" s="1219"/>
      <c r="AC31" s="1219"/>
      <c r="AD31" s="1219"/>
      <c r="AE31" s="1219"/>
      <c r="AF31" s="1219"/>
      <c r="AG31" s="1219"/>
      <c r="AH31" s="1219"/>
      <c r="AI31" s="1219"/>
      <c r="AJ31" s="1219"/>
      <c r="AK31" s="1219"/>
      <c r="AL31" s="1219"/>
      <c r="AM31" s="1219"/>
      <c r="AN31" s="1219"/>
      <c r="AO31" s="1219"/>
      <c r="AP31" s="1219"/>
      <c r="AQ31" s="1219"/>
      <c r="AR31" s="1219"/>
      <c r="AS31" s="1219"/>
      <c r="AT31" s="1219"/>
      <c r="AU31" s="1025"/>
    </row>
    <row r="32" spans="1:56" x14ac:dyDescent="0.25">
      <c r="A32" s="1243"/>
      <c r="B32" s="1243"/>
      <c r="C32" s="1029"/>
      <c r="D32" s="1029"/>
      <c r="E32" s="1029"/>
      <c r="F32" s="1029"/>
      <c r="G32" s="1029"/>
      <c r="H32" s="1029"/>
      <c r="I32" s="1029"/>
      <c r="J32" s="1029"/>
      <c r="K32" s="1029"/>
      <c r="L32" s="1029"/>
      <c r="M32" s="1029"/>
      <c r="N32" s="1029"/>
      <c r="O32" s="1029"/>
      <c r="P32" s="1029"/>
      <c r="Q32" s="1029"/>
      <c r="R32" s="1029"/>
      <c r="S32" s="1029"/>
      <c r="T32" s="1029"/>
      <c r="U32" s="1029"/>
      <c r="V32" s="1029"/>
      <c r="W32" s="1029"/>
      <c r="X32" s="1029"/>
      <c r="Y32" s="1029"/>
      <c r="Z32" s="1029"/>
      <c r="AA32" s="1029"/>
      <c r="AB32" s="1029"/>
      <c r="AC32" s="1029"/>
      <c r="AD32" s="1029"/>
      <c r="AE32" s="1029"/>
      <c r="AF32" s="1029"/>
      <c r="AG32" s="1029"/>
      <c r="AH32" s="1029"/>
      <c r="AI32" s="1029"/>
      <c r="AJ32" s="1029"/>
      <c r="AK32" s="1029"/>
      <c r="AL32" s="1029"/>
      <c r="AM32" s="1029"/>
      <c r="AN32" s="1029"/>
      <c r="AO32" s="1029"/>
      <c r="AP32" s="1029"/>
      <c r="AQ32" s="1029"/>
      <c r="AR32" s="1029"/>
      <c r="AS32" s="1029"/>
      <c r="AT32" s="1029"/>
      <c r="AU32" s="1025"/>
    </row>
    <row r="33" spans="1:46" x14ac:dyDescent="0.25">
      <c r="A33" s="1232">
        <v>2012</v>
      </c>
      <c r="B33" s="1194" t="s">
        <v>1280</v>
      </c>
      <c r="C33" s="1030"/>
      <c r="D33" s="1030">
        <f>+(1000000*D$21/D72)</f>
        <v>345.61218675897641</v>
      </c>
      <c r="E33" s="1030"/>
      <c r="F33" s="1030">
        <f>+(1000000*F$21/F72)</f>
        <v>105.20975943053541</v>
      </c>
      <c r="G33" s="1030"/>
      <c r="H33" s="1030"/>
      <c r="I33" s="1030"/>
      <c r="J33" s="1030"/>
      <c r="K33" s="1030"/>
      <c r="L33" s="1030"/>
      <c r="M33" s="1030">
        <f>+(1000000*M$21/M72)</f>
        <v>4376.8252029746</v>
      </c>
      <c r="N33" s="1030">
        <f>+(1000000*N$21/N72)</f>
        <v>12056.793887467467</v>
      </c>
      <c r="O33" s="1030"/>
      <c r="P33" s="1030"/>
      <c r="Q33" s="1030"/>
      <c r="R33" s="1030"/>
      <c r="S33" s="1030"/>
      <c r="T33" s="1030"/>
      <c r="U33" s="1030"/>
      <c r="V33" s="1030"/>
      <c r="W33" s="1030">
        <f>+(1000000*W$21/W72)</f>
        <v>119.30676723111065</v>
      </c>
      <c r="X33" s="1030">
        <f>+(1000000*X$21/X72)</f>
        <v>528.21431866337093</v>
      </c>
      <c r="Y33" s="1030" t="e">
        <f>+(1000000*Y$21/Y72)</f>
        <v>#DIV/0!</v>
      </c>
      <c r="Z33" s="1030" t="e">
        <f>+(1000000*Z$21/Z72)</f>
        <v>#DIV/0!</v>
      </c>
      <c r="AA33" s="1030"/>
      <c r="AB33" s="1030"/>
      <c r="AC33" s="1030"/>
      <c r="AD33" s="1030" t="e">
        <f>+(1000000*AD$21/AD72)</f>
        <v>#DIV/0!</v>
      </c>
      <c r="AE33" s="1030"/>
      <c r="AF33" s="1030" t="e">
        <f t="shared" ref="AF33:AS33" si="0">+(1000000*AF$21/AF72)</f>
        <v>#DIV/0!</v>
      </c>
      <c r="AG33" s="1030" t="e">
        <f t="shared" si="0"/>
        <v>#DIV/0!</v>
      </c>
      <c r="AH33" s="1030">
        <f t="shared" si="0"/>
        <v>2333333333.3333335</v>
      </c>
      <c r="AI33" s="1030" t="e">
        <f t="shared" si="0"/>
        <v>#DIV/0!</v>
      </c>
      <c r="AJ33" s="1030" t="e">
        <f t="shared" si="0"/>
        <v>#DIV/0!</v>
      </c>
      <c r="AK33" s="1030" t="e">
        <f t="shared" si="0"/>
        <v>#DIV/0!</v>
      </c>
      <c r="AL33" s="1030" t="e">
        <f t="shared" si="0"/>
        <v>#DIV/0!</v>
      </c>
      <c r="AM33" s="1030">
        <f t="shared" si="0"/>
        <v>1074255.8712215116</v>
      </c>
      <c r="AN33" s="1030">
        <f t="shared" si="0"/>
        <v>197017.72383666749</v>
      </c>
      <c r="AO33" s="1030">
        <f t="shared" si="0"/>
        <v>16823802.691808429</v>
      </c>
      <c r="AP33" s="1030">
        <f t="shared" si="0"/>
        <v>0</v>
      </c>
      <c r="AQ33" s="1030" t="e">
        <f t="shared" si="0"/>
        <v>#DIV/0!</v>
      </c>
      <c r="AR33" s="1030">
        <f t="shared" si="0"/>
        <v>0</v>
      </c>
      <c r="AS33" s="1030">
        <f t="shared" si="0"/>
        <v>0</v>
      </c>
      <c r="AT33" s="1030"/>
    </row>
    <row r="34" spans="1:46" x14ac:dyDescent="0.25">
      <c r="A34" s="1234">
        <v>2013</v>
      </c>
      <c r="B34" s="1197" t="s">
        <v>1280</v>
      </c>
      <c r="C34" s="1030"/>
      <c r="D34" s="1030">
        <f>+(1000000*D$22/D89)</f>
        <v>376.31272513762212</v>
      </c>
      <c r="E34" s="1030"/>
      <c r="F34" s="1030">
        <f>+(1000000*F$22/F89)</f>
        <v>113.29729849792503</v>
      </c>
      <c r="G34" s="1030"/>
      <c r="H34" s="1030"/>
      <c r="I34" s="1030"/>
      <c r="J34" s="1030"/>
      <c r="K34" s="1030"/>
      <c r="L34" s="1030"/>
      <c r="M34" s="1030">
        <f>+(1000000*M$22/M89)</f>
        <v>5265.5064063337359</v>
      </c>
      <c r="N34" s="1030">
        <f>+(1000000*N$22/N89)</f>
        <v>12490.610605508882</v>
      </c>
      <c r="O34" s="1030"/>
      <c r="P34" s="1030"/>
      <c r="Q34" s="1030"/>
      <c r="R34" s="1030"/>
      <c r="S34" s="1030"/>
      <c r="T34" s="1030"/>
      <c r="U34" s="1030"/>
      <c r="V34" s="1030"/>
      <c r="W34" s="1030">
        <f>+(1000000*W$22/W89)</f>
        <v>124.2949651934687</v>
      </c>
      <c r="X34" s="1030">
        <f>+(1000000*X$22/X89)</f>
        <v>565.30485869724316</v>
      </c>
      <c r="Y34" s="1030" t="e">
        <f>+(1000000*Y$22/Y89)</f>
        <v>#DIV/0!</v>
      </c>
      <c r="Z34" s="1030" t="e">
        <f>+(1000000*Z$22/Z89)</f>
        <v>#DIV/0!</v>
      </c>
      <c r="AA34" s="1030"/>
      <c r="AB34" s="1030"/>
      <c r="AC34" s="1030"/>
      <c r="AD34" s="1030" t="e">
        <f>+(1000000*AD$22/AD89)</f>
        <v>#DIV/0!</v>
      </c>
      <c r="AE34" s="1030"/>
      <c r="AF34" s="1030" t="e">
        <f t="shared" ref="AF34:AS34" si="1">+(1000000*AF$22/AF89)</f>
        <v>#DIV/0!</v>
      </c>
      <c r="AG34" s="1030" t="e">
        <f t="shared" si="1"/>
        <v>#DIV/0!</v>
      </c>
      <c r="AH34" s="1030">
        <f t="shared" si="1"/>
        <v>2566666666.666667</v>
      </c>
      <c r="AI34" s="1030" t="e">
        <f t="shared" si="1"/>
        <v>#DIV/0!</v>
      </c>
      <c r="AJ34" s="1030" t="e">
        <f t="shared" si="1"/>
        <v>#DIV/0!</v>
      </c>
      <c r="AK34" s="1030" t="e">
        <f t="shared" si="1"/>
        <v>#DIV/0!</v>
      </c>
      <c r="AL34" s="1030" t="e">
        <f t="shared" si="1"/>
        <v>#DIV/0!</v>
      </c>
      <c r="AM34" s="1030">
        <f t="shared" si="1"/>
        <v>1119329.5441398968</v>
      </c>
      <c r="AN34" s="1030">
        <f t="shared" si="1"/>
        <v>208906.72441301812</v>
      </c>
      <c r="AO34" s="1030">
        <f t="shared" si="1"/>
        <v>18873403.019744482</v>
      </c>
      <c r="AP34" s="1030">
        <f t="shared" si="1"/>
        <v>0</v>
      </c>
      <c r="AQ34" s="1030" t="e">
        <f t="shared" si="1"/>
        <v>#DIV/0!</v>
      </c>
      <c r="AR34" s="1030">
        <f t="shared" si="1"/>
        <v>0</v>
      </c>
      <c r="AS34" s="1030">
        <f t="shared" si="1"/>
        <v>0</v>
      </c>
      <c r="AT34" s="1030"/>
    </row>
    <row r="35" spans="1:46" x14ac:dyDescent="0.25">
      <c r="A35" s="1237">
        <v>2014</v>
      </c>
      <c r="B35" s="1215" t="s">
        <v>1280</v>
      </c>
      <c r="C35" s="1030"/>
      <c r="D35" s="1030">
        <f>+(1000000*D$23/D106)</f>
        <v>390.27146791397234</v>
      </c>
      <c r="E35" s="1030"/>
      <c r="F35" s="1030">
        <f>+(1000000*F$23/F106)</f>
        <v>116.38540667558449</v>
      </c>
      <c r="G35" s="1030"/>
      <c r="H35" s="1030"/>
      <c r="I35" s="1030"/>
      <c r="J35" s="1030"/>
      <c r="K35" s="1030"/>
      <c r="L35" s="1030"/>
      <c r="M35" s="1030">
        <f>+(1000000*M$23/M106)</f>
        <v>6553.8020177284579</v>
      </c>
      <c r="N35" s="1030">
        <f>+(1000000*N$23/N106)</f>
        <v>13282.514116364151</v>
      </c>
      <c r="O35" s="1030"/>
      <c r="P35" s="1030"/>
      <c r="Q35" s="1030"/>
      <c r="R35" s="1030"/>
      <c r="S35" s="1030"/>
      <c r="T35" s="1030"/>
      <c r="U35" s="1030"/>
      <c r="V35" s="1030"/>
      <c r="W35" s="1030">
        <f>+(1000000*W$23/W106)</f>
        <v>131.64934987970557</v>
      </c>
      <c r="X35" s="1030">
        <f>+(1000000*X$23/X106)</f>
        <v>579.00419291476157</v>
      </c>
      <c r="Y35" s="1030" t="e">
        <f>+(1000000*Y$23/Y106)</f>
        <v>#DIV/0!</v>
      </c>
      <c r="Z35" s="1030" t="e">
        <f>+(1000000*Z$23/Z106)</f>
        <v>#DIV/0!</v>
      </c>
      <c r="AA35" s="1030"/>
      <c r="AB35" s="1030"/>
      <c r="AC35" s="1030"/>
      <c r="AD35" s="1030" t="e">
        <f>+(1000000*AD$23/AD106)</f>
        <v>#DIV/0!</v>
      </c>
      <c r="AE35" s="1030"/>
      <c r="AF35" s="1030" t="e">
        <f t="shared" ref="AF35:AS35" si="2">+(1000000*AF$23/AF106)</f>
        <v>#DIV/0!</v>
      </c>
      <c r="AG35" s="1030" t="e">
        <f t="shared" si="2"/>
        <v>#DIV/0!</v>
      </c>
      <c r="AH35" s="1030">
        <f t="shared" si="2"/>
        <v>2650000000</v>
      </c>
      <c r="AI35" s="1030" t="e">
        <f t="shared" si="2"/>
        <v>#DIV/0!</v>
      </c>
      <c r="AJ35" s="1030" t="e">
        <f t="shared" si="2"/>
        <v>#DIV/0!</v>
      </c>
      <c r="AK35" s="1030" t="e">
        <f t="shared" si="2"/>
        <v>#DIV/0!</v>
      </c>
      <c r="AL35" s="1030" t="e">
        <f t="shared" si="2"/>
        <v>#DIV/0!</v>
      </c>
      <c r="AM35" s="1030">
        <f t="shared" si="2"/>
        <v>1156890.9382385509</v>
      </c>
      <c r="AN35" s="1030">
        <f t="shared" si="2"/>
        <v>225891.01095066188</v>
      </c>
      <c r="AO35" s="1030">
        <f t="shared" si="2"/>
        <v>21947803.511648558</v>
      </c>
      <c r="AP35" s="1030">
        <f t="shared" si="2"/>
        <v>0</v>
      </c>
      <c r="AQ35" s="1030" t="e">
        <f t="shared" si="2"/>
        <v>#DIV/0!</v>
      </c>
      <c r="AR35" s="1030">
        <f t="shared" si="2"/>
        <v>0</v>
      </c>
      <c r="AS35" s="1030">
        <f t="shared" si="2"/>
        <v>0</v>
      </c>
      <c r="AT35" s="1030"/>
    </row>
    <row r="36" spans="1:46" x14ac:dyDescent="0.25">
      <c r="A36" s="1240">
        <v>2015</v>
      </c>
      <c r="B36" s="1227" t="s">
        <v>1280</v>
      </c>
      <c r="C36" s="1030"/>
      <c r="D36" s="1030">
        <f>+(1000000*D$24/D123)</f>
        <v>414.48364650055402</v>
      </c>
      <c r="E36" s="1030"/>
      <c r="F36" s="1030">
        <f>+(1000000*F$24/F123)</f>
        <v>119.16293039038506</v>
      </c>
      <c r="G36" s="1030"/>
      <c r="H36" s="1030"/>
      <c r="I36" s="1030"/>
      <c r="J36" s="1030"/>
      <c r="K36" s="1030"/>
      <c r="L36" s="1030"/>
      <c r="M36" s="1030">
        <f>+(1000000*M$24/M123)</f>
        <v>6236.121477436538</v>
      </c>
      <c r="N36" s="1030">
        <f>+(1000000*N$24/N123)</f>
        <v>14215.043177074132</v>
      </c>
      <c r="O36" s="1030"/>
      <c r="P36" s="1030"/>
      <c r="Q36" s="1030"/>
      <c r="R36" s="1030"/>
      <c r="S36" s="1030"/>
      <c r="T36" s="1030"/>
      <c r="U36" s="1030"/>
      <c r="V36" s="1030"/>
      <c r="W36" s="1030">
        <f>+(1000000*W$24/W123)</f>
        <v>138.41486415466264</v>
      </c>
      <c r="X36" s="1030">
        <f>+(1000000*X$24/X123)</f>
        <v>576.12357503956389</v>
      </c>
      <c r="Y36" s="1030" t="e">
        <f>+(1000000*Y$24/Y123)</f>
        <v>#DIV/0!</v>
      </c>
      <c r="Z36" s="1030" t="e">
        <f>+(1000000*Z$24/Z123)</f>
        <v>#DIV/0!</v>
      </c>
      <c r="AA36" s="1030"/>
      <c r="AB36" s="1030"/>
      <c r="AC36" s="1030"/>
      <c r="AD36" s="1030" t="e">
        <f>+(1000000*AD$24/AD123)</f>
        <v>#DIV/0!</v>
      </c>
      <c r="AE36" s="1030"/>
      <c r="AF36" s="1030" t="e">
        <f t="shared" ref="AF36:AS36" si="3">+(1000000*AF$24/AF123)</f>
        <v>#DIV/0!</v>
      </c>
      <c r="AG36" s="1030" t="e">
        <f t="shared" si="3"/>
        <v>#DIV/0!</v>
      </c>
      <c r="AH36" s="1030">
        <f t="shared" si="3"/>
        <v>2983333333.3333335</v>
      </c>
      <c r="AI36" s="1030" t="e">
        <f t="shared" si="3"/>
        <v>#DIV/0!</v>
      </c>
      <c r="AJ36" s="1030" t="e">
        <f t="shared" si="3"/>
        <v>#DIV/0!</v>
      </c>
      <c r="AK36" s="1030" t="e">
        <f t="shared" si="3"/>
        <v>#DIV/0!</v>
      </c>
      <c r="AL36" s="1030" t="e">
        <f t="shared" si="3"/>
        <v>#DIV/0!</v>
      </c>
      <c r="AM36" s="1030">
        <f t="shared" si="3"/>
        <v>1179427.7746977436</v>
      </c>
      <c r="AN36" s="1030">
        <f t="shared" si="3"/>
        <v>247970.58344959872</v>
      </c>
      <c r="AO36" s="1030">
        <f t="shared" si="3"/>
        <v>26132404.181184664</v>
      </c>
      <c r="AP36" s="1030">
        <f t="shared" si="3"/>
        <v>0</v>
      </c>
      <c r="AQ36" s="1030" t="e">
        <f t="shared" si="3"/>
        <v>#DIV/0!</v>
      </c>
      <c r="AR36" s="1030">
        <f t="shared" si="3"/>
        <v>0</v>
      </c>
      <c r="AS36" s="1030">
        <f t="shared" si="3"/>
        <v>0</v>
      </c>
      <c r="AT36" s="1030"/>
    </row>
    <row r="37" spans="1:46" x14ac:dyDescent="0.25">
      <c r="A37" s="510"/>
      <c r="B37" s="1054"/>
      <c r="C37" s="1025"/>
      <c r="D37" s="1025"/>
      <c r="E37" s="1025"/>
      <c r="F37" s="1025"/>
      <c r="G37" s="1025"/>
      <c r="H37" s="1025"/>
      <c r="I37" s="1025"/>
      <c r="J37" s="1025"/>
      <c r="K37" s="1025"/>
      <c r="L37" s="1025"/>
      <c r="M37" s="1025"/>
      <c r="N37" s="1025"/>
      <c r="O37" s="1025"/>
      <c r="P37" s="1025"/>
      <c r="Q37" s="1025"/>
      <c r="R37" s="1025"/>
      <c r="S37" s="1025"/>
      <c r="T37" s="1025"/>
      <c r="U37" s="1025"/>
      <c r="V37" s="1025"/>
      <c r="W37" s="1025"/>
      <c r="X37" s="1025"/>
      <c r="Y37" s="1025"/>
      <c r="Z37" s="1025"/>
      <c r="AA37" s="1025"/>
      <c r="AB37" s="1025"/>
      <c r="AC37" s="1025"/>
      <c r="AD37" s="1025"/>
      <c r="AE37" s="1025"/>
      <c r="AF37" s="1025"/>
      <c r="AG37" s="1025"/>
      <c r="AH37" s="1025"/>
      <c r="AI37" s="1025"/>
      <c r="AJ37" s="1025"/>
      <c r="AK37" s="1025"/>
      <c r="AL37" s="1025"/>
      <c r="AM37" s="1025"/>
      <c r="AN37" s="1025"/>
      <c r="AO37" s="1025"/>
      <c r="AP37" s="1025"/>
      <c r="AQ37" s="1025"/>
      <c r="AR37" s="1025"/>
      <c r="AS37" s="1025"/>
      <c r="AT37" s="1025"/>
    </row>
    <row r="38" spans="1:46" x14ac:dyDescent="0.25">
      <c r="A38" s="510">
        <v>2012</v>
      </c>
      <c r="B38" s="1054" t="s">
        <v>1324</v>
      </c>
      <c r="C38" s="1025"/>
      <c r="D38" s="1025">
        <f>+(1000000*D$21/D73)</f>
        <v>7394.1317369833378</v>
      </c>
      <c r="E38" s="1025"/>
      <c r="F38" s="1025">
        <f>+(1000000*F$21/F73)</f>
        <v>7023.8327667885706</v>
      </c>
      <c r="G38" s="1025"/>
      <c r="H38" s="1025"/>
      <c r="I38" s="1025"/>
      <c r="J38" s="1025"/>
      <c r="K38" s="1025"/>
      <c r="L38" s="1025"/>
      <c r="M38" s="1025">
        <f>+(1000000*M$21/M73)</f>
        <v>95066.360694324161</v>
      </c>
      <c r="N38" s="1025">
        <f>+(1000000*N$21/N73)</f>
        <v>12071.194678187234</v>
      </c>
      <c r="O38" s="1025"/>
      <c r="P38" s="1025"/>
      <c r="Q38" s="1025"/>
      <c r="R38" s="1025"/>
      <c r="S38" s="1025"/>
      <c r="T38" s="1025"/>
      <c r="U38" s="1025"/>
      <c r="V38" s="1025"/>
      <c r="W38" s="1025">
        <f>+(1000000*W$21/W73)</f>
        <v>119.30676723111065</v>
      </c>
      <c r="X38" s="1025">
        <f>+(1000000*X$21/X73)</f>
        <v>528.21431866337093</v>
      </c>
      <c r="Y38" s="1025" t="e">
        <f>+(1000000*Y$21/Y73)</f>
        <v>#DIV/0!</v>
      </c>
      <c r="Z38" s="1025" t="e">
        <f>+(1000000*Z$21/Z73)</f>
        <v>#DIV/0!</v>
      </c>
      <c r="AA38" s="1025"/>
      <c r="AB38" s="1025"/>
      <c r="AC38" s="1025"/>
      <c r="AD38" s="1025" t="e">
        <f>+(1000000*AD$21/AD73)</f>
        <v>#DIV/0!</v>
      </c>
      <c r="AE38" s="1025"/>
      <c r="AF38" s="1025" t="e">
        <f t="shared" ref="AF38:AS38" si="4">+(1000000*AF$21/AF73)</f>
        <v>#DIV/0!</v>
      </c>
      <c r="AG38" s="1025" t="e">
        <f t="shared" si="4"/>
        <v>#DIV/0!</v>
      </c>
      <c r="AH38" s="1025" t="e">
        <f t="shared" si="4"/>
        <v>#DIV/0!</v>
      </c>
      <c r="AI38" s="1025" t="e">
        <f t="shared" si="4"/>
        <v>#DIV/0!</v>
      </c>
      <c r="AJ38" s="1025" t="e">
        <f t="shared" si="4"/>
        <v>#DIV/0!</v>
      </c>
      <c r="AK38" s="1025" t="e">
        <f t="shared" si="4"/>
        <v>#DIV/0!</v>
      </c>
      <c r="AL38" s="1025" t="e">
        <f t="shared" si="4"/>
        <v>#DIV/0!</v>
      </c>
      <c r="AM38" s="1025">
        <f t="shared" si="4"/>
        <v>1074255.8712215116</v>
      </c>
      <c r="AN38" s="1025">
        <f t="shared" si="4"/>
        <v>1277662.2752743775</v>
      </c>
      <c r="AO38" s="1025" t="e">
        <f t="shared" si="4"/>
        <v>#DIV/0!</v>
      </c>
      <c r="AP38" s="1025">
        <f t="shared" si="4"/>
        <v>0</v>
      </c>
      <c r="AQ38" s="1025" t="e">
        <f t="shared" si="4"/>
        <v>#DIV/0!</v>
      </c>
      <c r="AR38" s="1025">
        <f t="shared" si="4"/>
        <v>0</v>
      </c>
      <c r="AS38" s="1025">
        <f t="shared" si="4"/>
        <v>0</v>
      </c>
      <c r="AT38" s="1025"/>
    </row>
    <row r="39" spans="1:46" x14ac:dyDescent="0.25">
      <c r="A39" s="1235">
        <v>2013</v>
      </c>
      <c r="B39" s="1198" t="s">
        <v>1324</v>
      </c>
      <c r="C39" s="1025"/>
      <c r="D39" s="1025">
        <f>+(1000000*D$22/D90)</f>
        <v>7543.1790644299736</v>
      </c>
      <c r="E39" s="1025"/>
      <c r="F39" s="1025">
        <f>+(1000000*F$22/F90)</f>
        <v>7051.4538791248769</v>
      </c>
      <c r="G39" s="1025"/>
      <c r="H39" s="1025"/>
      <c r="I39" s="1025"/>
      <c r="J39" s="1025"/>
      <c r="K39" s="1025"/>
      <c r="L39" s="1025"/>
      <c r="M39" s="1025">
        <f>+(1000000*M$22/M90)</f>
        <v>112359.52142342206</v>
      </c>
      <c r="N39" s="1025">
        <f>+(1000000*N$22/N90)</f>
        <v>12505.342451790215</v>
      </c>
      <c r="O39" s="1025"/>
      <c r="P39" s="1025"/>
      <c r="Q39" s="1025"/>
      <c r="R39" s="1025"/>
      <c r="S39" s="1025"/>
      <c r="T39" s="1025"/>
      <c r="U39" s="1025"/>
      <c r="V39" s="1025"/>
      <c r="W39" s="1025">
        <f>+(1000000*W$22/W90)</f>
        <v>124.2949651934687</v>
      </c>
      <c r="X39" s="1025">
        <f>+(1000000*X$22/X90)</f>
        <v>565.30485869724316</v>
      </c>
      <c r="Y39" s="1025" t="e">
        <f>+(1000000*Y$22/Y90)</f>
        <v>#DIV/0!</v>
      </c>
      <c r="Z39" s="1025" t="e">
        <f>+(1000000*Z$22/Z90)</f>
        <v>#DIV/0!</v>
      </c>
      <c r="AA39" s="1025"/>
      <c r="AB39" s="1025"/>
      <c r="AC39" s="1025"/>
      <c r="AD39" s="1025" t="e">
        <f>+(1000000*AD$22/AD90)</f>
        <v>#DIV/0!</v>
      </c>
      <c r="AE39" s="1025"/>
      <c r="AF39" s="1025" t="e">
        <f t="shared" ref="AF39:AS39" si="5">+(1000000*AF$22/AF90)</f>
        <v>#DIV/0!</v>
      </c>
      <c r="AG39" s="1025" t="e">
        <f t="shared" si="5"/>
        <v>#DIV/0!</v>
      </c>
      <c r="AH39" s="1025" t="e">
        <f t="shared" si="5"/>
        <v>#DIV/0!</v>
      </c>
      <c r="AI39" s="1025" t="e">
        <f t="shared" si="5"/>
        <v>#DIV/0!</v>
      </c>
      <c r="AJ39" s="1025" t="e">
        <f t="shared" si="5"/>
        <v>#DIV/0!</v>
      </c>
      <c r="AK39" s="1025" t="e">
        <f t="shared" si="5"/>
        <v>#DIV/0!</v>
      </c>
      <c r="AL39" s="1025" t="e">
        <f t="shared" si="5"/>
        <v>#DIV/0!</v>
      </c>
      <c r="AM39" s="1025">
        <f t="shared" si="5"/>
        <v>1119329.5441398968</v>
      </c>
      <c r="AN39" s="1025">
        <f t="shared" si="5"/>
        <v>1354762.5849892108</v>
      </c>
      <c r="AO39" s="1025" t="e">
        <f t="shared" si="5"/>
        <v>#DIV/0!</v>
      </c>
      <c r="AP39" s="1025">
        <f t="shared" si="5"/>
        <v>0</v>
      </c>
      <c r="AQ39" s="1025" t="e">
        <f t="shared" si="5"/>
        <v>#DIV/0!</v>
      </c>
      <c r="AR39" s="1025">
        <f t="shared" si="5"/>
        <v>0</v>
      </c>
      <c r="AS39" s="1025">
        <f t="shared" si="5"/>
        <v>0</v>
      </c>
      <c r="AT39" s="1025"/>
    </row>
    <row r="40" spans="1:46" x14ac:dyDescent="0.25">
      <c r="A40" s="1238">
        <v>2014</v>
      </c>
      <c r="B40" s="1208" t="s">
        <v>1324</v>
      </c>
      <c r="C40" s="1025"/>
      <c r="D40" s="1025">
        <f>+(1000000*D$23/D107)</f>
        <v>7859.7038281260311</v>
      </c>
      <c r="E40" s="1025"/>
      <c r="F40" s="1025">
        <f>+(1000000*F$23/F107)</f>
        <v>7174.6727798520687</v>
      </c>
      <c r="G40" s="1025"/>
      <c r="H40" s="1025"/>
      <c r="I40" s="1025"/>
      <c r="J40" s="1025"/>
      <c r="K40" s="1025"/>
      <c r="L40" s="1025"/>
      <c r="M40" s="1025">
        <f>+(1000000*M$23/M107)</f>
        <v>137392.3565098418</v>
      </c>
      <c r="N40" s="1025">
        <f>+(1000000*N$23/N107)</f>
        <v>13297.983011542328</v>
      </c>
      <c r="O40" s="1025"/>
      <c r="P40" s="1025"/>
      <c r="Q40" s="1025"/>
      <c r="R40" s="1025"/>
      <c r="S40" s="1025"/>
      <c r="T40" s="1025"/>
      <c r="U40" s="1025"/>
      <c r="V40" s="1025"/>
      <c r="W40" s="1025">
        <f>+(1000000*W$23/W107)</f>
        <v>131.64934987970557</v>
      </c>
      <c r="X40" s="1025">
        <f>+(1000000*X$23/X107)</f>
        <v>579.00419291476157</v>
      </c>
      <c r="Y40" s="1025" t="e">
        <f>+(1000000*Y$23/Y107)</f>
        <v>#DIV/0!</v>
      </c>
      <c r="Z40" s="1025" t="e">
        <f>+(1000000*Z$23/Z107)</f>
        <v>#DIV/0!</v>
      </c>
      <c r="AA40" s="1025"/>
      <c r="AB40" s="1025"/>
      <c r="AC40" s="1025"/>
      <c r="AD40" s="1025" t="e">
        <f>+(1000000*AD$23/AD107)</f>
        <v>#DIV/0!</v>
      </c>
      <c r="AE40" s="1025"/>
      <c r="AF40" s="1025" t="e">
        <f t="shared" ref="AF40:AS40" si="6">+(1000000*AF$23/AF107)</f>
        <v>#DIV/0!</v>
      </c>
      <c r="AG40" s="1025" t="e">
        <f t="shared" si="6"/>
        <v>#DIV/0!</v>
      </c>
      <c r="AH40" s="1025" t="e">
        <f t="shared" si="6"/>
        <v>#DIV/0!</v>
      </c>
      <c r="AI40" s="1025" t="e">
        <f t="shared" si="6"/>
        <v>#DIV/0!</v>
      </c>
      <c r="AJ40" s="1025" t="e">
        <f t="shared" si="6"/>
        <v>#DIV/0!</v>
      </c>
      <c r="AK40" s="1025" t="e">
        <f t="shared" si="6"/>
        <v>#DIV/0!</v>
      </c>
      <c r="AL40" s="1025" t="e">
        <f t="shared" si="6"/>
        <v>#DIV/0!</v>
      </c>
      <c r="AM40" s="1025">
        <f t="shared" si="6"/>
        <v>1156890.9382385509</v>
      </c>
      <c r="AN40" s="1025">
        <f t="shared" si="6"/>
        <v>1464905.8845818294</v>
      </c>
      <c r="AO40" s="1025" t="e">
        <f t="shared" si="6"/>
        <v>#DIV/0!</v>
      </c>
      <c r="AP40" s="1025">
        <f t="shared" si="6"/>
        <v>0</v>
      </c>
      <c r="AQ40" s="1025" t="e">
        <f t="shared" si="6"/>
        <v>#DIV/0!</v>
      </c>
      <c r="AR40" s="1025">
        <f t="shared" si="6"/>
        <v>0</v>
      </c>
      <c r="AS40" s="1025">
        <f t="shared" si="6"/>
        <v>0</v>
      </c>
      <c r="AT40" s="1025"/>
    </row>
    <row r="41" spans="1:46" x14ac:dyDescent="0.25">
      <c r="A41" s="1241">
        <v>2015</v>
      </c>
      <c r="B41" s="1220" t="s">
        <v>1324</v>
      </c>
      <c r="C41" s="1025"/>
      <c r="D41" s="1025">
        <f>+(1000000*D$24/D124)</f>
        <v>8309.6692892723895</v>
      </c>
      <c r="E41" s="1025"/>
      <c r="F41" s="1025">
        <f>+(1000000*F$24/F124)</f>
        <v>7250.7022397856781</v>
      </c>
      <c r="G41" s="1025"/>
      <c r="H41" s="1025"/>
      <c r="I41" s="1025"/>
      <c r="J41" s="1025"/>
      <c r="K41" s="1025"/>
      <c r="L41" s="1025"/>
      <c r="M41" s="1025">
        <f>+(1000000*M$24/M124)</f>
        <v>128434.31961296283</v>
      </c>
      <c r="N41" s="1025">
        <f>+(1000000*N$24/N124)</f>
        <v>14231.389465909435</v>
      </c>
      <c r="O41" s="1025"/>
      <c r="P41" s="1025"/>
      <c r="Q41" s="1025"/>
      <c r="R41" s="1025"/>
      <c r="S41" s="1025"/>
      <c r="T41" s="1025"/>
      <c r="U41" s="1025"/>
      <c r="V41" s="1025"/>
      <c r="W41" s="1025">
        <f>+(1000000*W$24/W124)</f>
        <v>138.41486415466264</v>
      </c>
      <c r="X41" s="1025">
        <f>+(1000000*X$24/X124)</f>
        <v>576.12357503956389</v>
      </c>
      <c r="Y41" s="1025" t="e">
        <f>+(1000000*Y$24/Y124)</f>
        <v>#DIV/0!</v>
      </c>
      <c r="Z41" s="1025" t="e">
        <f>+(1000000*Z$24/Z124)</f>
        <v>#DIV/0!</v>
      </c>
      <c r="AA41" s="1025"/>
      <c r="AB41" s="1025"/>
      <c r="AC41" s="1025"/>
      <c r="AD41" s="1025" t="e">
        <f>+(1000000*AD$24/AD124)</f>
        <v>#DIV/0!</v>
      </c>
      <c r="AE41" s="1025"/>
      <c r="AF41" s="1025" t="e">
        <f t="shared" ref="AF41:AS41" si="7">+(1000000*AF$24/AF124)</f>
        <v>#DIV/0!</v>
      </c>
      <c r="AG41" s="1025" t="e">
        <f t="shared" si="7"/>
        <v>#DIV/0!</v>
      </c>
      <c r="AH41" s="1025" t="e">
        <f t="shared" si="7"/>
        <v>#DIV/0!</v>
      </c>
      <c r="AI41" s="1025" t="e">
        <f t="shared" si="7"/>
        <v>#DIV/0!</v>
      </c>
      <c r="AJ41" s="1025" t="e">
        <f t="shared" si="7"/>
        <v>#DIV/0!</v>
      </c>
      <c r="AK41" s="1025" t="e">
        <f t="shared" si="7"/>
        <v>#DIV/0!</v>
      </c>
      <c r="AL41" s="1025" t="e">
        <f t="shared" si="7"/>
        <v>#DIV/0!</v>
      </c>
      <c r="AM41" s="1025">
        <f t="shared" si="7"/>
        <v>1179427.7746977436</v>
      </c>
      <c r="AN41" s="1025">
        <f t="shared" si="7"/>
        <v>1608092.1740522338</v>
      </c>
      <c r="AO41" s="1025" t="e">
        <f t="shared" si="7"/>
        <v>#DIV/0!</v>
      </c>
      <c r="AP41" s="1025">
        <f t="shared" si="7"/>
        <v>0</v>
      </c>
      <c r="AQ41" s="1025" t="e">
        <f t="shared" si="7"/>
        <v>#DIV/0!</v>
      </c>
      <c r="AR41" s="1025">
        <f t="shared" si="7"/>
        <v>0</v>
      </c>
      <c r="AS41" s="1025">
        <f t="shared" si="7"/>
        <v>0</v>
      </c>
      <c r="AT41" s="1025"/>
    </row>
    <row r="42" spans="1:46" x14ac:dyDescent="0.25">
      <c r="A42" s="510"/>
      <c r="B42" s="1054"/>
      <c r="C42" s="1025"/>
      <c r="D42" s="1025"/>
      <c r="E42" s="1025"/>
      <c r="F42" s="1025"/>
      <c r="G42" s="1025"/>
      <c r="H42" s="1025"/>
      <c r="I42" s="1025"/>
      <c r="J42" s="1025"/>
      <c r="K42" s="1025"/>
      <c r="L42" s="1025"/>
      <c r="M42" s="1025"/>
      <c r="N42" s="1025"/>
      <c r="O42" s="1025"/>
      <c r="P42" s="1025"/>
      <c r="Q42" s="1025"/>
      <c r="R42" s="1025"/>
      <c r="S42" s="1025"/>
      <c r="T42" s="1025"/>
      <c r="U42" s="1025"/>
      <c r="V42" s="1025"/>
      <c r="W42" s="1025"/>
      <c r="X42" s="1025"/>
      <c r="Y42" s="1025"/>
      <c r="Z42" s="1025"/>
      <c r="AA42" s="1025"/>
      <c r="AB42" s="1025"/>
      <c r="AC42" s="1025"/>
      <c r="AD42" s="1025"/>
      <c r="AE42" s="1025"/>
      <c r="AF42" s="1025"/>
      <c r="AG42" s="1025"/>
      <c r="AH42" s="1025"/>
      <c r="AI42" s="1025"/>
      <c r="AJ42" s="1025"/>
      <c r="AK42" s="1025"/>
      <c r="AL42" s="1025"/>
      <c r="AM42" s="1025"/>
      <c r="AN42" s="1025"/>
      <c r="AO42" s="1025"/>
      <c r="AP42" s="1025"/>
      <c r="AQ42" s="1025"/>
      <c r="AR42" s="1025"/>
      <c r="AS42" s="1025"/>
      <c r="AT42" s="1025"/>
    </row>
    <row r="43" spans="1:46" x14ac:dyDescent="0.25">
      <c r="A43" s="510">
        <v>2012</v>
      </c>
      <c r="B43" s="1054" t="s">
        <v>1279</v>
      </c>
      <c r="C43" s="1025"/>
      <c r="D43" s="1025">
        <f>+(1000000*D$21/D74)</f>
        <v>8185.6416099469352</v>
      </c>
      <c r="E43" s="1025"/>
      <c r="F43" s="1025">
        <f>+(1000000*F$21/F74)</f>
        <v>7536.8778526533333</v>
      </c>
      <c r="G43" s="1025"/>
      <c r="H43" s="1025"/>
      <c r="I43" s="1025"/>
      <c r="J43" s="1025"/>
      <c r="K43" s="1025"/>
      <c r="L43" s="1025"/>
      <c r="M43" s="1025">
        <f>+(1000000*M$21/M74)</f>
        <v>101336.95207953574</v>
      </c>
      <c r="N43" s="1025">
        <f>+(1000000*N$21/N74)</f>
        <v>19198.579895537965</v>
      </c>
      <c r="O43" s="1025"/>
      <c r="P43" s="1025"/>
      <c r="Q43" s="1025"/>
      <c r="R43" s="1025"/>
      <c r="S43" s="1025"/>
      <c r="T43" s="1025"/>
      <c r="U43" s="1025"/>
      <c r="V43" s="1025"/>
      <c r="W43" s="1025">
        <f>+(1000000*W$21/W74)</f>
        <v>119.30676723111065</v>
      </c>
      <c r="X43" s="1025">
        <f>+(1000000*X$21/X74)</f>
        <v>682.52845080507859</v>
      </c>
      <c r="Y43" s="1025" t="e">
        <f>+(1000000*Y$21/Y74)</f>
        <v>#DIV/0!</v>
      </c>
      <c r="Z43" s="1025" t="e">
        <f>+(1000000*Z$21/Z74)</f>
        <v>#DIV/0!</v>
      </c>
      <c r="AA43" s="1025"/>
      <c r="AB43" s="1025"/>
      <c r="AC43" s="1025"/>
      <c r="AD43" s="1025" t="e">
        <f>+(1000000*AD$21/AD74)</f>
        <v>#DIV/0!</v>
      </c>
      <c r="AE43" s="1025"/>
      <c r="AF43" s="1025" t="e">
        <f t="shared" ref="AF43:AS43" si="8">+(1000000*AF$21/AF74)</f>
        <v>#DIV/0!</v>
      </c>
      <c r="AG43" s="1025" t="e">
        <f t="shared" si="8"/>
        <v>#DIV/0!</v>
      </c>
      <c r="AH43" s="1025" t="e">
        <f t="shared" si="8"/>
        <v>#DIV/0!</v>
      </c>
      <c r="AI43" s="1025" t="e">
        <f t="shared" si="8"/>
        <v>#DIV/0!</v>
      </c>
      <c r="AJ43" s="1025" t="e">
        <f t="shared" si="8"/>
        <v>#DIV/0!</v>
      </c>
      <c r="AK43" s="1025" t="e">
        <f t="shared" si="8"/>
        <v>#DIV/0!</v>
      </c>
      <c r="AL43" s="1025" t="e">
        <f t="shared" si="8"/>
        <v>#DIV/0!</v>
      </c>
      <c r="AM43" s="1025" t="e">
        <f t="shared" si="8"/>
        <v>#DIV/0!</v>
      </c>
      <c r="AN43" s="1025" t="e">
        <f t="shared" si="8"/>
        <v>#DIV/0!</v>
      </c>
      <c r="AO43" s="1025">
        <f t="shared" si="8"/>
        <v>95003858.024691343</v>
      </c>
      <c r="AP43" s="1025">
        <f t="shared" si="8"/>
        <v>0</v>
      </c>
      <c r="AQ43" s="1025" t="e">
        <f t="shared" si="8"/>
        <v>#DIV/0!</v>
      </c>
      <c r="AR43" s="1025">
        <f t="shared" si="8"/>
        <v>0</v>
      </c>
      <c r="AS43" s="1025">
        <f t="shared" si="8"/>
        <v>0</v>
      </c>
      <c r="AT43" s="1025"/>
    </row>
    <row r="44" spans="1:46" x14ac:dyDescent="0.25">
      <c r="A44" s="1235">
        <v>2013</v>
      </c>
      <c r="B44" s="1198" t="s">
        <v>1279</v>
      </c>
      <c r="C44" s="1025"/>
      <c r="D44" s="1025">
        <f>+(1000000*D$22/D91)</f>
        <v>8333.7533923827796</v>
      </c>
      <c r="E44" s="1025"/>
      <c r="F44" s="1025">
        <f>+(1000000*F$22/F91)</f>
        <v>7552.8840613077873</v>
      </c>
      <c r="G44" s="1025"/>
      <c r="H44" s="1025"/>
      <c r="I44" s="1025"/>
      <c r="J44" s="1025"/>
      <c r="K44" s="1025"/>
      <c r="L44" s="1025"/>
      <c r="M44" s="1025">
        <f>+(1000000*M$22/M91)</f>
        <v>119625.4536353063</v>
      </c>
      <c r="N44" s="1025">
        <f>+(1000000*N$22/N91)</f>
        <v>19897.62255125399</v>
      </c>
      <c r="O44" s="1025"/>
      <c r="P44" s="1025"/>
      <c r="Q44" s="1025"/>
      <c r="R44" s="1025"/>
      <c r="S44" s="1025"/>
      <c r="T44" s="1025"/>
      <c r="U44" s="1025"/>
      <c r="V44" s="1025"/>
      <c r="W44" s="1025">
        <f>+(1000000*W$22/W91)</f>
        <v>124.2949651934687</v>
      </c>
      <c r="X44" s="1025">
        <f>+(1000000*X$22/X91)</f>
        <v>731.28048300544128</v>
      </c>
      <c r="Y44" s="1025" t="e">
        <f>+(1000000*Y$22/Y91)</f>
        <v>#DIV/0!</v>
      </c>
      <c r="Z44" s="1025" t="e">
        <f>+(1000000*Z$22/Z91)</f>
        <v>#DIV/0!</v>
      </c>
      <c r="AA44" s="1025"/>
      <c r="AB44" s="1025"/>
      <c r="AC44" s="1025"/>
      <c r="AD44" s="1025" t="e">
        <f>+(1000000*AD$22/AD91)</f>
        <v>#DIV/0!</v>
      </c>
      <c r="AE44" s="1025"/>
      <c r="AF44" s="1025" t="e">
        <f t="shared" ref="AF44:AS44" si="9">+(1000000*AF$22/AF91)</f>
        <v>#DIV/0!</v>
      </c>
      <c r="AG44" s="1025" t="e">
        <f t="shared" si="9"/>
        <v>#DIV/0!</v>
      </c>
      <c r="AH44" s="1025" t="e">
        <f t="shared" si="9"/>
        <v>#DIV/0!</v>
      </c>
      <c r="AI44" s="1025" t="e">
        <f t="shared" si="9"/>
        <v>#DIV/0!</v>
      </c>
      <c r="AJ44" s="1025" t="e">
        <f t="shared" si="9"/>
        <v>#DIV/0!</v>
      </c>
      <c r="AK44" s="1025" t="e">
        <f t="shared" si="9"/>
        <v>#DIV/0!</v>
      </c>
      <c r="AL44" s="1025" t="e">
        <f t="shared" si="9"/>
        <v>#DIV/0!</v>
      </c>
      <c r="AM44" s="1025" t="e">
        <f t="shared" si="9"/>
        <v>#DIV/0!</v>
      </c>
      <c r="AN44" s="1025" t="e">
        <f t="shared" si="9"/>
        <v>#DIV/0!</v>
      </c>
      <c r="AO44" s="1025">
        <f t="shared" si="9"/>
        <v>106577932.09876542</v>
      </c>
      <c r="AP44" s="1025">
        <f t="shared" si="9"/>
        <v>0</v>
      </c>
      <c r="AQ44" s="1025" t="e">
        <f t="shared" si="9"/>
        <v>#DIV/0!</v>
      </c>
      <c r="AR44" s="1025">
        <f t="shared" si="9"/>
        <v>0</v>
      </c>
      <c r="AS44" s="1025">
        <f t="shared" si="9"/>
        <v>0</v>
      </c>
      <c r="AT44" s="1025"/>
    </row>
    <row r="45" spans="1:46" x14ac:dyDescent="0.25">
      <c r="A45" s="1238">
        <v>2014</v>
      </c>
      <c r="B45" s="1208" t="s">
        <v>1279</v>
      </c>
      <c r="C45" s="1025"/>
      <c r="D45" s="1025">
        <f>+(1000000*D$23/D108)</f>
        <v>8660.4688063164795</v>
      </c>
      <c r="E45" s="1025"/>
      <c r="F45" s="1025">
        <f>+(1000000*F$23/F108)</f>
        <v>7661.6315378275294</v>
      </c>
      <c r="G45" s="1025"/>
      <c r="H45" s="1025"/>
      <c r="I45" s="1025"/>
      <c r="J45" s="1025"/>
      <c r="K45" s="1025"/>
      <c r="L45" s="1025"/>
      <c r="M45" s="1025">
        <f>+(1000000*M$23/M108)</f>
        <v>146102.87208698926</v>
      </c>
      <c r="N45" s="1025">
        <f>+(1000000*N$23/N108)</f>
        <v>21168.213179717044</v>
      </c>
      <c r="O45" s="1025"/>
      <c r="P45" s="1025"/>
      <c r="Q45" s="1025"/>
      <c r="R45" s="1025"/>
      <c r="S45" s="1025"/>
      <c r="T45" s="1025"/>
      <c r="U45" s="1025"/>
      <c r="V45" s="1025"/>
      <c r="W45" s="1025">
        <f>+(1000000*W$23/W108)</f>
        <v>131.64934987970557</v>
      </c>
      <c r="X45" s="1025">
        <f>+(1000000*X$23/X108)</f>
        <v>748.1562328710902</v>
      </c>
      <c r="Y45" s="1025" t="e">
        <f>+(1000000*Y$23/Y108)</f>
        <v>#DIV/0!</v>
      </c>
      <c r="Z45" s="1025" t="e">
        <f>+(1000000*Z$23/Z108)</f>
        <v>#DIV/0!</v>
      </c>
      <c r="AA45" s="1025"/>
      <c r="AB45" s="1025"/>
      <c r="AC45" s="1025"/>
      <c r="AD45" s="1025" t="e">
        <f>+(1000000*AD$23/AD108)</f>
        <v>#DIV/0!</v>
      </c>
      <c r="AE45" s="1025"/>
      <c r="AF45" s="1025" t="e">
        <f t="shared" ref="AF45:AS45" si="10">+(1000000*AF$23/AF108)</f>
        <v>#DIV/0!</v>
      </c>
      <c r="AG45" s="1025" t="e">
        <f t="shared" si="10"/>
        <v>#DIV/0!</v>
      </c>
      <c r="AH45" s="1025" t="e">
        <f t="shared" si="10"/>
        <v>#DIV/0!</v>
      </c>
      <c r="AI45" s="1025" t="e">
        <f t="shared" si="10"/>
        <v>#DIV/0!</v>
      </c>
      <c r="AJ45" s="1025" t="e">
        <f t="shared" si="10"/>
        <v>#DIV/0!</v>
      </c>
      <c r="AK45" s="1025" t="e">
        <f t="shared" si="10"/>
        <v>#DIV/0!</v>
      </c>
      <c r="AL45" s="1025" t="e">
        <f t="shared" si="10"/>
        <v>#DIV/0!</v>
      </c>
      <c r="AM45" s="1025" t="e">
        <f t="shared" si="10"/>
        <v>#DIV/0!</v>
      </c>
      <c r="AN45" s="1025" t="e">
        <f t="shared" si="10"/>
        <v>#DIV/0!</v>
      </c>
      <c r="AO45" s="1025">
        <f t="shared" si="10"/>
        <v>123939043.20987652</v>
      </c>
      <c r="AP45" s="1025">
        <f t="shared" si="10"/>
        <v>0</v>
      </c>
      <c r="AQ45" s="1025" t="e">
        <f t="shared" si="10"/>
        <v>#DIV/0!</v>
      </c>
      <c r="AR45" s="1025">
        <f t="shared" si="10"/>
        <v>0</v>
      </c>
      <c r="AS45" s="1025">
        <f t="shared" si="10"/>
        <v>0</v>
      </c>
      <c r="AT45" s="1025"/>
    </row>
    <row r="46" spans="1:46" x14ac:dyDescent="0.25">
      <c r="A46" s="1241">
        <v>2015</v>
      </c>
      <c r="B46" s="1220" t="s">
        <v>1279</v>
      </c>
      <c r="C46" s="1025"/>
      <c r="D46" s="1025">
        <f>+(1000000*D$24/D125)</f>
        <v>9135.4502415578845</v>
      </c>
      <c r="E46" s="1025"/>
      <c r="F46" s="1025">
        <f>+(1000000*F$24/F125)</f>
        <v>7725.0838838192267</v>
      </c>
      <c r="G46" s="1025"/>
      <c r="H46" s="1025"/>
      <c r="I46" s="1025"/>
      <c r="J46" s="1025"/>
      <c r="K46" s="1025"/>
      <c r="L46" s="1025"/>
      <c r="M46" s="1025">
        <f>+(1000000*M$24/M125)</f>
        <v>136417.24751352871</v>
      </c>
      <c r="N46" s="1025">
        <f>+(1000000*N$24/N125)</f>
        <v>22664.420512847351</v>
      </c>
      <c r="O46" s="1025"/>
      <c r="P46" s="1025"/>
      <c r="Q46" s="1025"/>
      <c r="R46" s="1025"/>
      <c r="S46" s="1025"/>
      <c r="T46" s="1025"/>
      <c r="U46" s="1025"/>
      <c r="V46" s="1025"/>
      <c r="W46" s="1025">
        <f>+(1000000*W$24/W125)</f>
        <v>138.41486415466264</v>
      </c>
      <c r="X46" s="1025">
        <f>+(1000000*X$24/X125)</f>
        <v>744.43406255829871</v>
      </c>
      <c r="Y46" s="1025" t="e">
        <f>+(1000000*Y$24/Y125)</f>
        <v>#DIV/0!</v>
      </c>
      <c r="Z46" s="1025" t="e">
        <f>+(1000000*Z$24/Z125)</f>
        <v>#DIV/0!</v>
      </c>
      <c r="AA46" s="1025"/>
      <c r="AB46" s="1025"/>
      <c r="AC46" s="1025"/>
      <c r="AD46" s="1025" t="e">
        <f>+(1000000*AD$24/AD125)</f>
        <v>#DIV/0!</v>
      </c>
      <c r="AE46" s="1025"/>
      <c r="AF46" s="1025" t="e">
        <f t="shared" ref="AF46:AS46" si="11">+(1000000*AF$24/AF125)</f>
        <v>#DIV/0!</v>
      </c>
      <c r="AG46" s="1025" t="e">
        <f t="shared" si="11"/>
        <v>#DIV/0!</v>
      </c>
      <c r="AH46" s="1025" t="e">
        <f t="shared" si="11"/>
        <v>#DIV/0!</v>
      </c>
      <c r="AI46" s="1025" t="e">
        <f t="shared" si="11"/>
        <v>#DIV/0!</v>
      </c>
      <c r="AJ46" s="1025" t="e">
        <f t="shared" si="11"/>
        <v>#DIV/0!</v>
      </c>
      <c r="AK46" s="1025" t="e">
        <f t="shared" si="11"/>
        <v>#DIV/0!</v>
      </c>
      <c r="AL46" s="1025" t="e">
        <f t="shared" si="11"/>
        <v>#DIV/0!</v>
      </c>
      <c r="AM46" s="1025" t="e">
        <f t="shared" si="11"/>
        <v>#DIV/0!</v>
      </c>
      <c r="AN46" s="1025" t="e">
        <f t="shared" si="11"/>
        <v>#DIV/0!</v>
      </c>
      <c r="AO46" s="1025">
        <f t="shared" si="11"/>
        <v>147569444.44444442</v>
      </c>
      <c r="AP46" s="1025">
        <f t="shared" si="11"/>
        <v>0</v>
      </c>
      <c r="AQ46" s="1025" t="e">
        <f t="shared" si="11"/>
        <v>#DIV/0!</v>
      </c>
      <c r="AR46" s="1025">
        <f t="shared" si="11"/>
        <v>0</v>
      </c>
      <c r="AS46" s="1025">
        <f t="shared" si="11"/>
        <v>0</v>
      </c>
      <c r="AT46" s="1025"/>
    </row>
    <row r="48" spans="1:46" x14ac:dyDescent="0.25">
      <c r="A48" s="510">
        <v>2012</v>
      </c>
      <c r="B48" s="1054" t="s">
        <v>1278</v>
      </c>
      <c r="C48" s="1025"/>
      <c r="D48" s="1025">
        <f>+(1000000*D$21/D75)</f>
        <v>76468.676491750724</v>
      </c>
      <c r="E48" s="1025"/>
      <c r="F48" s="1025">
        <f>+(1000000*F$21/F75)</f>
        <v>103183.46492203586</v>
      </c>
      <c r="G48" s="1025"/>
      <c r="H48" s="1025"/>
      <c r="I48" s="1025"/>
      <c r="J48" s="1025"/>
      <c r="K48" s="1025"/>
      <c r="L48" s="1025"/>
      <c r="M48" s="1025">
        <f>+(1000000*M$21/M75)</f>
        <v>1536335.9922919828</v>
      </c>
      <c r="N48" s="1025">
        <f>+(1000000*N$21/N75)</f>
        <v>32515.401987759036</v>
      </c>
      <c r="O48" s="1025"/>
      <c r="P48" s="1025"/>
      <c r="Q48" s="1025"/>
      <c r="R48" s="1025"/>
      <c r="S48" s="1025"/>
      <c r="T48" s="1025"/>
      <c r="U48" s="1025"/>
      <c r="V48" s="1025"/>
      <c r="W48" s="1025" t="e">
        <f>+(1000000*W$21/W75)</f>
        <v>#DIV/0!</v>
      </c>
      <c r="X48" s="1025">
        <f>+(1000000*X$21/X75)</f>
        <v>2336.2818142884121</v>
      </c>
      <c r="Y48" s="1025" t="e">
        <f>+(1000000*Y$21/Y75)</f>
        <v>#DIV/0!</v>
      </c>
      <c r="Z48" s="1025" t="e">
        <f>+(1000000*Z$21/Z75)</f>
        <v>#DIV/0!</v>
      </c>
      <c r="AA48" s="1025"/>
      <c r="AB48" s="1025"/>
      <c r="AC48" s="1025"/>
      <c r="AD48" s="1025" t="e">
        <f>+(1000000*AD$21/AD75)</f>
        <v>#DIV/0!</v>
      </c>
      <c r="AE48" s="1025"/>
      <c r="AF48" s="1025" t="e">
        <f t="shared" ref="AF48:AS48" si="12">+(1000000*AF$21/AF75)</f>
        <v>#DIV/0!</v>
      </c>
      <c r="AG48" s="1025" t="e">
        <f t="shared" si="12"/>
        <v>#DIV/0!</v>
      </c>
      <c r="AH48" s="1025" t="e">
        <f t="shared" si="12"/>
        <v>#DIV/0!</v>
      </c>
      <c r="AI48" s="1025" t="e">
        <f t="shared" si="12"/>
        <v>#DIV/0!</v>
      </c>
      <c r="AJ48" s="1025" t="e">
        <f t="shared" si="12"/>
        <v>#DIV/0!</v>
      </c>
      <c r="AK48" s="1025" t="e">
        <f t="shared" si="12"/>
        <v>#DIV/0!</v>
      </c>
      <c r="AL48" s="1025" t="e">
        <f t="shared" si="12"/>
        <v>#DIV/0!</v>
      </c>
      <c r="AM48" s="1025">
        <f t="shared" si="12"/>
        <v>1074255.8712215116</v>
      </c>
      <c r="AN48" s="1025">
        <f t="shared" si="12"/>
        <v>1277662.2752743775</v>
      </c>
      <c r="AO48" s="1025" t="e">
        <f t="shared" si="12"/>
        <v>#DIV/0!</v>
      </c>
      <c r="AP48" s="1025" t="e">
        <f t="shared" si="12"/>
        <v>#DIV/0!</v>
      </c>
      <c r="AQ48" s="1025" t="e">
        <f t="shared" si="12"/>
        <v>#DIV/0!</v>
      </c>
      <c r="AR48" s="1025">
        <f t="shared" si="12"/>
        <v>0</v>
      </c>
      <c r="AS48" s="1025">
        <f t="shared" si="12"/>
        <v>0</v>
      </c>
      <c r="AT48" s="1025"/>
    </row>
    <row r="49" spans="1:46" x14ac:dyDescent="0.25">
      <c r="A49" s="1235">
        <v>2013</v>
      </c>
      <c r="B49" s="1198" t="s">
        <v>1278</v>
      </c>
      <c r="C49" s="1025"/>
      <c r="D49" s="1025">
        <f>+(1000000*D$22/D92)</f>
        <v>79515.602638309574</v>
      </c>
      <c r="E49" s="1025"/>
      <c r="F49" s="1025">
        <f>+(1000000*F$22/F92)</f>
        <v>106213.8170080508</v>
      </c>
      <c r="G49" s="1025"/>
      <c r="H49" s="1025"/>
      <c r="I49" s="1025"/>
      <c r="J49" s="1025"/>
      <c r="K49" s="1025"/>
      <c r="L49" s="1025"/>
      <c r="M49" s="1025">
        <f>+(1000000*M$22/M92)</f>
        <v>1849873.9499025915</v>
      </c>
      <c r="N49" s="1025">
        <f>+(1000000*N$22/N92)</f>
        <v>33660.329510233838</v>
      </c>
      <c r="O49" s="1025"/>
      <c r="P49" s="1025"/>
      <c r="Q49" s="1025"/>
      <c r="R49" s="1025"/>
      <c r="S49" s="1025"/>
      <c r="T49" s="1025"/>
      <c r="U49" s="1025"/>
      <c r="V49" s="1025"/>
      <c r="W49" s="1025" t="e">
        <f>+(1000000*W$22/W92)</f>
        <v>#DIV/0!</v>
      </c>
      <c r="X49" s="1025">
        <f>+(1000000*X$22/X92)</f>
        <v>2490.7055589428705</v>
      </c>
      <c r="Y49" s="1025" t="e">
        <f>+(1000000*Y$22/Y92)</f>
        <v>#DIV/0!</v>
      </c>
      <c r="Z49" s="1025" t="e">
        <f>+(1000000*Z$22/Z92)</f>
        <v>#DIV/0!</v>
      </c>
      <c r="AA49" s="1025"/>
      <c r="AB49" s="1025"/>
      <c r="AC49" s="1025"/>
      <c r="AD49" s="1025" t="e">
        <f>+(1000000*AD$22/AD92)</f>
        <v>#DIV/0!</v>
      </c>
      <c r="AE49" s="1025"/>
      <c r="AF49" s="1025" t="e">
        <f t="shared" ref="AF49:AS49" si="13">+(1000000*AF$22/AF92)</f>
        <v>#DIV/0!</v>
      </c>
      <c r="AG49" s="1025" t="e">
        <f t="shared" si="13"/>
        <v>#DIV/0!</v>
      </c>
      <c r="AH49" s="1025" t="e">
        <f t="shared" si="13"/>
        <v>#DIV/0!</v>
      </c>
      <c r="AI49" s="1025" t="e">
        <f t="shared" si="13"/>
        <v>#DIV/0!</v>
      </c>
      <c r="AJ49" s="1025" t="e">
        <f t="shared" si="13"/>
        <v>#DIV/0!</v>
      </c>
      <c r="AK49" s="1025" t="e">
        <f t="shared" si="13"/>
        <v>#DIV/0!</v>
      </c>
      <c r="AL49" s="1025" t="e">
        <f t="shared" si="13"/>
        <v>#DIV/0!</v>
      </c>
      <c r="AM49" s="1025">
        <f t="shared" si="13"/>
        <v>1119329.5441398968</v>
      </c>
      <c r="AN49" s="1025">
        <f t="shared" si="13"/>
        <v>1354762.5849892108</v>
      </c>
      <c r="AO49" s="1025" t="e">
        <f t="shared" si="13"/>
        <v>#DIV/0!</v>
      </c>
      <c r="AP49" s="1025" t="e">
        <f t="shared" si="13"/>
        <v>#DIV/0!</v>
      </c>
      <c r="AQ49" s="1025" t="e">
        <f t="shared" si="13"/>
        <v>#DIV/0!</v>
      </c>
      <c r="AR49" s="1025">
        <f t="shared" si="13"/>
        <v>0</v>
      </c>
      <c r="AS49" s="1025">
        <f t="shared" si="13"/>
        <v>0</v>
      </c>
      <c r="AT49" s="1025"/>
    </row>
    <row r="50" spans="1:46" x14ac:dyDescent="0.25">
      <c r="A50" s="1238">
        <v>2014</v>
      </c>
      <c r="B50" s="1208" t="s">
        <v>1278</v>
      </c>
      <c r="C50" s="1025"/>
      <c r="D50" s="1025">
        <f>+(1000000*D$23/D109)</f>
        <v>85004.616440883736</v>
      </c>
      <c r="E50" s="1025"/>
      <c r="F50" s="1025">
        <f>+(1000000*F$23/F109)</f>
        <v>112883.68541156304</v>
      </c>
      <c r="G50" s="1025"/>
      <c r="H50" s="1025"/>
      <c r="I50" s="1025"/>
      <c r="J50" s="1025"/>
      <c r="K50" s="1025"/>
      <c r="L50" s="1025"/>
      <c r="M50" s="1025">
        <f>+(1000000*M$23/M109)</f>
        <v>2304503.9884379744</v>
      </c>
      <c r="N50" s="1025">
        <f>+(1000000*N$23/N109)</f>
        <v>35767.002137609481</v>
      </c>
      <c r="O50" s="1025"/>
      <c r="P50" s="1025"/>
      <c r="Q50" s="1025"/>
      <c r="R50" s="1025"/>
      <c r="S50" s="1025"/>
      <c r="T50" s="1025"/>
      <c r="U50" s="1025"/>
      <c r="V50" s="1025"/>
      <c r="W50" s="1025" t="e">
        <f>+(1000000*W$23/W109)</f>
        <v>#DIV/0!</v>
      </c>
      <c r="X50" s="1025">
        <f>+(1000000*X$23/X109)</f>
        <v>2560.9244552978103</v>
      </c>
      <c r="Y50" s="1025" t="e">
        <f>+(1000000*Y$23/Y109)</f>
        <v>#DIV/0!</v>
      </c>
      <c r="Z50" s="1025" t="e">
        <f>+(1000000*Z$23/Z109)</f>
        <v>#DIV/0!</v>
      </c>
      <c r="AA50" s="1025"/>
      <c r="AB50" s="1025"/>
      <c r="AC50" s="1025"/>
      <c r="AD50" s="1025" t="e">
        <f>+(1000000*AD$23/AD109)</f>
        <v>#DIV/0!</v>
      </c>
      <c r="AE50" s="1025"/>
      <c r="AF50" s="1025" t="e">
        <f t="shared" ref="AF50:AS50" si="14">+(1000000*AF$23/AF109)</f>
        <v>#DIV/0!</v>
      </c>
      <c r="AG50" s="1025" t="e">
        <f t="shared" si="14"/>
        <v>#DIV/0!</v>
      </c>
      <c r="AH50" s="1025" t="e">
        <f t="shared" si="14"/>
        <v>#DIV/0!</v>
      </c>
      <c r="AI50" s="1025" t="e">
        <f t="shared" si="14"/>
        <v>#DIV/0!</v>
      </c>
      <c r="AJ50" s="1025" t="e">
        <f t="shared" si="14"/>
        <v>#DIV/0!</v>
      </c>
      <c r="AK50" s="1025" t="e">
        <f t="shared" si="14"/>
        <v>#DIV/0!</v>
      </c>
      <c r="AL50" s="1025" t="e">
        <f t="shared" si="14"/>
        <v>#DIV/0!</v>
      </c>
      <c r="AM50" s="1025">
        <f t="shared" si="14"/>
        <v>1156890.9382385509</v>
      </c>
      <c r="AN50" s="1025">
        <f t="shared" si="14"/>
        <v>1464905.8845818294</v>
      </c>
      <c r="AO50" s="1025" t="e">
        <f t="shared" si="14"/>
        <v>#DIV/0!</v>
      </c>
      <c r="AP50" s="1025" t="e">
        <f t="shared" si="14"/>
        <v>#DIV/0!</v>
      </c>
      <c r="AQ50" s="1025" t="e">
        <f t="shared" si="14"/>
        <v>#DIV/0!</v>
      </c>
      <c r="AR50" s="1025">
        <f t="shared" si="14"/>
        <v>0</v>
      </c>
      <c r="AS50" s="1025">
        <f t="shared" si="14"/>
        <v>0</v>
      </c>
      <c r="AT50" s="1025"/>
    </row>
    <row r="51" spans="1:46" x14ac:dyDescent="0.25">
      <c r="A51" s="1241">
        <v>2015</v>
      </c>
      <c r="B51" s="1220" t="s">
        <v>1278</v>
      </c>
      <c r="C51" s="1025"/>
      <c r="D51" s="1025">
        <f>+(1000000*D$24/D126)</f>
        <v>91928.2166848825</v>
      </c>
      <c r="E51" s="1025"/>
      <c r="F51" s="1025">
        <f>+(1000000*F$24/F126)</f>
        <v>118074.30520009546</v>
      </c>
      <c r="G51" s="1025"/>
      <c r="H51" s="1025"/>
      <c r="I51" s="1025"/>
      <c r="J51" s="1025"/>
      <c r="K51" s="1025"/>
      <c r="L51" s="1025"/>
      <c r="M51" s="1025">
        <f>+(1000000*M$24/M126)</f>
        <v>2194765.7032742612</v>
      </c>
      <c r="N51" s="1025">
        <f>+(1000000*N$24/N126)</f>
        <v>38247.955396131976</v>
      </c>
      <c r="O51" s="1025"/>
      <c r="P51" s="1025"/>
      <c r="Q51" s="1025"/>
      <c r="R51" s="1025"/>
      <c r="S51" s="1025"/>
      <c r="T51" s="1025"/>
      <c r="U51" s="1025"/>
      <c r="V51" s="1025"/>
      <c r="W51" s="1025" t="e">
        <f>+(1000000*W$24/W126)</f>
        <v>#DIV/0!</v>
      </c>
      <c r="X51" s="1025">
        <f>+(1000000*X$24/X126)</f>
        <v>2548.183537609762</v>
      </c>
      <c r="Y51" s="1025" t="e">
        <f>+(1000000*Y$24/Y126)</f>
        <v>#DIV/0!</v>
      </c>
      <c r="Z51" s="1025" t="e">
        <f>+(1000000*Z$24/Z126)</f>
        <v>#DIV/0!</v>
      </c>
      <c r="AA51" s="1025"/>
      <c r="AB51" s="1025"/>
      <c r="AC51" s="1025"/>
      <c r="AD51" s="1025" t="e">
        <f>+(1000000*AD$24/AD126)</f>
        <v>#DIV/0!</v>
      </c>
      <c r="AE51" s="1025"/>
      <c r="AF51" s="1025" t="e">
        <f t="shared" ref="AF51:AS51" si="15">+(1000000*AF$24/AF126)</f>
        <v>#DIV/0!</v>
      </c>
      <c r="AG51" s="1025" t="e">
        <f t="shared" si="15"/>
        <v>#DIV/0!</v>
      </c>
      <c r="AH51" s="1025" t="e">
        <f t="shared" si="15"/>
        <v>#DIV/0!</v>
      </c>
      <c r="AI51" s="1025" t="e">
        <f t="shared" si="15"/>
        <v>#DIV/0!</v>
      </c>
      <c r="AJ51" s="1025" t="e">
        <f t="shared" si="15"/>
        <v>#DIV/0!</v>
      </c>
      <c r="AK51" s="1025" t="e">
        <f t="shared" si="15"/>
        <v>#DIV/0!</v>
      </c>
      <c r="AL51" s="1025" t="e">
        <f t="shared" si="15"/>
        <v>#DIV/0!</v>
      </c>
      <c r="AM51" s="1025">
        <f t="shared" si="15"/>
        <v>1179427.7746977436</v>
      </c>
      <c r="AN51" s="1025">
        <f t="shared" si="15"/>
        <v>1608092.1740522338</v>
      </c>
      <c r="AO51" s="1025" t="e">
        <f t="shared" si="15"/>
        <v>#DIV/0!</v>
      </c>
      <c r="AP51" s="1025" t="e">
        <f t="shared" si="15"/>
        <v>#DIV/0!</v>
      </c>
      <c r="AQ51" s="1025" t="e">
        <f t="shared" si="15"/>
        <v>#DIV/0!</v>
      </c>
      <c r="AR51" s="1025">
        <f t="shared" si="15"/>
        <v>0</v>
      </c>
      <c r="AS51" s="1025">
        <f t="shared" si="15"/>
        <v>0</v>
      </c>
      <c r="AT51" s="1025"/>
    </row>
    <row r="53" spans="1:46" x14ac:dyDescent="0.25">
      <c r="A53" s="510">
        <v>2012</v>
      </c>
      <c r="B53" s="1054" t="s">
        <v>1277</v>
      </c>
      <c r="C53" s="1025"/>
      <c r="D53" s="1025">
        <f>+(1000000*D$21/D81)</f>
        <v>319.22271211005909</v>
      </c>
      <c r="E53" s="1025"/>
      <c r="F53" s="1025">
        <f>+(1000000*F$21/F81)</f>
        <v>104.51432675531389</v>
      </c>
      <c r="G53" s="1025"/>
      <c r="H53" s="1025"/>
      <c r="I53" s="1025"/>
      <c r="J53" s="1025"/>
      <c r="K53" s="1025"/>
      <c r="L53" s="1025"/>
      <c r="M53" s="1025">
        <f>+(1000000*M$21/M81)</f>
        <v>4376.8252029746</v>
      </c>
      <c r="N53" s="1025">
        <f>+(1000000*N$21/N81)</f>
        <v>427.669842568972</v>
      </c>
      <c r="O53" s="1025"/>
      <c r="P53" s="1025"/>
      <c r="Q53" s="1025"/>
      <c r="R53" s="1025"/>
      <c r="S53" s="1025"/>
      <c r="T53" s="1025"/>
      <c r="U53" s="1025"/>
      <c r="V53" s="1025"/>
      <c r="W53" s="1025">
        <f>+(1000000*W$21/W81)</f>
        <v>119.30676723111065</v>
      </c>
      <c r="X53" s="1025">
        <f>+(1000000*X$21/X81)</f>
        <v>528.21431866337093</v>
      </c>
      <c r="Y53" s="1025" t="e">
        <f>+(1000000*Y$21/Y81)</f>
        <v>#DIV/0!</v>
      </c>
      <c r="Z53" s="1025" t="e">
        <f>+(1000000*Z$21/Z81)</f>
        <v>#DIV/0!</v>
      </c>
      <c r="AA53" s="1025"/>
      <c r="AB53" s="1025"/>
      <c r="AC53" s="1025"/>
      <c r="AD53" s="1025" t="e">
        <f>+(1000000*AD$21/AD81)</f>
        <v>#DIV/0!</v>
      </c>
      <c r="AE53" s="1025"/>
      <c r="AF53" s="1025">
        <f t="shared" ref="AF53:AS53" si="16">+(1000000*AF$21/AF81)</f>
        <v>4918.24615342169</v>
      </c>
      <c r="AG53" s="1025" t="e">
        <f t="shared" si="16"/>
        <v>#DIV/0!</v>
      </c>
      <c r="AH53" s="1025">
        <f t="shared" si="16"/>
        <v>1839913.2146339098</v>
      </c>
      <c r="AI53" s="1025" t="e">
        <f t="shared" si="16"/>
        <v>#DIV/0!</v>
      </c>
      <c r="AJ53" s="1025" t="e">
        <f t="shared" si="16"/>
        <v>#DIV/0!</v>
      </c>
      <c r="AK53" s="1025" t="e">
        <f t="shared" si="16"/>
        <v>#DIV/0!</v>
      </c>
      <c r="AL53" s="1025" t="e">
        <f t="shared" si="16"/>
        <v>#DIV/0!</v>
      </c>
      <c r="AM53" s="1025">
        <f t="shared" si="16"/>
        <v>636.95559697992076</v>
      </c>
      <c r="AN53" s="1025">
        <f t="shared" si="16"/>
        <v>26915.887579720049</v>
      </c>
      <c r="AO53" s="1025">
        <f t="shared" si="16"/>
        <v>1373748.2945254999</v>
      </c>
      <c r="AP53" s="1025">
        <f t="shared" si="16"/>
        <v>0</v>
      </c>
      <c r="AQ53" s="1025" t="e">
        <f t="shared" si="16"/>
        <v>#DIV/0!</v>
      </c>
      <c r="AR53" s="1025">
        <f t="shared" si="16"/>
        <v>0</v>
      </c>
      <c r="AS53" s="1025">
        <f t="shared" si="16"/>
        <v>0</v>
      </c>
      <c r="AT53" s="1025"/>
    </row>
    <row r="54" spans="1:46" x14ac:dyDescent="0.25">
      <c r="A54" s="1235">
        <v>2013</v>
      </c>
      <c r="B54" s="1198" t="s">
        <v>1277</v>
      </c>
      <c r="C54" s="1025"/>
      <c r="D54" s="1025">
        <f>+(1000000*D$22/D98)</f>
        <v>346.51152005883165</v>
      </c>
      <c r="E54" s="1025"/>
      <c r="F54" s="1025">
        <f>+(1000000*F$22/F98)</f>
        <v>112.5167739734662</v>
      </c>
      <c r="G54" s="1025"/>
      <c r="H54" s="1025"/>
      <c r="I54" s="1025"/>
      <c r="J54" s="1025"/>
      <c r="K54" s="1025"/>
      <c r="L54" s="1025"/>
      <c r="M54" s="1025">
        <f>+(1000000*M$22/M98)</f>
        <v>5265.5064063337359</v>
      </c>
      <c r="N54" s="1025">
        <f>+(1000000*N$22/N98)</f>
        <v>448.47638797685966</v>
      </c>
      <c r="O54" s="1025"/>
      <c r="P54" s="1025"/>
      <c r="Q54" s="1025"/>
      <c r="R54" s="1025"/>
      <c r="S54" s="1025"/>
      <c r="T54" s="1025"/>
      <c r="U54" s="1025"/>
      <c r="V54" s="1025"/>
      <c r="W54" s="1025">
        <f>+(1000000*W$22/W98)</f>
        <v>124.2949651934687</v>
      </c>
      <c r="X54" s="1025">
        <f>+(1000000*X$22/X98)</f>
        <v>563.12827149613111</v>
      </c>
      <c r="Y54" s="1025" t="e">
        <f>+(1000000*Y$22/Y98)</f>
        <v>#DIV/0!</v>
      </c>
      <c r="Z54" s="1025" t="e">
        <f>+(1000000*Z$22/Z98)</f>
        <v>#DIV/0!</v>
      </c>
      <c r="AA54" s="1025"/>
      <c r="AB54" s="1025"/>
      <c r="AC54" s="1025"/>
      <c r="AD54" s="1025" t="e">
        <f>+(1000000*AD$22/AD98)</f>
        <v>#DIV/0!</v>
      </c>
      <c r="AE54" s="1025"/>
      <c r="AF54" s="1025">
        <f t="shared" ref="AF54:AS54" si="17">+(1000000*AF$22/AF98)</f>
        <v>5098.1819883029711</v>
      </c>
      <c r="AG54" s="1025" t="e">
        <f t="shared" si="17"/>
        <v>#DIV/0!</v>
      </c>
      <c r="AH54" s="1025">
        <f t="shared" si="17"/>
        <v>2023904.5360973007</v>
      </c>
      <c r="AI54" s="1025" t="e">
        <f t="shared" si="17"/>
        <v>#DIV/0!</v>
      </c>
      <c r="AJ54" s="1025" t="e">
        <f t="shared" si="17"/>
        <v>#DIV/0!</v>
      </c>
      <c r="AK54" s="1025" t="e">
        <f t="shared" si="17"/>
        <v>#DIV/0!</v>
      </c>
      <c r="AL54" s="1025" t="e">
        <f t="shared" si="17"/>
        <v>#DIV/0!</v>
      </c>
      <c r="AM54" s="1025">
        <f t="shared" si="17"/>
        <v>663.68100664341398</v>
      </c>
      <c r="AN54" s="1025">
        <f t="shared" si="17"/>
        <v>28540.122175047982</v>
      </c>
      <c r="AO54" s="1025">
        <f t="shared" si="17"/>
        <v>1541108.4928433273</v>
      </c>
      <c r="AP54" s="1025">
        <f t="shared" si="17"/>
        <v>0</v>
      </c>
      <c r="AQ54" s="1025" t="e">
        <f t="shared" si="17"/>
        <v>#DIV/0!</v>
      </c>
      <c r="AR54" s="1025">
        <f t="shared" si="17"/>
        <v>0</v>
      </c>
      <c r="AS54" s="1025">
        <f t="shared" si="17"/>
        <v>0</v>
      </c>
      <c r="AT54" s="1025"/>
    </row>
    <row r="55" spans="1:46" x14ac:dyDescent="0.25">
      <c r="A55" s="1238">
        <v>2014</v>
      </c>
      <c r="B55" s="1208" t="s">
        <v>1277</v>
      </c>
      <c r="C55" s="1025"/>
      <c r="D55" s="1025">
        <f>+(1000000*D$23/D115)</f>
        <v>360.40672589475537</v>
      </c>
      <c r="E55" s="1025"/>
      <c r="F55" s="1025">
        <f>+(1000000*F$23/F115)</f>
        <v>115.61290485680546</v>
      </c>
      <c r="G55" s="1025"/>
      <c r="H55" s="1025"/>
      <c r="I55" s="1025"/>
      <c r="J55" s="1025"/>
      <c r="K55" s="1025"/>
      <c r="L55" s="1025"/>
      <c r="M55" s="1025">
        <f>+(1000000*M$23/M115)</f>
        <v>6553.8020177284579</v>
      </c>
      <c r="N55" s="1025">
        <f>+(1000000*N$23/N115)</f>
        <v>482.75414511112177</v>
      </c>
      <c r="O55" s="1025"/>
      <c r="P55" s="1025"/>
      <c r="Q55" s="1025"/>
      <c r="R55" s="1025"/>
      <c r="S55" s="1025"/>
      <c r="T55" s="1025"/>
      <c r="U55" s="1025"/>
      <c r="V55" s="1025"/>
      <c r="W55" s="1025">
        <f>+(1000000*W$23/W115)</f>
        <v>131.64934987970557</v>
      </c>
      <c r="X55" s="1025">
        <f>+(1000000*X$23/X115)</f>
        <v>579.00419291476169</v>
      </c>
      <c r="Y55" s="1025" t="e">
        <f>+(1000000*Y$23/Y115)</f>
        <v>#DIV/0!</v>
      </c>
      <c r="Z55" s="1025" t="e">
        <f>+(1000000*Z$23/Z115)</f>
        <v>#DIV/0!</v>
      </c>
      <c r="AA55" s="1025"/>
      <c r="AB55" s="1025"/>
      <c r="AC55" s="1025"/>
      <c r="AD55" s="1025" t="e">
        <f>+(1000000*AD$23/AD115)</f>
        <v>#DIV/0!</v>
      </c>
      <c r="AE55" s="1025"/>
      <c r="AF55" s="1025">
        <f t="shared" ref="AF55:AS55" si="18">+(1000000*AF$23/AF115)</f>
        <v>5757.9467162010023</v>
      </c>
      <c r="AG55" s="1025" t="e">
        <f t="shared" si="18"/>
        <v>#DIV/0!</v>
      </c>
      <c r="AH55" s="1025">
        <f t="shared" si="18"/>
        <v>2089615.7223342261</v>
      </c>
      <c r="AI55" s="1025" t="e">
        <f t="shared" si="18"/>
        <v>#DIV/0!</v>
      </c>
      <c r="AJ55" s="1025" t="e">
        <f t="shared" si="18"/>
        <v>#DIV/0!</v>
      </c>
      <c r="AK55" s="1025" t="e">
        <f t="shared" si="18"/>
        <v>#DIV/0!</v>
      </c>
      <c r="AL55" s="1025" t="e">
        <f t="shared" si="18"/>
        <v>#DIV/0!</v>
      </c>
      <c r="AM55" s="1025">
        <f t="shared" si="18"/>
        <v>685.95218136299161</v>
      </c>
      <c r="AN55" s="1025">
        <f t="shared" si="18"/>
        <v>30860.457311230744</v>
      </c>
      <c r="AO55" s="1025">
        <f t="shared" si="18"/>
        <v>1792148.7903200684</v>
      </c>
      <c r="AP55" s="1025">
        <f t="shared" si="18"/>
        <v>0</v>
      </c>
      <c r="AQ55" s="1025" t="e">
        <f t="shared" si="18"/>
        <v>#DIV/0!</v>
      </c>
      <c r="AR55" s="1025">
        <f t="shared" si="18"/>
        <v>0</v>
      </c>
      <c r="AS55" s="1025">
        <f t="shared" si="18"/>
        <v>0</v>
      </c>
      <c r="AT55" s="1025"/>
    </row>
    <row r="56" spans="1:46" x14ac:dyDescent="0.25">
      <c r="A56" s="1241">
        <v>2015</v>
      </c>
      <c r="B56" s="1220" t="s">
        <v>1277</v>
      </c>
      <c r="C56" s="1025"/>
      <c r="D56" s="1025">
        <f>+(1000000*D$24/D132)</f>
        <v>383.48554116613838</v>
      </c>
      <c r="E56" s="1025"/>
      <c r="F56" s="1025">
        <f>+(1000000*F$24/F132)</f>
        <v>118.39127368600147</v>
      </c>
      <c r="G56" s="1025"/>
      <c r="H56" s="1025"/>
      <c r="I56" s="1025"/>
      <c r="J56" s="1025"/>
      <c r="K56" s="1025"/>
      <c r="L56" s="1025"/>
      <c r="M56" s="1025">
        <f>+(1000000*M$24/M132)</f>
        <v>6236.121477436538</v>
      </c>
      <c r="N56" s="1025">
        <f>+(1000000*N$24/N132)</f>
        <v>522.99120220567329</v>
      </c>
      <c r="O56" s="1025"/>
      <c r="P56" s="1025"/>
      <c r="Q56" s="1025"/>
      <c r="R56" s="1025"/>
      <c r="S56" s="1025"/>
      <c r="T56" s="1025"/>
      <c r="U56" s="1025"/>
      <c r="V56" s="1025"/>
      <c r="W56" s="1025">
        <f>+(1000000*W$24/W132)</f>
        <v>138.41486415466264</v>
      </c>
      <c r="X56" s="1025">
        <f>+(1000000*X$24/X132)</f>
        <v>576.123575039564</v>
      </c>
      <c r="Y56" s="1025" t="e">
        <f>+(1000000*Y$24/Y132)</f>
        <v>#DIV/0!</v>
      </c>
      <c r="Z56" s="1025" t="e">
        <f>+(1000000*Z$24/Z132)</f>
        <v>#DIV/0!</v>
      </c>
      <c r="AA56" s="1025"/>
      <c r="AB56" s="1025"/>
      <c r="AC56" s="1025"/>
      <c r="AD56" s="1025" t="e">
        <f>+(1000000*AD$24/AD132)</f>
        <v>#DIV/0!</v>
      </c>
      <c r="AE56" s="1025"/>
      <c r="AF56" s="1025">
        <f t="shared" ref="AF56:AS56" si="19">+(1000000*AF$24/AF132)</f>
        <v>6297.7542208448467</v>
      </c>
      <c r="AG56" s="1025" t="e">
        <f t="shared" si="19"/>
        <v>#DIV/0!</v>
      </c>
      <c r="AH56" s="1025">
        <f t="shared" si="19"/>
        <v>2352460.4672819274</v>
      </c>
      <c r="AI56" s="1025" t="e">
        <f t="shared" si="19"/>
        <v>#DIV/0!</v>
      </c>
      <c r="AJ56" s="1025" t="e">
        <f t="shared" si="19"/>
        <v>#DIV/0!</v>
      </c>
      <c r="AK56" s="1025" t="e">
        <f t="shared" si="19"/>
        <v>#DIV/0!</v>
      </c>
      <c r="AL56" s="1025" t="e">
        <f t="shared" si="19"/>
        <v>#DIV/0!</v>
      </c>
      <c r="AM56" s="1025">
        <f t="shared" si="19"/>
        <v>699.31488619473816</v>
      </c>
      <c r="AN56" s="1025">
        <f t="shared" si="19"/>
        <v>33876.892988268337</v>
      </c>
      <c r="AO56" s="1025">
        <f t="shared" si="19"/>
        <v>2133842.5285522994</v>
      </c>
      <c r="AP56" s="1025">
        <f t="shared" si="19"/>
        <v>0</v>
      </c>
      <c r="AQ56" s="1025" t="e">
        <f t="shared" si="19"/>
        <v>#DIV/0!</v>
      </c>
      <c r="AR56" s="1025">
        <f t="shared" si="19"/>
        <v>0</v>
      </c>
      <c r="AS56" s="1025">
        <f t="shared" si="19"/>
        <v>0</v>
      </c>
      <c r="AT56" s="1025"/>
    </row>
    <row r="58" spans="1:46" x14ac:dyDescent="0.25">
      <c r="A58" s="510">
        <v>2012</v>
      </c>
      <c r="B58" s="1054" t="s">
        <v>1281</v>
      </c>
      <c r="C58" s="1025"/>
      <c r="D58" s="1025">
        <f>+(1000000*D$21/D84)</f>
        <v>1816.1646941543595</v>
      </c>
      <c r="E58" s="1025"/>
      <c r="F58" s="1025">
        <f>+(1000000*F$21/F84)</f>
        <v>932.88599582731979</v>
      </c>
      <c r="G58" s="1025"/>
      <c r="H58" s="1025"/>
      <c r="I58" s="1025"/>
      <c r="J58" s="1025"/>
      <c r="K58" s="1025"/>
      <c r="L58" s="1025"/>
      <c r="M58" s="1025">
        <f>+(1000000*M$21/M84)</f>
        <v>4595.4706105283667</v>
      </c>
      <c r="N58" s="1025">
        <f>+(1000000*N$21/N84)</f>
        <v>552.84399439581648</v>
      </c>
      <c r="O58" s="1025"/>
      <c r="P58" s="1025"/>
      <c r="Q58" s="1025"/>
      <c r="R58" s="1025"/>
      <c r="S58" s="1025"/>
      <c r="T58" s="1025"/>
      <c r="U58" s="1025"/>
      <c r="V58" s="1025"/>
      <c r="W58" s="1025">
        <f>+(1000000*W$21/W84)</f>
        <v>125.58607076959017</v>
      </c>
      <c r="X58" s="1025">
        <f>+(1000000*X$21/X84)</f>
        <v>10893.541835309068</v>
      </c>
      <c r="Y58" s="1025" t="e">
        <f>+(1000000*Y$21/Y84)</f>
        <v>#DIV/0!</v>
      </c>
      <c r="Z58" s="1025" t="e">
        <f>+(1000000*Z$21/Z84)</f>
        <v>#DIV/0!</v>
      </c>
      <c r="AA58" s="1025"/>
      <c r="AB58" s="1025"/>
      <c r="AC58" s="1025"/>
      <c r="AD58" s="1025" t="e">
        <f>+(1000000*AD$21/AD84)</f>
        <v>#DIV/0!</v>
      </c>
      <c r="AE58" s="1025"/>
      <c r="AF58" s="1025">
        <f t="shared" ref="AF58:AS58" si="20">+(1000000*AF$21/AF84)</f>
        <v>6321.2123639330566</v>
      </c>
      <c r="AG58" s="1025" t="e">
        <f t="shared" si="20"/>
        <v>#DIV/0!</v>
      </c>
      <c r="AH58" s="1025">
        <f t="shared" si="20"/>
        <v>2240744.885772327</v>
      </c>
      <c r="AI58" s="1025" t="e">
        <f t="shared" si="20"/>
        <v>#DIV/0!</v>
      </c>
      <c r="AJ58" s="1025" t="e">
        <f t="shared" si="20"/>
        <v>#DIV/0!</v>
      </c>
      <c r="AK58" s="1025" t="e">
        <f t="shared" si="20"/>
        <v>#DIV/0!</v>
      </c>
      <c r="AL58" s="1025" t="e">
        <f t="shared" si="20"/>
        <v>#DIV/0!</v>
      </c>
      <c r="AM58" s="1025">
        <f t="shared" si="20"/>
        <v>796.66686172934055</v>
      </c>
      <c r="AN58" s="1025">
        <f t="shared" si="20"/>
        <v>33644.859441196801</v>
      </c>
      <c r="AO58" s="1025">
        <f t="shared" si="20"/>
        <v>18385658.86213221</v>
      </c>
      <c r="AP58" s="1025">
        <f t="shared" si="20"/>
        <v>0</v>
      </c>
      <c r="AQ58" s="1025" t="e">
        <f t="shared" si="20"/>
        <v>#DIV/0!</v>
      </c>
      <c r="AR58" s="1025">
        <f t="shared" si="20"/>
        <v>0</v>
      </c>
      <c r="AS58" s="1025">
        <f t="shared" si="20"/>
        <v>0</v>
      </c>
      <c r="AT58" s="1025"/>
    </row>
    <row r="59" spans="1:46" x14ac:dyDescent="0.25">
      <c r="A59" s="1235">
        <v>2013</v>
      </c>
      <c r="B59" s="1198" t="s">
        <v>1281</v>
      </c>
      <c r="C59" s="1025"/>
      <c r="D59" s="1025">
        <f>+(1000000*D$22/D101)</f>
        <v>1933.8308216331227</v>
      </c>
      <c r="E59" s="1025"/>
      <c r="F59" s="1025">
        <f>+(1000000*F$22/F101)</f>
        <v>999.77917537873248</v>
      </c>
      <c r="G59" s="1025"/>
      <c r="H59" s="1025"/>
      <c r="I59" s="1025"/>
      <c r="J59" s="1025"/>
      <c r="K59" s="1025"/>
      <c r="L59" s="1025"/>
      <c r="M59" s="1025">
        <f>+(1000000*M$22/M101)</f>
        <v>5528.5582393504019</v>
      </c>
      <c r="N59" s="1025">
        <f>+(1000000*N$22/N101)</f>
        <v>580.00124324333035</v>
      </c>
      <c r="O59" s="1025"/>
      <c r="P59" s="1025"/>
      <c r="Q59" s="1025"/>
      <c r="R59" s="1025"/>
      <c r="S59" s="1025"/>
      <c r="T59" s="1025"/>
      <c r="U59" s="1025"/>
      <c r="V59" s="1025"/>
      <c r="W59" s="1025">
        <f>+(1000000*W$22/W101)</f>
        <v>130.83680546680915</v>
      </c>
      <c r="X59" s="1025">
        <f>+(1000000*X$22/X101)</f>
        <v>11671.651966402573</v>
      </c>
      <c r="Y59" s="1025" t="e">
        <f>+(1000000*Y$22/Y101)</f>
        <v>#DIV/0!</v>
      </c>
      <c r="Z59" s="1025" t="e">
        <f>+(1000000*Z$22/Z101)</f>
        <v>#DIV/0!</v>
      </c>
      <c r="AA59" s="1025"/>
      <c r="AB59" s="1025"/>
      <c r="AC59" s="1025"/>
      <c r="AD59" s="1025" t="e">
        <f>+(1000000*AD$22/AD101)</f>
        <v>#DIV/0!</v>
      </c>
      <c r="AE59" s="1025"/>
      <c r="AF59" s="1025">
        <f t="shared" ref="AF59:AS59" si="21">+(1000000*AF$22/AF101)</f>
        <v>6552.4762309062171</v>
      </c>
      <c r="AG59" s="1025" t="e">
        <f t="shared" si="21"/>
        <v>#DIV/0!</v>
      </c>
      <c r="AH59" s="1025">
        <f t="shared" si="21"/>
        <v>2464819.3743495597</v>
      </c>
      <c r="AI59" s="1025" t="e">
        <f t="shared" si="21"/>
        <v>#DIV/0!</v>
      </c>
      <c r="AJ59" s="1025" t="e">
        <f t="shared" si="21"/>
        <v>#DIV/0!</v>
      </c>
      <c r="AK59" s="1025" t="e">
        <f t="shared" si="21"/>
        <v>#DIV/0!</v>
      </c>
      <c r="AL59" s="1025" t="e">
        <f t="shared" si="21"/>
        <v>#DIV/0!</v>
      </c>
      <c r="AM59" s="1025">
        <f t="shared" si="21"/>
        <v>830.09344334036189</v>
      </c>
      <c r="AN59" s="1025">
        <f t="shared" si="21"/>
        <v>35675.152683337983</v>
      </c>
      <c r="AO59" s="1025">
        <f t="shared" si="21"/>
        <v>20625536.083914816</v>
      </c>
      <c r="AP59" s="1025">
        <f t="shared" si="21"/>
        <v>0</v>
      </c>
      <c r="AQ59" s="1025" t="e">
        <f t="shared" si="21"/>
        <v>#DIV/0!</v>
      </c>
      <c r="AR59" s="1025">
        <f t="shared" si="21"/>
        <v>0</v>
      </c>
      <c r="AS59" s="1025">
        <f t="shared" si="21"/>
        <v>0</v>
      </c>
      <c r="AT59" s="1025"/>
    </row>
    <row r="60" spans="1:46" x14ac:dyDescent="0.25">
      <c r="A60" s="1238">
        <v>2014</v>
      </c>
      <c r="B60" s="1208" t="s">
        <v>1281</v>
      </c>
      <c r="C60" s="1025"/>
      <c r="D60" s="1025">
        <f>+(1000000*D$23/D118)</f>
        <v>2034.5420883867541</v>
      </c>
      <c r="E60" s="1025"/>
      <c r="F60" s="1025">
        <f>+(1000000*F$23/F118)</f>
        <v>1031.4903268354442</v>
      </c>
      <c r="G60" s="1025"/>
      <c r="H60" s="1025"/>
      <c r="I60" s="1025"/>
      <c r="J60" s="1025"/>
      <c r="K60" s="1025"/>
      <c r="L60" s="1025"/>
      <c r="M60" s="1025">
        <f>+(1000000*M$23/M118)</f>
        <v>6881.2293264901818</v>
      </c>
      <c r="N60" s="1025">
        <f>+(1000000*N$23/N118)</f>
        <v>624.6167234928173</v>
      </c>
      <c r="O60" s="1025"/>
      <c r="P60" s="1025"/>
      <c r="Q60" s="1025"/>
      <c r="R60" s="1025"/>
      <c r="S60" s="1025"/>
      <c r="T60" s="1025"/>
      <c r="U60" s="1025"/>
      <c r="V60" s="1025"/>
      <c r="W60" s="1025">
        <f>+(1000000*W$23/W118)</f>
        <v>138.57826303126902</v>
      </c>
      <c r="X60" s="1025">
        <f>+(1000000*X$23/X118)</f>
        <v>12060.707031949325</v>
      </c>
      <c r="Y60" s="1025" t="e">
        <f>+(1000000*Y$23/Y118)</f>
        <v>#DIV/0!</v>
      </c>
      <c r="Z60" s="1025" t="e">
        <f>+(1000000*Z$23/Z118)</f>
        <v>#DIV/0!</v>
      </c>
      <c r="AA60" s="1025"/>
      <c r="AB60" s="1025"/>
      <c r="AC60" s="1025"/>
      <c r="AD60" s="1025" t="e">
        <f>+(1000000*AD$23/AD118)</f>
        <v>#DIV/0!</v>
      </c>
      <c r="AE60" s="1025"/>
      <c r="AF60" s="1025">
        <f t="shared" ref="AF60:AS60" si="22">+(1000000*AF$23/AF118)</f>
        <v>7400.4437431411397</v>
      </c>
      <c r="AG60" s="1025" t="e">
        <f t="shared" si="22"/>
        <v>#DIV/0!</v>
      </c>
      <c r="AH60" s="1025">
        <f t="shared" si="22"/>
        <v>2544845.9774128566</v>
      </c>
      <c r="AI60" s="1025" t="e">
        <f t="shared" si="22"/>
        <v>#DIV/0!</v>
      </c>
      <c r="AJ60" s="1025" t="e">
        <f t="shared" si="22"/>
        <v>#DIV/0!</v>
      </c>
      <c r="AK60" s="1025" t="e">
        <f t="shared" si="22"/>
        <v>#DIV/0!</v>
      </c>
      <c r="AL60" s="1025" t="e">
        <f t="shared" si="22"/>
        <v>#DIV/0!</v>
      </c>
      <c r="AM60" s="1025">
        <f t="shared" si="22"/>
        <v>857.9489280162129</v>
      </c>
      <c r="AN60" s="1025">
        <f t="shared" si="22"/>
        <v>38575.571600682539</v>
      </c>
      <c r="AO60" s="1025">
        <f t="shared" si="22"/>
        <v>23985351.916588724</v>
      </c>
      <c r="AP60" s="1025">
        <f t="shared" si="22"/>
        <v>0</v>
      </c>
      <c r="AQ60" s="1025" t="e">
        <f t="shared" si="22"/>
        <v>#DIV/0!</v>
      </c>
      <c r="AR60" s="1025">
        <f t="shared" si="22"/>
        <v>0</v>
      </c>
      <c r="AS60" s="1025">
        <f t="shared" si="22"/>
        <v>0</v>
      </c>
      <c r="AT60" s="1025"/>
    </row>
    <row r="61" spans="1:46" x14ac:dyDescent="0.25">
      <c r="A61" s="1241">
        <v>2015</v>
      </c>
      <c r="B61" s="1220" t="s">
        <v>1281</v>
      </c>
      <c r="C61" s="1025"/>
      <c r="D61" s="1025">
        <f>+(1000000*D$24/D135)</f>
        <v>2178.6812515967285</v>
      </c>
      <c r="E61" s="1025"/>
      <c r="F61" s="1025">
        <f>+(1000000*F$24/F135)</f>
        <v>1059.061979579426</v>
      </c>
      <c r="G61" s="1025"/>
      <c r="H61" s="1025"/>
      <c r="I61" s="1025"/>
      <c r="J61" s="1025"/>
      <c r="K61" s="1025"/>
      <c r="L61" s="1025"/>
      <c r="M61" s="1025">
        <f>+(1000000*M$24/M135)</f>
        <v>6547.6923934713004</v>
      </c>
      <c r="N61" s="1025">
        <f>+(1000000*N$24/N135)</f>
        <v>676.99141769873643</v>
      </c>
      <c r="O61" s="1025"/>
      <c r="P61" s="1025"/>
      <c r="Q61" s="1025"/>
      <c r="R61" s="1025"/>
      <c r="S61" s="1025"/>
      <c r="T61" s="1025"/>
      <c r="U61" s="1025"/>
      <c r="V61" s="1025"/>
      <c r="W61" s="1025">
        <f>+(1000000*W$24/W135)</f>
        <v>145.69985700490804</v>
      </c>
      <c r="X61" s="1025">
        <f>+(1000000*X$24/X135)</f>
        <v>12060.707031949325</v>
      </c>
      <c r="Y61" s="1025" t="e">
        <f>+(1000000*Y$24/Y135)</f>
        <v>#DIV/0!</v>
      </c>
      <c r="Z61" s="1025" t="e">
        <f>+(1000000*Z$24/Z135)</f>
        <v>#DIV/0!</v>
      </c>
      <c r="AA61" s="1025"/>
      <c r="AB61" s="1025"/>
      <c r="AC61" s="1025"/>
      <c r="AD61" s="1025" t="e">
        <f>+(1000000*AD$24/AD135)</f>
        <v>#DIV/0!</v>
      </c>
      <c r="AE61" s="1025"/>
      <c r="AF61" s="1025">
        <f t="shared" ref="AF61:AS61" si="23">+(1000000*AF$24/AF135)</f>
        <v>8094.2353440606212</v>
      </c>
      <c r="AG61" s="1025" t="e">
        <f t="shared" si="23"/>
        <v>#DIV/0!</v>
      </c>
      <c r="AH61" s="1025">
        <f t="shared" si="23"/>
        <v>2864952.3896660465</v>
      </c>
      <c r="AI61" s="1025" t="e">
        <f t="shared" si="23"/>
        <v>#DIV/0!</v>
      </c>
      <c r="AJ61" s="1025" t="e">
        <f t="shared" si="23"/>
        <v>#DIV/0!</v>
      </c>
      <c r="AK61" s="1025" t="e">
        <f t="shared" si="23"/>
        <v>#DIV/0!</v>
      </c>
      <c r="AL61" s="1025" t="e">
        <f t="shared" si="23"/>
        <v>#DIV/0!</v>
      </c>
      <c r="AM61" s="1025">
        <f t="shared" si="23"/>
        <v>874.66221882172351</v>
      </c>
      <c r="AN61" s="1025">
        <f t="shared" si="23"/>
        <v>42346.116193230453</v>
      </c>
      <c r="AO61" s="1025">
        <f t="shared" si="23"/>
        <v>28558434.577728208</v>
      </c>
      <c r="AP61" s="1025">
        <f t="shared" si="23"/>
        <v>0</v>
      </c>
      <c r="AQ61" s="1025" t="e">
        <f t="shared" si="23"/>
        <v>#DIV/0!</v>
      </c>
      <c r="AR61" s="1025">
        <f t="shared" si="23"/>
        <v>0</v>
      </c>
      <c r="AS61" s="1025">
        <f t="shared" si="23"/>
        <v>0</v>
      </c>
      <c r="AT61" s="1025"/>
    </row>
    <row r="63" spans="1:46" x14ac:dyDescent="0.25">
      <c r="A63" s="1233">
        <v>2012</v>
      </c>
      <c r="B63" s="1195" t="s">
        <v>1282</v>
      </c>
      <c r="C63" s="1028"/>
      <c r="D63" s="1028">
        <f>+(1000000*D$21/D85)</f>
        <v>387.29692016168815</v>
      </c>
      <c r="E63" s="1028"/>
      <c r="F63" s="1028">
        <f>+(1000000*F$21/F85)</f>
        <v>117.70073197044327</v>
      </c>
      <c r="G63" s="1028"/>
      <c r="H63" s="1028"/>
      <c r="I63" s="1028"/>
      <c r="J63" s="1028"/>
      <c r="K63" s="1028"/>
      <c r="L63" s="1028"/>
      <c r="M63" s="1028">
        <f>+(1000000*M$21/M85)</f>
        <v>91991.740474784645</v>
      </c>
      <c r="N63" s="1028">
        <f>+(1000000*N$21/N85)</f>
        <v>1888.8460644456738</v>
      </c>
      <c r="O63" s="1028"/>
      <c r="P63" s="1028"/>
      <c r="Q63" s="1028"/>
      <c r="R63" s="1028"/>
      <c r="S63" s="1028"/>
      <c r="T63" s="1028"/>
      <c r="U63" s="1028"/>
      <c r="V63" s="1028"/>
      <c r="W63" s="1195">
        <f>+(1000000*W$21/W85)</f>
        <v>2386.1353446222101</v>
      </c>
      <c r="X63" s="1028">
        <f>+(1000000*X$21/X85)</f>
        <v>555.13197910323117</v>
      </c>
      <c r="Y63" s="1028" t="e">
        <f>+(1000000*Y$21/Y85)</f>
        <v>#DIV/0!</v>
      </c>
      <c r="Z63" s="1028" t="e">
        <f>+(1000000*Z$21/Z85)</f>
        <v>#DIV/0!</v>
      </c>
      <c r="AA63" s="1028"/>
      <c r="AB63" s="1028"/>
      <c r="AC63" s="1028"/>
      <c r="AD63" s="1028" t="e">
        <f>+(1000000*AD$21/AD85)</f>
        <v>#DIV/0!</v>
      </c>
      <c r="AE63" s="1028"/>
      <c r="AF63" s="1028">
        <f t="shared" ref="AF63:AS63" si="24">+(1000000*AF$21/AF85)</f>
        <v>22159.677233098617</v>
      </c>
      <c r="AG63" s="1028" t="e">
        <f t="shared" si="24"/>
        <v>#DIV/0!</v>
      </c>
      <c r="AH63" s="1028">
        <f t="shared" si="24"/>
        <v>10285554.817179503</v>
      </c>
      <c r="AI63" s="1028" t="e">
        <f t="shared" si="24"/>
        <v>#DIV/0!</v>
      </c>
      <c r="AJ63" s="1028" t="e">
        <f t="shared" si="24"/>
        <v>#DIV/0!</v>
      </c>
      <c r="AK63" s="1028" t="e">
        <f t="shared" si="24"/>
        <v>#DIV/0!</v>
      </c>
      <c r="AL63" s="1028" t="e">
        <f t="shared" si="24"/>
        <v>#DIV/0!</v>
      </c>
      <c r="AM63" s="1028">
        <f t="shared" si="24"/>
        <v>3177.2424900841283</v>
      </c>
      <c r="AN63" s="1028">
        <f t="shared" si="24"/>
        <v>134579.43843385243</v>
      </c>
      <c r="AO63" s="1028">
        <f t="shared" si="24"/>
        <v>1484681.4180692602</v>
      </c>
      <c r="AP63" s="1028">
        <f t="shared" si="24"/>
        <v>0</v>
      </c>
      <c r="AQ63" s="1028" t="e">
        <f t="shared" si="24"/>
        <v>#DIV/0!</v>
      </c>
      <c r="AR63" s="1028">
        <f t="shared" si="24"/>
        <v>0</v>
      </c>
      <c r="AS63" s="1028">
        <f t="shared" si="24"/>
        <v>0</v>
      </c>
      <c r="AT63" s="1028"/>
    </row>
    <row r="64" spans="1:46" x14ac:dyDescent="0.25">
      <c r="A64" s="1236">
        <v>2013</v>
      </c>
      <c r="B64" s="1200" t="s">
        <v>1282</v>
      </c>
      <c r="C64" s="1028"/>
      <c r="D64" s="1028">
        <f>+(1000000*D$22/D102)</f>
        <v>422.15492300516826</v>
      </c>
      <c r="E64" s="1028"/>
      <c r="F64" s="1028">
        <f>+(1000000*F$22/F102)</f>
        <v>126.78541018000988</v>
      </c>
      <c r="G64" s="1028"/>
      <c r="H64" s="1028"/>
      <c r="I64" s="1028"/>
      <c r="J64" s="1028"/>
      <c r="K64" s="1028"/>
      <c r="L64" s="1028"/>
      <c r="M64" s="1028">
        <f>+(1000000*M$22/M102)</f>
        <v>110665.10540241827</v>
      </c>
      <c r="N64" s="1028">
        <f>+(1000000*N$22/N102)</f>
        <v>1977.7011886069547</v>
      </c>
      <c r="O64" s="1028"/>
      <c r="P64" s="1028"/>
      <c r="Q64" s="1028"/>
      <c r="R64" s="1028"/>
      <c r="S64" s="1028"/>
      <c r="T64" s="1028"/>
      <c r="U64" s="1028"/>
      <c r="V64" s="1028"/>
      <c r="W64" s="1195">
        <f>+(1000000*W$22/W102)</f>
        <v>2485.8993038693739</v>
      </c>
      <c r="X64" s="1028">
        <f>+(1000000*X$22/X102)</f>
        <v>591.67512964467392</v>
      </c>
      <c r="Y64" s="1028" t="e">
        <f>+(1000000*Y$22/Y102)</f>
        <v>#DIV/0!</v>
      </c>
      <c r="Z64" s="1028" t="e">
        <f>+(1000000*Z$22/Z102)</f>
        <v>#DIV/0!</v>
      </c>
      <c r="AA64" s="1028"/>
      <c r="AB64" s="1028"/>
      <c r="AC64" s="1028"/>
      <c r="AD64" s="1028" t="e">
        <f>+(1000000*AD$22/AD102)</f>
        <v>#DIV/0!</v>
      </c>
      <c r="AE64" s="1028"/>
      <c r="AF64" s="1028">
        <f t="shared" ref="AF64:AS64" si="25">+(1000000*AF$22/AF102)</f>
        <v>22970.397131870519</v>
      </c>
      <c r="AG64" s="1028" t="e">
        <f t="shared" si="25"/>
        <v>#DIV/0!</v>
      </c>
      <c r="AH64" s="1028">
        <f t="shared" si="25"/>
        <v>11314110.298897453</v>
      </c>
      <c r="AI64" s="1028" t="e">
        <f t="shared" si="25"/>
        <v>#DIV/0!</v>
      </c>
      <c r="AJ64" s="1028" t="e">
        <f t="shared" si="25"/>
        <v>#DIV/0!</v>
      </c>
      <c r="AK64" s="1028" t="e">
        <f t="shared" si="25"/>
        <v>#DIV/0!</v>
      </c>
      <c r="AL64" s="1028" t="e">
        <f t="shared" si="25"/>
        <v>#DIV/0!</v>
      </c>
      <c r="AM64" s="1028">
        <f t="shared" si="25"/>
        <v>3310.553363793952</v>
      </c>
      <c r="AN64" s="1028">
        <f t="shared" si="25"/>
        <v>142700.61144279182</v>
      </c>
      <c r="AO64" s="1028">
        <f t="shared" si="25"/>
        <v>1665556.3116411499</v>
      </c>
      <c r="AP64" s="1028">
        <f t="shared" si="25"/>
        <v>0</v>
      </c>
      <c r="AQ64" s="1028" t="e">
        <f t="shared" si="25"/>
        <v>#DIV/0!</v>
      </c>
      <c r="AR64" s="1028">
        <f t="shared" si="25"/>
        <v>0</v>
      </c>
      <c r="AS64" s="1028">
        <f t="shared" si="25"/>
        <v>0</v>
      </c>
      <c r="AT64" s="1028"/>
    </row>
    <row r="65" spans="1:56" x14ac:dyDescent="0.25">
      <c r="A65" s="1239">
        <v>2014</v>
      </c>
      <c r="B65" s="1212" t="s">
        <v>1282</v>
      </c>
      <c r="C65" s="1028"/>
      <c r="D65" s="1028">
        <f>+(1000000*D$23/D119)</f>
        <v>437.99484151572136</v>
      </c>
      <c r="E65" s="1028"/>
      <c r="F65" s="1028">
        <f>+(1000000*F$23/F119)</f>
        <v>130.20693616347577</v>
      </c>
      <c r="G65" s="1028"/>
      <c r="H65" s="1028"/>
      <c r="I65" s="1028"/>
      <c r="J65" s="1028"/>
      <c r="K65" s="1028"/>
      <c r="L65" s="1028"/>
      <c r="M65" s="1028">
        <f>+(1000000*M$23/M119)</f>
        <v>137735.04358862899</v>
      </c>
      <c r="N65" s="1028">
        <f>+(1000000*N$23/N119)</f>
        <v>2125.5521774077115</v>
      </c>
      <c r="O65" s="1028"/>
      <c r="P65" s="1028"/>
      <c r="Q65" s="1028"/>
      <c r="R65" s="1028"/>
      <c r="S65" s="1028"/>
      <c r="T65" s="1028"/>
      <c r="U65" s="1028"/>
      <c r="V65" s="1028"/>
      <c r="W65" s="1195">
        <f>+(1000000*W$23/W119)</f>
        <v>2632.9869975941078</v>
      </c>
      <c r="X65" s="1028">
        <f>+(1000000*X$23/X119)</f>
        <v>608.20246255409893</v>
      </c>
      <c r="Y65" s="1028" t="e">
        <f>+(1000000*Y$23/Y119)</f>
        <v>#DIV/0!</v>
      </c>
      <c r="Z65" s="1028" t="e">
        <f>+(1000000*Z$23/Z119)</f>
        <v>#DIV/0!</v>
      </c>
      <c r="AA65" s="1028"/>
      <c r="AB65" s="1028"/>
      <c r="AC65" s="1028"/>
      <c r="AD65" s="1028" t="e">
        <f>+(1000000*AD$23/AD119)</f>
        <v>#DIV/0!</v>
      </c>
      <c r="AE65" s="1028"/>
      <c r="AF65" s="1028">
        <f t="shared" ref="AF65:AS65" si="26">+(1000000*AF$23/AF119)</f>
        <v>25943.036760700819</v>
      </c>
      <c r="AG65" s="1028" t="e">
        <f t="shared" si="26"/>
        <v>#DIV/0!</v>
      </c>
      <c r="AH65" s="1028">
        <f t="shared" si="26"/>
        <v>11681451.542368149</v>
      </c>
      <c r="AI65" s="1028" t="e">
        <f t="shared" si="26"/>
        <v>#DIV/0!</v>
      </c>
      <c r="AJ65" s="1028" t="e">
        <f t="shared" si="26"/>
        <v>#DIV/0!</v>
      </c>
      <c r="AK65" s="1028" t="e">
        <f t="shared" si="26"/>
        <v>#DIV/0!</v>
      </c>
      <c r="AL65" s="1028" t="e">
        <f t="shared" si="26"/>
        <v>#DIV/0!</v>
      </c>
      <c r="AM65" s="1028">
        <f t="shared" si="26"/>
        <v>3421.6457585521384</v>
      </c>
      <c r="AN65" s="1028">
        <f t="shared" si="26"/>
        <v>154302.28716984804</v>
      </c>
      <c r="AO65" s="1028">
        <f t="shared" si="26"/>
        <v>1936868.6519989842</v>
      </c>
      <c r="AP65" s="1028">
        <f t="shared" si="26"/>
        <v>0</v>
      </c>
      <c r="AQ65" s="1028" t="e">
        <f t="shared" si="26"/>
        <v>#DIV/0!</v>
      </c>
      <c r="AR65" s="1028">
        <f t="shared" si="26"/>
        <v>0</v>
      </c>
      <c r="AS65" s="1028">
        <f t="shared" si="26"/>
        <v>0</v>
      </c>
      <c r="AT65" s="1028"/>
    </row>
    <row r="66" spans="1:56" x14ac:dyDescent="0.25">
      <c r="A66" s="1242">
        <v>2015</v>
      </c>
      <c r="B66" s="1224" t="s">
        <v>1282</v>
      </c>
      <c r="C66" s="1028"/>
      <c r="D66" s="1028">
        <f>+(1000000*D$24/D136)</f>
        <v>465.40483243283381</v>
      </c>
      <c r="E66" s="1028"/>
      <c r="F66" s="1028">
        <f>+(1000000*F$24/F136)</f>
        <v>133.29180539936146</v>
      </c>
      <c r="G66" s="1028"/>
      <c r="H66" s="1028"/>
      <c r="I66" s="1028"/>
      <c r="J66" s="1028"/>
      <c r="K66" s="1028"/>
      <c r="L66" s="1028"/>
      <c r="M66" s="1028">
        <f>+(1000000*M$24/M136)</f>
        <v>131052.68515505003</v>
      </c>
      <c r="N66" s="1028">
        <f>+(1000000*N$24/N136)</f>
        <v>2299.0912986166172</v>
      </c>
      <c r="O66" s="1028"/>
      <c r="P66" s="1028"/>
      <c r="Q66" s="1028"/>
      <c r="R66" s="1028"/>
      <c r="S66" s="1028"/>
      <c r="T66" s="1028"/>
      <c r="U66" s="1028"/>
      <c r="V66" s="1028"/>
      <c r="W66" s="1195">
        <f>+(1000000*W$24/W136)</f>
        <v>2768.2972830932517</v>
      </c>
      <c r="X66" s="1028">
        <f>+(1000000*X$24/X136)</f>
        <v>605.0247863862121</v>
      </c>
      <c r="Y66" s="1028" t="e">
        <f>+(1000000*Y$24/Y136)</f>
        <v>#DIV/0!</v>
      </c>
      <c r="Z66" s="1028" t="e">
        <f>+(1000000*Z$24/Z136)</f>
        <v>#DIV/0!</v>
      </c>
      <c r="AA66" s="1028"/>
      <c r="AB66" s="1028"/>
      <c r="AC66" s="1028"/>
      <c r="AD66" s="1028" t="e">
        <f>+(1000000*AD$24/AD136)</f>
        <v>#DIV/0!</v>
      </c>
      <c r="AE66" s="1028"/>
      <c r="AF66" s="1028">
        <f t="shared" ref="AF66:AS66" si="27">+(1000000*AF$24/AF136)</f>
        <v>28375.196457016522</v>
      </c>
      <c r="AG66" s="1028" t="e">
        <f t="shared" si="27"/>
        <v>#DIV/0!</v>
      </c>
      <c r="AH66" s="1028">
        <f t="shared" si="27"/>
        <v>13150816.516250934</v>
      </c>
      <c r="AI66" s="1028" t="e">
        <f t="shared" si="27"/>
        <v>#DIV/0!</v>
      </c>
      <c r="AJ66" s="1028" t="e">
        <f t="shared" si="27"/>
        <v>#DIV/0!</v>
      </c>
      <c r="AK66" s="1028" t="e">
        <f t="shared" si="27"/>
        <v>#DIV/0!</v>
      </c>
      <c r="AL66" s="1028" t="e">
        <f t="shared" si="27"/>
        <v>#DIV/0!</v>
      </c>
      <c r="AM66" s="1028">
        <f t="shared" si="27"/>
        <v>3488.3011954070503</v>
      </c>
      <c r="AN66" s="1028">
        <f t="shared" si="27"/>
        <v>169384.46561502118</v>
      </c>
      <c r="AO66" s="1028">
        <f t="shared" si="27"/>
        <v>2306154.8930415921</v>
      </c>
      <c r="AP66" s="1028">
        <f t="shared" si="27"/>
        <v>0</v>
      </c>
      <c r="AQ66" s="1028" t="e">
        <f t="shared" si="27"/>
        <v>#DIV/0!</v>
      </c>
      <c r="AR66" s="1028">
        <f t="shared" si="27"/>
        <v>0</v>
      </c>
      <c r="AS66" s="1028">
        <f t="shared" si="27"/>
        <v>0</v>
      </c>
      <c r="AT66" s="1028"/>
    </row>
    <row r="69" spans="1:56" x14ac:dyDescent="0.25">
      <c r="A69" s="568"/>
      <c r="B69" s="578"/>
      <c r="C69" s="578"/>
      <c r="D69" s="584"/>
      <c r="E69" s="578"/>
      <c r="F69" s="584"/>
      <c r="G69" s="584"/>
      <c r="H69" s="584"/>
      <c r="I69" s="584"/>
      <c r="J69" s="584"/>
      <c r="K69" s="584"/>
      <c r="L69" s="584"/>
      <c r="M69" s="584"/>
      <c r="N69" s="584"/>
      <c r="O69" s="594"/>
      <c r="P69" s="594"/>
      <c r="Q69" s="594"/>
      <c r="R69" s="594"/>
      <c r="S69" s="594"/>
      <c r="T69" s="594"/>
      <c r="U69" s="594"/>
      <c r="V69" s="594"/>
      <c r="W69" s="584"/>
      <c r="X69" s="584"/>
      <c r="Y69" s="584"/>
      <c r="Z69" s="584"/>
      <c r="AA69" s="584"/>
      <c r="AB69" s="584"/>
      <c r="AC69" s="584"/>
      <c r="AD69" s="584"/>
      <c r="AE69" s="584"/>
      <c r="AF69" s="584"/>
      <c r="AG69" s="584"/>
      <c r="AH69" s="584"/>
      <c r="AI69" s="584"/>
      <c r="AJ69" s="584"/>
      <c r="AK69" s="584"/>
      <c r="AL69" s="584"/>
      <c r="AM69" s="584"/>
      <c r="AN69" s="584"/>
      <c r="AO69" s="584"/>
      <c r="AP69" s="584"/>
      <c r="AQ69" s="584"/>
      <c r="AR69" s="584"/>
      <c r="AS69" s="601"/>
      <c r="AT69" s="601"/>
      <c r="AU69" s="584"/>
      <c r="AV69" s="584"/>
      <c r="AW69" s="584"/>
      <c r="AX69" s="584"/>
      <c r="AY69" s="584"/>
      <c r="AZ69" s="584"/>
      <c r="BA69" s="584"/>
      <c r="BB69" s="584"/>
      <c r="BC69" s="584"/>
      <c r="BD69" s="584"/>
    </row>
    <row r="70" spans="1:56" x14ac:dyDescent="0.25">
      <c r="A70" s="568"/>
      <c r="B70" s="578"/>
      <c r="C70" s="578"/>
      <c r="D70" s="584"/>
      <c r="E70" s="578"/>
      <c r="F70" s="584"/>
      <c r="G70" s="584"/>
      <c r="H70" s="584"/>
      <c r="I70" s="584"/>
      <c r="J70" s="584"/>
      <c r="K70" s="584"/>
      <c r="L70" s="584"/>
      <c r="M70" s="584"/>
      <c r="N70" s="584"/>
      <c r="O70" s="594"/>
      <c r="P70" s="594"/>
      <c r="Q70" s="594"/>
      <c r="R70" s="594"/>
      <c r="S70" s="594"/>
      <c r="T70" s="594"/>
      <c r="U70" s="594"/>
      <c r="V70" s="594"/>
      <c r="W70" s="584"/>
      <c r="X70" s="584"/>
      <c r="Y70" s="584"/>
      <c r="Z70" s="584"/>
      <c r="AA70" s="584"/>
      <c r="AB70" s="584"/>
      <c r="AC70" s="584"/>
      <c r="AD70" s="584"/>
      <c r="AE70" s="584"/>
      <c r="AF70" s="584"/>
      <c r="AG70" s="584"/>
      <c r="AH70" s="584"/>
      <c r="AI70" s="584"/>
      <c r="AJ70" s="584"/>
      <c r="AK70" s="584"/>
      <c r="AL70" s="584"/>
      <c r="AM70" s="584"/>
      <c r="AN70" s="584"/>
      <c r="AO70" s="584"/>
      <c r="AP70" s="584"/>
      <c r="AQ70" s="584"/>
      <c r="AR70" s="584"/>
      <c r="AS70" s="601"/>
      <c r="AT70" s="601"/>
      <c r="AU70" s="584"/>
      <c r="AV70" s="584"/>
      <c r="AW70" s="584"/>
      <c r="AX70" s="584"/>
      <c r="AY70" s="584"/>
      <c r="AZ70" s="584"/>
      <c r="BA70" s="584"/>
      <c r="BB70" s="584"/>
      <c r="BC70" s="584"/>
      <c r="BD70" s="584"/>
    </row>
    <row r="71" spans="1:56" ht="150" x14ac:dyDescent="0.25">
      <c r="A71" s="1201"/>
      <c r="B71" s="1192" t="s">
        <v>1326</v>
      </c>
      <c r="C71" s="1192" t="s">
        <v>1050</v>
      </c>
      <c r="D71" s="1228" t="str">
        <f>PSUT_2012!AA3</f>
        <v xml:space="preserve">Total </v>
      </c>
      <c r="E71" s="1192"/>
      <c r="F71" s="1228" t="str">
        <f>PSUT_2012!C4</f>
        <v xml:space="preserve">A. Agriculture, forestry and fishing </v>
      </c>
      <c r="G71" s="1192"/>
      <c r="H71" s="1192"/>
      <c r="I71" s="1192"/>
      <c r="J71" s="1192"/>
      <c r="K71" s="1192"/>
      <c r="L71" s="1192"/>
      <c r="M71" s="1228" t="str">
        <f>PSUT_2012!D4</f>
        <v xml:space="preserve">B. Mining and Quarrying </v>
      </c>
      <c r="N71" s="1228" t="str">
        <f>PSUT_2012!E4</f>
        <v>C. Manufacturing</v>
      </c>
      <c r="O71" s="1192"/>
      <c r="P71" s="1192"/>
      <c r="Q71" s="1192"/>
      <c r="R71" s="1192"/>
      <c r="S71" s="1192"/>
      <c r="T71" s="1192"/>
      <c r="U71" s="1192"/>
      <c r="V71" s="1192"/>
      <c r="W71" s="1228" t="str">
        <f>PSUT_2012!F4</f>
        <v>D. Electricity, gas, steam and air conditioning supply</v>
      </c>
      <c r="X71" s="1228" t="str">
        <f>PSUT_2012!G4</f>
        <v>E. Water supply (WASAC &amp; AquaVirunga)</v>
      </c>
      <c r="Y71" s="1228" t="str">
        <f>PSUT_2012!H4</f>
        <v>F. Construction</v>
      </c>
      <c r="Z71" s="1228" t="str">
        <f>PSUT_2012!I4</f>
        <v>G. Wholesale and retail trade; repair of motor vehicles and motorcycles</v>
      </c>
      <c r="AA71" s="1192"/>
      <c r="AB71" s="1192"/>
      <c r="AC71" s="1192"/>
      <c r="AD71" s="1228" t="str">
        <f>PSUT_2012!J4</f>
        <v>H. Transportation and storage</v>
      </c>
      <c r="AE71" s="1192"/>
      <c r="AF71" s="1228" t="str">
        <f>PSUT_2012!K4</f>
        <v>I. Accommodation and food service activities</v>
      </c>
      <c r="AG71" s="1228" t="str">
        <f>PSUT_2012!L4</f>
        <v>J. Information and communication</v>
      </c>
      <c r="AH71" s="1228" t="str">
        <f>PSUT_2012!M4</f>
        <v>K. Banking and insurance activities</v>
      </c>
      <c r="AI71" s="1228" t="str">
        <f>PSUT_2012!N4</f>
        <v>L. Real estate activities</v>
      </c>
      <c r="AJ71" s="1228" t="str">
        <f>PSUT_2012!O4</f>
        <v>M. Professional, scientific and technical activities</v>
      </c>
      <c r="AK71" s="1228" t="str">
        <f>PSUT_2012!P4</f>
        <v>N. Administrative and support service activities</v>
      </c>
      <c r="AL71" s="1228" t="str">
        <f>PSUT_2012!Q4</f>
        <v>O. Public administration and defence; compulsory social security</v>
      </c>
      <c r="AM71" s="1228" t="str">
        <f>PSUT_2012!R4</f>
        <v>P. Education</v>
      </c>
      <c r="AN71" s="1228" t="str">
        <f>PSUT_2012!S4</f>
        <v xml:space="preserve">Q. Human health and social work activities </v>
      </c>
      <c r="AO71" s="1228" t="str">
        <f>PSUT_2012!T4</f>
        <v>R. Arts, entertainment and recreation</v>
      </c>
      <c r="AP71" s="1228" t="str">
        <f>PSUT_2012!U4</f>
        <v>S. Other service activities (Religious &amp; Burial)</v>
      </c>
      <c r="AQ71" s="1228" t="str">
        <f>PSUT_2012!V4</f>
        <v>T. Activities of households as employers; undifferentiated goods- and services-producing activities of households for own use</v>
      </c>
      <c r="AR71" s="1228" t="str">
        <f>PSUT_2012!W3</f>
        <v xml:space="preserve">Total Production activities </v>
      </c>
      <c r="AS71" s="1228" t="str">
        <f>PSUT_2012!X4</f>
        <v>Households</v>
      </c>
      <c r="AT71" s="1228" t="str">
        <f>PSUT_2012!AA3</f>
        <v xml:space="preserve">Total </v>
      </c>
      <c r="AU71" s="584"/>
      <c r="AW71" s="584"/>
      <c r="AX71" s="584"/>
      <c r="AY71" s="584"/>
      <c r="AZ71" s="584"/>
      <c r="BA71" s="584"/>
      <c r="BB71" s="584"/>
      <c r="BC71" s="584"/>
      <c r="BD71" s="584"/>
    </row>
    <row r="72" spans="1:56" x14ac:dyDescent="0.25">
      <c r="A72" s="1802" t="str">
        <f>+(PSUT_2012!A6)</f>
        <v>From the environment</v>
      </c>
      <c r="B72" s="1054" t="str">
        <f>+(PSUT_2012!B9)</f>
        <v>1 - Total abstraction (1.i+1.ii)</v>
      </c>
      <c r="D72" s="1025">
        <f>+(PSUT_2012!AA9)</f>
        <v>14038856.805080475</v>
      </c>
      <c r="F72" s="1025">
        <f>+(PSUT_2012!C9)</f>
        <v>13563380.505039312</v>
      </c>
      <c r="H72" s="1024"/>
      <c r="I72" s="1024"/>
      <c r="J72" s="1024"/>
      <c r="K72" s="1024"/>
      <c r="L72" s="1024"/>
      <c r="M72" s="1025">
        <f>+(PSUT_2012!D9)</f>
        <v>22390.658857794173</v>
      </c>
      <c r="N72" s="1025">
        <f>+(PSUT_2012!E9)</f>
        <v>23638.124916130942</v>
      </c>
      <c r="P72" s="1026"/>
      <c r="Q72" s="1026"/>
      <c r="R72" s="1026"/>
      <c r="S72" s="1026"/>
      <c r="T72" s="1026"/>
      <c r="U72" s="1026"/>
      <c r="V72" s="1026"/>
      <c r="W72" s="1025">
        <f>+(PSUT_2012!F9)</f>
        <v>335270.16889591428</v>
      </c>
      <c r="X72" s="1025">
        <f>+(PSUT_2012!G9)</f>
        <v>53008.786416190094</v>
      </c>
      <c r="Y72" s="1025">
        <f>+(PSUT_2012!H9)</f>
        <v>0</v>
      </c>
      <c r="Z72" s="1025">
        <f>+(PSUT_2012!I9)</f>
        <v>0</v>
      </c>
      <c r="AB72" s="1024"/>
      <c r="AC72" s="1024"/>
      <c r="AD72" s="1025">
        <f>+(PSUT_2012!J9)</f>
        <v>0</v>
      </c>
      <c r="AF72" s="1025">
        <f>+(PSUT_2012!K9)</f>
        <v>0</v>
      </c>
      <c r="AG72" s="1025">
        <f>+(PSUT_2012!L9)</f>
        <v>0</v>
      </c>
      <c r="AH72" s="1269">
        <f>+(PSUT_2012!M9)</f>
        <v>0.06</v>
      </c>
      <c r="AI72" s="1025">
        <f>+(PSUT_2012!N9)</f>
        <v>0</v>
      </c>
      <c r="AJ72" s="1025">
        <f>+(PSUT_2012!O9)</f>
        <v>0</v>
      </c>
      <c r="AK72" s="1025">
        <f>+(PSUT_2012!P9)</f>
        <v>0</v>
      </c>
      <c r="AL72" s="1025">
        <f>+(PSUT_2012!Q9)</f>
        <v>0</v>
      </c>
      <c r="AM72" s="1025">
        <f>+(PSUT_2012!R9)</f>
        <v>133.11539999999999</v>
      </c>
      <c r="AN72" s="1025">
        <f>+(PSUT_2012!S9)</f>
        <v>588.7795155737706</v>
      </c>
      <c r="AO72" s="1025">
        <f>+SUM(PSUT_2012!T9:'PSUT_2012'!V9)</f>
        <v>11.709600000000002</v>
      </c>
      <c r="AP72" s="1025">
        <f>+(PSUT_2012!U9)</f>
        <v>11.709600000000002</v>
      </c>
      <c r="AQ72" s="1025">
        <f>+(PSUT_2012!V9)</f>
        <v>0</v>
      </c>
      <c r="AR72" s="1025">
        <f>+(PSUT_2012!W9)</f>
        <v>13998421.908640916</v>
      </c>
      <c r="AS72" s="1025">
        <f>+(PSUT_2012!X9)</f>
        <v>40434.896439560478</v>
      </c>
      <c r="AT72" s="1025">
        <f>+(PSUT_2012!AA9)</f>
        <v>14038856.805080475</v>
      </c>
      <c r="AU72" s="1025"/>
      <c r="AW72" s="584"/>
      <c r="AX72" s="584"/>
      <c r="AY72" s="584"/>
      <c r="AZ72" s="584"/>
      <c r="BA72" s="584"/>
      <c r="BB72" s="584"/>
      <c r="BC72" s="584"/>
      <c r="BD72" s="584"/>
    </row>
    <row r="73" spans="1:56" x14ac:dyDescent="0.25">
      <c r="A73" s="1802"/>
      <c r="B73" s="1054" t="str">
        <f>+B74 &amp; " &amp; "&amp; B75</f>
        <v>1.i.1 Surface water &amp; 1.i.2 Groundwater</v>
      </c>
      <c r="D73" s="1025">
        <f>+SUM(PSUT_2012!AA11,PSUT_2012!AA16)</f>
        <v>656196.04472715571</v>
      </c>
      <c r="F73" s="1025">
        <f>+SUM(PSUT_2012!C11,PSUT_2012!C16)</f>
        <v>203165.42938599197</v>
      </c>
      <c r="H73" s="1024"/>
      <c r="I73" s="1024"/>
      <c r="J73" s="1024"/>
      <c r="K73" s="1024"/>
      <c r="L73" s="1024"/>
      <c r="M73" s="1025">
        <f>+SUM(PSUT_2012!D11,PSUT_2012!D16)</f>
        <v>1030.8588577941744</v>
      </c>
      <c r="N73" s="1025">
        <f>+SUM(PSUT_2012!E11,PSUT_2012!E16)</f>
        <v>23609.924916130942</v>
      </c>
      <c r="P73" s="1026"/>
      <c r="Q73" s="1026"/>
      <c r="R73" s="1026"/>
      <c r="S73" s="1026"/>
      <c r="T73" s="1026"/>
      <c r="U73" s="1026"/>
      <c r="V73" s="1026"/>
      <c r="W73" s="1025">
        <f>+SUM(PSUT_2012!F11,PSUT_2012!F16)</f>
        <v>335270.16889591428</v>
      </c>
      <c r="X73" s="1025">
        <f>+SUM(PSUT_2012!G11,PSUT_2012!G16)</f>
        <v>53008.786416190094</v>
      </c>
      <c r="Y73" s="1025">
        <f>+SUM(PSUT_2012!H11,PSUT_2012!H16)</f>
        <v>0</v>
      </c>
      <c r="Z73" s="1025">
        <f>+SUM(PSUT_2012!I11,PSUT_2012!I16)</f>
        <v>0</v>
      </c>
      <c r="AB73" s="1024"/>
      <c r="AC73" s="1024"/>
      <c r="AD73" s="1025">
        <f>+SUM(PSUT_2012!J11,PSUT_2012!J16)</f>
        <v>0</v>
      </c>
      <c r="AF73" s="1025">
        <f>+SUM(PSUT_2012!K11,PSUT_2012!K16)</f>
        <v>0</v>
      </c>
      <c r="AG73" s="1025">
        <f>+SUM(PSUT_2012!L11,PSUT_2012!L16)</f>
        <v>0</v>
      </c>
      <c r="AH73" s="1269">
        <f>+SUM(PSUT_2012!M11,PSUT_2012!M16)</f>
        <v>0</v>
      </c>
      <c r="AI73" s="1025">
        <f>+SUM(PSUT_2012!N11,PSUT_2012!N16)</f>
        <v>0</v>
      </c>
      <c r="AJ73" s="1025">
        <f>+SUM(PSUT_2012!O11,PSUT_2012!O16)</f>
        <v>0</v>
      </c>
      <c r="AK73" s="1025">
        <f>+SUM(PSUT_2012!P11,PSUT_2012!P16)</f>
        <v>0</v>
      </c>
      <c r="AL73" s="1025">
        <f>+SUM(PSUT_2012!Q11,PSUT_2012!Q16)</f>
        <v>0</v>
      </c>
      <c r="AM73" s="1025">
        <f>+SUM(PSUT_2012!R11,PSUT_2012!R16)</f>
        <v>133.11539999999999</v>
      </c>
      <c r="AN73" s="1025">
        <f>+SUM(PSUT_2012!S11,PSUT_2012!S16)</f>
        <v>90.790815573770487</v>
      </c>
      <c r="AO73" s="1025">
        <f>+SUM(PSUT_2012!T11,PSUT_2012!T16)</f>
        <v>0</v>
      </c>
      <c r="AP73" s="1025">
        <f>+SUM(PSUT_2012!U11,PSUT_2012!U16)</f>
        <v>2.0736000000000003</v>
      </c>
      <c r="AQ73" s="1025">
        <f>+SUM(PSUT_2012!V11,PSUT_2012!V16)</f>
        <v>0</v>
      </c>
      <c r="AR73" s="1025">
        <f>+SUM(PSUT_2012!W11,PSUT_2012!W16)</f>
        <v>616311.14828759525</v>
      </c>
      <c r="AS73" s="1025">
        <f>+SUM(PSUT_2012!X11,PSUT_2012!X16)</f>
        <v>39884.896439560478</v>
      </c>
      <c r="AT73" s="1025">
        <f>+SUM(PSUT_2012!AA11,PSUT_2012!AA16)</f>
        <v>656196.04472715571</v>
      </c>
      <c r="AU73" s="1025"/>
      <c r="AW73" s="584"/>
      <c r="AX73" s="584"/>
      <c r="AY73" s="584"/>
      <c r="AZ73" s="584"/>
      <c r="BA73" s="584"/>
      <c r="BB73" s="584"/>
      <c r="BC73" s="584"/>
      <c r="BD73" s="584"/>
    </row>
    <row r="74" spans="1:56" x14ac:dyDescent="0.25">
      <c r="A74" s="1802"/>
      <c r="B74" s="1054" t="str">
        <f>+(PSUT_2012!B11)</f>
        <v>1.i.1 Surface water</v>
      </c>
      <c r="D74" s="1025">
        <f>+(PSUT_2012!AA11)</f>
        <v>592745.22770505876</v>
      </c>
      <c r="E74" s="578"/>
      <c r="F74" s="1025">
        <f>+(PSUT_2012!C11)</f>
        <v>189335.69415585385</v>
      </c>
      <c r="H74" s="1024"/>
      <c r="I74" s="1024"/>
      <c r="J74" s="1024"/>
      <c r="K74" s="1024"/>
      <c r="L74" s="1024"/>
      <c r="M74" s="1025">
        <f>+(PSUT_2012!D11)</f>
        <v>967.07072779417433</v>
      </c>
      <c r="N74" s="1025">
        <f>+(PSUT_2012!E11)</f>
        <v>14844.847980982084</v>
      </c>
      <c r="P74" s="1026"/>
      <c r="Q74" s="1026"/>
      <c r="R74" s="1026"/>
      <c r="S74" s="1026"/>
      <c r="T74" s="1026"/>
      <c r="U74" s="1026"/>
      <c r="V74" s="1026"/>
      <c r="W74" s="1025">
        <f>+(PSUT_2012!F11)</f>
        <v>335270.16889591428</v>
      </c>
      <c r="X74" s="1025">
        <f>+(PSUT_2012!G11)</f>
        <v>41023.930895441081</v>
      </c>
      <c r="Y74" s="1025">
        <f>+(PSUT_2012!H11)</f>
        <v>0</v>
      </c>
      <c r="Z74" s="1025">
        <f>+(PSUT_2012!I11)</f>
        <v>0</v>
      </c>
      <c r="AB74" s="1024"/>
      <c r="AC74" s="1024"/>
      <c r="AD74" s="1025">
        <f>+(PSUT_2012!J11)</f>
        <v>0</v>
      </c>
      <c r="AF74" s="1025">
        <f>+(PSUT_2012!K11)</f>
        <v>0</v>
      </c>
      <c r="AG74" s="1025">
        <f>+(PSUT_2012!L11)</f>
        <v>0</v>
      </c>
      <c r="AH74" s="1269">
        <f>+(PSUT_2012!M11)</f>
        <v>0</v>
      </c>
      <c r="AI74" s="1025">
        <f>+(PSUT_2012!N11)</f>
        <v>0</v>
      </c>
      <c r="AJ74" s="1025">
        <f>+(PSUT_2012!O11)</f>
        <v>0</v>
      </c>
      <c r="AK74" s="1025">
        <f>+(PSUT_2012!P11)</f>
        <v>0</v>
      </c>
      <c r="AL74" s="1025">
        <f>+(PSUT_2012!Q11)</f>
        <v>0</v>
      </c>
      <c r="AM74" s="1025">
        <f>+(PSUT_2012!R11)</f>
        <v>0</v>
      </c>
      <c r="AN74" s="1025">
        <f>+(PSUT_2012!S11)</f>
        <v>0</v>
      </c>
      <c r="AO74" s="1025">
        <f>+SUM(PSUT_2012!T11:'PSUT_2012'!V11)</f>
        <v>2.0736000000000003</v>
      </c>
      <c r="AP74" s="1025">
        <f>+(PSUT_2012!U11)</f>
        <v>2.0736000000000003</v>
      </c>
      <c r="AQ74" s="1025">
        <f>+(PSUT_2012!V11)</f>
        <v>0</v>
      </c>
      <c r="AR74" s="1025">
        <f>+(PSUT_2012!W11)</f>
        <v>581443.7862559855</v>
      </c>
      <c r="AS74" s="1025">
        <f>+(PSUT_2012!X11)</f>
        <v>11301.441449073298</v>
      </c>
      <c r="AT74" s="1025">
        <f>+(PSUT_2012!AA11)</f>
        <v>592745.22770505876</v>
      </c>
      <c r="AU74" s="1025"/>
      <c r="AW74" s="584"/>
      <c r="AX74" s="584"/>
      <c r="AY74" s="584"/>
      <c r="AZ74" s="584"/>
      <c r="BA74" s="584"/>
      <c r="BB74" s="584"/>
      <c r="BC74" s="584"/>
      <c r="BD74" s="584"/>
    </row>
    <row r="75" spans="1:56" x14ac:dyDescent="0.25">
      <c r="A75" s="1802"/>
      <c r="B75" s="1054" t="str">
        <f>+(PSUT_2012!B16)</f>
        <v>1.i.2 Groundwater</v>
      </c>
      <c r="D75" s="1025">
        <f>+(PSUT_2012!AA16)</f>
        <v>63450.817022096933</v>
      </c>
      <c r="E75" s="1024"/>
      <c r="F75" s="1025">
        <f>+(PSUT_2012!C16)</f>
        <v>13829.735230138118</v>
      </c>
      <c r="H75" s="1024"/>
      <c r="I75" s="1024"/>
      <c r="J75" s="1024"/>
      <c r="K75" s="1024"/>
      <c r="L75" s="1024"/>
      <c r="M75" s="1025">
        <f>+(PSUT_2012!D16)</f>
        <v>63.788130000000002</v>
      </c>
      <c r="N75" s="1025">
        <f>+(PSUT_2012!E16)</f>
        <v>8765.0769351488561</v>
      </c>
      <c r="P75" s="1024"/>
      <c r="Q75" s="1024"/>
      <c r="R75" s="1024"/>
      <c r="S75" s="1024"/>
      <c r="T75" s="1024"/>
      <c r="U75" s="1024"/>
      <c r="V75" s="1024"/>
      <c r="W75" s="1025">
        <f>+(PSUT_2012!F16)</f>
        <v>0</v>
      </c>
      <c r="X75" s="1025">
        <f>+(PSUT_2012!G16)</f>
        <v>11984.855520749015</v>
      </c>
      <c r="Y75" s="1025">
        <f>+(PSUT_2012!H16)</f>
        <v>0</v>
      </c>
      <c r="Z75" s="1025">
        <f>+(PSUT_2012!I16)</f>
        <v>0</v>
      </c>
      <c r="AB75" s="1024"/>
      <c r="AC75" s="1024"/>
      <c r="AD75" s="1025">
        <f>+(PSUT_2012!J16)</f>
        <v>0</v>
      </c>
      <c r="AF75" s="1025">
        <f>+(PSUT_2012!K16)</f>
        <v>0</v>
      </c>
      <c r="AG75" s="1025">
        <f>+(PSUT_2012!L16)</f>
        <v>0</v>
      </c>
      <c r="AH75" s="1269">
        <f>+(PSUT_2012!M16)</f>
        <v>0</v>
      </c>
      <c r="AI75" s="1025">
        <f>+(PSUT_2012!N16)</f>
        <v>0</v>
      </c>
      <c r="AJ75" s="1025">
        <f>+(PSUT_2012!O16)</f>
        <v>0</v>
      </c>
      <c r="AK75" s="1025">
        <f>+(PSUT_2012!P16)</f>
        <v>0</v>
      </c>
      <c r="AL75" s="1025">
        <f>+(PSUT_2012!Q16)</f>
        <v>0</v>
      </c>
      <c r="AM75" s="1025">
        <f>+(PSUT_2012!R16)</f>
        <v>133.11539999999999</v>
      </c>
      <c r="AN75" s="1025">
        <f>+(PSUT_2012!S16)</f>
        <v>90.790815573770487</v>
      </c>
      <c r="AO75" s="1025">
        <f>+SUM(PSUT_2012!T16:'PSUT_2012'!V16)</f>
        <v>0</v>
      </c>
      <c r="AP75" s="1025">
        <f>+(PSUT_2012!U16)</f>
        <v>0</v>
      </c>
      <c r="AQ75" s="1025">
        <f>+(PSUT_2012!V16)</f>
        <v>0</v>
      </c>
      <c r="AR75" s="1025">
        <f>+(PSUT_2012!W16)</f>
        <v>34867.362031609759</v>
      </c>
      <c r="AS75" s="1025">
        <f>+(PSUT_2012!X16)</f>
        <v>28583.454990487178</v>
      </c>
      <c r="AT75" s="1025">
        <f>+(PSUT_2012!AA16)</f>
        <v>63450.817022096933</v>
      </c>
      <c r="AU75" s="1025"/>
    </row>
    <row r="76" spans="1:56" x14ac:dyDescent="0.25">
      <c r="A76" s="1802"/>
      <c r="B76" s="1054" t="str">
        <f>+(PSUT_2012!B19)</f>
        <v>1.i.3 Soil water (green water)</v>
      </c>
      <c r="D76" s="1025">
        <f>+(PSUT_2012!AA19)</f>
        <v>13359408.07565332</v>
      </c>
      <c r="E76" s="1024"/>
      <c r="F76" s="1025">
        <f>+(PSUT_2012!C19)</f>
        <v>13359408.07565332</v>
      </c>
      <c r="H76" s="1024"/>
      <c r="I76" s="1024"/>
      <c r="J76" s="1024"/>
      <c r="K76" s="1024"/>
      <c r="L76" s="1024"/>
      <c r="M76" s="1025">
        <f>+(PSUT_2012!D19)</f>
        <v>0</v>
      </c>
      <c r="N76" s="1025">
        <f>+(PSUT_2012!E19)</f>
        <v>0</v>
      </c>
      <c r="P76" s="1024"/>
      <c r="Q76" s="1024"/>
      <c r="R76" s="1024"/>
      <c r="S76" s="1024"/>
      <c r="T76" s="1024"/>
      <c r="U76" s="1024"/>
      <c r="V76" s="1024"/>
      <c r="W76" s="1025">
        <f>+(PSUT_2012!F19)</f>
        <v>0</v>
      </c>
      <c r="X76" s="1025">
        <f>+(PSUT_2012!G19)</f>
        <v>0</v>
      </c>
      <c r="Y76" s="1025">
        <f>+(PSUT_2012!H19)</f>
        <v>0</v>
      </c>
      <c r="Z76" s="1025">
        <f>+(PSUT_2012!I19)</f>
        <v>0</v>
      </c>
      <c r="AB76" s="1024"/>
      <c r="AC76" s="1024"/>
      <c r="AD76" s="1025">
        <f>+(PSUT_2012!J19)</f>
        <v>0</v>
      </c>
      <c r="AF76" s="1025">
        <f>+(PSUT_2012!K19)</f>
        <v>0</v>
      </c>
      <c r="AG76" s="1025">
        <f>+(PSUT_2012!L19)</f>
        <v>0</v>
      </c>
      <c r="AH76" s="1269">
        <f>+(PSUT_2012!M19)</f>
        <v>0</v>
      </c>
      <c r="AI76" s="1025">
        <f>+(PSUT_2012!N19)</f>
        <v>0</v>
      </c>
      <c r="AJ76" s="1025">
        <f>+(PSUT_2012!O19)</f>
        <v>0</v>
      </c>
      <c r="AK76" s="1025">
        <f>+(PSUT_2012!P19)</f>
        <v>0</v>
      </c>
      <c r="AL76" s="1025">
        <f>+(PSUT_2012!Q19)</f>
        <v>0</v>
      </c>
      <c r="AM76" s="1025">
        <f>+(PSUT_2012!R19)</f>
        <v>0</v>
      </c>
      <c r="AN76" s="1025">
        <f>+(PSUT_2012!S19)</f>
        <v>0</v>
      </c>
      <c r="AO76" s="1025">
        <f>+SUM(PSUT_2012!T19:'PSUT_2012'!V19)</f>
        <v>0</v>
      </c>
      <c r="AP76" s="1025">
        <f>+(PSUT_2012!U19)</f>
        <v>0</v>
      </c>
      <c r="AQ76" s="1025">
        <f>+(PSUT_2012!V19)</f>
        <v>0</v>
      </c>
      <c r="AR76" s="1025">
        <f>+(PSUT_2012!W19)</f>
        <v>13359408.07565332</v>
      </c>
      <c r="AS76" s="1025">
        <f>+(PSUT_2012!X19)</f>
        <v>0</v>
      </c>
      <c r="AT76" s="1025">
        <f>+(PSUT_2012!AA19)</f>
        <v>13359408.07565332</v>
      </c>
      <c r="AU76" s="1025"/>
    </row>
    <row r="77" spans="1:56" x14ac:dyDescent="0.25">
      <c r="A77" s="1802"/>
      <c r="B77" s="1054" t="str">
        <f>+(PSUT_2012!B20)</f>
        <v xml:space="preserve">1.ii From other sources </v>
      </c>
      <c r="D77" s="1025">
        <f>+(PSUT_2012!AA20)</f>
        <v>23252.684700000002</v>
      </c>
      <c r="E77" s="1024"/>
      <c r="F77" s="1025">
        <f>+(PSUT_2012!C20)</f>
        <v>807</v>
      </c>
      <c r="H77" s="1024"/>
      <c r="I77" s="1024"/>
      <c r="J77" s="1024"/>
      <c r="K77" s="1024"/>
      <c r="L77" s="1024"/>
      <c r="M77" s="1025">
        <f>+(PSUT_2012!D20)</f>
        <v>21359.8</v>
      </c>
      <c r="N77" s="1025">
        <f>+(PSUT_2012!E20)</f>
        <v>28.2</v>
      </c>
      <c r="P77" s="1024"/>
      <c r="Q77" s="1024"/>
      <c r="R77" s="1024"/>
      <c r="S77" s="1024"/>
      <c r="T77" s="1024"/>
      <c r="U77" s="1024"/>
      <c r="V77" s="1024"/>
      <c r="W77" s="1025">
        <f>+(PSUT_2012!F20)</f>
        <v>0</v>
      </c>
      <c r="X77" s="1025">
        <f>+(PSUT_2012!G20)</f>
        <v>0</v>
      </c>
      <c r="Y77" s="1025">
        <f>+(PSUT_2012!H20)</f>
        <v>0</v>
      </c>
      <c r="Z77" s="1025">
        <f>+(PSUT_2012!I20)</f>
        <v>0</v>
      </c>
      <c r="AB77" s="1024"/>
      <c r="AC77" s="1024"/>
      <c r="AD77" s="1025">
        <f>+(PSUT_2012!J20)</f>
        <v>0</v>
      </c>
      <c r="AF77" s="1025">
        <f>+(PSUT_2012!K20)</f>
        <v>0</v>
      </c>
      <c r="AG77" s="1025">
        <f>+(PSUT_2012!L20)</f>
        <v>0</v>
      </c>
      <c r="AH77" s="1269">
        <f>+(PSUT_2012!M20)</f>
        <v>0.06</v>
      </c>
      <c r="AI77" s="1025">
        <f>+(PSUT_2012!N20)</f>
        <v>0</v>
      </c>
      <c r="AJ77" s="1025">
        <f>+(PSUT_2012!O20)</f>
        <v>0</v>
      </c>
      <c r="AK77" s="1025">
        <f>+(PSUT_2012!P20)</f>
        <v>0</v>
      </c>
      <c r="AL77" s="1025">
        <f>+(PSUT_2012!Q20)</f>
        <v>0</v>
      </c>
      <c r="AM77" s="1025">
        <f>+(PSUT_2012!R20)</f>
        <v>0</v>
      </c>
      <c r="AN77" s="1025">
        <f>+(PSUT_2012!S20)</f>
        <v>497.98870000000005</v>
      </c>
      <c r="AO77" s="1025">
        <f>+SUM(PSUT_2012!T20:'PSUT_2012'!V20)</f>
        <v>9.636000000000001</v>
      </c>
      <c r="AP77" s="1025">
        <f>+(PSUT_2012!U20)</f>
        <v>9.636000000000001</v>
      </c>
      <c r="AQ77" s="1025">
        <f>+(PSUT_2012!V20)</f>
        <v>0</v>
      </c>
      <c r="AR77" s="1025">
        <f>+(PSUT_2012!W20)</f>
        <v>22702.684700000002</v>
      </c>
      <c r="AS77" s="1025">
        <f>+(PSUT_2012!X20)</f>
        <v>550</v>
      </c>
      <c r="AT77" s="1025">
        <f>+(PSUT_2012!AA20)</f>
        <v>23252.684700000002</v>
      </c>
      <c r="AU77" s="1025"/>
    </row>
    <row r="78" spans="1:56" x14ac:dyDescent="0.25">
      <c r="A78" s="1802"/>
      <c r="B78" s="1054" t="str">
        <f>+(PSUT_2012!B21)</f>
        <v>1.ii.1 Collection of precipitation (rainwater harvesting; ..)</v>
      </c>
      <c r="D78" s="1025">
        <f>+(PSUT_2012!AA21)</f>
        <v>23252.684700000002</v>
      </c>
      <c r="E78" s="1024"/>
      <c r="F78" s="1025">
        <f>+(PSUT_2012!C21)</f>
        <v>807</v>
      </c>
      <c r="H78" s="1024"/>
      <c r="I78" s="1024"/>
      <c r="J78" s="1024"/>
      <c r="K78" s="1024"/>
      <c r="L78" s="1024"/>
      <c r="M78" s="1025">
        <f>+(PSUT_2012!D21)</f>
        <v>21359.8</v>
      </c>
      <c r="N78" s="1025">
        <f>+(PSUT_2012!E21)</f>
        <v>28.2</v>
      </c>
      <c r="P78" s="1024"/>
      <c r="Q78" s="1024"/>
      <c r="R78" s="1024"/>
      <c r="S78" s="1024"/>
      <c r="T78" s="1024"/>
      <c r="U78" s="1024"/>
      <c r="V78" s="1024"/>
      <c r="W78" s="1025">
        <f>+(PSUT_2012!F21)</f>
        <v>0</v>
      </c>
      <c r="X78" s="1025">
        <f>+(PSUT_2012!G21)</f>
        <v>0</v>
      </c>
      <c r="Y78" s="1025">
        <f>+(PSUT_2012!H21)</f>
        <v>0</v>
      </c>
      <c r="Z78" s="1025">
        <f>+(PSUT_2012!I21)</f>
        <v>0</v>
      </c>
      <c r="AB78" s="1024"/>
      <c r="AC78" s="1024"/>
      <c r="AD78" s="1025">
        <f>+(PSUT_2012!J21)</f>
        <v>0</v>
      </c>
      <c r="AF78" s="1025">
        <f>+(PSUT_2012!K21)</f>
        <v>0</v>
      </c>
      <c r="AG78" s="1025">
        <f>+(PSUT_2012!L21)</f>
        <v>0</v>
      </c>
      <c r="AH78" s="1269">
        <f>+(PSUT_2012!M21)</f>
        <v>0.06</v>
      </c>
      <c r="AI78" s="1025">
        <f>+(PSUT_2012!N21)</f>
        <v>0</v>
      </c>
      <c r="AJ78" s="1025">
        <f>+(PSUT_2012!O21)</f>
        <v>0</v>
      </c>
      <c r="AK78" s="1025">
        <f>+(PSUT_2012!P21)</f>
        <v>0</v>
      </c>
      <c r="AL78" s="1025">
        <f>+(PSUT_2012!Q21)</f>
        <v>0</v>
      </c>
      <c r="AM78" s="1025">
        <f>+(PSUT_2012!R21)</f>
        <v>0</v>
      </c>
      <c r="AN78" s="1025">
        <f>+(PSUT_2012!S21)</f>
        <v>497.98870000000005</v>
      </c>
      <c r="AO78" s="1025">
        <f>+SUM(PSUT_2012!T21:'PSUT_2012'!V21)</f>
        <v>9.636000000000001</v>
      </c>
      <c r="AP78" s="1025">
        <f>+(PSUT_2012!U21)</f>
        <v>9.636000000000001</v>
      </c>
      <c r="AQ78" s="1025">
        <f>+(PSUT_2012!V21)</f>
        <v>0</v>
      </c>
      <c r="AR78" s="1025">
        <f>+(PSUT_2012!W21)</f>
        <v>22702.684700000002</v>
      </c>
      <c r="AS78" s="1025">
        <f>+(PSUT_2012!X21)</f>
        <v>550</v>
      </c>
      <c r="AT78" s="1025">
        <f>+(PSUT_2012!AA21)</f>
        <v>23252.684700000002</v>
      </c>
      <c r="AU78" s="1025"/>
    </row>
    <row r="79" spans="1:56" x14ac:dyDescent="0.25">
      <c r="A79" s="1202"/>
      <c r="B79" s="1054" t="str">
        <f>+(PSUT_2012!B22)</f>
        <v>1.ii.2 Abstraction from the sea</v>
      </c>
      <c r="D79" s="1025">
        <f>+(PSUT_2012!AA22)</f>
        <v>0</v>
      </c>
      <c r="E79" s="1024"/>
      <c r="F79" s="1025">
        <f>+(PSUT_2012!C22)</f>
        <v>0</v>
      </c>
      <c r="H79" s="1024"/>
      <c r="I79" s="1024"/>
      <c r="J79" s="1024"/>
      <c r="K79" s="1024"/>
      <c r="L79" s="1024"/>
      <c r="M79" s="1025">
        <f>+(PSUT_2012!D22)</f>
        <v>0</v>
      </c>
      <c r="N79" s="1025">
        <f>+(PSUT_2012!E22)</f>
        <v>0</v>
      </c>
      <c r="P79" s="1024"/>
      <c r="Q79" s="1024"/>
      <c r="R79" s="1024"/>
      <c r="S79" s="1024"/>
      <c r="T79" s="1024"/>
      <c r="U79" s="1024"/>
      <c r="V79" s="1024"/>
      <c r="W79" s="1025">
        <f>+(PSUT_2012!F22)</f>
        <v>0</v>
      </c>
      <c r="X79" s="1025">
        <f>+(PSUT_2012!G22)</f>
        <v>0</v>
      </c>
      <c r="Y79" s="1025">
        <f>+(PSUT_2012!H22)</f>
        <v>0</v>
      </c>
      <c r="Z79" s="1025">
        <f>+(PSUT_2012!I22)</f>
        <v>0</v>
      </c>
      <c r="AB79" s="1024"/>
      <c r="AC79" s="1024"/>
      <c r="AD79" s="1025">
        <f>+(PSUT_2012!J22)</f>
        <v>0</v>
      </c>
      <c r="AF79" s="1025">
        <f>+(PSUT_2012!K22)</f>
        <v>0</v>
      </c>
      <c r="AG79" s="1025">
        <f>+(PSUT_2012!L22)</f>
        <v>0</v>
      </c>
      <c r="AH79" s="1269">
        <f>+(PSUT_2012!M22)</f>
        <v>0</v>
      </c>
      <c r="AI79" s="1025">
        <f>+(PSUT_2012!N22)</f>
        <v>0</v>
      </c>
      <c r="AJ79" s="1025">
        <f>+(PSUT_2012!O22)</f>
        <v>0</v>
      </c>
      <c r="AK79" s="1025">
        <f>+(PSUT_2012!P22)</f>
        <v>0</v>
      </c>
      <c r="AL79" s="1025">
        <f>+(PSUT_2012!Q22)</f>
        <v>0</v>
      </c>
      <c r="AM79" s="1025">
        <f>+(PSUT_2012!R22)</f>
        <v>0</v>
      </c>
      <c r="AN79" s="1025">
        <f>+(PSUT_2012!S22)</f>
        <v>0</v>
      </c>
      <c r="AO79" s="1025">
        <f>+SUM(PSUT_2012!T22:'PSUT_2012'!V22)</f>
        <v>0</v>
      </c>
      <c r="AP79" s="1025">
        <f>+(PSUT_2012!U22)</f>
        <v>0</v>
      </c>
      <c r="AQ79" s="1025">
        <f>+(PSUT_2012!V22)</f>
        <v>0</v>
      </c>
      <c r="AR79" s="1025">
        <f>+(PSUT_2012!W22)</f>
        <v>0</v>
      </c>
      <c r="AS79" s="1025">
        <f>+(PSUT_2012!X22)</f>
        <v>0</v>
      </c>
      <c r="AT79" s="1025">
        <f>+(PSUT_2012!AA22)</f>
        <v>0</v>
      </c>
      <c r="AU79" s="1025"/>
    </row>
    <row r="80" spans="1:56" x14ac:dyDescent="0.25">
      <c r="A80" s="1202"/>
      <c r="B80" s="1054" t="str">
        <f>+(PSUT_2012!B23)</f>
        <v>2. Use of water received from other economic units</v>
      </c>
      <c r="D80" s="1025">
        <f>+(PSUT_2012!AA23)</f>
        <v>1160562.9602874902</v>
      </c>
      <c r="E80" s="1024"/>
      <c r="F80" s="1025">
        <f>+(PSUT_2012!C23)</f>
        <v>90250</v>
      </c>
      <c r="H80" s="1024"/>
      <c r="I80" s="1024"/>
      <c r="J80" s="1024"/>
      <c r="K80" s="1024"/>
      <c r="L80" s="1024"/>
      <c r="M80" s="1025">
        <f>+(PSUT_2012!D23)</f>
        <v>0</v>
      </c>
      <c r="N80" s="1025">
        <f>+(PSUT_2012!E23)</f>
        <v>642763.78523033194</v>
      </c>
      <c r="P80" s="1024"/>
      <c r="Q80" s="1024"/>
      <c r="R80" s="1024"/>
      <c r="S80" s="1024"/>
      <c r="T80" s="1024"/>
      <c r="U80" s="1024"/>
      <c r="V80" s="1024"/>
      <c r="W80" s="1025">
        <f>+(PSUT_2012!F23)</f>
        <v>0</v>
      </c>
      <c r="X80" s="1025">
        <f>+(PSUT_2012!G23)</f>
        <v>0</v>
      </c>
      <c r="Y80" s="1025">
        <f>+(PSUT_2012!H23)</f>
        <v>0</v>
      </c>
      <c r="Z80" s="1025">
        <f>+(PSUT_2012!I23)</f>
        <v>0</v>
      </c>
      <c r="AB80" s="1024"/>
      <c r="AC80" s="1024"/>
      <c r="AD80" s="1025">
        <f>+(PSUT_2012!J23)</f>
        <v>0</v>
      </c>
      <c r="AF80" s="1025">
        <f>+(PSUT_2012!K23)</f>
        <v>16672.61</v>
      </c>
      <c r="AG80" s="1025">
        <f>+(PSUT_2012!L23)</f>
        <v>0</v>
      </c>
      <c r="AH80" s="1269">
        <f>+(PSUT_2012!M23)</f>
        <v>76.030545405347283</v>
      </c>
      <c r="AI80" s="1025">
        <f>+(PSUT_2012!N23)</f>
        <v>0</v>
      </c>
      <c r="AJ80" s="1025">
        <f>+(PSUT_2012!O23)</f>
        <v>0</v>
      </c>
      <c r="AK80" s="1025">
        <f>+(PSUT_2012!P23)</f>
        <v>0</v>
      </c>
      <c r="AL80" s="1025">
        <f>+(PSUT_2012!Q23)</f>
        <v>0</v>
      </c>
      <c r="AM80" s="1025">
        <f>+(PSUT_2012!R23)</f>
        <v>224372.33</v>
      </c>
      <c r="AN80" s="1025">
        <f>+(PSUT_2012!S23)</f>
        <v>3720.9427500000002</v>
      </c>
      <c r="AO80" s="1025">
        <f>+SUM(PSUT_2012!T23:'PSUT_2012'!V23)</f>
        <v>131.69367175295594</v>
      </c>
      <c r="AP80" s="1025">
        <f>+(PSUT_2012!U23)</f>
        <v>131.69367175295594</v>
      </c>
      <c r="AQ80" s="1025">
        <f>+(PSUT_2012!V23)</f>
        <v>0</v>
      </c>
      <c r="AR80" s="1025">
        <f>+(PSUT_2012!W23)</f>
        <v>977987.3921974902</v>
      </c>
      <c r="AS80" s="1025">
        <f>+(PSUT_2012!X23)</f>
        <v>176061</v>
      </c>
      <c r="AT80" s="1025">
        <f>+(PSUT_2012!AA23)</f>
        <v>1160562.9602874902</v>
      </c>
      <c r="AU80" s="1025"/>
    </row>
    <row r="81" spans="1:56" x14ac:dyDescent="0.25">
      <c r="A81" s="1202"/>
      <c r="B81" s="1054" t="str">
        <f>+(PSUT_2012!A24)</f>
        <v>3. Total use of water (=1+2)</v>
      </c>
      <c r="D81" s="1025">
        <f>+(PSUT_2012!AA24)</f>
        <v>15199419.765367964</v>
      </c>
      <c r="E81" s="1024"/>
      <c r="F81" s="1025">
        <f>+(PSUT_2012!C24)</f>
        <v>13653630.505039312</v>
      </c>
      <c r="H81" s="1024"/>
      <c r="I81" s="1024"/>
      <c r="J81" s="1024"/>
      <c r="K81" s="1024"/>
      <c r="L81" s="1024"/>
      <c r="M81" s="1025">
        <f>+(PSUT_2012!D24)</f>
        <v>22390.658857794173</v>
      </c>
      <c r="N81" s="1025">
        <f>+(PSUT_2012!E24)</f>
        <v>666401.91014646285</v>
      </c>
      <c r="P81" s="1024"/>
      <c r="Q81" s="1024"/>
      <c r="R81" s="1024"/>
      <c r="S81" s="1024"/>
      <c r="T81" s="1024"/>
      <c r="U81" s="1024"/>
      <c r="V81" s="1024"/>
      <c r="W81" s="1025">
        <f>+(PSUT_2012!F24)</f>
        <v>335270.16889591428</v>
      </c>
      <c r="X81" s="1025">
        <f>+(PSUT_2012!G24)</f>
        <v>53008.786416190094</v>
      </c>
      <c r="Y81" s="1025">
        <f>+(PSUT_2012!H24)</f>
        <v>0</v>
      </c>
      <c r="Z81" s="1025">
        <f>+(PSUT_2012!I24)</f>
        <v>0</v>
      </c>
      <c r="AB81" s="1024"/>
      <c r="AC81" s="1024"/>
      <c r="AD81" s="1025">
        <f>+(PSUT_2012!J24)</f>
        <v>0</v>
      </c>
      <c r="AF81" s="1025">
        <f>+(PSUT_2012!K24)</f>
        <v>16672.61</v>
      </c>
      <c r="AG81" s="1025">
        <f>+(PSUT_2012!L24)</f>
        <v>0</v>
      </c>
      <c r="AH81" s="1269">
        <f>+(PSUT_2012!M24)</f>
        <v>76.090545405347285</v>
      </c>
      <c r="AI81" s="1025">
        <f>+(PSUT_2012!N24)</f>
        <v>0</v>
      </c>
      <c r="AJ81" s="1025">
        <f>+(PSUT_2012!O24)</f>
        <v>0</v>
      </c>
      <c r="AK81" s="1025">
        <f>+(PSUT_2012!P24)</f>
        <v>0</v>
      </c>
      <c r="AL81" s="1025">
        <f>+(PSUT_2012!Q24)</f>
        <v>0</v>
      </c>
      <c r="AM81" s="1025">
        <f>+(PSUT_2012!R24)</f>
        <v>224505.4454</v>
      </c>
      <c r="AN81" s="1025">
        <f>+(PSUT_2012!S24)</f>
        <v>4309.7222655737705</v>
      </c>
      <c r="AO81" s="1025">
        <f>+SUM(PSUT_2012!T24:'PSUT_2012'!V24)</f>
        <v>143.40327175295593</v>
      </c>
      <c r="AP81" s="1025">
        <f>+(PSUT_2012!U24)</f>
        <v>143.40327175295593</v>
      </c>
      <c r="AQ81" s="1025">
        <f>+(PSUT_2012!V24)</f>
        <v>0</v>
      </c>
      <c r="AR81" s="1025">
        <f>+(PSUT_2012!W24)</f>
        <v>14976409.300838405</v>
      </c>
      <c r="AS81" s="1025">
        <f>+(PSUT_2012!X24)</f>
        <v>216495.89643956049</v>
      </c>
      <c r="AT81" s="1025">
        <f>+(PSUT_2012!AA24)</f>
        <v>15199419.765367964</v>
      </c>
      <c r="AU81" s="1025"/>
    </row>
    <row r="82" spans="1:56" x14ac:dyDescent="0.25">
      <c r="A82" s="1202"/>
      <c r="B82" s="1054" t="str">
        <f>+(PSUT_2012!B35)</f>
        <v>4. Supply of water to other economic units</v>
      </c>
      <c r="D82" s="1025">
        <f>+(PSUT_2012!AA35)</f>
        <v>34764.795819255363</v>
      </c>
      <c r="E82" s="1024"/>
      <c r="F82" s="1025">
        <f>+(PSUT_2012!C35)</f>
        <v>0</v>
      </c>
      <c r="H82" s="1024"/>
      <c r="I82" s="1024"/>
      <c r="J82" s="1024"/>
      <c r="K82" s="1024"/>
      <c r="L82" s="1024"/>
      <c r="M82" s="1025">
        <f>+(PSUT_2012!D35)</f>
        <v>21271.125914904464</v>
      </c>
      <c r="N82" s="1025">
        <f>+(PSUT_2012!E35)</f>
        <v>816.87563283886971</v>
      </c>
      <c r="P82" s="1024"/>
      <c r="Q82" s="1024"/>
      <c r="R82" s="1024"/>
      <c r="S82" s="1024"/>
      <c r="T82" s="1024"/>
      <c r="U82" s="1024"/>
      <c r="V82" s="1024"/>
      <c r="W82" s="1025">
        <f>+(PSUT_2012!F35)</f>
        <v>0</v>
      </c>
      <c r="X82" s="1025">
        <f>+(PSUT_2012!G35)</f>
        <v>0</v>
      </c>
      <c r="Y82" s="1025">
        <f>+(PSUT_2012!H35)</f>
        <v>0</v>
      </c>
      <c r="Z82" s="1025">
        <f>+(PSUT_2012!I35)</f>
        <v>0</v>
      </c>
      <c r="AB82" s="1024"/>
      <c r="AC82" s="1024"/>
      <c r="AD82" s="1025">
        <f>+(PSUT_2012!J35)</f>
        <v>0</v>
      </c>
      <c r="AF82" s="1025">
        <f>+(PSUT_2012!K35)</f>
        <v>12671.183667903779</v>
      </c>
      <c r="AG82" s="1025">
        <f>+(PSUT_2012!L35)</f>
        <v>0</v>
      </c>
      <c r="AH82" s="1269">
        <f>+(PSUT_2012!M35)</f>
        <v>5.6106036082474233</v>
      </c>
      <c r="AI82" s="1025">
        <f>+(PSUT_2012!N35)</f>
        <v>0</v>
      </c>
      <c r="AJ82" s="1025">
        <f>+(PSUT_2012!O35)</f>
        <v>0</v>
      </c>
      <c r="AK82" s="1025">
        <f>+(PSUT_2012!P35)</f>
        <v>0</v>
      </c>
      <c r="AL82" s="1025">
        <f>+(PSUT_2012!Q35)</f>
        <v>0</v>
      </c>
      <c r="AM82" s="1025">
        <f>+(PSUT_2012!R35)</f>
        <v>0</v>
      </c>
      <c r="AN82" s="1025">
        <f>+(PSUT_2012!S35)</f>
        <v>0</v>
      </c>
      <c r="AO82" s="1025">
        <f>+SUM(PSUT_2012!T35:'PSUT_2012'!V35)</f>
        <v>0</v>
      </c>
      <c r="AP82" s="1025">
        <f>+(PSUT_2012!U35)</f>
        <v>0</v>
      </c>
      <c r="AQ82" s="1025">
        <f>+(PSUT_2012!V35)</f>
        <v>0</v>
      </c>
      <c r="AR82" s="1025">
        <f>+(PSUT_2012!W35)</f>
        <v>34764.795819255363</v>
      </c>
      <c r="AS82" s="1025">
        <f>+(PSUT_2012!X35)</f>
        <v>0</v>
      </c>
      <c r="AT82" s="1025">
        <f>+(PSUT_2012!AA35)</f>
        <v>34764.795819255363</v>
      </c>
      <c r="AU82" s="1025"/>
    </row>
    <row r="83" spans="1:56" x14ac:dyDescent="0.25">
      <c r="A83" s="232"/>
      <c r="B83" s="1054" t="str">
        <f>+(PSUT_2012!B38)</f>
        <v>5. Total returns (= 5.a+5.b)</v>
      </c>
      <c r="D83" s="1025">
        <f>+(PSUT_2012!AA38)</f>
        <v>2636799.0858138381</v>
      </c>
      <c r="F83" s="1025">
        <f>+(PSUT_2012!C38)</f>
        <v>1529661.7232789313</v>
      </c>
      <c r="M83" s="1025">
        <f>+(PSUT_2012!D38)</f>
        <v>54.219910499999997</v>
      </c>
      <c r="N83" s="1025">
        <f>+(PSUT_2012!E38)</f>
        <v>514699.26072578493</v>
      </c>
      <c r="W83" s="1025">
        <f>+(PSUT_2012!F38)</f>
        <v>318506.66045111854</v>
      </c>
      <c r="X83" s="1025">
        <f>+(PSUT_2012!G38)</f>
        <v>2570.3302400000002</v>
      </c>
      <c r="Y83" s="1025">
        <f>+(PSUT_2012!H38)</f>
        <v>0</v>
      </c>
      <c r="Z83" s="1025">
        <f>+(PSUT_2012!I38)</f>
        <v>0</v>
      </c>
      <c r="AD83" s="1025">
        <f>+(PSUT_2012!J38)</f>
        <v>0</v>
      </c>
      <c r="AF83" s="1025">
        <f>+(PSUT_2012!K38)</f>
        <v>301.01142363711335</v>
      </c>
      <c r="AG83" s="1025">
        <f>+(PSUT_2012!L38)</f>
        <v>0</v>
      </c>
      <c r="AH83" s="1269">
        <f>+(PSUT_2012!M38)</f>
        <v>56.868619657611163</v>
      </c>
      <c r="AI83" s="1025">
        <f>+(PSUT_2012!N38)</f>
        <v>0</v>
      </c>
      <c r="AJ83" s="1025">
        <f>+(PSUT_2012!O38)</f>
        <v>0</v>
      </c>
      <c r="AK83" s="1025">
        <f>+(PSUT_2012!P38)</f>
        <v>0</v>
      </c>
      <c r="AL83" s="1025">
        <f>+(PSUT_2012!Q38)</f>
        <v>0</v>
      </c>
      <c r="AM83" s="1025">
        <f>+(PSUT_2012!R38)</f>
        <v>179497.86400000003</v>
      </c>
      <c r="AN83" s="1025">
        <f>+(PSUT_2012!S38)</f>
        <v>3447.7778158871602</v>
      </c>
      <c r="AO83" s="1025">
        <f>+SUM(PSUT_2012!T38:'PSUT_2012'!V38)</f>
        <v>10.714873014735879</v>
      </c>
      <c r="AP83" s="1025">
        <f>+(PSUT_2012!U38)</f>
        <v>10.714873014735879</v>
      </c>
      <c r="AQ83" s="1025">
        <f>+(PSUT_2012!V38)</f>
        <v>0</v>
      </c>
      <c r="AR83" s="1025">
        <f>+(PSUT_2012!W38)</f>
        <v>2548806.4313385319</v>
      </c>
      <c r="AS83" s="1025">
        <f>+(PSUT_2012!X38)</f>
        <v>82781</v>
      </c>
      <c r="AT83" s="1025">
        <f>+(PSUT_2012!AA38)</f>
        <v>2636799.0858138381</v>
      </c>
      <c r="AU83" s="1025"/>
    </row>
    <row r="84" spans="1:56" x14ac:dyDescent="0.25">
      <c r="A84" s="232"/>
      <c r="B84" s="1054" t="str">
        <f>+(PSUT_2012!A44)</f>
        <v>6. Total supply of water (= 4+5)</v>
      </c>
      <c r="D84" s="1025">
        <f>+(PSUT_2012!AA44)</f>
        <v>2671563.8816330931</v>
      </c>
      <c r="F84" s="1025">
        <f>+(PSUT_2012!C44)</f>
        <v>1529661.7232789313</v>
      </c>
      <c r="M84" s="1025">
        <f>+(PSUT_2012!D44)</f>
        <v>21325.345825404464</v>
      </c>
      <c r="N84" s="1025">
        <f>+(PSUT_2012!E44)</f>
        <v>515516.1363586238</v>
      </c>
      <c r="W84" s="1025">
        <f>+(PSUT_2012!F44)</f>
        <v>318506.66045111854</v>
      </c>
      <c r="X84" s="1025">
        <f>+(PSUT_2012!G44)</f>
        <v>2570.3302400000002</v>
      </c>
      <c r="Y84" s="1025">
        <f>+(PSUT_2012!H44)</f>
        <v>0</v>
      </c>
      <c r="Z84" s="1025">
        <f>+(PSUT_2012!I44)</f>
        <v>0</v>
      </c>
      <c r="AD84" s="1025">
        <f>+(PSUT_2012!J44)</f>
        <v>0</v>
      </c>
      <c r="AF84" s="1025">
        <f>+(PSUT_2012!K44)</f>
        <v>12972.195091540892</v>
      </c>
      <c r="AG84" s="1025">
        <f>+(PSUT_2012!L44)</f>
        <v>0</v>
      </c>
      <c r="AH84" s="1269">
        <f>+(PSUT_2012!M44)</f>
        <v>62.479223265858586</v>
      </c>
      <c r="AI84" s="1025">
        <f>+(PSUT_2012!N44)</f>
        <v>0</v>
      </c>
      <c r="AJ84" s="1025">
        <f>+(PSUT_2012!O44)</f>
        <v>0</v>
      </c>
      <c r="AK84" s="1025">
        <f>+(PSUT_2012!P44)</f>
        <v>0</v>
      </c>
      <c r="AL84" s="1025">
        <f>+(PSUT_2012!Q44)</f>
        <v>0</v>
      </c>
      <c r="AM84" s="1025">
        <f>+(PSUT_2012!R44)</f>
        <v>179497.86400000003</v>
      </c>
      <c r="AN84" s="1025">
        <f>+(PSUT_2012!S44)</f>
        <v>3447.7778158871602</v>
      </c>
      <c r="AO84" s="1025">
        <f>+SUM(PSUT_2012!T44:'PSUT_2012'!V44)</f>
        <v>10.714873014735879</v>
      </c>
      <c r="AP84" s="1025">
        <f>+(PSUT_2012!U44)</f>
        <v>10.714873014735879</v>
      </c>
      <c r="AQ84" s="1025">
        <f>+(PSUT_2012!V44)</f>
        <v>0</v>
      </c>
      <c r="AR84" s="1025">
        <f>+(PSUT_2012!W44)</f>
        <v>2583571.227157787</v>
      </c>
      <c r="AS84" s="1025">
        <f>+(PSUT_2012!X44)</f>
        <v>82781</v>
      </c>
      <c r="AT84" s="1025">
        <f>+(PSUT_2012!AA44)</f>
        <v>2671563.8816330931</v>
      </c>
      <c r="AU84" s="1025"/>
    </row>
    <row r="85" spans="1:56" x14ac:dyDescent="0.25">
      <c r="A85" s="235"/>
      <c r="B85" s="1195" t="str">
        <f>+(PSUT_2012!A45)</f>
        <v>7. Consumption (3-6)</v>
      </c>
      <c r="C85" s="295"/>
      <c r="D85" s="1028">
        <f>+(PSUT_2012!AA45)</f>
        <v>12527855.883734873</v>
      </c>
      <c r="E85" s="295"/>
      <c r="F85" s="1028">
        <f>+(PSUT_2012!C45)</f>
        <v>12123968.78176038</v>
      </c>
      <c r="G85" s="295"/>
      <c r="H85" s="295"/>
      <c r="I85" s="295"/>
      <c r="J85" s="295"/>
      <c r="K85" s="295"/>
      <c r="L85" s="295"/>
      <c r="M85" s="1028">
        <f>+(PSUT_2012!D45)</f>
        <v>1065.3130323897094</v>
      </c>
      <c r="N85" s="1028">
        <f>+(PSUT_2012!E45)</f>
        <v>150885.77378783905</v>
      </c>
      <c r="O85" s="295"/>
      <c r="P85" s="295"/>
      <c r="Q85" s="295"/>
      <c r="R85" s="295"/>
      <c r="S85" s="295"/>
      <c r="T85" s="295"/>
      <c r="U85" s="295"/>
      <c r="V85" s="295"/>
      <c r="W85" s="1195">
        <f>+(PSUT_2012!F45)</f>
        <v>16763.508444795734</v>
      </c>
      <c r="X85" s="1028">
        <f>+(PSUT_2012!G45)</f>
        <v>50438.456176190091</v>
      </c>
      <c r="Y85" s="1028">
        <f>+(PSUT_2012!H45)</f>
        <v>0</v>
      </c>
      <c r="Z85" s="1028">
        <f>+(PSUT_2012!I45)</f>
        <v>0</v>
      </c>
      <c r="AA85" s="295"/>
      <c r="AB85" s="295"/>
      <c r="AC85" s="295"/>
      <c r="AD85" s="1028">
        <f>+(PSUT_2012!J45)</f>
        <v>0</v>
      </c>
      <c r="AE85" s="295"/>
      <c r="AF85" s="1028">
        <f>+(PSUT_2012!K45)</f>
        <v>3700.4149084591081</v>
      </c>
      <c r="AG85" s="1028">
        <f>+(PSUT_2012!L45)</f>
        <v>0</v>
      </c>
      <c r="AH85" s="1270">
        <f>+(PSUT_2012!M45)</f>
        <v>13.611322139488699</v>
      </c>
      <c r="AI85" s="1028">
        <f>+(PSUT_2012!N45)</f>
        <v>0</v>
      </c>
      <c r="AJ85" s="1028">
        <f>+(PSUT_2012!O45)</f>
        <v>0</v>
      </c>
      <c r="AK85" s="1028">
        <f>+(PSUT_2012!P45)</f>
        <v>0</v>
      </c>
      <c r="AL85" s="1028">
        <f>+(PSUT_2012!Q45)</f>
        <v>0</v>
      </c>
      <c r="AM85" s="1028">
        <f>+(PSUT_2012!R45)</f>
        <v>45007.581399999966</v>
      </c>
      <c r="AN85" s="1028">
        <f>+(PSUT_2012!S45)</f>
        <v>861.94444968661037</v>
      </c>
      <c r="AO85" s="1028">
        <f>+SUM(PSUT_2012!T45:'PSUT_2012'!V45)</f>
        <v>132.68839873822006</v>
      </c>
      <c r="AP85" s="1028">
        <f>+(PSUT_2012!U45)</f>
        <v>132.68839873822006</v>
      </c>
      <c r="AQ85" s="1028">
        <f>+(PSUT_2012!V45)</f>
        <v>0</v>
      </c>
      <c r="AR85" s="1028">
        <f>+(PSUT_2012!W45)</f>
        <v>12392838.073680619</v>
      </c>
      <c r="AS85" s="1028">
        <f>+(PSUT_2012!X45)</f>
        <v>133714.89643956049</v>
      </c>
      <c r="AT85" s="1028">
        <f>+(PSUT_2012!AA45)</f>
        <v>12527855.883734873</v>
      </c>
      <c r="AU85" s="1025"/>
    </row>
    <row r="86" spans="1:56" x14ac:dyDescent="0.25">
      <c r="B86" s="1025"/>
      <c r="F86" s="1025"/>
      <c r="M86" s="1025"/>
      <c r="N86" s="1025"/>
      <c r="W86" s="1025"/>
      <c r="X86" s="1025"/>
      <c r="Y86" s="1025"/>
      <c r="Z86" s="1025"/>
      <c r="AD86" s="1025"/>
      <c r="AF86" s="1025"/>
      <c r="AG86" s="1025"/>
      <c r="AH86" s="1025"/>
      <c r="AI86" s="1025"/>
      <c r="AJ86" s="1025"/>
      <c r="AK86" s="1025"/>
      <c r="AL86" s="1025"/>
      <c r="AM86" s="1025"/>
      <c r="AN86" s="1025"/>
      <c r="AO86" s="1025"/>
      <c r="AP86" s="1025"/>
      <c r="AQ86" s="1025"/>
      <c r="AR86" s="1025"/>
      <c r="AS86" s="1025"/>
      <c r="AU86" s="1025"/>
    </row>
    <row r="88" spans="1:56" ht="150" x14ac:dyDescent="0.25">
      <c r="A88" s="1203"/>
      <c r="B88" s="1191" t="s">
        <v>1405</v>
      </c>
      <c r="C88" s="1191" t="s">
        <v>1050</v>
      </c>
      <c r="D88" s="1229" t="str">
        <f>PSUT_2013!AA3</f>
        <v xml:space="preserve">Total </v>
      </c>
      <c r="E88" s="1191"/>
      <c r="F88" s="1229" t="str">
        <f>PSUT_2013!C4</f>
        <v xml:space="preserve">A. Agriculture, forestry and fishing </v>
      </c>
      <c r="G88" s="1191"/>
      <c r="H88" s="1191"/>
      <c r="I88" s="1191"/>
      <c r="J88" s="1191"/>
      <c r="K88" s="1191"/>
      <c r="L88" s="1191"/>
      <c r="M88" s="1229" t="str">
        <f>PSUT_2013!D4</f>
        <v xml:space="preserve">B. Mining and Quarrying </v>
      </c>
      <c r="N88" s="1229" t="str">
        <f>PSUT_2013!E4</f>
        <v>C. Manufacturing</v>
      </c>
      <c r="O88" s="1191"/>
      <c r="P88" s="1191"/>
      <c r="Q88" s="1191"/>
      <c r="R88" s="1191"/>
      <c r="S88" s="1191"/>
      <c r="T88" s="1191"/>
      <c r="U88" s="1191"/>
      <c r="V88" s="1191"/>
      <c r="W88" s="1229" t="str">
        <f>PSUT_2013!F4</f>
        <v>D. Electricity, gas, steam and air conditioning supply</v>
      </c>
      <c r="X88" s="1229" t="str">
        <f>PSUT_2013!G4</f>
        <v>E. Water supply (WASAC &amp; AquaVirunga)</v>
      </c>
      <c r="Y88" s="1229" t="str">
        <f>PSUT_2013!H4</f>
        <v>F. Construction</v>
      </c>
      <c r="Z88" s="1229" t="str">
        <f>PSUT_2013!I4</f>
        <v>G. Wholesale and retail trade; repair of motor vehicles and motorcycles</v>
      </c>
      <c r="AA88" s="1191"/>
      <c r="AB88" s="1191"/>
      <c r="AC88" s="1191"/>
      <c r="AD88" s="1229" t="str">
        <f>PSUT_2013!J4</f>
        <v>H. Transportation and storage</v>
      </c>
      <c r="AE88" s="1191"/>
      <c r="AF88" s="1229" t="str">
        <f>PSUT_2013!K4</f>
        <v>I. Accommodation and food service activities</v>
      </c>
      <c r="AG88" s="1229" t="str">
        <f>PSUT_2013!L4</f>
        <v>J. Information and communication</v>
      </c>
      <c r="AH88" s="1229" t="str">
        <f>PSUT_2013!M4</f>
        <v>K. Banking and insurance activities</v>
      </c>
      <c r="AI88" s="1229" t="str">
        <f>PSUT_2013!N4</f>
        <v>L. Real estate activities</v>
      </c>
      <c r="AJ88" s="1229" t="str">
        <f>PSUT_2013!O4</f>
        <v>M. Professional, scientific and technical activities</v>
      </c>
      <c r="AK88" s="1229" t="str">
        <f>PSUT_2013!P4</f>
        <v>N. Administrative and support service activities</v>
      </c>
      <c r="AL88" s="1229" t="str">
        <f>PSUT_2013!Q4</f>
        <v>O. Public administration and defence; compulsory social security</v>
      </c>
      <c r="AM88" s="1229" t="str">
        <f>PSUT_2013!R4</f>
        <v>P. Education</v>
      </c>
      <c r="AN88" s="1229" t="str">
        <f>PSUT_2013!S4</f>
        <v xml:space="preserve">Q. Human health and social work activities </v>
      </c>
      <c r="AO88" s="1229" t="str">
        <f>PSUT_2013!T4</f>
        <v>R. Arts, entertainment and recreation</v>
      </c>
      <c r="AP88" s="1229" t="str">
        <f>PSUT_2013!U4</f>
        <v>S. Other service activities (Religious &amp; Burial)</v>
      </c>
      <c r="AQ88" s="1229" t="str">
        <f>PSUT_2013!V4</f>
        <v>T. Activities of households as employers; undifferentiated goods- and services-producing activities of households for own use</v>
      </c>
      <c r="AR88" s="1229" t="str">
        <f>PSUT_2013!W3</f>
        <v xml:space="preserve">Total Production activities </v>
      </c>
      <c r="AS88" s="1229" t="str">
        <f>PSUT_2013!X4</f>
        <v>Households</v>
      </c>
      <c r="AT88" s="1229" t="str">
        <f>PSUT_2013!AA3</f>
        <v xml:space="preserve">Total </v>
      </c>
      <c r="AU88" s="584"/>
      <c r="AW88" s="584"/>
      <c r="AX88" s="584"/>
      <c r="AY88" s="584"/>
      <c r="AZ88" s="584"/>
      <c r="BA88" s="584"/>
      <c r="BB88" s="584"/>
      <c r="BC88" s="584"/>
      <c r="BD88" s="584"/>
    </row>
    <row r="89" spans="1:56" x14ac:dyDescent="0.25">
      <c r="A89" s="1803" t="str">
        <f>+(PSUT_2013!A6)</f>
        <v>From the environment</v>
      </c>
      <c r="B89" s="1198" t="str">
        <f>+(PSUT_2013!B9)</f>
        <v>1 - Total abstraction (1.i+1.ii)</v>
      </c>
      <c r="D89" s="1025">
        <f>+(PSUT_2013!AA9)</f>
        <v>13496753.260582799</v>
      </c>
      <c r="F89" s="1025">
        <f>+(PSUT_2013!C9)</f>
        <v>13010018.946100427</v>
      </c>
      <c r="H89" s="1024"/>
      <c r="I89" s="1024"/>
      <c r="J89" s="1024"/>
      <c r="K89" s="1024"/>
      <c r="L89" s="1024"/>
      <c r="M89" s="1025">
        <f>+(PSUT_2013!D9)</f>
        <v>22410.000272350058</v>
      </c>
      <c r="N89" s="1025">
        <f>+(PSUT_2013!E9)</f>
        <v>23937.981051793297</v>
      </c>
      <c r="P89" s="1026"/>
      <c r="Q89" s="1026"/>
      <c r="R89" s="1026"/>
      <c r="S89" s="1026"/>
      <c r="T89" s="1026"/>
      <c r="U89" s="1026"/>
      <c r="V89" s="1026"/>
      <c r="W89" s="1025">
        <f>+(PSUT_2013!F9)</f>
        <v>345951.26144545968</v>
      </c>
      <c r="X89" s="1025">
        <f>+(PSUT_2013!G9)</f>
        <v>53068.710693793837</v>
      </c>
      <c r="Y89" s="1025">
        <f>+(PSUT_2013!H9)</f>
        <v>0</v>
      </c>
      <c r="Z89" s="1025">
        <f>+(PSUT_2013!I9)</f>
        <v>0</v>
      </c>
      <c r="AB89" s="1024"/>
      <c r="AC89" s="1024"/>
      <c r="AD89" s="1025">
        <f>+(PSUT_2013!J9)</f>
        <v>0</v>
      </c>
      <c r="AF89" s="1025">
        <f>+(PSUT_2013!K9)</f>
        <v>0</v>
      </c>
      <c r="AG89" s="1025">
        <f>+(PSUT_2013!L9)</f>
        <v>0</v>
      </c>
      <c r="AH89" s="1269">
        <f>+(PSUT_2013!M9)</f>
        <v>0.06</v>
      </c>
      <c r="AI89" s="1025">
        <f>+(PSUT_2013!N9)</f>
        <v>0</v>
      </c>
      <c r="AJ89" s="1025">
        <f>+(PSUT_2013!O9)</f>
        <v>0</v>
      </c>
      <c r="AK89" s="1025">
        <f>+(PSUT_2013!P9)</f>
        <v>0</v>
      </c>
      <c r="AL89" s="1025">
        <f>+(PSUT_2013!Q9)</f>
        <v>0</v>
      </c>
      <c r="AM89" s="1025">
        <f>+(PSUT_2013!R9)</f>
        <v>133.11539999999999</v>
      </c>
      <c r="AN89" s="1025">
        <f>+(PSUT_2013!S9)</f>
        <v>588.7795155737706</v>
      </c>
      <c r="AO89" s="1025">
        <f>+SUM(PSUT_2013!T9:'PSUT_2013'!V9)</f>
        <v>11.709600000000002</v>
      </c>
      <c r="AP89" s="1025">
        <f>+(PSUT_2013!U9)</f>
        <v>11.709600000000002</v>
      </c>
      <c r="AQ89" s="1025">
        <f>+(PSUT_2013!V9)</f>
        <v>0</v>
      </c>
      <c r="AR89" s="1025">
        <f>+(PSUT_2013!W9)</f>
        <v>13456120.564079396</v>
      </c>
      <c r="AS89" s="1025">
        <f>+(PSUT_2013!X9)</f>
        <v>40632.696503402331</v>
      </c>
      <c r="AT89" s="1025">
        <f>+(PSUT_2013!AA9)</f>
        <v>13496753.260582799</v>
      </c>
      <c r="AU89" s="1025"/>
      <c r="AW89" s="584"/>
      <c r="AX89" s="584"/>
      <c r="AY89" s="584"/>
      <c r="AZ89" s="584"/>
      <c r="BA89" s="584"/>
      <c r="BB89" s="584"/>
      <c r="BC89" s="584"/>
      <c r="BD89" s="584"/>
    </row>
    <row r="90" spans="1:56" x14ac:dyDescent="0.25">
      <c r="A90" s="1803"/>
      <c r="B90" s="1198" t="str">
        <f>+B91 &amp; " &amp; "&amp; B92</f>
        <v>1.i.1 Surface water &amp; 1.i.2 Groundwater</v>
      </c>
      <c r="D90" s="1025">
        <f>+SUM(PSUT_2013!AA11,PSUT_2013!AA16)</f>
        <v>673323.53595450707</v>
      </c>
      <c r="F90" s="1025">
        <f>+SUM(PSUT_2013!C11,PSUT_2013!C16)</f>
        <v>209034.90617213416</v>
      </c>
      <c r="H90" s="1024"/>
      <c r="I90" s="1024"/>
      <c r="J90" s="1024"/>
      <c r="K90" s="1024"/>
      <c r="L90" s="1024"/>
      <c r="M90" s="1025">
        <f>+SUM(PSUT_2013!D11,PSUT_2013!D16)</f>
        <v>1050.2002723500577</v>
      </c>
      <c r="N90" s="1025">
        <f>+SUM(PSUT_2013!E11,PSUT_2013!E16)</f>
        <v>23909.781051793296</v>
      </c>
      <c r="P90" s="1026"/>
      <c r="Q90" s="1026"/>
      <c r="R90" s="1026"/>
      <c r="S90" s="1026"/>
      <c r="T90" s="1026"/>
      <c r="U90" s="1026"/>
      <c r="V90" s="1026"/>
      <c r="W90" s="1025">
        <f>+SUM(PSUT_2013!F11,PSUT_2013!F16)</f>
        <v>345951.26144545968</v>
      </c>
      <c r="X90" s="1025">
        <f>+SUM(PSUT_2013!G11,PSUT_2013!G16)</f>
        <v>53068.710693793837</v>
      </c>
      <c r="Y90" s="1025">
        <f>+SUM(PSUT_2013!H11,PSUT_2013!H16)</f>
        <v>0</v>
      </c>
      <c r="Z90" s="1025">
        <f>+SUM(PSUT_2013!I11,PSUT_2013!I16)</f>
        <v>0</v>
      </c>
      <c r="AB90" s="1024"/>
      <c r="AC90" s="1024"/>
      <c r="AD90" s="1025">
        <f>+SUM(PSUT_2013!J11,PSUT_2013!J16)</f>
        <v>0</v>
      </c>
      <c r="AF90" s="1025">
        <f>+SUM(PSUT_2013!K11,PSUT_2013!K16)</f>
        <v>0</v>
      </c>
      <c r="AG90" s="1025">
        <f>+SUM(PSUT_2013!L11,PSUT_2013!L16)</f>
        <v>0</v>
      </c>
      <c r="AH90" s="1269">
        <f>+SUM(PSUT_2013!M11,PSUT_2013!M16)</f>
        <v>0</v>
      </c>
      <c r="AI90" s="1025">
        <f>+SUM(PSUT_2013!N11,PSUT_2013!N16)</f>
        <v>0</v>
      </c>
      <c r="AJ90" s="1025">
        <f>+SUM(PSUT_2013!O11,PSUT_2013!O16)</f>
        <v>0</v>
      </c>
      <c r="AK90" s="1025">
        <f>+SUM(PSUT_2013!P11,PSUT_2013!P16)</f>
        <v>0</v>
      </c>
      <c r="AL90" s="1025">
        <f>+SUM(PSUT_2013!Q11,PSUT_2013!Q16)</f>
        <v>0</v>
      </c>
      <c r="AM90" s="1025">
        <f>+SUM(PSUT_2013!R11,PSUT_2013!R16)</f>
        <v>133.11539999999999</v>
      </c>
      <c r="AN90" s="1025">
        <f>+SUM(PSUT_2013!S11,PSUT_2013!S16)</f>
        <v>90.790815573770487</v>
      </c>
      <c r="AO90" s="1025">
        <f>+SUM(PSUT_2013!T11,PSUT_2013!T16)</f>
        <v>0</v>
      </c>
      <c r="AP90" s="1025">
        <f>+SUM(PSUT_2013!U11,PSUT_2013!U16)</f>
        <v>2.0736000000000003</v>
      </c>
      <c r="AQ90" s="1025">
        <f>+SUM(PSUT_2013!V11,PSUT_2013!V16)</f>
        <v>0</v>
      </c>
      <c r="AR90" s="1025">
        <f>+SUM(PSUT_2013!W11,PSUT_2013!W16)</f>
        <v>633240.83945110487</v>
      </c>
      <c r="AS90" s="1025">
        <f>+SUM(PSUT_2013!X11,PSUT_2013!X16)</f>
        <v>40082.696503402331</v>
      </c>
      <c r="AT90" s="1025">
        <f>+SUM(PSUT_2013!AA11,PSUT_2013!AA16)</f>
        <v>673323.53595450707</v>
      </c>
      <c r="AU90" s="1025"/>
      <c r="AW90" s="584"/>
      <c r="AX90" s="584"/>
      <c r="AY90" s="584"/>
      <c r="AZ90" s="584"/>
      <c r="BA90" s="584"/>
      <c r="BB90" s="584"/>
      <c r="BC90" s="584"/>
      <c r="BD90" s="584"/>
    </row>
    <row r="91" spans="1:56" x14ac:dyDescent="0.25">
      <c r="A91" s="1803"/>
      <c r="B91" s="1198" t="str">
        <f>+(PSUT_2013!B11)</f>
        <v>1.i.1 Surface water</v>
      </c>
      <c r="D91" s="1025">
        <f>+(PSUT_2013!AA11)</f>
        <v>609449.27943779924</v>
      </c>
      <c r="E91" s="578"/>
      <c r="F91" s="1025">
        <f>+(PSUT_2013!C11)</f>
        <v>195157.23901430785</v>
      </c>
      <c r="H91" s="1024"/>
      <c r="I91" s="1024"/>
      <c r="J91" s="1024"/>
      <c r="K91" s="1024"/>
      <c r="L91" s="1024"/>
      <c r="M91" s="1025">
        <f>+(PSUT_2013!D11)</f>
        <v>986.41214235005782</v>
      </c>
      <c r="N91" s="1025">
        <f>+(PSUT_2013!E11)</f>
        <v>15026.920891167292</v>
      </c>
      <c r="P91" s="1026"/>
      <c r="Q91" s="1026"/>
      <c r="R91" s="1026"/>
      <c r="S91" s="1026"/>
      <c r="T91" s="1026"/>
      <c r="U91" s="1026"/>
      <c r="V91" s="1026"/>
      <c r="W91" s="1025">
        <f>+(PSUT_2013!F11)</f>
        <v>345951.26144545968</v>
      </c>
      <c r="X91" s="1025">
        <f>+(PSUT_2013!G11)</f>
        <v>41023.930895441081</v>
      </c>
      <c r="Y91" s="1025">
        <f>+(PSUT_2013!H11)</f>
        <v>0</v>
      </c>
      <c r="Z91" s="1025">
        <f>+(PSUT_2013!I11)</f>
        <v>0</v>
      </c>
      <c r="AB91" s="1024"/>
      <c r="AC91" s="1024"/>
      <c r="AD91" s="1025">
        <f>+(PSUT_2013!J11)</f>
        <v>0</v>
      </c>
      <c r="AF91" s="1025">
        <f>+(PSUT_2013!K11)</f>
        <v>0</v>
      </c>
      <c r="AG91" s="1025">
        <f>+(PSUT_2013!L11)</f>
        <v>0</v>
      </c>
      <c r="AH91" s="1269">
        <f>+(PSUT_2013!M11)</f>
        <v>0</v>
      </c>
      <c r="AI91" s="1025">
        <f>+(PSUT_2013!N11)</f>
        <v>0</v>
      </c>
      <c r="AJ91" s="1025">
        <f>+(PSUT_2013!O11)</f>
        <v>0</v>
      </c>
      <c r="AK91" s="1025">
        <f>+(PSUT_2013!P11)</f>
        <v>0</v>
      </c>
      <c r="AL91" s="1025">
        <f>+(PSUT_2013!Q11)</f>
        <v>0</v>
      </c>
      <c r="AM91" s="1025">
        <f>+(PSUT_2013!R11)</f>
        <v>0</v>
      </c>
      <c r="AN91" s="1025">
        <f>+(PSUT_2013!S11)</f>
        <v>0</v>
      </c>
      <c r="AO91" s="1025">
        <f>+SUM(PSUT_2013!T11:'PSUT_2013'!V11)</f>
        <v>2.0736000000000003</v>
      </c>
      <c r="AP91" s="1025">
        <f>+(PSUT_2013!U11)</f>
        <v>2.0736000000000003</v>
      </c>
      <c r="AQ91" s="1025">
        <f>+(PSUT_2013!V11)</f>
        <v>0</v>
      </c>
      <c r="AR91" s="1025">
        <f>+(PSUT_2013!W11)</f>
        <v>598147.83798872598</v>
      </c>
      <c r="AS91" s="1025">
        <f>+(PSUT_2013!X11)</f>
        <v>11301.441449073298</v>
      </c>
      <c r="AT91" s="1025">
        <f>+(PSUT_2013!AA11)</f>
        <v>609449.27943779924</v>
      </c>
      <c r="AU91" s="1025"/>
      <c r="AW91" s="584"/>
      <c r="AX91" s="584"/>
      <c r="AY91" s="584"/>
      <c r="AZ91" s="584"/>
      <c r="BA91" s="584"/>
      <c r="BB91" s="584"/>
      <c r="BC91" s="584"/>
      <c r="BD91" s="584"/>
    </row>
    <row r="92" spans="1:56" x14ac:dyDescent="0.25">
      <c r="A92" s="1803"/>
      <c r="B92" s="1198" t="str">
        <f>+(PSUT_2013!B16)</f>
        <v>1.i.2 Groundwater</v>
      </c>
      <c r="D92" s="1025">
        <f>+(PSUT_2013!AA16)</f>
        <v>63874.256516707879</v>
      </c>
      <c r="E92" s="1024"/>
      <c r="F92" s="1025">
        <f>+(PSUT_2013!C16)</f>
        <v>13877.667157826309</v>
      </c>
      <c r="H92" s="1024"/>
      <c r="I92" s="1024"/>
      <c r="J92" s="1024"/>
      <c r="K92" s="1024"/>
      <c r="L92" s="1024"/>
      <c r="M92" s="1025">
        <f>+(PSUT_2013!D16)</f>
        <v>63.788130000000002</v>
      </c>
      <c r="N92" s="1025">
        <f>+(PSUT_2013!E16)</f>
        <v>8882.8601606260054</v>
      </c>
      <c r="P92" s="1024"/>
      <c r="Q92" s="1024"/>
      <c r="R92" s="1024"/>
      <c r="S92" s="1024"/>
      <c r="T92" s="1024"/>
      <c r="U92" s="1024"/>
      <c r="V92" s="1024"/>
      <c r="W92" s="1025">
        <f>+(PSUT_2013!F16)</f>
        <v>0</v>
      </c>
      <c r="X92" s="1025">
        <f>+(PSUT_2013!G16)</f>
        <v>12044.779798352758</v>
      </c>
      <c r="Y92" s="1025">
        <f>+(PSUT_2013!H16)</f>
        <v>0</v>
      </c>
      <c r="Z92" s="1025">
        <f>+(PSUT_2013!I16)</f>
        <v>0</v>
      </c>
      <c r="AB92" s="1024"/>
      <c r="AC92" s="1024"/>
      <c r="AD92" s="1025">
        <f>+(PSUT_2013!J16)</f>
        <v>0</v>
      </c>
      <c r="AF92" s="1025">
        <f>+(PSUT_2013!K16)</f>
        <v>0</v>
      </c>
      <c r="AG92" s="1025">
        <f>+(PSUT_2013!L16)</f>
        <v>0</v>
      </c>
      <c r="AH92" s="1269">
        <f>+(PSUT_2013!M16)</f>
        <v>0</v>
      </c>
      <c r="AI92" s="1025">
        <f>+(PSUT_2013!N16)</f>
        <v>0</v>
      </c>
      <c r="AJ92" s="1025">
        <f>+(PSUT_2013!O16)</f>
        <v>0</v>
      </c>
      <c r="AK92" s="1025">
        <f>+(PSUT_2013!P16)</f>
        <v>0</v>
      </c>
      <c r="AL92" s="1025">
        <f>+(PSUT_2013!Q16)</f>
        <v>0</v>
      </c>
      <c r="AM92" s="1025">
        <f>+(PSUT_2013!R16)</f>
        <v>133.11539999999999</v>
      </c>
      <c r="AN92" s="1025">
        <f>+(PSUT_2013!S16)</f>
        <v>90.790815573770487</v>
      </c>
      <c r="AO92" s="1025">
        <f>+SUM(PSUT_2013!T16:'PSUT_2013'!V16)</f>
        <v>0</v>
      </c>
      <c r="AP92" s="1025">
        <f>+(PSUT_2013!U16)</f>
        <v>0</v>
      </c>
      <c r="AQ92" s="1025">
        <f>+(PSUT_2013!V16)</f>
        <v>0</v>
      </c>
      <c r="AR92" s="1025">
        <f>+(PSUT_2013!W16)</f>
        <v>35093.001462378845</v>
      </c>
      <c r="AS92" s="1025">
        <f>+(PSUT_2013!X16)</f>
        <v>28781.255054329034</v>
      </c>
      <c r="AT92" s="1025">
        <f>+(PSUT_2013!AA16)</f>
        <v>63874.256516707879</v>
      </c>
      <c r="AU92" s="1025"/>
    </row>
    <row r="93" spans="1:56" x14ac:dyDescent="0.25">
      <c r="A93" s="1803"/>
      <c r="B93" s="1198" t="str">
        <f>+(PSUT_2013!B19)</f>
        <v>1.i.3 Soil water (green water)</v>
      </c>
      <c r="D93" s="1025">
        <f>+(PSUT_2013!AA19)</f>
        <v>12800177.039928293</v>
      </c>
      <c r="E93" s="1024"/>
      <c r="F93" s="1025">
        <f>+(PSUT_2013!C19)</f>
        <v>12800177.039928293</v>
      </c>
      <c r="H93" s="1024"/>
      <c r="I93" s="1024"/>
      <c r="J93" s="1024"/>
      <c r="K93" s="1024"/>
      <c r="L93" s="1024"/>
      <c r="M93" s="1025">
        <f>+(PSUT_2013!D19)</f>
        <v>0</v>
      </c>
      <c r="N93" s="1025">
        <f>+(PSUT_2013!E19)</f>
        <v>0</v>
      </c>
      <c r="P93" s="1024"/>
      <c r="Q93" s="1024"/>
      <c r="R93" s="1024"/>
      <c r="S93" s="1024"/>
      <c r="T93" s="1024"/>
      <c r="U93" s="1024"/>
      <c r="V93" s="1024"/>
      <c r="W93" s="1025">
        <f>+(PSUT_2013!F19)</f>
        <v>0</v>
      </c>
      <c r="X93" s="1025">
        <f>+(PSUT_2013!G19)</f>
        <v>0</v>
      </c>
      <c r="Y93" s="1025">
        <f>+(PSUT_2013!H19)</f>
        <v>0</v>
      </c>
      <c r="Z93" s="1025">
        <f>+(PSUT_2013!I19)</f>
        <v>0</v>
      </c>
      <c r="AB93" s="1024"/>
      <c r="AC93" s="1024"/>
      <c r="AD93" s="1025">
        <f>+(PSUT_2013!J19)</f>
        <v>0</v>
      </c>
      <c r="AF93" s="1025">
        <f>+(PSUT_2013!K19)</f>
        <v>0</v>
      </c>
      <c r="AG93" s="1025">
        <f>+(PSUT_2013!L19)</f>
        <v>0</v>
      </c>
      <c r="AH93" s="1269">
        <f>+(PSUT_2013!M19)</f>
        <v>0</v>
      </c>
      <c r="AI93" s="1025">
        <f>+(PSUT_2013!N19)</f>
        <v>0</v>
      </c>
      <c r="AJ93" s="1025">
        <f>+(PSUT_2013!O19)</f>
        <v>0</v>
      </c>
      <c r="AK93" s="1025">
        <f>+(PSUT_2013!P19)</f>
        <v>0</v>
      </c>
      <c r="AL93" s="1025">
        <f>+(PSUT_2013!Q19)</f>
        <v>0</v>
      </c>
      <c r="AM93" s="1025">
        <f>+(PSUT_2013!R19)</f>
        <v>0</v>
      </c>
      <c r="AN93" s="1025">
        <f>+(PSUT_2013!S19)</f>
        <v>0</v>
      </c>
      <c r="AO93" s="1025">
        <f>+SUM(PSUT_2013!T19:'PSUT_2013'!V19)</f>
        <v>0</v>
      </c>
      <c r="AP93" s="1025">
        <f>+(PSUT_2013!U19)</f>
        <v>0</v>
      </c>
      <c r="AQ93" s="1025">
        <f>+(PSUT_2013!V19)</f>
        <v>0</v>
      </c>
      <c r="AR93" s="1025">
        <f>+(PSUT_2013!W19)</f>
        <v>12800177.039928293</v>
      </c>
      <c r="AS93" s="1025">
        <f>+(PSUT_2013!X19)</f>
        <v>0</v>
      </c>
      <c r="AT93" s="1025">
        <f>+(PSUT_2013!AA19)</f>
        <v>12800177.039928293</v>
      </c>
      <c r="AU93" s="1025"/>
    </row>
    <row r="94" spans="1:56" x14ac:dyDescent="0.25">
      <c r="A94" s="1803"/>
      <c r="B94" s="1198" t="str">
        <f>+(PSUT_2013!B20)</f>
        <v xml:space="preserve">1.ii From other sources </v>
      </c>
      <c r="D94" s="1025">
        <f>+(PSUT_2013!AA20)</f>
        <v>23252.684700000002</v>
      </c>
      <c r="E94" s="1024"/>
      <c r="F94" s="1025">
        <f>+(PSUT_2013!C20)</f>
        <v>807</v>
      </c>
      <c r="H94" s="1024"/>
      <c r="I94" s="1024"/>
      <c r="J94" s="1024"/>
      <c r="K94" s="1024"/>
      <c r="L94" s="1024"/>
      <c r="M94" s="1025">
        <f>+(PSUT_2013!D20)</f>
        <v>21359.8</v>
      </c>
      <c r="N94" s="1025">
        <f>+(PSUT_2013!E20)</f>
        <v>28.2</v>
      </c>
      <c r="P94" s="1024"/>
      <c r="Q94" s="1024"/>
      <c r="R94" s="1024"/>
      <c r="S94" s="1024"/>
      <c r="T94" s="1024"/>
      <c r="U94" s="1024"/>
      <c r="V94" s="1024"/>
      <c r="W94" s="1025">
        <f>+(PSUT_2013!F20)</f>
        <v>0</v>
      </c>
      <c r="X94" s="1025">
        <f>+(PSUT_2013!G20)</f>
        <v>0</v>
      </c>
      <c r="Y94" s="1025">
        <f>+(PSUT_2013!H20)</f>
        <v>0</v>
      </c>
      <c r="Z94" s="1025">
        <f>+(PSUT_2013!I20)</f>
        <v>0</v>
      </c>
      <c r="AB94" s="1024"/>
      <c r="AC94" s="1024"/>
      <c r="AD94" s="1025">
        <f>+(PSUT_2013!J20)</f>
        <v>0</v>
      </c>
      <c r="AF94" s="1025">
        <f>+(PSUT_2013!K20)</f>
        <v>0</v>
      </c>
      <c r="AG94" s="1025">
        <f>+(PSUT_2013!L20)</f>
        <v>0</v>
      </c>
      <c r="AH94" s="1269">
        <f>+(PSUT_2013!M20)</f>
        <v>0.06</v>
      </c>
      <c r="AI94" s="1025">
        <f>+(PSUT_2013!N20)</f>
        <v>0</v>
      </c>
      <c r="AJ94" s="1025">
        <f>+(PSUT_2013!O20)</f>
        <v>0</v>
      </c>
      <c r="AK94" s="1025">
        <f>+(PSUT_2013!P20)</f>
        <v>0</v>
      </c>
      <c r="AL94" s="1025">
        <f>+(PSUT_2013!Q20)</f>
        <v>0</v>
      </c>
      <c r="AM94" s="1025">
        <f>+(PSUT_2013!R20)</f>
        <v>0</v>
      </c>
      <c r="AN94" s="1025">
        <f>+(PSUT_2013!S20)</f>
        <v>497.98870000000005</v>
      </c>
      <c r="AO94" s="1025">
        <f>+SUM(PSUT_2013!T20:'PSUT_2013'!V20)</f>
        <v>9.636000000000001</v>
      </c>
      <c r="AP94" s="1025">
        <f>+(PSUT_2013!U20)</f>
        <v>9.636000000000001</v>
      </c>
      <c r="AQ94" s="1025">
        <f>+(PSUT_2013!V20)</f>
        <v>0</v>
      </c>
      <c r="AR94" s="1025">
        <f>+(PSUT_2013!W20)</f>
        <v>22702.684700000002</v>
      </c>
      <c r="AS94" s="1025">
        <f>+(PSUT_2013!X20)</f>
        <v>550</v>
      </c>
      <c r="AT94" s="1025">
        <f>+(PSUT_2013!AA20)</f>
        <v>23252.684700000002</v>
      </c>
      <c r="AU94" s="1025"/>
    </row>
    <row r="95" spans="1:56" x14ac:dyDescent="0.25">
      <c r="A95" s="1803"/>
      <c r="B95" s="1198" t="str">
        <f>+(PSUT_2013!B21)</f>
        <v>1.ii.1 Collection of precipitation (rainwater harvesting; ..)</v>
      </c>
      <c r="D95" s="1025">
        <f>+(PSUT_2013!AA21)</f>
        <v>23252.684700000002</v>
      </c>
      <c r="E95" s="1024"/>
      <c r="F95" s="1025">
        <f>+(PSUT_2013!C21)</f>
        <v>807</v>
      </c>
      <c r="H95" s="1024"/>
      <c r="I95" s="1024"/>
      <c r="J95" s="1024"/>
      <c r="K95" s="1024"/>
      <c r="L95" s="1024"/>
      <c r="M95" s="1025">
        <f>+(PSUT_2013!D21)</f>
        <v>21359.8</v>
      </c>
      <c r="N95" s="1025">
        <f>+(PSUT_2013!E21)</f>
        <v>28.2</v>
      </c>
      <c r="P95" s="1024"/>
      <c r="Q95" s="1024"/>
      <c r="R95" s="1024"/>
      <c r="S95" s="1024"/>
      <c r="T95" s="1024"/>
      <c r="U95" s="1024"/>
      <c r="V95" s="1024"/>
      <c r="W95" s="1025">
        <f>+(PSUT_2013!F21)</f>
        <v>0</v>
      </c>
      <c r="X95" s="1025">
        <f>+(PSUT_2013!G21)</f>
        <v>0</v>
      </c>
      <c r="Y95" s="1025">
        <f>+(PSUT_2013!H21)</f>
        <v>0</v>
      </c>
      <c r="Z95" s="1025">
        <f>+(PSUT_2013!I21)</f>
        <v>0</v>
      </c>
      <c r="AB95" s="1024"/>
      <c r="AC95" s="1024"/>
      <c r="AD95" s="1025">
        <f>+(PSUT_2013!J21)</f>
        <v>0</v>
      </c>
      <c r="AF95" s="1025">
        <f>+(PSUT_2013!K21)</f>
        <v>0</v>
      </c>
      <c r="AG95" s="1025">
        <f>+(PSUT_2013!L21)</f>
        <v>0</v>
      </c>
      <c r="AH95" s="1269">
        <f>+(PSUT_2013!M21)</f>
        <v>0.06</v>
      </c>
      <c r="AI95" s="1025">
        <f>+(PSUT_2013!N21)</f>
        <v>0</v>
      </c>
      <c r="AJ95" s="1025">
        <f>+(PSUT_2013!O21)</f>
        <v>0</v>
      </c>
      <c r="AK95" s="1025">
        <f>+(PSUT_2013!P21)</f>
        <v>0</v>
      </c>
      <c r="AL95" s="1025">
        <f>+(PSUT_2013!Q21)</f>
        <v>0</v>
      </c>
      <c r="AM95" s="1025">
        <f>+(PSUT_2013!R21)</f>
        <v>0</v>
      </c>
      <c r="AN95" s="1025">
        <f>+(PSUT_2013!S21)</f>
        <v>497.98870000000005</v>
      </c>
      <c r="AO95" s="1025">
        <f>+SUM(PSUT_2013!T21:'PSUT_2013'!V21)</f>
        <v>9.636000000000001</v>
      </c>
      <c r="AP95" s="1025">
        <f>+(PSUT_2013!U21)</f>
        <v>9.636000000000001</v>
      </c>
      <c r="AQ95" s="1025">
        <f>+(PSUT_2013!V21)</f>
        <v>0</v>
      </c>
      <c r="AR95" s="1025">
        <f>+(PSUT_2013!W21)</f>
        <v>22702.684700000002</v>
      </c>
      <c r="AS95" s="1025">
        <f>+(PSUT_2013!X21)</f>
        <v>550</v>
      </c>
      <c r="AT95" s="1025">
        <f>+(PSUT_2013!AA21)</f>
        <v>23252.684700000002</v>
      </c>
      <c r="AU95" s="1025"/>
    </row>
    <row r="96" spans="1:56" x14ac:dyDescent="0.25">
      <c r="A96" s="1204"/>
      <c r="B96" s="1198" t="str">
        <f>+(PSUT_2013!B22)</f>
        <v>1.ii.2 Abstraction from the sea</v>
      </c>
      <c r="D96" s="1025">
        <f>+(PSUT_2013!AA22)</f>
        <v>0</v>
      </c>
      <c r="E96" s="1024"/>
      <c r="F96" s="1025">
        <f>+(PSUT_2013!C22)</f>
        <v>0</v>
      </c>
      <c r="H96" s="1024"/>
      <c r="I96" s="1024"/>
      <c r="J96" s="1024"/>
      <c r="K96" s="1024"/>
      <c r="L96" s="1024"/>
      <c r="M96" s="1025">
        <f>+(PSUT_2013!D22)</f>
        <v>0</v>
      </c>
      <c r="N96" s="1025">
        <f>+(PSUT_2013!E22)</f>
        <v>0</v>
      </c>
      <c r="P96" s="1024"/>
      <c r="Q96" s="1024"/>
      <c r="R96" s="1024"/>
      <c r="S96" s="1024"/>
      <c r="T96" s="1024"/>
      <c r="U96" s="1024"/>
      <c r="V96" s="1024"/>
      <c r="W96" s="1025">
        <f>+(PSUT_2013!F22)</f>
        <v>0</v>
      </c>
      <c r="X96" s="1025">
        <f>+(PSUT_2013!G22)</f>
        <v>0</v>
      </c>
      <c r="Y96" s="1025">
        <f>+(PSUT_2013!H22)</f>
        <v>0</v>
      </c>
      <c r="Z96" s="1025">
        <f>+(PSUT_2013!I22)</f>
        <v>0</v>
      </c>
      <c r="AB96" s="1024"/>
      <c r="AC96" s="1024"/>
      <c r="AD96" s="1025">
        <f>+(PSUT_2013!J22)</f>
        <v>0</v>
      </c>
      <c r="AF96" s="1025">
        <f>+(PSUT_2013!K22)</f>
        <v>0</v>
      </c>
      <c r="AG96" s="1025">
        <f>+(PSUT_2013!L22)</f>
        <v>0</v>
      </c>
      <c r="AH96" s="1269">
        <f>+(PSUT_2013!M22)</f>
        <v>0</v>
      </c>
      <c r="AI96" s="1025">
        <f>+(PSUT_2013!N22)</f>
        <v>0</v>
      </c>
      <c r="AJ96" s="1025">
        <f>+(PSUT_2013!O22)</f>
        <v>0</v>
      </c>
      <c r="AK96" s="1025">
        <f>+(PSUT_2013!P22)</f>
        <v>0</v>
      </c>
      <c r="AL96" s="1025">
        <f>+(PSUT_2013!Q22)</f>
        <v>0</v>
      </c>
      <c r="AM96" s="1025">
        <f>+(PSUT_2013!R22)</f>
        <v>0</v>
      </c>
      <c r="AN96" s="1025">
        <f>+(PSUT_2013!S22)</f>
        <v>0</v>
      </c>
      <c r="AO96" s="1025">
        <f>+SUM(PSUT_2013!T22:'PSUT_2013'!V22)</f>
        <v>0</v>
      </c>
      <c r="AP96" s="1025">
        <f>+(PSUT_2013!U22)</f>
        <v>0</v>
      </c>
      <c r="AQ96" s="1025">
        <f>+(PSUT_2013!V22)</f>
        <v>0</v>
      </c>
      <c r="AR96" s="1025">
        <f>+(PSUT_2013!W22)</f>
        <v>0</v>
      </c>
      <c r="AS96" s="1025">
        <f>+(PSUT_2013!X22)</f>
        <v>0</v>
      </c>
      <c r="AT96" s="1025">
        <f>+(PSUT_2013!AA22)</f>
        <v>0</v>
      </c>
      <c r="AU96" s="1025"/>
    </row>
    <row r="97" spans="1:56" x14ac:dyDescent="0.25">
      <c r="A97" s="1204"/>
      <c r="B97" s="1198" t="str">
        <f>+(PSUT_2013!B23)</f>
        <v>2. Use of water received from other economic units</v>
      </c>
      <c r="D97" s="1025">
        <f>+(PSUT_2013!AA23)</f>
        <v>1160562.9602874902</v>
      </c>
      <c r="E97" s="1024"/>
      <c r="F97" s="1025">
        <f>+(PSUT_2013!C23)</f>
        <v>90250</v>
      </c>
      <c r="H97" s="1024"/>
      <c r="I97" s="1024"/>
      <c r="J97" s="1024"/>
      <c r="K97" s="1024"/>
      <c r="L97" s="1024"/>
      <c r="M97" s="1025">
        <f>+(PSUT_2013!D23)</f>
        <v>0</v>
      </c>
      <c r="N97" s="1025">
        <f>+(PSUT_2013!E23)</f>
        <v>642763.78523033194</v>
      </c>
      <c r="P97" s="1024"/>
      <c r="Q97" s="1024"/>
      <c r="R97" s="1024"/>
      <c r="S97" s="1024"/>
      <c r="T97" s="1024"/>
      <c r="U97" s="1024"/>
      <c r="V97" s="1024"/>
      <c r="W97" s="1025">
        <f>+(PSUT_2013!F23)</f>
        <v>0</v>
      </c>
      <c r="X97" s="1025">
        <f>+(PSUT_2013!G23)</f>
        <v>0</v>
      </c>
      <c r="Y97" s="1025">
        <f>+(PSUT_2013!H23)</f>
        <v>0</v>
      </c>
      <c r="Z97" s="1025">
        <f>+(PSUT_2013!I23)</f>
        <v>0</v>
      </c>
      <c r="AB97" s="1024"/>
      <c r="AC97" s="1024"/>
      <c r="AD97" s="1025">
        <f>+(PSUT_2013!J23)</f>
        <v>0</v>
      </c>
      <c r="AF97" s="1025">
        <f>+(PSUT_2013!K23)</f>
        <v>16672.61</v>
      </c>
      <c r="AG97" s="1025">
        <f>+(PSUT_2013!L23)</f>
        <v>0</v>
      </c>
      <c r="AH97" s="1269">
        <f>+(PSUT_2013!M23)</f>
        <v>76.030545405347283</v>
      </c>
      <c r="AI97" s="1025">
        <f>+(PSUT_2013!N23)</f>
        <v>0</v>
      </c>
      <c r="AJ97" s="1025">
        <f>+(PSUT_2013!O23)</f>
        <v>0</v>
      </c>
      <c r="AK97" s="1025">
        <f>+(PSUT_2013!P23)</f>
        <v>0</v>
      </c>
      <c r="AL97" s="1025">
        <f>+(PSUT_2013!Q23)</f>
        <v>0</v>
      </c>
      <c r="AM97" s="1025">
        <f>+(PSUT_2013!R23)</f>
        <v>224372.33</v>
      </c>
      <c r="AN97" s="1025">
        <f>+(PSUT_2013!S23)</f>
        <v>3720.9427500000002</v>
      </c>
      <c r="AO97" s="1025">
        <f>+SUM(PSUT_2013!T23:'PSUT_2013'!V23)</f>
        <v>131.69367175295594</v>
      </c>
      <c r="AP97" s="1025">
        <f>+(PSUT_2013!U23)</f>
        <v>131.69367175295594</v>
      </c>
      <c r="AQ97" s="1025">
        <f>+(PSUT_2013!V23)</f>
        <v>0</v>
      </c>
      <c r="AR97" s="1025">
        <f>+(PSUT_2013!W23)</f>
        <v>977987.3921974902</v>
      </c>
      <c r="AS97" s="1025">
        <f>+(PSUT_2013!X23)</f>
        <v>176061</v>
      </c>
      <c r="AT97" s="1025">
        <f>+(PSUT_2013!AA23)</f>
        <v>1160562.9602874902</v>
      </c>
      <c r="AU97" s="1025"/>
    </row>
    <row r="98" spans="1:56" x14ac:dyDescent="0.25">
      <c r="A98" s="1204"/>
      <c r="B98" s="1198" t="str">
        <f>+(PSUT_2013!A24)</f>
        <v>3. Total use of water (=1+2)</v>
      </c>
      <c r="D98" s="1025">
        <f>+(PSUT_2013!AA24)</f>
        <v>14657521.340524765</v>
      </c>
      <c r="E98" s="1024"/>
      <c r="F98" s="1025">
        <f>+(PSUT_2013!C24)</f>
        <v>13100268.946100427</v>
      </c>
      <c r="H98" s="1024"/>
      <c r="I98" s="1024"/>
      <c r="J98" s="1024"/>
      <c r="K98" s="1024"/>
      <c r="L98" s="1024"/>
      <c r="M98" s="1025">
        <f>+(PSUT_2013!D24)</f>
        <v>22410.000272350058</v>
      </c>
      <c r="N98" s="1025">
        <f>+(PSUT_2013!E24)</f>
        <v>666701.76628212526</v>
      </c>
      <c r="P98" s="1024"/>
      <c r="Q98" s="1024"/>
      <c r="R98" s="1024"/>
      <c r="S98" s="1024"/>
      <c r="T98" s="1024"/>
      <c r="U98" s="1024"/>
      <c r="V98" s="1024"/>
      <c r="W98" s="1025">
        <f>+(PSUT_2013!F24)</f>
        <v>345951.26144545968</v>
      </c>
      <c r="X98" s="1025">
        <f>+(PSUT_2013!G24)</f>
        <v>53273.830348271033</v>
      </c>
      <c r="Y98" s="1025">
        <f>+(PSUT_2013!H24)</f>
        <v>0</v>
      </c>
      <c r="Z98" s="1025">
        <f>+(PSUT_2013!I24)</f>
        <v>0</v>
      </c>
      <c r="AB98" s="1024"/>
      <c r="AC98" s="1024"/>
      <c r="AD98" s="1025">
        <f>+(PSUT_2013!J24)</f>
        <v>0</v>
      </c>
      <c r="AF98" s="1025">
        <f>+(PSUT_2013!K24)</f>
        <v>16672.61</v>
      </c>
      <c r="AG98" s="1025">
        <f>+(PSUT_2013!L24)</f>
        <v>0</v>
      </c>
      <c r="AH98" s="1269">
        <f>+(PSUT_2013!M24)</f>
        <v>76.090545405347285</v>
      </c>
      <c r="AI98" s="1025">
        <f>+(PSUT_2013!N24)</f>
        <v>0</v>
      </c>
      <c r="AJ98" s="1025">
        <f>+(PSUT_2013!O24)</f>
        <v>0</v>
      </c>
      <c r="AK98" s="1025">
        <f>+(PSUT_2013!P24)</f>
        <v>0</v>
      </c>
      <c r="AL98" s="1025">
        <f>+(PSUT_2013!Q24)</f>
        <v>0</v>
      </c>
      <c r="AM98" s="1025">
        <f>+(PSUT_2013!R24)</f>
        <v>224505.4454</v>
      </c>
      <c r="AN98" s="1025">
        <f>+(PSUT_2013!S24)</f>
        <v>4309.7222655737705</v>
      </c>
      <c r="AO98" s="1025">
        <f>+SUM(PSUT_2013!T24:'PSUT_2013'!V24)</f>
        <v>143.40327175295593</v>
      </c>
      <c r="AP98" s="1025">
        <f>+(PSUT_2013!U24)</f>
        <v>143.40327175295593</v>
      </c>
      <c r="AQ98" s="1025">
        <f>+(PSUT_2013!V24)</f>
        <v>0</v>
      </c>
      <c r="AR98" s="1025">
        <f>+(PSUT_2013!W24)</f>
        <v>14434313.075931363</v>
      </c>
      <c r="AS98" s="1025">
        <f>+(PSUT_2013!X24)</f>
        <v>216693.69650340232</v>
      </c>
      <c r="AT98" s="1025">
        <f>+(PSUT_2013!AA24)</f>
        <v>14657521.340524765</v>
      </c>
      <c r="AU98" s="1025"/>
    </row>
    <row r="99" spans="1:56" x14ac:dyDescent="0.25">
      <c r="A99" s="1204"/>
      <c r="B99" s="1198" t="str">
        <f>+(PSUT_2013!B35)</f>
        <v>4. Supply of water to other economic units</v>
      </c>
      <c r="D99" s="1025">
        <f>+(PSUT_2013!AA35)</f>
        <v>34783.17016308345</v>
      </c>
      <c r="E99" s="1024"/>
      <c r="F99" s="1025">
        <f>+(PSUT_2013!C35)</f>
        <v>0</v>
      </c>
      <c r="H99" s="1024"/>
      <c r="I99" s="1024"/>
      <c r="J99" s="1024"/>
      <c r="K99" s="1024"/>
      <c r="L99" s="1024"/>
      <c r="M99" s="1025">
        <f>+(PSUT_2013!D35)</f>
        <v>21289.500258732554</v>
      </c>
      <c r="N99" s="1025">
        <f>+(PSUT_2013!E35)</f>
        <v>816.87563283886971</v>
      </c>
      <c r="P99" s="1024"/>
      <c r="Q99" s="1024"/>
      <c r="R99" s="1024"/>
      <c r="S99" s="1024"/>
      <c r="T99" s="1024"/>
      <c r="U99" s="1024"/>
      <c r="V99" s="1024"/>
      <c r="W99" s="1025">
        <f>+(PSUT_2013!F35)</f>
        <v>0</v>
      </c>
      <c r="X99" s="1025">
        <f>+(PSUT_2013!G35)</f>
        <v>0</v>
      </c>
      <c r="Y99" s="1025">
        <f>+(PSUT_2013!H35)</f>
        <v>0</v>
      </c>
      <c r="Z99" s="1025">
        <f>+(PSUT_2013!I35)</f>
        <v>0</v>
      </c>
      <c r="AB99" s="1024"/>
      <c r="AC99" s="1024"/>
      <c r="AD99" s="1025">
        <f>+(PSUT_2013!J35)</f>
        <v>0</v>
      </c>
      <c r="AF99" s="1025">
        <f>+(PSUT_2013!K35)</f>
        <v>12671.183667903779</v>
      </c>
      <c r="AG99" s="1025">
        <f>+(PSUT_2013!L35)</f>
        <v>0</v>
      </c>
      <c r="AH99" s="1269">
        <f>+(PSUT_2013!M35)</f>
        <v>5.6106036082474233</v>
      </c>
      <c r="AI99" s="1025">
        <f>+(PSUT_2013!N35)</f>
        <v>0</v>
      </c>
      <c r="AJ99" s="1025">
        <f>+(PSUT_2013!O35)</f>
        <v>0</v>
      </c>
      <c r="AK99" s="1025">
        <f>+(PSUT_2013!P35)</f>
        <v>0</v>
      </c>
      <c r="AL99" s="1025">
        <f>+(PSUT_2013!Q35)</f>
        <v>0</v>
      </c>
      <c r="AM99" s="1025">
        <f>+(PSUT_2013!R35)</f>
        <v>0</v>
      </c>
      <c r="AN99" s="1025">
        <f>+(PSUT_2013!S35)</f>
        <v>0</v>
      </c>
      <c r="AO99" s="1025">
        <f>+SUM(PSUT_2013!T35:'PSUT_2013'!V35)</f>
        <v>0</v>
      </c>
      <c r="AP99" s="1025">
        <f>+(PSUT_2013!U35)</f>
        <v>0</v>
      </c>
      <c r="AQ99" s="1025">
        <f>+(PSUT_2013!V35)</f>
        <v>0</v>
      </c>
      <c r="AR99" s="1025">
        <f>+(PSUT_2013!W35)</f>
        <v>34783.17016308345</v>
      </c>
      <c r="AS99" s="1025">
        <f>+(PSUT_2013!X35)</f>
        <v>0</v>
      </c>
      <c r="AT99" s="1025">
        <f>+(PSUT_2013!AA35)</f>
        <v>34783.17016308345</v>
      </c>
      <c r="AU99" s="1025"/>
    </row>
    <row r="100" spans="1:56" x14ac:dyDescent="0.25">
      <c r="A100" s="267"/>
      <c r="B100" s="1198" t="str">
        <f>+(PSUT_2013!B38)</f>
        <v>5. Total returns (= 5.a+5.b)</v>
      </c>
      <c r="D100" s="1025">
        <f>+(PSUT_2013!AA38)</f>
        <v>2591609.9678420178</v>
      </c>
      <c r="F100" s="1025">
        <f>+(PSUT_2013!C38)</f>
        <v>1474325.5673850428</v>
      </c>
      <c r="M100" s="1025">
        <f>+(PSUT_2013!D38)</f>
        <v>54.219910499999997</v>
      </c>
      <c r="N100" s="1025">
        <f>+(PSUT_2013!E38)</f>
        <v>514699.26072578493</v>
      </c>
      <c r="W100" s="1025">
        <f>+(PSUT_2013!F38)</f>
        <v>328653.69837318669</v>
      </c>
      <c r="X100" s="1025">
        <f>+(PSUT_2013!G38)</f>
        <v>2570.3302400000002</v>
      </c>
      <c r="Y100" s="1025">
        <f>+(PSUT_2013!H38)</f>
        <v>0</v>
      </c>
      <c r="Z100" s="1025">
        <f>+(PSUT_2013!I38)</f>
        <v>0</v>
      </c>
      <c r="AD100" s="1025">
        <f>+(PSUT_2013!J38)</f>
        <v>0</v>
      </c>
      <c r="AF100" s="1025">
        <f>+(PSUT_2013!K38)</f>
        <v>301.01142363711335</v>
      </c>
      <c r="AG100" s="1025">
        <f>+(PSUT_2013!L38)</f>
        <v>0</v>
      </c>
      <c r="AH100" s="1269">
        <f>+(PSUT_2013!M38)</f>
        <v>56.868619657611163</v>
      </c>
      <c r="AI100" s="1025">
        <f>+(PSUT_2013!N38)</f>
        <v>0</v>
      </c>
      <c r="AJ100" s="1025">
        <f>+(PSUT_2013!O38)</f>
        <v>0</v>
      </c>
      <c r="AK100" s="1025">
        <f>+(PSUT_2013!P38)</f>
        <v>0</v>
      </c>
      <c r="AL100" s="1025">
        <f>+(PSUT_2013!Q38)</f>
        <v>0</v>
      </c>
      <c r="AM100" s="1025">
        <f>+(PSUT_2013!R38)</f>
        <v>179497.86400000003</v>
      </c>
      <c r="AN100" s="1025">
        <f>+(PSUT_2013!S38)</f>
        <v>3447.7778158871602</v>
      </c>
      <c r="AO100" s="1025">
        <f>+SUM(PSUT_2013!T38:'PSUT_2013'!V38)</f>
        <v>10.714873014735879</v>
      </c>
      <c r="AP100" s="1025">
        <f>+(PSUT_2013!U38)</f>
        <v>10.714873014735879</v>
      </c>
      <c r="AQ100" s="1025">
        <f>+(PSUT_2013!V38)</f>
        <v>0</v>
      </c>
      <c r="AR100" s="1025">
        <f>+(PSUT_2013!W38)</f>
        <v>2503617.3133667116</v>
      </c>
      <c r="AS100" s="1025">
        <f>+(PSUT_2013!X38)</f>
        <v>82781</v>
      </c>
      <c r="AT100" s="1025">
        <f>+(PSUT_2013!AA38)</f>
        <v>2591609.9678420178</v>
      </c>
      <c r="AU100" s="1025"/>
    </row>
    <row r="101" spans="1:56" x14ac:dyDescent="0.25">
      <c r="A101" s="267"/>
      <c r="B101" s="1198" t="str">
        <f>+(PSUT_2013!A44)</f>
        <v>6. Total supply of water (= 4+5)</v>
      </c>
      <c r="D101" s="1025">
        <f>+(PSUT_2013!AA44)</f>
        <v>2626393.1380051011</v>
      </c>
      <c r="F101" s="1025">
        <f>+(PSUT_2013!C44)</f>
        <v>1474325.5673850428</v>
      </c>
      <c r="M101" s="1025">
        <f>+(PSUT_2013!D44)</f>
        <v>21343.720169232554</v>
      </c>
      <c r="N101" s="1025">
        <f>+(PSUT_2013!E44)</f>
        <v>515516.1363586238</v>
      </c>
      <c r="W101" s="1025">
        <f>+(PSUT_2013!F44)</f>
        <v>328653.69837318669</v>
      </c>
      <c r="X101" s="1025">
        <f>+(PSUT_2013!G44)</f>
        <v>2570.3302400000002</v>
      </c>
      <c r="Y101" s="1025">
        <f>+(PSUT_2013!H44)</f>
        <v>0</v>
      </c>
      <c r="Z101" s="1025">
        <f>+(PSUT_2013!I44)</f>
        <v>0</v>
      </c>
      <c r="AD101" s="1025">
        <f>+(PSUT_2013!J44)</f>
        <v>0</v>
      </c>
      <c r="AF101" s="1025">
        <f>+(PSUT_2013!K44)</f>
        <v>12972.195091540892</v>
      </c>
      <c r="AG101" s="1025">
        <f>+(PSUT_2013!L44)</f>
        <v>0</v>
      </c>
      <c r="AH101" s="1269">
        <f>+(PSUT_2013!M44)</f>
        <v>62.479223265858586</v>
      </c>
      <c r="AI101" s="1025">
        <f>+(PSUT_2013!N44)</f>
        <v>0</v>
      </c>
      <c r="AJ101" s="1025">
        <f>+(PSUT_2013!O44)</f>
        <v>0</v>
      </c>
      <c r="AK101" s="1025">
        <f>+(PSUT_2013!P44)</f>
        <v>0</v>
      </c>
      <c r="AL101" s="1025">
        <f>+(PSUT_2013!Q44)</f>
        <v>0</v>
      </c>
      <c r="AM101" s="1025">
        <f>+(PSUT_2013!R44)</f>
        <v>179497.86400000003</v>
      </c>
      <c r="AN101" s="1025">
        <f>+(PSUT_2013!S44)</f>
        <v>3447.7778158871602</v>
      </c>
      <c r="AO101" s="1025">
        <f>+SUM(PSUT_2013!T44:'PSUT_2013'!V44)</f>
        <v>10.714873014735879</v>
      </c>
      <c r="AP101" s="1025">
        <f>+(PSUT_2013!U44)</f>
        <v>10.714873014735879</v>
      </c>
      <c r="AQ101" s="1025">
        <f>+(PSUT_2013!V44)</f>
        <v>0</v>
      </c>
      <c r="AR101" s="1025">
        <f>+(PSUT_2013!W44)</f>
        <v>2538400.483529795</v>
      </c>
      <c r="AS101" s="1025">
        <f>+(PSUT_2013!X44)</f>
        <v>82781</v>
      </c>
      <c r="AT101" s="1025">
        <f>+(PSUT_2013!AA44)</f>
        <v>2626393.1380051011</v>
      </c>
      <c r="AU101" s="1025"/>
    </row>
    <row r="102" spans="1:56" x14ac:dyDescent="0.25">
      <c r="A102" s="1199"/>
      <c r="B102" s="1200" t="str">
        <f>+(PSUT_2013!A45)</f>
        <v>7. Consumption (3-6)</v>
      </c>
      <c r="C102" s="295"/>
      <c r="D102" s="1028">
        <f>+(PSUT_2013!AA45)</f>
        <v>12031128.20251967</v>
      </c>
      <c r="E102" s="295"/>
      <c r="F102" s="1028">
        <f>+(PSUT_2013!C45)</f>
        <v>11625943.378715385</v>
      </c>
      <c r="G102" s="295"/>
      <c r="H102" s="295"/>
      <c r="I102" s="295"/>
      <c r="J102" s="295"/>
      <c r="K102" s="295"/>
      <c r="L102" s="295"/>
      <c r="M102" s="1028">
        <f>+(PSUT_2013!D45)</f>
        <v>1066.280103117504</v>
      </c>
      <c r="N102" s="1028">
        <f>+(PSUT_2013!E45)</f>
        <v>151185.62992350146</v>
      </c>
      <c r="O102" s="295"/>
      <c r="P102" s="295"/>
      <c r="Q102" s="295"/>
      <c r="R102" s="295"/>
      <c r="S102" s="295"/>
      <c r="T102" s="295"/>
      <c r="U102" s="295"/>
      <c r="V102" s="295"/>
      <c r="W102" s="1195">
        <f>+(PSUT_2013!F45)</f>
        <v>17297.563072272984</v>
      </c>
      <c r="X102" s="1028">
        <f>+(PSUT_2013!G45)</f>
        <v>50703.50010827103</v>
      </c>
      <c r="Y102" s="1028">
        <f>+(PSUT_2013!H45)</f>
        <v>0</v>
      </c>
      <c r="Z102" s="1028">
        <f>+(PSUT_2013!I45)</f>
        <v>0</v>
      </c>
      <c r="AA102" s="295"/>
      <c r="AB102" s="295"/>
      <c r="AC102" s="295"/>
      <c r="AD102" s="1028">
        <f>+(PSUT_2013!J45)</f>
        <v>0</v>
      </c>
      <c r="AE102" s="295"/>
      <c r="AF102" s="1028">
        <f>+(PSUT_2013!K45)</f>
        <v>3700.4149084591081</v>
      </c>
      <c r="AG102" s="1028">
        <f>+(PSUT_2013!L45)</f>
        <v>0</v>
      </c>
      <c r="AH102" s="1270">
        <f>+(PSUT_2013!M45)</f>
        <v>13.611322139488699</v>
      </c>
      <c r="AI102" s="1028">
        <f>+(PSUT_2013!N45)</f>
        <v>0</v>
      </c>
      <c r="AJ102" s="1028">
        <f>+(PSUT_2013!O45)</f>
        <v>0</v>
      </c>
      <c r="AK102" s="1028">
        <f>+(PSUT_2013!P45)</f>
        <v>0</v>
      </c>
      <c r="AL102" s="1028">
        <f>+(PSUT_2013!Q45)</f>
        <v>0</v>
      </c>
      <c r="AM102" s="1028">
        <f>+(PSUT_2013!R45)</f>
        <v>45007.581399999966</v>
      </c>
      <c r="AN102" s="1028">
        <f>+(PSUT_2013!S45)</f>
        <v>861.94444968661037</v>
      </c>
      <c r="AO102" s="1028">
        <f>+SUM(PSUT_2013!T45:'PSUT_2013'!V45)</f>
        <v>132.68839873822006</v>
      </c>
      <c r="AP102" s="1028">
        <f>+(PSUT_2013!U45)</f>
        <v>132.68839873822006</v>
      </c>
      <c r="AQ102" s="1028">
        <f>+(PSUT_2013!V45)</f>
        <v>0</v>
      </c>
      <c r="AR102" s="1028">
        <f>+(PSUT_2013!W45)</f>
        <v>11895912.592401573</v>
      </c>
      <c r="AS102" s="1028">
        <f>+(PSUT_2013!X45)</f>
        <v>133912.69650340232</v>
      </c>
      <c r="AT102" s="1028">
        <f>+(PSUT_2013!AA45)</f>
        <v>12031128.20251967</v>
      </c>
      <c r="AU102" s="1025"/>
    </row>
    <row r="103" spans="1:56" x14ac:dyDescent="0.25">
      <c r="B103" s="1025"/>
      <c r="F103" s="1025"/>
      <c r="M103" s="1025"/>
      <c r="N103" s="1025"/>
      <c r="W103" s="1025"/>
      <c r="X103" s="1025"/>
      <c r="Y103" s="1025"/>
      <c r="Z103" s="1025"/>
      <c r="AD103" s="1025"/>
      <c r="AF103" s="1025"/>
      <c r="AG103" s="1025"/>
      <c r="AH103" s="1025"/>
      <c r="AI103" s="1025"/>
      <c r="AJ103" s="1025"/>
      <c r="AK103" s="1025"/>
      <c r="AL103" s="1025"/>
      <c r="AM103" s="1025"/>
      <c r="AN103" s="1025"/>
      <c r="AO103" s="1025"/>
      <c r="AP103" s="1025"/>
      <c r="AQ103" s="1025"/>
      <c r="AR103" s="1025"/>
      <c r="AS103" s="1025"/>
      <c r="AU103" s="1025"/>
    </row>
    <row r="105" spans="1:56" ht="150" x14ac:dyDescent="0.25">
      <c r="A105" s="1206"/>
      <c r="B105" s="1207" t="s">
        <v>1406</v>
      </c>
      <c r="C105" s="1207" t="s">
        <v>1050</v>
      </c>
      <c r="D105" s="1230" t="str">
        <f>PSUT_2014!AA3</f>
        <v xml:space="preserve">Total </v>
      </c>
      <c r="E105" s="1207"/>
      <c r="F105" s="1230" t="str">
        <f>PSUT_2014!C4</f>
        <v xml:space="preserve">A. Agriculture, forestry and fishing </v>
      </c>
      <c r="G105" s="1207"/>
      <c r="H105" s="1207"/>
      <c r="I105" s="1207"/>
      <c r="J105" s="1207"/>
      <c r="K105" s="1207"/>
      <c r="L105" s="1207"/>
      <c r="M105" s="1230" t="str">
        <f>PSUT_2014!D4</f>
        <v xml:space="preserve">B. Mining and Quarrying </v>
      </c>
      <c r="N105" s="1230" t="str">
        <f>PSUT_2014!E4</f>
        <v>C. Manufacturing</v>
      </c>
      <c r="O105" s="1207"/>
      <c r="P105" s="1207"/>
      <c r="Q105" s="1207"/>
      <c r="R105" s="1207"/>
      <c r="S105" s="1207"/>
      <c r="T105" s="1207"/>
      <c r="U105" s="1207"/>
      <c r="V105" s="1207"/>
      <c r="W105" s="1230" t="str">
        <f>PSUT_2014!F4</f>
        <v>D. Electricity, gas, steam and air conditioning supply</v>
      </c>
      <c r="X105" s="1230" t="str">
        <f>PSUT_2014!G4</f>
        <v>E. Water supply (WASAC &amp; AquaVirunga)</v>
      </c>
      <c r="Y105" s="1230" t="str">
        <f>PSUT_2014!H4</f>
        <v>F. Construction</v>
      </c>
      <c r="Z105" s="1230" t="str">
        <f>PSUT_2014!I4</f>
        <v>G. Wholesale and retail trade; repair of motor vehicles and motorcycles</v>
      </c>
      <c r="AA105" s="1207"/>
      <c r="AB105" s="1207"/>
      <c r="AC105" s="1207"/>
      <c r="AD105" s="1230" t="str">
        <f>PSUT_2014!J4</f>
        <v>H. Transportation and storage</v>
      </c>
      <c r="AE105" s="1207"/>
      <c r="AF105" s="1230" t="str">
        <f>PSUT_2014!K4</f>
        <v>I. Accommodation and food service activities</v>
      </c>
      <c r="AG105" s="1230" t="str">
        <f>PSUT_2014!L4</f>
        <v>J. Information and communication</v>
      </c>
      <c r="AH105" s="1230" t="str">
        <f>PSUT_2014!M4</f>
        <v>K. Banking and insurance activities</v>
      </c>
      <c r="AI105" s="1230" t="str">
        <f>PSUT_2014!N4</f>
        <v>L. Real estate activities</v>
      </c>
      <c r="AJ105" s="1230" t="str">
        <f>PSUT_2014!O4</f>
        <v>M. Professional, scientific and technical activities</v>
      </c>
      <c r="AK105" s="1230" t="str">
        <f>PSUT_2014!P4</f>
        <v>N. Administrative and support service activities</v>
      </c>
      <c r="AL105" s="1230" t="str">
        <f>PSUT_2014!Q4</f>
        <v>O. Public administration and defence; compulsory social security</v>
      </c>
      <c r="AM105" s="1230" t="str">
        <f>PSUT_2014!R4</f>
        <v>P. Education</v>
      </c>
      <c r="AN105" s="1230" t="str">
        <f>PSUT_2014!S4</f>
        <v xml:space="preserve">Q. Human health and social work activities </v>
      </c>
      <c r="AO105" s="1230" t="str">
        <f>PSUT_2014!T4</f>
        <v>R. Arts, entertainment and recreation</v>
      </c>
      <c r="AP105" s="1230" t="str">
        <f>PSUT_2014!U4</f>
        <v>S. Other service activities (Religious &amp; Burial)</v>
      </c>
      <c r="AQ105" s="1230" t="str">
        <f>PSUT_2014!V4</f>
        <v>T. Activities of households as employers; undifferentiated goods- and services-producing activities of households for own use</v>
      </c>
      <c r="AR105" s="1230" t="str">
        <f>PSUT_2014!W3</f>
        <v xml:space="preserve">Total Production activities </v>
      </c>
      <c r="AS105" s="1230" t="str">
        <f>PSUT_2014!X4</f>
        <v>Households</v>
      </c>
      <c r="AT105" s="1230" t="str">
        <f>PSUT_2014!AA3</f>
        <v xml:space="preserve">Total </v>
      </c>
      <c r="AU105" s="584"/>
      <c r="AW105" s="584"/>
      <c r="AX105" s="584"/>
      <c r="AY105" s="584"/>
      <c r="AZ105" s="584"/>
      <c r="BA105" s="584"/>
      <c r="BB105" s="584"/>
      <c r="BC105" s="584"/>
      <c r="BD105" s="584"/>
    </row>
    <row r="106" spans="1:56" x14ac:dyDescent="0.25">
      <c r="A106" s="1804" t="str">
        <f>+(PSUT_2014!A6)</f>
        <v>From the environment</v>
      </c>
      <c r="B106" s="1208" t="str">
        <f>+(PSUT_2014!B9)</f>
        <v>1 - Total abstraction (1.i+1.ii)</v>
      </c>
      <c r="D106" s="1025">
        <f>+(PSUT_2014!AA9)</f>
        <v>14005635.690500624</v>
      </c>
      <c r="F106" s="1025">
        <f>+(PSUT_2014!C9)</f>
        <v>13506848.022465833</v>
      </c>
      <c r="H106" s="1024"/>
      <c r="I106" s="1024"/>
      <c r="J106" s="1024"/>
      <c r="K106" s="1024"/>
      <c r="L106" s="1024"/>
      <c r="M106" s="1025">
        <f>+(PSUT_2014!D9)</f>
        <v>22429.728515197057</v>
      </c>
      <c r="N106" s="1025">
        <f>+(PSUT_2014!E9)</f>
        <v>24242.398478108429</v>
      </c>
      <c r="P106" s="1026"/>
      <c r="Q106" s="1026"/>
      <c r="R106" s="1026"/>
      <c r="S106" s="1026"/>
      <c r="T106" s="1026"/>
      <c r="U106" s="1026"/>
      <c r="V106" s="1026"/>
      <c r="W106" s="1025">
        <f>+(PSUT_2014!F9)</f>
        <v>357008.97910203272</v>
      </c>
      <c r="X106" s="1025">
        <f>+(PSUT_2014!G9)</f>
        <v>53540.199500012393</v>
      </c>
      <c r="Y106" s="1025">
        <f>+(PSUT_2014!H9)</f>
        <v>0</v>
      </c>
      <c r="Z106" s="1025">
        <f>+(PSUT_2014!I9)</f>
        <v>0</v>
      </c>
      <c r="AB106" s="1024"/>
      <c r="AC106" s="1024"/>
      <c r="AD106" s="1025">
        <f>+(PSUT_2014!J9)</f>
        <v>0</v>
      </c>
      <c r="AF106" s="1025">
        <f>+(PSUT_2014!K9)</f>
        <v>0</v>
      </c>
      <c r="AG106" s="1025">
        <f>+(PSUT_2014!L9)</f>
        <v>0</v>
      </c>
      <c r="AH106" s="1269">
        <f>+(PSUT_2014!M9)</f>
        <v>0.06</v>
      </c>
      <c r="AI106" s="1025">
        <f>+(PSUT_2014!N9)</f>
        <v>0</v>
      </c>
      <c r="AJ106" s="1025">
        <f>+(PSUT_2014!O9)</f>
        <v>0</v>
      </c>
      <c r="AK106" s="1025">
        <f>+(PSUT_2014!P9)</f>
        <v>0</v>
      </c>
      <c r="AL106" s="1025">
        <f>+(PSUT_2014!Q9)</f>
        <v>0</v>
      </c>
      <c r="AM106" s="1025">
        <f>+(PSUT_2014!R9)</f>
        <v>133.11539999999999</v>
      </c>
      <c r="AN106" s="1025">
        <f>+(PSUT_2014!S9)</f>
        <v>588.7795155737706</v>
      </c>
      <c r="AO106" s="1025">
        <f>+SUM(PSUT_2014!T9:'PSUT_2014'!V9)</f>
        <v>11.709600000000002</v>
      </c>
      <c r="AP106" s="1025">
        <f>+(PSUT_2014!U9)</f>
        <v>11.709600000000002</v>
      </c>
      <c r="AQ106" s="1025">
        <f>+(PSUT_2014!V9)</f>
        <v>0</v>
      </c>
      <c r="AR106" s="1025">
        <f>+(PSUT_2014!W9)</f>
        <v>13964802.992576756</v>
      </c>
      <c r="AS106" s="1025">
        <f>+(PSUT_2014!X9)</f>
        <v>40832.697923868138</v>
      </c>
      <c r="AT106" s="1025">
        <f>+(PSUT_2014!AA9)</f>
        <v>14005635.690500624</v>
      </c>
      <c r="AU106" s="1025"/>
      <c r="AW106" s="584"/>
      <c r="AX106" s="584"/>
      <c r="AY106" s="584"/>
      <c r="AZ106" s="584"/>
      <c r="BA106" s="584"/>
      <c r="BB106" s="584"/>
      <c r="BC106" s="584"/>
      <c r="BD106" s="584"/>
    </row>
    <row r="107" spans="1:56" x14ac:dyDescent="0.25">
      <c r="A107" s="1804"/>
      <c r="B107" s="1208" t="str">
        <f>+B108 &amp; " &amp; "&amp; B109</f>
        <v>1.i.1 Surface water &amp; 1.i.2 Groundwater</v>
      </c>
      <c r="D107" s="1025">
        <f>+SUM(PSUT_2014!AA11,PSUT_2014!AA16)</f>
        <v>695446.05236139591</v>
      </c>
      <c r="F107" s="1025">
        <f>+SUM(PSUT_2014!C11,PSUT_2014!C16)</f>
        <v>219104.06902660336</v>
      </c>
      <c r="H107" s="1024"/>
      <c r="I107" s="1024"/>
      <c r="J107" s="1024"/>
      <c r="K107" s="1024"/>
      <c r="L107" s="1024"/>
      <c r="M107" s="1025">
        <f>+SUM(PSUT_2014!D11,PSUT_2014!D16)</f>
        <v>1069.9285151970589</v>
      </c>
      <c r="N107" s="1025">
        <f>+SUM(PSUT_2014!E11,PSUT_2014!E16)</f>
        <v>24214.198478108428</v>
      </c>
      <c r="P107" s="1026"/>
      <c r="Q107" s="1026"/>
      <c r="R107" s="1026"/>
      <c r="S107" s="1026"/>
      <c r="T107" s="1026"/>
      <c r="U107" s="1026"/>
      <c r="V107" s="1026"/>
      <c r="W107" s="1025">
        <f>+SUM(PSUT_2014!F11,PSUT_2014!F16)</f>
        <v>357008.97910203272</v>
      </c>
      <c r="X107" s="1025">
        <f>+SUM(PSUT_2014!G11,PSUT_2014!G16)</f>
        <v>53540.199500012393</v>
      </c>
      <c r="Y107" s="1025">
        <f>+SUM(PSUT_2014!H11,PSUT_2014!H16)</f>
        <v>0</v>
      </c>
      <c r="Z107" s="1025">
        <f>+SUM(PSUT_2014!I11,PSUT_2014!I16)</f>
        <v>0</v>
      </c>
      <c r="AB107" s="1024"/>
      <c r="AC107" s="1024"/>
      <c r="AD107" s="1025">
        <f>+SUM(PSUT_2014!J11,PSUT_2014!J16)</f>
        <v>0</v>
      </c>
      <c r="AF107" s="1025">
        <f>+SUM(PSUT_2014!K11,PSUT_2014!K16)</f>
        <v>0</v>
      </c>
      <c r="AG107" s="1025">
        <f>+SUM(PSUT_2014!L11,PSUT_2014!L16)</f>
        <v>0</v>
      </c>
      <c r="AH107" s="1269">
        <f>+SUM(PSUT_2014!M11,PSUT_2014!M16)</f>
        <v>0</v>
      </c>
      <c r="AI107" s="1025">
        <f>+SUM(PSUT_2014!N11,PSUT_2014!N16)</f>
        <v>0</v>
      </c>
      <c r="AJ107" s="1025">
        <f>+SUM(PSUT_2014!O11,PSUT_2014!O16)</f>
        <v>0</v>
      </c>
      <c r="AK107" s="1025">
        <f>+SUM(PSUT_2014!P11,PSUT_2014!P16)</f>
        <v>0</v>
      </c>
      <c r="AL107" s="1025">
        <f>+SUM(PSUT_2014!Q11,PSUT_2014!Q16)</f>
        <v>0</v>
      </c>
      <c r="AM107" s="1025">
        <f>+SUM(PSUT_2014!R11,PSUT_2014!R16)</f>
        <v>133.11539999999999</v>
      </c>
      <c r="AN107" s="1025">
        <f>+SUM(PSUT_2014!S11,PSUT_2014!S16)</f>
        <v>90.790815573770487</v>
      </c>
      <c r="AO107" s="1025">
        <f>+SUM(PSUT_2014!T11,PSUT_2014!T16)</f>
        <v>0</v>
      </c>
      <c r="AP107" s="1025">
        <f>+SUM(PSUT_2014!U11,PSUT_2014!U16)</f>
        <v>2.0736000000000003</v>
      </c>
      <c r="AQ107" s="1025">
        <f>+SUM(PSUT_2014!V11,PSUT_2014!V16)</f>
        <v>0</v>
      </c>
      <c r="AR107" s="1025">
        <f>+SUM(PSUT_2014!W11,PSUT_2014!W16)</f>
        <v>655163.35443752783</v>
      </c>
      <c r="AS107" s="1025">
        <f>+SUM(PSUT_2014!X11,PSUT_2014!X16)</f>
        <v>40282.697923868138</v>
      </c>
      <c r="AT107" s="1025">
        <f>+SUM(PSUT_2014!AA11,PSUT_2014!AA16)</f>
        <v>695446.05236139591</v>
      </c>
      <c r="AU107" s="1025"/>
      <c r="AW107" s="584"/>
      <c r="AX107" s="584"/>
      <c r="AY107" s="584"/>
      <c r="AZ107" s="584"/>
      <c r="BA107" s="584"/>
      <c r="BB107" s="584"/>
      <c r="BC107" s="584"/>
      <c r="BD107" s="584"/>
    </row>
    <row r="108" spans="1:56" x14ac:dyDescent="0.25">
      <c r="A108" s="1804"/>
      <c r="B108" s="1208" t="str">
        <f>+(PSUT_2014!B11)</f>
        <v>1.i.1 Surface water</v>
      </c>
      <c r="D108" s="1025">
        <f>+(PSUT_2014!AA11)</f>
        <v>631143.66234001028</v>
      </c>
      <c r="E108" s="578"/>
      <c r="F108" s="1025">
        <f>+(PSUT_2014!C11)</f>
        <v>205178.23028145044</v>
      </c>
      <c r="H108" s="1024"/>
      <c r="I108" s="1024"/>
      <c r="J108" s="1024"/>
      <c r="K108" s="1024"/>
      <c r="L108" s="1024"/>
      <c r="M108" s="1025">
        <f>+(PSUT_2014!D11)</f>
        <v>1006.140385197059</v>
      </c>
      <c r="N108" s="1025">
        <f>+(PSUT_2014!E11)</f>
        <v>15211.48701906186</v>
      </c>
      <c r="P108" s="1026"/>
      <c r="Q108" s="1026"/>
      <c r="R108" s="1026"/>
      <c r="S108" s="1026"/>
      <c r="T108" s="1026"/>
      <c r="U108" s="1026"/>
      <c r="V108" s="1026"/>
      <c r="W108" s="1025">
        <f>+(PSUT_2014!F11)</f>
        <v>357008.97910203272</v>
      </c>
      <c r="X108" s="1025">
        <f>+(PSUT_2014!G11)</f>
        <v>41435.195802667869</v>
      </c>
      <c r="Y108" s="1025">
        <f>+(PSUT_2014!H11)</f>
        <v>0</v>
      </c>
      <c r="Z108" s="1025">
        <f>+(PSUT_2014!I11)</f>
        <v>0</v>
      </c>
      <c r="AB108" s="1024"/>
      <c r="AC108" s="1024"/>
      <c r="AD108" s="1025">
        <f>+(PSUT_2014!J11)</f>
        <v>0</v>
      </c>
      <c r="AF108" s="1025">
        <f>+(PSUT_2014!K11)</f>
        <v>0</v>
      </c>
      <c r="AG108" s="1025">
        <f>+(PSUT_2014!L11)</f>
        <v>0</v>
      </c>
      <c r="AH108" s="1269">
        <f>+(PSUT_2014!M11)</f>
        <v>0</v>
      </c>
      <c r="AI108" s="1025">
        <f>+(PSUT_2014!N11)</f>
        <v>0</v>
      </c>
      <c r="AJ108" s="1025">
        <f>+(PSUT_2014!O11)</f>
        <v>0</v>
      </c>
      <c r="AK108" s="1025">
        <f>+(PSUT_2014!P11)</f>
        <v>0</v>
      </c>
      <c r="AL108" s="1025">
        <f>+(PSUT_2014!Q11)</f>
        <v>0</v>
      </c>
      <c r="AM108" s="1025">
        <f>+(PSUT_2014!R11)</f>
        <v>0</v>
      </c>
      <c r="AN108" s="1025">
        <f>+(PSUT_2014!S11)</f>
        <v>0</v>
      </c>
      <c r="AO108" s="1025">
        <f>+SUM(PSUT_2014!T11:'PSUT_2014'!V11)</f>
        <v>2.0736000000000003</v>
      </c>
      <c r="AP108" s="1025">
        <f>+(PSUT_2014!U11)</f>
        <v>2.0736000000000003</v>
      </c>
      <c r="AQ108" s="1025">
        <f>+(PSUT_2014!V11)</f>
        <v>0</v>
      </c>
      <c r="AR108" s="1025">
        <f>+(PSUT_2014!W11)</f>
        <v>619842.10619040998</v>
      </c>
      <c r="AS108" s="1025">
        <f>+(PSUT_2014!X11)</f>
        <v>11301.556149600257</v>
      </c>
      <c r="AT108" s="1025">
        <f>+(PSUT_2014!AA11)</f>
        <v>631143.66234001028</v>
      </c>
      <c r="AU108" s="1025"/>
      <c r="AW108" s="584"/>
      <c r="AX108" s="584"/>
      <c r="AY108" s="584"/>
      <c r="AZ108" s="584"/>
      <c r="BA108" s="584"/>
      <c r="BB108" s="584"/>
      <c r="BC108" s="584"/>
      <c r="BD108" s="584"/>
    </row>
    <row r="109" spans="1:56" x14ac:dyDescent="0.25">
      <c r="A109" s="1804"/>
      <c r="B109" s="1208" t="str">
        <f>+(PSUT_2014!B16)</f>
        <v>1.i.2 Groundwater</v>
      </c>
      <c r="D109" s="1025">
        <f>+(PSUT_2014!AA16)</f>
        <v>64302.390021385683</v>
      </c>
      <c r="E109" s="1024"/>
      <c r="F109" s="1025">
        <f>+(PSUT_2014!C16)</f>
        <v>13925.838745152938</v>
      </c>
      <c r="H109" s="1024"/>
      <c r="I109" s="1024"/>
      <c r="J109" s="1024"/>
      <c r="K109" s="1024"/>
      <c r="L109" s="1024"/>
      <c r="M109" s="1025">
        <f>+(PSUT_2014!D16)</f>
        <v>63.788130000000002</v>
      </c>
      <c r="N109" s="1025">
        <f>+(PSUT_2014!E16)</f>
        <v>9002.7114590465681</v>
      </c>
      <c r="P109" s="1024"/>
      <c r="Q109" s="1024"/>
      <c r="R109" s="1024"/>
      <c r="S109" s="1024"/>
      <c r="T109" s="1024"/>
      <c r="U109" s="1024"/>
      <c r="V109" s="1024"/>
      <c r="W109" s="1025">
        <f>+(PSUT_2014!F16)</f>
        <v>0</v>
      </c>
      <c r="X109" s="1025">
        <f>+(PSUT_2014!G16)</f>
        <v>12105.003697344522</v>
      </c>
      <c r="Y109" s="1025">
        <f>+(PSUT_2014!H16)</f>
        <v>0</v>
      </c>
      <c r="Z109" s="1025">
        <f>+(PSUT_2014!I16)</f>
        <v>0</v>
      </c>
      <c r="AB109" s="1024"/>
      <c r="AC109" s="1024"/>
      <c r="AD109" s="1025">
        <f>+(PSUT_2014!J16)</f>
        <v>0</v>
      </c>
      <c r="AF109" s="1025">
        <f>+(PSUT_2014!K16)</f>
        <v>0</v>
      </c>
      <c r="AG109" s="1025">
        <f>+(PSUT_2014!L16)</f>
        <v>0</v>
      </c>
      <c r="AH109" s="1269">
        <f>+(PSUT_2014!M16)</f>
        <v>0</v>
      </c>
      <c r="AI109" s="1025">
        <f>+(PSUT_2014!N16)</f>
        <v>0</v>
      </c>
      <c r="AJ109" s="1025">
        <f>+(PSUT_2014!O16)</f>
        <v>0</v>
      </c>
      <c r="AK109" s="1025">
        <f>+(PSUT_2014!P16)</f>
        <v>0</v>
      </c>
      <c r="AL109" s="1025">
        <f>+(PSUT_2014!Q16)</f>
        <v>0</v>
      </c>
      <c r="AM109" s="1025">
        <f>+(PSUT_2014!R16)</f>
        <v>133.11539999999999</v>
      </c>
      <c r="AN109" s="1025">
        <f>+(PSUT_2014!S16)</f>
        <v>90.790815573770487</v>
      </c>
      <c r="AO109" s="1025">
        <f>+SUM(PSUT_2014!T16:'PSUT_2014'!V16)</f>
        <v>0</v>
      </c>
      <c r="AP109" s="1025">
        <f>+(PSUT_2014!U16)</f>
        <v>0</v>
      </c>
      <c r="AQ109" s="1025">
        <f>+(PSUT_2014!V16)</f>
        <v>0</v>
      </c>
      <c r="AR109" s="1025">
        <f>+(PSUT_2014!W16)</f>
        <v>35321.248247117801</v>
      </c>
      <c r="AS109" s="1025">
        <f>+(PSUT_2014!X16)</f>
        <v>28981.141774267882</v>
      </c>
      <c r="AT109" s="1025">
        <f>+(PSUT_2014!AA16)</f>
        <v>64302.390021385683</v>
      </c>
      <c r="AU109" s="1025"/>
    </row>
    <row r="110" spans="1:56" x14ac:dyDescent="0.25">
      <c r="A110" s="1804"/>
      <c r="B110" s="1208" t="str">
        <f>+(PSUT_2014!B19)</f>
        <v>1.i.3 Soil water (green water)</v>
      </c>
      <c r="D110" s="1025">
        <f>+(PSUT_2014!AA19)</f>
        <v>13286936.953439228</v>
      </c>
      <c r="E110" s="1024"/>
      <c r="F110" s="1025">
        <f>+(PSUT_2014!C19)</f>
        <v>13286936.953439228</v>
      </c>
      <c r="H110" s="1024"/>
      <c r="I110" s="1024"/>
      <c r="J110" s="1024"/>
      <c r="K110" s="1024"/>
      <c r="L110" s="1024"/>
      <c r="M110" s="1025">
        <f>+(PSUT_2014!D19)</f>
        <v>0</v>
      </c>
      <c r="N110" s="1025">
        <f>+(PSUT_2014!E19)</f>
        <v>0</v>
      </c>
      <c r="P110" s="1024"/>
      <c r="Q110" s="1024"/>
      <c r="R110" s="1024"/>
      <c r="S110" s="1024"/>
      <c r="T110" s="1024"/>
      <c r="U110" s="1024"/>
      <c r="V110" s="1024"/>
      <c r="W110" s="1025">
        <f>+(PSUT_2014!F19)</f>
        <v>0</v>
      </c>
      <c r="X110" s="1025">
        <f>+(PSUT_2014!G19)</f>
        <v>0</v>
      </c>
      <c r="Y110" s="1025">
        <f>+(PSUT_2014!H19)</f>
        <v>0</v>
      </c>
      <c r="Z110" s="1025">
        <f>+(PSUT_2014!I19)</f>
        <v>0</v>
      </c>
      <c r="AB110" s="1024"/>
      <c r="AC110" s="1024"/>
      <c r="AD110" s="1025">
        <f>+(PSUT_2014!J19)</f>
        <v>0</v>
      </c>
      <c r="AF110" s="1025">
        <f>+(PSUT_2014!K19)</f>
        <v>0</v>
      </c>
      <c r="AG110" s="1025">
        <f>+(PSUT_2014!L19)</f>
        <v>0</v>
      </c>
      <c r="AH110" s="1269">
        <f>+(PSUT_2014!M19)</f>
        <v>0</v>
      </c>
      <c r="AI110" s="1025">
        <f>+(PSUT_2014!N19)</f>
        <v>0</v>
      </c>
      <c r="AJ110" s="1025">
        <f>+(PSUT_2014!O19)</f>
        <v>0</v>
      </c>
      <c r="AK110" s="1025">
        <f>+(PSUT_2014!P19)</f>
        <v>0</v>
      </c>
      <c r="AL110" s="1025">
        <f>+(PSUT_2014!Q19)</f>
        <v>0</v>
      </c>
      <c r="AM110" s="1025">
        <f>+(PSUT_2014!R19)</f>
        <v>0</v>
      </c>
      <c r="AN110" s="1025">
        <f>+(PSUT_2014!S19)</f>
        <v>0</v>
      </c>
      <c r="AO110" s="1025">
        <f>+SUM(PSUT_2014!T19:'PSUT_2014'!V19)</f>
        <v>0</v>
      </c>
      <c r="AP110" s="1025">
        <f>+(PSUT_2014!U19)</f>
        <v>0</v>
      </c>
      <c r="AQ110" s="1025">
        <f>+(PSUT_2014!V19)</f>
        <v>0</v>
      </c>
      <c r="AR110" s="1025">
        <f>+(PSUT_2014!W19)</f>
        <v>13286936.953439228</v>
      </c>
      <c r="AS110" s="1025">
        <f>+(PSUT_2014!X19)</f>
        <v>0</v>
      </c>
      <c r="AT110" s="1025">
        <f>+(PSUT_2014!AA19)</f>
        <v>13286936.953439228</v>
      </c>
      <c r="AU110" s="1025"/>
    </row>
    <row r="111" spans="1:56" x14ac:dyDescent="0.25">
      <c r="A111" s="1804"/>
      <c r="B111" s="1208" t="str">
        <f>+(PSUT_2014!B20)</f>
        <v xml:space="preserve">1.ii From other sources </v>
      </c>
      <c r="D111" s="1025">
        <f>+(PSUT_2014!AA20)</f>
        <v>23252.684700000002</v>
      </c>
      <c r="E111" s="1024"/>
      <c r="F111" s="1025">
        <f>+(PSUT_2014!C20)</f>
        <v>807</v>
      </c>
      <c r="H111" s="1024"/>
      <c r="I111" s="1024"/>
      <c r="J111" s="1024"/>
      <c r="K111" s="1024"/>
      <c r="L111" s="1024"/>
      <c r="M111" s="1025">
        <f>+(PSUT_2014!D20)</f>
        <v>21359.8</v>
      </c>
      <c r="N111" s="1025">
        <f>+(PSUT_2014!E20)</f>
        <v>28.2</v>
      </c>
      <c r="P111" s="1024"/>
      <c r="Q111" s="1024"/>
      <c r="R111" s="1024"/>
      <c r="S111" s="1024"/>
      <c r="T111" s="1024"/>
      <c r="U111" s="1024"/>
      <c r="V111" s="1024"/>
      <c r="W111" s="1025">
        <f>+(PSUT_2014!F20)</f>
        <v>0</v>
      </c>
      <c r="X111" s="1025">
        <f>+(PSUT_2014!G20)</f>
        <v>0</v>
      </c>
      <c r="Y111" s="1025">
        <f>+(PSUT_2014!H20)</f>
        <v>0</v>
      </c>
      <c r="Z111" s="1025">
        <f>+(PSUT_2014!I20)</f>
        <v>0</v>
      </c>
      <c r="AB111" s="1024"/>
      <c r="AC111" s="1024"/>
      <c r="AD111" s="1025">
        <f>+(PSUT_2014!J20)</f>
        <v>0</v>
      </c>
      <c r="AF111" s="1025">
        <f>+(PSUT_2014!K20)</f>
        <v>0</v>
      </c>
      <c r="AG111" s="1025">
        <f>+(PSUT_2014!L20)</f>
        <v>0</v>
      </c>
      <c r="AH111" s="1269">
        <f>+(PSUT_2014!M20)</f>
        <v>0.06</v>
      </c>
      <c r="AI111" s="1025">
        <f>+(PSUT_2014!N20)</f>
        <v>0</v>
      </c>
      <c r="AJ111" s="1025">
        <f>+(PSUT_2014!O20)</f>
        <v>0</v>
      </c>
      <c r="AK111" s="1025">
        <f>+(PSUT_2014!P20)</f>
        <v>0</v>
      </c>
      <c r="AL111" s="1025">
        <f>+(PSUT_2014!Q20)</f>
        <v>0</v>
      </c>
      <c r="AM111" s="1025">
        <f>+(PSUT_2014!R20)</f>
        <v>0</v>
      </c>
      <c r="AN111" s="1025">
        <f>+(PSUT_2014!S20)</f>
        <v>497.98870000000005</v>
      </c>
      <c r="AO111" s="1025">
        <f>+SUM(PSUT_2014!T20:'PSUT_2014'!V20)</f>
        <v>9.636000000000001</v>
      </c>
      <c r="AP111" s="1025">
        <f>+(PSUT_2014!U20)</f>
        <v>9.636000000000001</v>
      </c>
      <c r="AQ111" s="1025">
        <f>+(PSUT_2014!V20)</f>
        <v>0</v>
      </c>
      <c r="AR111" s="1025">
        <f>+(PSUT_2014!W20)</f>
        <v>22702.684700000002</v>
      </c>
      <c r="AS111" s="1025">
        <f>+(PSUT_2014!X20)</f>
        <v>550</v>
      </c>
      <c r="AT111" s="1025">
        <f>+(PSUT_2014!AA20)</f>
        <v>23252.684700000002</v>
      </c>
      <c r="AU111" s="1025"/>
    </row>
    <row r="112" spans="1:56" x14ac:dyDescent="0.25">
      <c r="A112" s="1804"/>
      <c r="B112" s="1208" t="str">
        <f>+(PSUT_2014!B21)</f>
        <v>1.ii.1 Collection of precipitation (rainwater harvesting; ..)</v>
      </c>
      <c r="D112" s="1025">
        <f>+(PSUT_2014!AA21)</f>
        <v>23252.684700000002</v>
      </c>
      <c r="E112" s="1024"/>
      <c r="F112" s="1025">
        <f>+(PSUT_2014!C21)</f>
        <v>807</v>
      </c>
      <c r="H112" s="1024"/>
      <c r="I112" s="1024"/>
      <c r="J112" s="1024"/>
      <c r="K112" s="1024"/>
      <c r="L112" s="1024"/>
      <c r="M112" s="1025">
        <f>+(PSUT_2014!D21)</f>
        <v>21359.8</v>
      </c>
      <c r="N112" s="1025">
        <f>+(PSUT_2014!E21)</f>
        <v>28.2</v>
      </c>
      <c r="P112" s="1024"/>
      <c r="Q112" s="1024"/>
      <c r="R112" s="1024"/>
      <c r="S112" s="1024"/>
      <c r="T112" s="1024"/>
      <c r="U112" s="1024"/>
      <c r="V112" s="1024"/>
      <c r="W112" s="1025">
        <f>+(PSUT_2014!F21)</f>
        <v>0</v>
      </c>
      <c r="X112" s="1025">
        <f>+(PSUT_2014!G21)</f>
        <v>0</v>
      </c>
      <c r="Y112" s="1025">
        <f>+(PSUT_2014!H21)</f>
        <v>0</v>
      </c>
      <c r="Z112" s="1025">
        <f>+(PSUT_2014!I21)</f>
        <v>0</v>
      </c>
      <c r="AB112" s="1024"/>
      <c r="AC112" s="1024"/>
      <c r="AD112" s="1025">
        <f>+(PSUT_2014!J21)</f>
        <v>0</v>
      </c>
      <c r="AF112" s="1025">
        <f>+(PSUT_2014!K21)</f>
        <v>0</v>
      </c>
      <c r="AG112" s="1025">
        <f>+(PSUT_2014!L21)</f>
        <v>0</v>
      </c>
      <c r="AH112" s="1269">
        <f>+(PSUT_2014!M21)</f>
        <v>0.06</v>
      </c>
      <c r="AI112" s="1025">
        <f>+(PSUT_2014!N21)</f>
        <v>0</v>
      </c>
      <c r="AJ112" s="1025">
        <f>+(PSUT_2014!O21)</f>
        <v>0</v>
      </c>
      <c r="AK112" s="1025">
        <f>+(PSUT_2014!P21)</f>
        <v>0</v>
      </c>
      <c r="AL112" s="1025">
        <f>+(PSUT_2014!Q21)</f>
        <v>0</v>
      </c>
      <c r="AM112" s="1025">
        <f>+(PSUT_2014!R21)</f>
        <v>0</v>
      </c>
      <c r="AN112" s="1025">
        <f>+(PSUT_2014!S21)</f>
        <v>497.98870000000005</v>
      </c>
      <c r="AO112" s="1025">
        <f>+SUM(PSUT_2014!T21:'PSUT_2014'!V21)</f>
        <v>9.636000000000001</v>
      </c>
      <c r="AP112" s="1025">
        <f>+(PSUT_2014!U21)</f>
        <v>9.636000000000001</v>
      </c>
      <c r="AQ112" s="1025">
        <f>+(PSUT_2014!V21)</f>
        <v>0</v>
      </c>
      <c r="AR112" s="1025">
        <f>+(PSUT_2014!W21)</f>
        <v>22702.684700000002</v>
      </c>
      <c r="AS112" s="1025">
        <f>+(PSUT_2014!X21)</f>
        <v>550</v>
      </c>
      <c r="AT112" s="1025">
        <f>+(PSUT_2014!AA21)</f>
        <v>23252.684700000002</v>
      </c>
      <c r="AU112" s="1025"/>
    </row>
    <row r="113" spans="1:56" x14ac:dyDescent="0.25">
      <c r="A113" s="1209"/>
      <c r="B113" s="1208" t="str">
        <f>+(PSUT_2014!B22)</f>
        <v>1.ii.2 Abstraction from the sea</v>
      </c>
      <c r="D113" s="1025">
        <f>+(PSUT_2014!AA22)</f>
        <v>0</v>
      </c>
      <c r="E113" s="1024"/>
      <c r="F113" s="1025">
        <f>+(PSUT_2014!C22)</f>
        <v>0</v>
      </c>
      <c r="H113" s="1024"/>
      <c r="I113" s="1024"/>
      <c r="J113" s="1024"/>
      <c r="K113" s="1024"/>
      <c r="L113" s="1024"/>
      <c r="M113" s="1025">
        <f>+(PSUT_2014!D22)</f>
        <v>0</v>
      </c>
      <c r="N113" s="1025">
        <f>+(PSUT_2014!E22)</f>
        <v>0</v>
      </c>
      <c r="P113" s="1024"/>
      <c r="Q113" s="1024"/>
      <c r="R113" s="1024"/>
      <c r="S113" s="1024"/>
      <c r="T113" s="1024"/>
      <c r="U113" s="1024"/>
      <c r="V113" s="1024"/>
      <c r="W113" s="1025">
        <f>+(PSUT_2014!F22)</f>
        <v>0</v>
      </c>
      <c r="X113" s="1025">
        <f>+(PSUT_2014!G22)</f>
        <v>0</v>
      </c>
      <c r="Y113" s="1025">
        <f>+(PSUT_2014!H22)</f>
        <v>0</v>
      </c>
      <c r="Z113" s="1025">
        <f>+(PSUT_2014!I22)</f>
        <v>0</v>
      </c>
      <c r="AB113" s="1024"/>
      <c r="AC113" s="1024"/>
      <c r="AD113" s="1025">
        <f>+(PSUT_2014!J22)</f>
        <v>0</v>
      </c>
      <c r="AF113" s="1025">
        <f>+(PSUT_2014!K22)</f>
        <v>0</v>
      </c>
      <c r="AG113" s="1025">
        <f>+(PSUT_2014!L22)</f>
        <v>0</v>
      </c>
      <c r="AH113" s="1269">
        <f>+(PSUT_2014!M22)</f>
        <v>0</v>
      </c>
      <c r="AI113" s="1025">
        <f>+(PSUT_2014!N22)</f>
        <v>0</v>
      </c>
      <c r="AJ113" s="1025">
        <f>+(PSUT_2014!O22)</f>
        <v>0</v>
      </c>
      <c r="AK113" s="1025">
        <f>+(PSUT_2014!P22)</f>
        <v>0</v>
      </c>
      <c r="AL113" s="1025">
        <f>+(PSUT_2014!Q22)</f>
        <v>0</v>
      </c>
      <c r="AM113" s="1025">
        <f>+(PSUT_2014!R22)</f>
        <v>0</v>
      </c>
      <c r="AN113" s="1025">
        <f>+(PSUT_2014!S22)</f>
        <v>0</v>
      </c>
      <c r="AO113" s="1025">
        <f>+SUM(PSUT_2014!T22:'PSUT_2014'!V22)</f>
        <v>0</v>
      </c>
      <c r="AP113" s="1025">
        <f>+(PSUT_2014!U22)</f>
        <v>0</v>
      </c>
      <c r="AQ113" s="1025">
        <f>+(PSUT_2014!V22)</f>
        <v>0</v>
      </c>
      <c r="AR113" s="1025">
        <f>+(PSUT_2014!W22)</f>
        <v>0</v>
      </c>
      <c r="AS113" s="1025">
        <f>+(PSUT_2014!X22)</f>
        <v>0</v>
      </c>
      <c r="AT113" s="1025">
        <f>+(PSUT_2014!AA22)</f>
        <v>0</v>
      </c>
      <c r="AU113" s="1025"/>
    </row>
    <row r="114" spans="1:56" x14ac:dyDescent="0.25">
      <c r="A114" s="1209"/>
      <c r="B114" s="1208" t="str">
        <f>+(PSUT_2014!B23)</f>
        <v>2. Use of water received from other economic units</v>
      </c>
      <c r="D114" s="1025">
        <f>+(PSUT_2014!AA23)</f>
        <v>1160562.9602874902</v>
      </c>
      <c r="E114" s="1024"/>
      <c r="F114" s="1025">
        <f>+(PSUT_2014!C23)</f>
        <v>90250</v>
      </c>
      <c r="H114" s="1024"/>
      <c r="I114" s="1024"/>
      <c r="J114" s="1024"/>
      <c r="K114" s="1024"/>
      <c r="L114" s="1024"/>
      <c r="M114" s="1025">
        <f>+(PSUT_2014!D23)</f>
        <v>0</v>
      </c>
      <c r="N114" s="1025">
        <f>+(PSUT_2014!E23)</f>
        <v>642763.78523033194</v>
      </c>
      <c r="P114" s="1024"/>
      <c r="Q114" s="1024"/>
      <c r="R114" s="1024"/>
      <c r="S114" s="1024"/>
      <c r="T114" s="1024"/>
      <c r="U114" s="1024"/>
      <c r="V114" s="1024"/>
      <c r="W114" s="1025">
        <f>+(PSUT_2014!F23)</f>
        <v>0</v>
      </c>
      <c r="X114" s="1025">
        <f>+(PSUT_2014!G23)</f>
        <v>0</v>
      </c>
      <c r="Y114" s="1025">
        <f>+(PSUT_2014!H23)</f>
        <v>0</v>
      </c>
      <c r="Z114" s="1025">
        <f>+(PSUT_2014!I23)</f>
        <v>0</v>
      </c>
      <c r="AB114" s="1024"/>
      <c r="AC114" s="1024"/>
      <c r="AD114" s="1025">
        <f>+(PSUT_2014!J23)</f>
        <v>0</v>
      </c>
      <c r="AF114" s="1025">
        <f>+(PSUT_2014!K23)</f>
        <v>16672.61</v>
      </c>
      <c r="AG114" s="1025">
        <f>+(PSUT_2014!L23)</f>
        <v>0</v>
      </c>
      <c r="AH114" s="1269">
        <f>+(PSUT_2014!M23)</f>
        <v>76.030545405347283</v>
      </c>
      <c r="AI114" s="1025">
        <f>+(PSUT_2014!N23)</f>
        <v>0</v>
      </c>
      <c r="AJ114" s="1025">
        <f>+(PSUT_2014!O23)</f>
        <v>0</v>
      </c>
      <c r="AK114" s="1025">
        <f>+(PSUT_2014!P23)</f>
        <v>0</v>
      </c>
      <c r="AL114" s="1025">
        <f>+(PSUT_2014!Q23)</f>
        <v>0</v>
      </c>
      <c r="AM114" s="1025">
        <f>+(PSUT_2014!R23)</f>
        <v>224372.33</v>
      </c>
      <c r="AN114" s="1025">
        <f>+(PSUT_2014!S23)</f>
        <v>3720.9427500000002</v>
      </c>
      <c r="AO114" s="1025">
        <f>+SUM(PSUT_2014!T23:'PSUT_2014'!V23)</f>
        <v>131.69367175295594</v>
      </c>
      <c r="AP114" s="1025">
        <f>+(PSUT_2014!U23)</f>
        <v>131.69367175295594</v>
      </c>
      <c r="AQ114" s="1025">
        <f>+(PSUT_2014!V23)</f>
        <v>0</v>
      </c>
      <c r="AR114" s="1025">
        <f>+(PSUT_2014!W23)</f>
        <v>977987.3921974902</v>
      </c>
      <c r="AS114" s="1025">
        <f>+(PSUT_2014!X23)</f>
        <v>176061</v>
      </c>
      <c r="AT114" s="1025">
        <f>+(PSUT_2014!AA23)</f>
        <v>1160562.9602874902</v>
      </c>
      <c r="AU114" s="1025"/>
    </row>
    <row r="115" spans="1:56" x14ac:dyDescent="0.25">
      <c r="A115" s="1209"/>
      <c r="B115" s="1208" t="str">
        <f>+(PSUT_2014!A24)</f>
        <v>3. Total use of water (=1+2)</v>
      </c>
      <c r="D115" s="1025">
        <f>+(PSUT_2014!AA24)</f>
        <v>15166198.650788113</v>
      </c>
      <c r="E115" s="1024"/>
      <c r="F115" s="1025">
        <f>+(PSUT_2014!C24)</f>
        <v>13597098.022465833</v>
      </c>
      <c r="H115" s="1024"/>
      <c r="I115" s="1024"/>
      <c r="J115" s="1024"/>
      <c r="K115" s="1024"/>
      <c r="L115" s="1024"/>
      <c r="M115" s="1025">
        <f>+(PSUT_2014!D24)</f>
        <v>22429.728515197057</v>
      </c>
      <c r="N115" s="1025">
        <f>+(PSUT_2014!E24)</f>
        <v>667006.1837084404</v>
      </c>
      <c r="P115" s="1024"/>
      <c r="Q115" s="1024"/>
      <c r="R115" s="1024"/>
      <c r="S115" s="1024"/>
      <c r="T115" s="1024"/>
      <c r="U115" s="1024"/>
      <c r="V115" s="1024"/>
      <c r="W115" s="1025">
        <f>+(PSUT_2014!F24)</f>
        <v>357008.97910203272</v>
      </c>
      <c r="X115" s="1025">
        <f>+(PSUT_2014!G24)</f>
        <v>53540.199500012386</v>
      </c>
      <c r="Y115" s="1025">
        <f>+(PSUT_2014!H24)</f>
        <v>0</v>
      </c>
      <c r="Z115" s="1025">
        <f>+(PSUT_2014!I24)</f>
        <v>0</v>
      </c>
      <c r="AB115" s="1024"/>
      <c r="AC115" s="1024"/>
      <c r="AD115" s="1025">
        <f>+(PSUT_2014!J24)</f>
        <v>0</v>
      </c>
      <c r="AF115" s="1025">
        <f>+(PSUT_2014!K24)</f>
        <v>16672.61</v>
      </c>
      <c r="AG115" s="1025">
        <f>+(PSUT_2014!L24)</f>
        <v>0</v>
      </c>
      <c r="AH115" s="1269">
        <f>+(PSUT_2014!M24)</f>
        <v>76.090545405347285</v>
      </c>
      <c r="AI115" s="1025">
        <f>+(PSUT_2014!N24)</f>
        <v>0</v>
      </c>
      <c r="AJ115" s="1025">
        <f>+(PSUT_2014!O24)</f>
        <v>0</v>
      </c>
      <c r="AK115" s="1025">
        <f>+(PSUT_2014!P24)</f>
        <v>0</v>
      </c>
      <c r="AL115" s="1025">
        <f>+(PSUT_2014!Q24)</f>
        <v>0</v>
      </c>
      <c r="AM115" s="1025">
        <f>+(PSUT_2014!R24)</f>
        <v>224505.4454</v>
      </c>
      <c r="AN115" s="1025">
        <f>+(PSUT_2014!S24)</f>
        <v>4309.7222655737705</v>
      </c>
      <c r="AO115" s="1025">
        <f>+SUM(PSUT_2014!T24:'PSUT_2014'!V24)</f>
        <v>143.40327175295593</v>
      </c>
      <c r="AP115" s="1025">
        <f>+(PSUT_2014!U24)</f>
        <v>143.40327175295593</v>
      </c>
      <c r="AQ115" s="1025">
        <f>+(PSUT_2014!V24)</f>
        <v>0</v>
      </c>
      <c r="AR115" s="1025">
        <f>+(PSUT_2014!W24)</f>
        <v>14942790.384774245</v>
      </c>
      <c r="AS115" s="1025">
        <f>+(PSUT_2014!X24)</f>
        <v>216893.69792386814</v>
      </c>
      <c r="AT115" s="1025">
        <f>+(PSUT_2014!AA24)</f>
        <v>15166198.650788113</v>
      </c>
      <c r="AU115" s="1025"/>
    </row>
    <row r="116" spans="1:56" x14ac:dyDescent="0.25">
      <c r="A116" s="1209"/>
      <c r="B116" s="1208" t="str">
        <f>+(PSUT_2014!B35)</f>
        <v>4. Supply of water to other economic units</v>
      </c>
      <c r="D116" s="1025">
        <f>+(PSUT_2014!AA35)</f>
        <v>34801.911993788104</v>
      </c>
      <c r="E116" s="1024"/>
      <c r="F116" s="1025">
        <f>+(PSUT_2014!C35)</f>
        <v>0</v>
      </c>
      <c r="H116" s="1024"/>
      <c r="I116" s="1024"/>
      <c r="J116" s="1024"/>
      <c r="K116" s="1024"/>
      <c r="L116" s="1024"/>
      <c r="M116" s="1025">
        <f>+(PSUT_2014!D35)</f>
        <v>21308.242089437204</v>
      </c>
      <c r="N116" s="1025">
        <f>+(PSUT_2014!E35)</f>
        <v>816.87563283886971</v>
      </c>
      <c r="P116" s="1024"/>
      <c r="Q116" s="1024"/>
      <c r="R116" s="1024"/>
      <c r="S116" s="1024"/>
      <c r="T116" s="1024"/>
      <c r="U116" s="1024"/>
      <c r="V116" s="1024"/>
      <c r="W116" s="1025">
        <f>+(PSUT_2014!F35)</f>
        <v>0</v>
      </c>
      <c r="X116" s="1025">
        <f>+(PSUT_2014!G35)</f>
        <v>0</v>
      </c>
      <c r="Y116" s="1025">
        <f>+(PSUT_2014!H35)</f>
        <v>0</v>
      </c>
      <c r="Z116" s="1025">
        <f>+(PSUT_2014!I35)</f>
        <v>0</v>
      </c>
      <c r="AB116" s="1024"/>
      <c r="AC116" s="1024"/>
      <c r="AD116" s="1025">
        <f>+(PSUT_2014!J35)</f>
        <v>0</v>
      </c>
      <c r="AF116" s="1025">
        <f>+(PSUT_2014!K35)</f>
        <v>12671.183667903779</v>
      </c>
      <c r="AG116" s="1025">
        <f>+(PSUT_2014!L35)</f>
        <v>0</v>
      </c>
      <c r="AH116" s="1269">
        <f>+(PSUT_2014!M35)</f>
        <v>5.6106036082474233</v>
      </c>
      <c r="AI116" s="1025">
        <f>+(PSUT_2014!N35)</f>
        <v>0</v>
      </c>
      <c r="AJ116" s="1025">
        <f>+(PSUT_2014!O35)</f>
        <v>0</v>
      </c>
      <c r="AK116" s="1025">
        <f>+(PSUT_2014!P35)</f>
        <v>0</v>
      </c>
      <c r="AL116" s="1025">
        <f>+(PSUT_2014!Q35)</f>
        <v>0</v>
      </c>
      <c r="AM116" s="1025">
        <f>+(PSUT_2014!R35)</f>
        <v>0</v>
      </c>
      <c r="AN116" s="1025">
        <f>+(PSUT_2014!S35)</f>
        <v>0</v>
      </c>
      <c r="AO116" s="1025">
        <f>+SUM(PSUT_2014!T35:'PSUT_2014'!V35)</f>
        <v>0</v>
      </c>
      <c r="AP116" s="1025">
        <f>+(PSUT_2014!U35)</f>
        <v>0</v>
      </c>
      <c r="AQ116" s="1025">
        <f>+(PSUT_2014!V35)</f>
        <v>0</v>
      </c>
      <c r="AR116" s="1025">
        <f>+(PSUT_2014!W35)</f>
        <v>34801.911993788104</v>
      </c>
      <c r="AS116" s="1025">
        <f>+(PSUT_2014!X35)</f>
        <v>0</v>
      </c>
      <c r="AT116" s="1025">
        <f>+(PSUT_2014!AA35)</f>
        <v>34801.911993788104</v>
      </c>
      <c r="AU116" s="1025"/>
    </row>
    <row r="117" spans="1:56" x14ac:dyDescent="0.25">
      <c r="A117" s="1210"/>
      <c r="B117" s="1208" t="str">
        <f>+(PSUT_2014!B38)</f>
        <v>5. Total returns (= 5.a+5.b)</v>
      </c>
      <c r="D117" s="1025">
        <f>+(PSUT_2014!AA38)</f>
        <v>2651797.7072523031</v>
      </c>
      <c r="F117" s="1025">
        <f>+(PSUT_2014!C38)</f>
        <v>1524008.4750215835</v>
      </c>
      <c r="M117" s="1025">
        <f>+(PSUT_2014!D38)</f>
        <v>54.219910499999997</v>
      </c>
      <c r="N117" s="1025">
        <f>+(PSUT_2014!E38)</f>
        <v>514699.26072578493</v>
      </c>
      <c r="W117" s="1025">
        <f>+(PSUT_2014!F38)</f>
        <v>339158.53014693107</v>
      </c>
      <c r="X117" s="1025">
        <f>+(PSUT_2014!G38)</f>
        <v>2570.3302400000002</v>
      </c>
      <c r="Y117" s="1025">
        <f>+(PSUT_2014!H38)</f>
        <v>0</v>
      </c>
      <c r="Z117" s="1025">
        <f>+(PSUT_2014!I38)</f>
        <v>0</v>
      </c>
      <c r="AD117" s="1025">
        <f>+(PSUT_2014!J38)</f>
        <v>0</v>
      </c>
      <c r="AF117" s="1025">
        <f>+(PSUT_2014!K38)</f>
        <v>301.01142363711335</v>
      </c>
      <c r="AG117" s="1025">
        <f>+(PSUT_2014!L38)</f>
        <v>0</v>
      </c>
      <c r="AH117" s="1269">
        <f>+(PSUT_2014!M38)</f>
        <v>56.868619657611163</v>
      </c>
      <c r="AI117" s="1025">
        <f>+(PSUT_2014!N38)</f>
        <v>0</v>
      </c>
      <c r="AJ117" s="1025">
        <f>+(PSUT_2014!O38)</f>
        <v>0</v>
      </c>
      <c r="AK117" s="1025">
        <f>+(PSUT_2014!P38)</f>
        <v>0</v>
      </c>
      <c r="AL117" s="1025">
        <f>+(PSUT_2014!Q38)</f>
        <v>0</v>
      </c>
      <c r="AM117" s="1025">
        <f>+(PSUT_2014!R38)</f>
        <v>179497.86400000003</v>
      </c>
      <c r="AN117" s="1025">
        <f>+(PSUT_2014!S38)</f>
        <v>3447.7778158871602</v>
      </c>
      <c r="AO117" s="1025">
        <f>+SUM(PSUT_2014!T38:'PSUT_2014'!V38)</f>
        <v>10.714873014735879</v>
      </c>
      <c r="AP117" s="1025">
        <f>+(PSUT_2014!U38)</f>
        <v>10.714873014735879</v>
      </c>
      <c r="AQ117" s="1025">
        <f>+(PSUT_2014!V38)</f>
        <v>0</v>
      </c>
      <c r="AR117" s="1025">
        <f>+(PSUT_2014!W38)</f>
        <v>2563805.052776997</v>
      </c>
      <c r="AS117" s="1025">
        <f>+(PSUT_2014!X38)</f>
        <v>82781</v>
      </c>
      <c r="AT117" s="1025">
        <f>+(PSUT_2014!AA38)</f>
        <v>2651797.7072523031</v>
      </c>
      <c r="AU117" s="1025"/>
    </row>
    <row r="118" spans="1:56" x14ac:dyDescent="0.25">
      <c r="A118" s="1210"/>
      <c r="B118" s="1208" t="str">
        <f>+(PSUT_2014!A44)</f>
        <v>6. Total supply of water (= 4+5)</v>
      </c>
      <c r="D118" s="1025">
        <f>+(PSUT_2014!AA44)</f>
        <v>2686599.6192460908</v>
      </c>
      <c r="F118" s="1025">
        <f>+(PSUT_2014!C44)</f>
        <v>1524008.4750215835</v>
      </c>
      <c r="M118" s="1025">
        <f>+(PSUT_2014!D44)</f>
        <v>21362.461999937204</v>
      </c>
      <c r="N118" s="1025">
        <f>+(PSUT_2014!E44)</f>
        <v>515516.1363586238</v>
      </c>
      <c r="W118" s="1025">
        <f>+(PSUT_2014!F44)</f>
        <v>339158.53014693107</v>
      </c>
      <c r="X118" s="1025">
        <f>+(PSUT_2014!G44)</f>
        <v>2570.3302400000002</v>
      </c>
      <c r="Y118" s="1025">
        <f>+(PSUT_2014!H44)</f>
        <v>0</v>
      </c>
      <c r="Z118" s="1025">
        <f>+(PSUT_2014!I44)</f>
        <v>0</v>
      </c>
      <c r="AD118" s="1025">
        <f>+(PSUT_2014!J44)</f>
        <v>0</v>
      </c>
      <c r="AF118" s="1025">
        <f>+(PSUT_2014!K44)</f>
        <v>12972.195091540892</v>
      </c>
      <c r="AG118" s="1025">
        <f>+(PSUT_2014!L44)</f>
        <v>0</v>
      </c>
      <c r="AH118" s="1269">
        <f>+(PSUT_2014!M44)</f>
        <v>62.479223265858586</v>
      </c>
      <c r="AI118" s="1025">
        <f>+(PSUT_2014!N44)</f>
        <v>0</v>
      </c>
      <c r="AJ118" s="1025">
        <f>+(PSUT_2014!O44)</f>
        <v>0</v>
      </c>
      <c r="AK118" s="1025">
        <f>+(PSUT_2014!P44)</f>
        <v>0</v>
      </c>
      <c r="AL118" s="1025">
        <f>+(PSUT_2014!Q44)</f>
        <v>0</v>
      </c>
      <c r="AM118" s="1025">
        <f>+(PSUT_2014!R44)</f>
        <v>179497.86400000003</v>
      </c>
      <c r="AN118" s="1025">
        <f>+(PSUT_2014!S44)</f>
        <v>3447.7778158871602</v>
      </c>
      <c r="AO118" s="1025">
        <f>+SUM(PSUT_2014!T44:'PSUT_2014'!V44)</f>
        <v>10.714873014735879</v>
      </c>
      <c r="AP118" s="1025">
        <f>+(PSUT_2014!U44)</f>
        <v>10.714873014735879</v>
      </c>
      <c r="AQ118" s="1025">
        <f>+(PSUT_2014!V44)</f>
        <v>0</v>
      </c>
      <c r="AR118" s="1025">
        <f>+(PSUT_2014!W44)</f>
        <v>2598606.9647707846</v>
      </c>
      <c r="AS118" s="1025">
        <f>+(PSUT_2014!X44)</f>
        <v>82781</v>
      </c>
      <c r="AT118" s="1025">
        <f>+(PSUT_2014!AA44)</f>
        <v>2686599.6192460908</v>
      </c>
      <c r="AU118" s="1025"/>
    </row>
    <row r="119" spans="1:56" x14ac:dyDescent="0.25">
      <c r="A119" s="1211"/>
      <c r="B119" s="1212" t="str">
        <f>+(PSUT_2014!A45)</f>
        <v>7. Consumption (3-6)</v>
      </c>
      <c r="C119" s="295"/>
      <c r="D119" s="1028">
        <f>+(PSUT_2014!AA45)</f>
        <v>12479599.031542027</v>
      </c>
      <c r="E119" s="295"/>
      <c r="F119" s="1028">
        <f>+(PSUT_2014!C45)</f>
        <v>12073089.547444249</v>
      </c>
      <c r="G119" s="295"/>
      <c r="H119" s="295"/>
      <c r="I119" s="295"/>
      <c r="J119" s="295"/>
      <c r="K119" s="295"/>
      <c r="L119" s="295"/>
      <c r="M119" s="1028">
        <f>+(PSUT_2014!D45)</f>
        <v>1067.2665152598529</v>
      </c>
      <c r="N119" s="1028">
        <f>+(PSUT_2014!E45)</f>
        <v>151490.0473498166</v>
      </c>
      <c r="O119" s="295"/>
      <c r="P119" s="295"/>
      <c r="Q119" s="295"/>
      <c r="R119" s="295"/>
      <c r="S119" s="295"/>
      <c r="T119" s="295"/>
      <c r="U119" s="295"/>
      <c r="V119" s="295"/>
      <c r="W119" s="1195">
        <f>+(PSUT_2014!F45)</f>
        <v>17850.44895510166</v>
      </c>
      <c r="X119" s="1028">
        <f>+(PSUT_2014!G45)</f>
        <v>50969.869260012383</v>
      </c>
      <c r="Y119" s="1028">
        <f>+(PSUT_2014!H45)</f>
        <v>0</v>
      </c>
      <c r="Z119" s="1028">
        <f>+(PSUT_2014!I45)</f>
        <v>0</v>
      </c>
      <c r="AA119" s="295"/>
      <c r="AB119" s="295"/>
      <c r="AC119" s="295"/>
      <c r="AD119" s="1028">
        <f>+(PSUT_2014!J45)</f>
        <v>0</v>
      </c>
      <c r="AE119" s="295"/>
      <c r="AF119" s="1028">
        <f>+(PSUT_2014!K45)</f>
        <v>3700.4149084591081</v>
      </c>
      <c r="AG119" s="1028">
        <f>+(PSUT_2014!L45)</f>
        <v>0</v>
      </c>
      <c r="AH119" s="1270">
        <f>+(PSUT_2014!M45)</f>
        <v>13.611322139488699</v>
      </c>
      <c r="AI119" s="1028">
        <f>+(PSUT_2014!N45)</f>
        <v>0</v>
      </c>
      <c r="AJ119" s="1028">
        <f>+(PSUT_2014!O45)</f>
        <v>0</v>
      </c>
      <c r="AK119" s="1028">
        <f>+(PSUT_2014!P45)</f>
        <v>0</v>
      </c>
      <c r="AL119" s="1028">
        <f>+(PSUT_2014!Q45)</f>
        <v>0</v>
      </c>
      <c r="AM119" s="1028">
        <f>+(PSUT_2014!R45)</f>
        <v>45007.581399999966</v>
      </c>
      <c r="AN119" s="1028">
        <f>+(PSUT_2014!S45)</f>
        <v>861.94444968661037</v>
      </c>
      <c r="AO119" s="1028">
        <f>+SUM(PSUT_2014!T45:'PSUT_2014'!V45)</f>
        <v>132.68839873822006</v>
      </c>
      <c r="AP119" s="1028">
        <f>+(PSUT_2014!U45)</f>
        <v>132.68839873822006</v>
      </c>
      <c r="AQ119" s="1028">
        <f>+(PSUT_2014!V45)</f>
        <v>0</v>
      </c>
      <c r="AR119" s="1028">
        <f>+(PSUT_2014!W45)</f>
        <v>12344183.420003464</v>
      </c>
      <c r="AS119" s="1028">
        <f>+(PSUT_2014!X45)</f>
        <v>134112.69792386814</v>
      </c>
      <c r="AT119" s="1028">
        <f>+(PSUT_2014!AA45)</f>
        <v>12479599.031542027</v>
      </c>
      <c r="AU119" s="1025"/>
    </row>
    <row r="120" spans="1:56" x14ac:dyDescent="0.25">
      <c r="B120" s="1025"/>
      <c r="F120" s="1025"/>
      <c r="M120" s="1025"/>
      <c r="N120" s="1025"/>
      <c r="W120" s="1025"/>
      <c r="X120" s="1025"/>
      <c r="Y120" s="1025"/>
      <c r="Z120" s="1025"/>
      <c r="AD120" s="1025"/>
      <c r="AF120" s="1025"/>
      <c r="AG120" s="1025"/>
      <c r="AH120" s="1025"/>
      <c r="AI120" s="1025"/>
      <c r="AJ120" s="1025"/>
      <c r="AK120" s="1025"/>
      <c r="AL120" s="1025"/>
      <c r="AM120" s="1025"/>
      <c r="AN120" s="1025"/>
      <c r="AO120" s="1025"/>
      <c r="AP120" s="1025"/>
      <c r="AQ120" s="1025"/>
      <c r="AR120" s="1025"/>
      <c r="AS120" s="1025"/>
      <c r="AU120" s="1025"/>
    </row>
    <row r="122" spans="1:56" ht="150" x14ac:dyDescent="0.25">
      <c r="A122" s="1218"/>
      <c r="B122" s="1219" t="s">
        <v>1407</v>
      </c>
      <c r="C122" s="1219" t="s">
        <v>1050</v>
      </c>
      <c r="D122" s="1231" t="str">
        <f>PSUT_2015!AA3</f>
        <v xml:space="preserve">Total </v>
      </c>
      <c r="E122" s="1219"/>
      <c r="F122" s="1231" t="str">
        <f>PSUT_2015!C4</f>
        <v xml:space="preserve">A. Agriculture, forestry and fishing </v>
      </c>
      <c r="G122" s="1219"/>
      <c r="H122" s="1219"/>
      <c r="I122" s="1219"/>
      <c r="J122" s="1219"/>
      <c r="K122" s="1219"/>
      <c r="L122" s="1219"/>
      <c r="M122" s="1231" t="str">
        <f>PSUT_2015!D4</f>
        <v xml:space="preserve">B. Mining and Quarrying </v>
      </c>
      <c r="N122" s="1231" t="str">
        <f>PSUT_2015!E4</f>
        <v>C. Manufacturing</v>
      </c>
      <c r="O122" s="1219"/>
      <c r="P122" s="1219"/>
      <c r="Q122" s="1219"/>
      <c r="R122" s="1219"/>
      <c r="S122" s="1219"/>
      <c r="T122" s="1219"/>
      <c r="U122" s="1219"/>
      <c r="V122" s="1219"/>
      <c r="W122" s="1231" t="str">
        <f>PSUT_2015!F4</f>
        <v>D. Electricity, gas, steam and air conditioning supply</v>
      </c>
      <c r="X122" s="1231" t="str">
        <f>PSUT_2015!G4</f>
        <v>E. Water supply (WASAC &amp; AquaVirunga)</v>
      </c>
      <c r="Y122" s="1231" t="str">
        <f>PSUT_2015!H4</f>
        <v>F. Construction</v>
      </c>
      <c r="Z122" s="1231" t="str">
        <f>PSUT_2015!I4</f>
        <v>G. Wholesale and retail trade; repair of motor vehicles and motorcycles</v>
      </c>
      <c r="AA122" s="1219"/>
      <c r="AB122" s="1219"/>
      <c r="AC122" s="1219"/>
      <c r="AD122" s="1231" t="str">
        <f>PSUT_2015!J4</f>
        <v>H. Transportation and storage</v>
      </c>
      <c r="AE122" s="1219"/>
      <c r="AF122" s="1231" t="str">
        <f>PSUT_2015!K4</f>
        <v>I. Accommodation and food service activities</v>
      </c>
      <c r="AG122" s="1231" t="str">
        <f>PSUT_2015!L4</f>
        <v>J. Information and communication</v>
      </c>
      <c r="AH122" s="1231" t="str">
        <f>PSUT_2015!M4</f>
        <v>K. Banking and insurance activities</v>
      </c>
      <c r="AI122" s="1231" t="str">
        <f>PSUT_2015!N4</f>
        <v>L. Real estate activities</v>
      </c>
      <c r="AJ122" s="1231" t="str">
        <f>PSUT_2015!O4</f>
        <v>M. Professional, scientific and technical activities</v>
      </c>
      <c r="AK122" s="1231" t="str">
        <f>PSUT_2015!P4</f>
        <v>N. Administrative and support service activities</v>
      </c>
      <c r="AL122" s="1231" t="str">
        <f>PSUT_2015!Q4</f>
        <v>O. Public administration and defence; compulsory social security</v>
      </c>
      <c r="AM122" s="1231" t="str">
        <f>PSUT_2015!R4</f>
        <v>P. Education</v>
      </c>
      <c r="AN122" s="1231" t="str">
        <f>PSUT_2015!S4</f>
        <v xml:space="preserve">Q. Human health and social work activities </v>
      </c>
      <c r="AO122" s="1231" t="str">
        <f>PSUT_2015!T4</f>
        <v>R. Arts, entertainment and recreation</v>
      </c>
      <c r="AP122" s="1231" t="str">
        <f>PSUT_2015!U4</f>
        <v>S. Other service activities (Religious &amp; Burial)</v>
      </c>
      <c r="AQ122" s="1231" t="str">
        <f>PSUT_2015!V4</f>
        <v>T. Activities of households as employers; undifferentiated goods- and services-producing activities of households for own use</v>
      </c>
      <c r="AR122" s="1231" t="str">
        <f>PSUT_2015!W3</f>
        <v xml:space="preserve">Total Production activities </v>
      </c>
      <c r="AS122" s="1231" t="str">
        <f>PSUT_2015!X4</f>
        <v>Households</v>
      </c>
      <c r="AT122" s="1231" t="str">
        <f>PSUT_2015!AA3</f>
        <v xml:space="preserve">Total </v>
      </c>
      <c r="AU122" s="584"/>
      <c r="AW122" s="584"/>
      <c r="AX122" s="584"/>
      <c r="AY122" s="584"/>
      <c r="AZ122" s="584"/>
      <c r="BA122" s="584"/>
      <c r="BB122" s="584"/>
      <c r="BC122" s="584"/>
      <c r="BD122" s="584"/>
    </row>
    <row r="123" spans="1:56" x14ac:dyDescent="0.25">
      <c r="A123" s="1805" t="str">
        <f>+(PSUT_2015!A6)</f>
        <v>From the environment</v>
      </c>
      <c r="B123" s="1220" t="str">
        <f>+(PSUT_2015!B9)</f>
        <v>1 - Total abstraction (1.i+1.ii)</v>
      </c>
      <c r="D123" s="1025">
        <f>+(PSUT_2015!AA9)</f>
        <v>14357623.154118931</v>
      </c>
      <c r="F123" s="1025">
        <f>+(PSUT_2015!C9)</f>
        <v>13846587.983314097</v>
      </c>
      <c r="H123" s="1024"/>
      <c r="I123" s="1024"/>
      <c r="J123" s="1024"/>
      <c r="K123" s="1024"/>
      <c r="L123" s="1024"/>
      <c r="M123" s="1025">
        <f>+(PSUT_2015!D9)</f>
        <v>22449.851322900999</v>
      </c>
      <c r="N123" s="1025">
        <f>+(PSUT_2015!E9)</f>
        <v>24551.455500526612</v>
      </c>
      <c r="P123" s="1026"/>
      <c r="Q123" s="1026"/>
      <c r="R123" s="1026"/>
      <c r="S123" s="1026"/>
      <c r="T123" s="1026"/>
      <c r="U123" s="1026"/>
      <c r="V123" s="1026"/>
      <c r="W123" s="1025">
        <f>+(PSUT_2015!F9)</f>
        <v>368457.53750127146</v>
      </c>
      <c r="X123" s="1025">
        <f>+(PSUT_2015!G9)</f>
        <v>53807.900497512448</v>
      </c>
      <c r="Y123" s="1025">
        <f>+(PSUT_2015!H9)</f>
        <v>0</v>
      </c>
      <c r="Z123" s="1025">
        <f>+(PSUT_2015!I9)</f>
        <v>0</v>
      </c>
      <c r="AB123" s="1024"/>
      <c r="AC123" s="1024"/>
      <c r="AD123" s="1025">
        <f>+(PSUT_2015!J9)</f>
        <v>0</v>
      </c>
      <c r="AF123" s="1025">
        <f>+(PSUT_2015!K9)</f>
        <v>0</v>
      </c>
      <c r="AG123" s="1025">
        <f>+(PSUT_2015!L9)</f>
        <v>0</v>
      </c>
      <c r="AH123" s="1269">
        <f>+(PSUT_2015!M9)</f>
        <v>0.06</v>
      </c>
      <c r="AI123" s="1025">
        <f>+(PSUT_2015!N9)</f>
        <v>0</v>
      </c>
      <c r="AJ123" s="1025">
        <f>+(PSUT_2015!O9)</f>
        <v>0</v>
      </c>
      <c r="AK123" s="1025">
        <f>+(PSUT_2015!P9)</f>
        <v>0</v>
      </c>
      <c r="AL123" s="1025">
        <f>+(PSUT_2015!Q9)</f>
        <v>0</v>
      </c>
      <c r="AM123" s="1025">
        <f>+(PSUT_2015!R9)</f>
        <v>133.11539999999999</v>
      </c>
      <c r="AN123" s="1025">
        <f>+(PSUT_2015!S9)</f>
        <v>588.7795155737706</v>
      </c>
      <c r="AO123" s="1025">
        <f>+SUM(PSUT_2015!T9:'PSUT_2015'!V9)</f>
        <v>11.709600000000002</v>
      </c>
      <c r="AP123" s="1025">
        <f>+(PSUT_2015!U9)</f>
        <v>11.709600000000002</v>
      </c>
      <c r="AQ123" s="1025">
        <f>+(PSUT_2015!V9)</f>
        <v>0</v>
      </c>
      <c r="AR123" s="1025">
        <f>+(PSUT_2015!W9)</f>
        <v>14316588.392651882</v>
      </c>
      <c r="AS123" s="1025">
        <f>+(PSUT_2015!X9)</f>
        <v>41034.76146704804</v>
      </c>
      <c r="AT123" s="1025">
        <f>+(PSUT_2015!AA9)</f>
        <v>14357623.154118931</v>
      </c>
      <c r="AU123" s="1025"/>
      <c r="AW123" s="584"/>
      <c r="AX123" s="584"/>
      <c r="AY123" s="584"/>
      <c r="AZ123" s="584"/>
      <c r="BA123" s="584"/>
      <c r="BB123" s="584"/>
      <c r="BC123" s="584"/>
      <c r="BD123" s="584"/>
    </row>
    <row r="124" spans="1:56" x14ac:dyDescent="0.25">
      <c r="A124" s="1805"/>
      <c r="B124" s="1220" t="str">
        <f>+B125 &amp; " &amp; "&amp; B126</f>
        <v>1.i.1 Surface water &amp; 1.i.2 Groundwater</v>
      </c>
      <c r="D124" s="1025">
        <f>+SUM(PSUT_2015!AA11,PSUT_2015!AA16)</f>
        <v>716153.65098616108</v>
      </c>
      <c r="F124" s="1025">
        <f>+SUM(PSUT_2015!C11,PSUT_2015!C16)</f>
        <v>227564.16488132768</v>
      </c>
      <c r="H124" s="1024"/>
      <c r="I124" s="1024"/>
      <c r="J124" s="1024"/>
      <c r="K124" s="1024"/>
      <c r="L124" s="1024"/>
      <c r="M124" s="1025">
        <f>+SUM(PSUT_2015!D11,PSUT_2015!D16)</f>
        <v>1090.051322901</v>
      </c>
      <c r="N124" s="1025">
        <f>+SUM(PSUT_2015!E11,PSUT_2015!E16)</f>
        <v>24523.255500526611</v>
      </c>
      <c r="P124" s="1026"/>
      <c r="Q124" s="1026"/>
      <c r="R124" s="1026"/>
      <c r="S124" s="1026"/>
      <c r="T124" s="1026"/>
      <c r="U124" s="1026"/>
      <c r="V124" s="1026"/>
      <c r="W124" s="1025">
        <f>+SUM(PSUT_2015!F11,PSUT_2015!F16)</f>
        <v>368457.53750127146</v>
      </c>
      <c r="X124" s="1025">
        <f>+SUM(PSUT_2015!G11,PSUT_2015!G16)</f>
        <v>53807.900497512448</v>
      </c>
      <c r="Y124" s="1025">
        <f>+SUM(PSUT_2015!H11,PSUT_2015!H16)</f>
        <v>0</v>
      </c>
      <c r="Z124" s="1025">
        <f>+SUM(PSUT_2015!I11,PSUT_2015!I16)</f>
        <v>0</v>
      </c>
      <c r="AB124" s="1024"/>
      <c r="AC124" s="1024"/>
      <c r="AD124" s="1025">
        <f>+SUM(PSUT_2015!J11,PSUT_2015!J16)</f>
        <v>0</v>
      </c>
      <c r="AF124" s="1025">
        <f>+SUM(PSUT_2015!K11,PSUT_2015!K16)</f>
        <v>0</v>
      </c>
      <c r="AG124" s="1025">
        <f>+SUM(PSUT_2015!L11,PSUT_2015!L16)</f>
        <v>0</v>
      </c>
      <c r="AH124" s="1269">
        <f>+SUM(PSUT_2015!M11,PSUT_2015!M16)</f>
        <v>0</v>
      </c>
      <c r="AI124" s="1025">
        <f>+SUM(PSUT_2015!N11,PSUT_2015!N16)</f>
        <v>0</v>
      </c>
      <c r="AJ124" s="1025">
        <f>+SUM(PSUT_2015!O11,PSUT_2015!O16)</f>
        <v>0</v>
      </c>
      <c r="AK124" s="1025">
        <f>+SUM(PSUT_2015!P11,PSUT_2015!P16)</f>
        <v>0</v>
      </c>
      <c r="AL124" s="1025">
        <f>+SUM(PSUT_2015!Q11,PSUT_2015!Q16)</f>
        <v>0</v>
      </c>
      <c r="AM124" s="1025">
        <f>+SUM(PSUT_2015!R11,PSUT_2015!R16)</f>
        <v>133.11539999999999</v>
      </c>
      <c r="AN124" s="1025">
        <f>+SUM(PSUT_2015!S11,PSUT_2015!S16)</f>
        <v>90.790815573770487</v>
      </c>
      <c r="AO124" s="1025">
        <f>+SUM(PSUT_2015!T11,PSUT_2015!T16)</f>
        <v>0</v>
      </c>
      <c r="AP124" s="1025">
        <f>+SUM(PSUT_2015!U11,PSUT_2015!U16)</f>
        <v>2.0736000000000003</v>
      </c>
      <c r="AQ124" s="1025">
        <f>+SUM(PSUT_2015!V11,PSUT_2015!V16)</f>
        <v>0</v>
      </c>
      <c r="AR124" s="1025">
        <f>+SUM(PSUT_2015!W11,PSUT_2015!W16)</f>
        <v>675668.889519113</v>
      </c>
      <c r="AS124" s="1025">
        <f>+SUM(PSUT_2015!X11,PSUT_2015!X16)</f>
        <v>40484.76146704804</v>
      </c>
      <c r="AT124" s="1025">
        <f>+SUM(PSUT_2015!AA11,PSUT_2015!AA16)</f>
        <v>716153.65098616108</v>
      </c>
      <c r="AU124" s="1025"/>
      <c r="AW124" s="584"/>
      <c r="AX124" s="584"/>
      <c r="AY124" s="584"/>
      <c r="AZ124" s="584"/>
      <c r="BA124" s="584"/>
      <c r="BB124" s="584"/>
      <c r="BC124" s="584"/>
      <c r="BD124" s="584"/>
    </row>
    <row r="125" spans="1:56" x14ac:dyDescent="0.25">
      <c r="A125" s="1805"/>
      <c r="B125" s="1220" t="str">
        <f>+(PSUT_2015!B11)</f>
        <v>1.i.1 Surface water</v>
      </c>
      <c r="D125" s="1025">
        <f>+(PSUT_2015!AA11)</f>
        <v>651418.35844372853</v>
      </c>
      <c r="E125" s="578"/>
      <c r="F125" s="1025">
        <f>+(PSUT_2015!C11)</f>
        <v>213589.91369091149</v>
      </c>
      <c r="H125" s="1024"/>
      <c r="I125" s="1024"/>
      <c r="J125" s="1024"/>
      <c r="K125" s="1024"/>
      <c r="L125" s="1024"/>
      <c r="M125" s="1025">
        <f>+(PSUT_2015!D11)</f>
        <v>1026.2631929010001</v>
      </c>
      <c r="N125" s="1025">
        <f>+(PSUT_2015!E11)</f>
        <v>15398.58474661503</v>
      </c>
      <c r="P125" s="1026"/>
      <c r="Q125" s="1026"/>
      <c r="R125" s="1026"/>
      <c r="S125" s="1026"/>
      <c r="T125" s="1026"/>
      <c r="U125" s="1026"/>
      <c r="V125" s="1026"/>
      <c r="W125" s="1025">
        <f>+(PSUT_2015!F11)</f>
        <v>368457.53750127146</v>
      </c>
      <c r="X125" s="1025">
        <f>+(PSUT_2015!G11)</f>
        <v>41642.371781681206</v>
      </c>
      <c r="Y125" s="1025">
        <f>+(PSUT_2015!H11)</f>
        <v>0</v>
      </c>
      <c r="Z125" s="1025">
        <f>+(PSUT_2015!I11)</f>
        <v>0</v>
      </c>
      <c r="AB125" s="1024"/>
      <c r="AC125" s="1024"/>
      <c r="AD125" s="1025">
        <f>+(PSUT_2015!J11)</f>
        <v>0</v>
      </c>
      <c r="AF125" s="1025">
        <f>+(PSUT_2015!K11)</f>
        <v>0</v>
      </c>
      <c r="AG125" s="1025">
        <f>+(PSUT_2015!L11)</f>
        <v>0</v>
      </c>
      <c r="AH125" s="1269">
        <f>+(PSUT_2015!M11)</f>
        <v>0</v>
      </c>
      <c r="AI125" s="1025">
        <f>+(PSUT_2015!N11)</f>
        <v>0</v>
      </c>
      <c r="AJ125" s="1025">
        <f>+(PSUT_2015!O11)</f>
        <v>0</v>
      </c>
      <c r="AK125" s="1025">
        <f>+(PSUT_2015!P11)</f>
        <v>0</v>
      </c>
      <c r="AL125" s="1025">
        <f>+(PSUT_2015!Q11)</f>
        <v>0</v>
      </c>
      <c r="AM125" s="1025">
        <f>+(PSUT_2015!R11)</f>
        <v>0</v>
      </c>
      <c r="AN125" s="1025">
        <f>+(PSUT_2015!S11)</f>
        <v>0</v>
      </c>
      <c r="AO125" s="1025">
        <f>+SUM(PSUT_2015!T11:'PSUT_2015'!V11)</f>
        <v>2.0736000000000003</v>
      </c>
      <c r="AP125" s="1025">
        <f>+(PSUT_2015!U11)</f>
        <v>2.0736000000000003</v>
      </c>
      <c r="AQ125" s="1025">
        <f>+(PSUT_2015!V11)</f>
        <v>0</v>
      </c>
      <c r="AR125" s="1025">
        <f>+(PSUT_2015!W11)</f>
        <v>640116.74451338022</v>
      </c>
      <c r="AS125" s="1025">
        <f>+(PSUT_2015!X11)</f>
        <v>11301.61393034826</v>
      </c>
      <c r="AT125" s="1025">
        <f>+(PSUT_2015!AA11)</f>
        <v>651418.35844372853</v>
      </c>
      <c r="AU125" s="1025"/>
      <c r="AW125" s="584"/>
      <c r="AX125" s="584"/>
      <c r="AY125" s="584"/>
      <c r="AZ125" s="584"/>
      <c r="BA125" s="584"/>
      <c r="BB125" s="584"/>
      <c r="BC125" s="584"/>
      <c r="BD125" s="584"/>
    </row>
    <row r="126" spans="1:56" x14ac:dyDescent="0.25">
      <c r="A126" s="1805"/>
      <c r="B126" s="1220" t="str">
        <f>+(PSUT_2015!B16)</f>
        <v>1.i.2 Groundwater</v>
      </c>
      <c r="D126" s="1025">
        <f>+(PSUT_2015!AA16)</f>
        <v>64735.292542432573</v>
      </c>
      <c r="E126" s="1024"/>
      <c r="F126" s="1025">
        <f>+(PSUT_2015!C16)</f>
        <v>13974.251190416202</v>
      </c>
      <c r="H126" s="1024"/>
      <c r="I126" s="1024"/>
      <c r="J126" s="1024"/>
      <c r="K126" s="1024"/>
      <c r="L126" s="1024"/>
      <c r="M126" s="1025">
        <f>+(PSUT_2015!D16)</f>
        <v>63.788130000000002</v>
      </c>
      <c r="N126" s="1025">
        <f>+(PSUT_2015!E16)</f>
        <v>9124.6707539115796</v>
      </c>
      <c r="P126" s="1024"/>
      <c r="Q126" s="1024"/>
      <c r="R126" s="1024"/>
      <c r="S126" s="1024"/>
      <c r="T126" s="1024"/>
      <c r="U126" s="1024"/>
      <c r="V126" s="1024"/>
      <c r="W126" s="1025">
        <f>+(PSUT_2015!F16)</f>
        <v>0</v>
      </c>
      <c r="X126" s="1025">
        <f>+(PSUT_2015!G16)</f>
        <v>12165.528715831242</v>
      </c>
      <c r="Y126" s="1025">
        <f>+(PSUT_2015!H16)</f>
        <v>0</v>
      </c>
      <c r="Z126" s="1025">
        <f>+(PSUT_2015!I16)</f>
        <v>0</v>
      </c>
      <c r="AB126" s="1024"/>
      <c r="AC126" s="1024"/>
      <c r="AD126" s="1025">
        <f>+(PSUT_2015!J16)</f>
        <v>0</v>
      </c>
      <c r="AF126" s="1025">
        <f>+(PSUT_2015!K16)</f>
        <v>0</v>
      </c>
      <c r="AG126" s="1025">
        <f>+(PSUT_2015!L16)</f>
        <v>0</v>
      </c>
      <c r="AH126" s="1269">
        <f>+(PSUT_2015!M16)</f>
        <v>0</v>
      </c>
      <c r="AI126" s="1025">
        <f>+(PSUT_2015!N16)</f>
        <v>0</v>
      </c>
      <c r="AJ126" s="1025">
        <f>+(PSUT_2015!O16)</f>
        <v>0</v>
      </c>
      <c r="AK126" s="1025">
        <f>+(PSUT_2015!P16)</f>
        <v>0</v>
      </c>
      <c r="AL126" s="1025">
        <f>+(PSUT_2015!Q16)</f>
        <v>0</v>
      </c>
      <c r="AM126" s="1025">
        <f>+(PSUT_2015!R16)</f>
        <v>133.11539999999999</v>
      </c>
      <c r="AN126" s="1025">
        <f>+(PSUT_2015!S16)</f>
        <v>90.790815573770487</v>
      </c>
      <c r="AO126" s="1025">
        <f>+SUM(PSUT_2015!T16:'PSUT_2015'!V16)</f>
        <v>0</v>
      </c>
      <c r="AP126" s="1025">
        <f>+(PSUT_2015!U16)</f>
        <v>0</v>
      </c>
      <c r="AQ126" s="1025">
        <f>+(PSUT_2015!V16)</f>
        <v>0</v>
      </c>
      <c r="AR126" s="1025">
        <f>+(PSUT_2015!W16)</f>
        <v>35552.145005732797</v>
      </c>
      <c r="AS126" s="1025">
        <f>+(PSUT_2015!X16)</f>
        <v>29183.147536699777</v>
      </c>
      <c r="AT126" s="1025">
        <f>+(PSUT_2015!AA16)</f>
        <v>64735.292542432573</v>
      </c>
      <c r="AU126" s="1025"/>
    </row>
    <row r="127" spans="1:56" x14ac:dyDescent="0.25">
      <c r="A127" s="1805"/>
      <c r="B127" s="1220" t="str">
        <f>+(PSUT_2015!B19)</f>
        <v>1.i.3 Soil water (green water)</v>
      </c>
      <c r="D127" s="1025">
        <f>+(PSUT_2015!AA19)</f>
        <v>13618216.818432769</v>
      </c>
      <c r="E127" s="1024"/>
      <c r="F127" s="1025">
        <f>+(PSUT_2015!C19)</f>
        <v>13618216.818432769</v>
      </c>
      <c r="H127" s="1024"/>
      <c r="I127" s="1024"/>
      <c r="J127" s="1024"/>
      <c r="K127" s="1024"/>
      <c r="L127" s="1024"/>
      <c r="M127" s="1025">
        <f>+(PSUT_2015!D19)</f>
        <v>0</v>
      </c>
      <c r="N127" s="1025">
        <f>+(PSUT_2015!E19)</f>
        <v>0</v>
      </c>
      <c r="P127" s="1024"/>
      <c r="Q127" s="1024"/>
      <c r="R127" s="1024"/>
      <c r="S127" s="1024"/>
      <c r="T127" s="1024"/>
      <c r="U127" s="1024"/>
      <c r="V127" s="1024"/>
      <c r="W127" s="1025">
        <f>+(PSUT_2015!F19)</f>
        <v>0</v>
      </c>
      <c r="X127" s="1025">
        <f>+(PSUT_2015!G19)</f>
        <v>0</v>
      </c>
      <c r="Y127" s="1025">
        <f>+(PSUT_2015!H19)</f>
        <v>0</v>
      </c>
      <c r="Z127" s="1025">
        <f>+(PSUT_2015!I19)</f>
        <v>0</v>
      </c>
      <c r="AB127" s="1024"/>
      <c r="AC127" s="1024"/>
      <c r="AD127" s="1025">
        <f>+(PSUT_2015!J19)</f>
        <v>0</v>
      </c>
      <c r="AF127" s="1025">
        <f>+(PSUT_2015!K19)</f>
        <v>0</v>
      </c>
      <c r="AG127" s="1025">
        <f>+(PSUT_2015!L19)</f>
        <v>0</v>
      </c>
      <c r="AH127" s="1269">
        <f>+(PSUT_2015!M19)</f>
        <v>0</v>
      </c>
      <c r="AI127" s="1025">
        <f>+(PSUT_2015!N19)</f>
        <v>0</v>
      </c>
      <c r="AJ127" s="1025">
        <f>+(PSUT_2015!O19)</f>
        <v>0</v>
      </c>
      <c r="AK127" s="1025">
        <f>+(PSUT_2015!P19)</f>
        <v>0</v>
      </c>
      <c r="AL127" s="1025">
        <f>+(PSUT_2015!Q19)</f>
        <v>0</v>
      </c>
      <c r="AM127" s="1025">
        <f>+(PSUT_2015!R19)</f>
        <v>0</v>
      </c>
      <c r="AN127" s="1025">
        <f>+(PSUT_2015!S19)</f>
        <v>0</v>
      </c>
      <c r="AO127" s="1025">
        <f>+SUM(PSUT_2015!T19:'PSUT_2015'!V19)</f>
        <v>0</v>
      </c>
      <c r="AP127" s="1025">
        <f>+(PSUT_2015!U19)</f>
        <v>0</v>
      </c>
      <c r="AQ127" s="1025">
        <f>+(PSUT_2015!V19)</f>
        <v>0</v>
      </c>
      <c r="AR127" s="1025">
        <f>+(PSUT_2015!W19)</f>
        <v>13618216.818432769</v>
      </c>
      <c r="AS127" s="1025">
        <f>+(PSUT_2015!X19)</f>
        <v>0</v>
      </c>
      <c r="AT127" s="1025">
        <f>+(PSUT_2015!AA19)</f>
        <v>13618216.818432769</v>
      </c>
      <c r="AU127" s="1025"/>
    </row>
    <row r="128" spans="1:56" x14ac:dyDescent="0.25">
      <c r="A128" s="1805"/>
      <c r="B128" s="1220" t="str">
        <f>+(PSUT_2015!B20)</f>
        <v xml:space="preserve">1.ii From other sources </v>
      </c>
      <c r="D128" s="1025">
        <f>+(PSUT_2015!AA20)</f>
        <v>23252.684700000002</v>
      </c>
      <c r="E128" s="1024"/>
      <c r="F128" s="1025">
        <f>+(PSUT_2015!C20)</f>
        <v>807</v>
      </c>
      <c r="H128" s="1024"/>
      <c r="I128" s="1024"/>
      <c r="J128" s="1024"/>
      <c r="K128" s="1024"/>
      <c r="L128" s="1024"/>
      <c r="M128" s="1025">
        <f>+(PSUT_2015!D20)</f>
        <v>21359.8</v>
      </c>
      <c r="N128" s="1025">
        <f>+(PSUT_2015!E20)</f>
        <v>28.2</v>
      </c>
      <c r="P128" s="1024"/>
      <c r="Q128" s="1024"/>
      <c r="R128" s="1024"/>
      <c r="S128" s="1024"/>
      <c r="T128" s="1024"/>
      <c r="U128" s="1024"/>
      <c r="V128" s="1024"/>
      <c r="W128" s="1025">
        <f>+(PSUT_2015!F20)</f>
        <v>0</v>
      </c>
      <c r="X128" s="1025">
        <f>+(PSUT_2015!G20)</f>
        <v>0</v>
      </c>
      <c r="Y128" s="1025">
        <f>+(PSUT_2015!H20)</f>
        <v>0</v>
      </c>
      <c r="Z128" s="1025">
        <f>+(PSUT_2015!I20)</f>
        <v>0</v>
      </c>
      <c r="AB128" s="1024"/>
      <c r="AC128" s="1024"/>
      <c r="AD128" s="1025">
        <f>+(PSUT_2015!J20)</f>
        <v>0</v>
      </c>
      <c r="AF128" s="1025">
        <f>+(PSUT_2015!K20)</f>
        <v>0</v>
      </c>
      <c r="AG128" s="1025">
        <f>+(PSUT_2015!L20)</f>
        <v>0</v>
      </c>
      <c r="AH128" s="1269">
        <f>+(PSUT_2015!M20)</f>
        <v>0.06</v>
      </c>
      <c r="AI128" s="1025">
        <f>+(PSUT_2015!N20)</f>
        <v>0</v>
      </c>
      <c r="AJ128" s="1025">
        <f>+(PSUT_2015!O20)</f>
        <v>0</v>
      </c>
      <c r="AK128" s="1025">
        <f>+(PSUT_2015!P20)</f>
        <v>0</v>
      </c>
      <c r="AL128" s="1025">
        <f>+(PSUT_2015!Q20)</f>
        <v>0</v>
      </c>
      <c r="AM128" s="1025">
        <f>+(PSUT_2015!R20)</f>
        <v>0</v>
      </c>
      <c r="AN128" s="1025">
        <f>+(PSUT_2015!S20)</f>
        <v>497.98870000000005</v>
      </c>
      <c r="AO128" s="1025">
        <f>+SUM(PSUT_2015!T20:'PSUT_2015'!V20)</f>
        <v>9.636000000000001</v>
      </c>
      <c r="AP128" s="1025">
        <f>+(PSUT_2015!U20)</f>
        <v>9.636000000000001</v>
      </c>
      <c r="AQ128" s="1025">
        <f>+(PSUT_2015!V20)</f>
        <v>0</v>
      </c>
      <c r="AR128" s="1025">
        <f>+(PSUT_2015!W20)</f>
        <v>22702.684700000002</v>
      </c>
      <c r="AS128" s="1025">
        <f>+(PSUT_2015!X20)</f>
        <v>550</v>
      </c>
      <c r="AT128" s="1025">
        <f>+(PSUT_2015!AA20)</f>
        <v>23252.684700000002</v>
      </c>
      <c r="AU128" s="1025"/>
    </row>
    <row r="129" spans="1:47" x14ac:dyDescent="0.25">
      <c r="A129" s="1805"/>
      <c r="B129" s="1220" t="str">
        <f>+(PSUT_2015!B21)</f>
        <v>1.ii.1 Collection of precipitation (rainwater harvesting; ..)</v>
      </c>
      <c r="D129" s="1025">
        <f>+(PSUT_2015!AA21)</f>
        <v>23252.684700000002</v>
      </c>
      <c r="E129" s="1024"/>
      <c r="F129" s="1025">
        <f>+(PSUT_2015!C21)</f>
        <v>807</v>
      </c>
      <c r="H129" s="1024"/>
      <c r="I129" s="1024"/>
      <c r="J129" s="1024"/>
      <c r="K129" s="1024"/>
      <c r="L129" s="1024"/>
      <c r="M129" s="1025">
        <f>+(PSUT_2015!D21)</f>
        <v>21359.8</v>
      </c>
      <c r="N129" s="1025">
        <f>+(PSUT_2015!E21)</f>
        <v>28.2</v>
      </c>
      <c r="P129" s="1024"/>
      <c r="Q129" s="1024"/>
      <c r="R129" s="1024"/>
      <c r="S129" s="1024"/>
      <c r="T129" s="1024"/>
      <c r="U129" s="1024"/>
      <c r="V129" s="1024"/>
      <c r="W129" s="1025">
        <f>+(PSUT_2015!F21)</f>
        <v>0</v>
      </c>
      <c r="X129" s="1025">
        <f>+(PSUT_2015!G21)</f>
        <v>0</v>
      </c>
      <c r="Y129" s="1025">
        <f>+(PSUT_2015!H21)</f>
        <v>0</v>
      </c>
      <c r="Z129" s="1025">
        <f>+(PSUT_2015!I21)</f>
        <v>0</v>
      </c>
      <c r="AB129" s="1024"/>
      <c r="AC129" s="1024"/>
      <c r="AD129" s="1025">
        <f>+(PSUT_2015!J21)</f>
        <v>0</v>
      </c>
      <c r="AF129" s="1025">
        <f>+(PSUT_2015!K21)</f>
        <v>0</v>
      </c>
      <c r="AG129" s="1025">
        <f>+(PSUT_2015!L21)</f>
        <v>0</v>
      </c>
      <c r="AH129" s="1269">
        <f>+(PSUT_2015!M21)</f>
        <v>0.06</v>
      </c>
      <c r="AI129" s="1025">
        <f>+(PSUT_2015!N21)</f>
        <v>0</v>
      </c>
      <c r="AJ129" s="1025">
        <f>+(PSUT_2015!O21)</f>
        <v>0</v>
      </c>
      <c r="AK129" s="1025">
        <f>+(PSUT_2015!P21)</f>
        <v>0</v>
      </c>
      <c r="AL129" s="1025">
        <f>+(PSUT_2015!Q21)</f>
        <v>0</v>
      </c>
      <c r="AM129" s="1025">
        <f>+(PSUT_2015!R21)</f>
        <v>0</v>
      </c>
      <c r="AN129" s="1025">
        <f>+(PSUT_2015!S21)</f>
        <v>497.98870000000005</v>
      </c>
      <c r="AO129" s="1025">
        <f>+SUM(PSUT_2015!T21:'PSUT_2015'!V21)</f>
        <v>9.636000000000001</v>
      </c>
      <c r="AP129" s="1025">
        <f>+(PSUT_2015!U21)</f>
        <v>9.636000000000001</v>
      </c>
      <c r="AQ129" s="1025">
        <f>+(PSUT_2015!V21)</f>
        <v>0</v>
      </c>
      <c r="AR129" s="1025">
        <f>+(PSUT_2015!W21)</f>
        <v>22702.684700000002</v>
      </c>
      <c r="AS129" s="1025">
        <f>+(PSUT_2015!X21)</f>
        <v>550</v>
      </c>
      <c r="AT129" s="1025">
        <f>+(PSUT_2015!AA21)</f>
        <v>23252.684700000002</v>
      </c>
      <c r="AU129" s="1025"/>
    </row>
    <row r="130" spans="1:47" x14ac:dyDescent="0.25">
      <c r="A130" s="1221"/>
      <c r="B130" s="1220" t="str">
        <f>+(PSUT_2015!B22)</f>
        <v>1.ii.2 Abstraction from the sea</v>
      </c>
      <c r="D130" s="1025">
        <f>+(PSUT_2015!AA22)</f>
        <v>0</v>
      </c>
      <c r="E130" s="1024"/>
      <c r="F130" s="1025">
        <f>+(PSUT_2015!C22)</f>
        <v>0</v>
      </c>
      <c r="H130" s="1024"/>
      <c r="I130" s="1024"/>
      <c r="J130" s="1024"/>
      <c r="K130" s="1024"/>
      <c r="L130" s="1024"/>
      <c r="M130" s="1025">
        <f>+(PSUT_2015!D22)</f>
        <v>0</v>
      </c>
      <c r="N130" s="1025">
        <f>+(PSUT_2015!E22)</f>
        <v>0</v>
      </c>
      <c r="P130" s="1024"/>
      <c r="Q130" s="1024"/>
      <c r="R130" s="1024"/>
      <c r="S130" s="1024"/>
      <c r="T130" s="1024"/>
      <c r="U130" s="1024"/>
      <c r="V130" s="1024"/>
      <c r="W130" s="1025">
        <f>+(PSUT_2015!F22)</f>
        <v>0</v>
      </c>
      <c r="X130" s="1025">
        <f>+(PSUT_2015!G22)</f>
        <v>0</v>
      </c>
      <c r="Y130" s="1025">
        <f>+(PSUT_2015!H22)</f>
        <v>0</v>
      </c>
      <c r="Z130" s="1025">
        <f>+(PSUT_2015!I22)</f>
        <v>0</v>
      </c>
      <c r="AB130" s="1024"/>
      <c r="AC130" s="1024"/>
      <c r="AD130" s="1025">
        <f>+(PSUT_2015!J22)</f>
        <v>0</v>
      </c>
      <c r="AF130" s="1025">
        <f>+(PSUT_2015!K22)</f>
        <v>0</v>
      </c>
      <c r="AG130" s="1025">
        <f>+(PSUT_2015!L22)</f>
        <v>0</v>
      </c>
      <c r="AH130" s="1269">
        <f>+(PSUT_2015!M22)</f>
        <v>0</v>
      </c>
      <c r="AI130" s="1025">
        <f>+(PSUT_2015!N22)</f>
        <v>0</v>
      </c>
      <c r="AJ130" s="1025">
        <f>+(PSUT_2015!O22)</f>
        <v>0</v>
      </c>
      <c r="AK130" s="1025">
        <f>+(PSUT_2015!P22)</f>
        <v>0</v>
      </c>
      <c r="AL130" s="1025">
        <f>+(PSUT_2015!Q22)</f>
        <v>0</v>
      </c>
      <c r="AM130" s="1025">
        <f>+(PSUT_2015!R22)</f>
        <v>0</v>
      </c>
      <c r="AN130" s="1025">
        <f>+(PSUT_2015!S22)</f>
        <v>0</v>
      </c>
      <c r="AO130" s="1025">
        <f>+SUM(PSUT_2015!T22:'PSUT_2015'!V22)</f>
        <v>0</v>
      </c>
      <c r="AP130" s="1025">
        <f>+(PSUT_2015!U22)</f>
        <v>0</v>
      </c>
      <c r="AQ130" s="1025">
        <f>+(PSUT_2015!V22)</f>
        <v>0</v>
      </c>
      <c r="AR130" s="1025">
        <f>+(PSUT_2015!W22)</f>
        <v>0</v>
      </c>
      <c r="AS130" s="1025">
        <f>+(PSUT_2015!X22)</f>
        <v>0</v>
      </c>
      <c r="AT130" s="1025">
        <f>+(PSUT_2015!AA22)</f>
        <v>0</v>
      </c>
      <c r="AU130" s="1025"/>
    </row>
    <row r="131" spans="1:47" x14ac:dyDescent="0.25">
      <c r="A131" s="1221"/>
      <c r="B131" s="1220" t="str">
        <f>+(PSUT_2015!B23)</f>
        <v>2. Use of water received from other economic units</v>
      </c>
      <c r="D131" s="1025">
        <f>+(PSUT_2015!AA23)</f>
        <v>1160562.9602874902</v>
      </c>
      <c r="E131" s="1024"/>
      <c r="F131" s="1025">
        <f>+(PSUT_2015!C23)</f>
        <v>90250</v>
      </c>
      <c r="H131" s="1024"/>
      <c r="I131" s="1024"/>
      <c r="J131" s="1024"/>
      <c r="K131" s="1024"/>
      <c r="L131" s="1024"/>
      <c r="M131" s="1025">
        <f>+(PSUT_2015!D23)</f>
        <v>0</v>
      </c>
      <c r="N131" s="1025">
        <f>+(PSUT_2015!E23)</f>
        <v>642763.78523033194</v>
      </c>
      <c r="P131" s="1024"/>
      <c r="Q131" s="1024"/>
      <c r="R131" s="1024"/>
      <c r="S131" s="1024"/>
      <c r="T131" s="1024"/>
      <c r="U131" s="1024"/>
      <c r="V131" s="1024"/>
      <c r="W131" s="1025">
        <f>+(PSUT_2015!F23)</f>
        <v>0</v>
      </c>
      <c r="X131" s="1025">
        <f>+(PSUT_2015!G23)</f>
        <v>0</v>
      </c>
      <c r="Y131" s="1025">
        <f>+(PSUT_2015!H23)</f>
        <v>0</v>
      </c>
      <c r="Z131" s="1025">
        <f>+(PSUT_2015!I23)</f>
        <v>0</v>
      </c>
      <c r="AB131" s="1024"/>
      <c r="AC131" s="1024"/>
      <c r="AD131" s="1025">
        <f>+(PSUT_2015!J23)</f>
        <v>0</v>
      </c>
      <c r="AF131" s="1025">
        <f>+(PSUT_2015!K23)</f>
        <v>16672.61</v>
      </c>
      <c r="AG131" s="1025">
        <f>+(PSUT_2015!L23)</f>
        <v>0</v>
      </c>
      <c r="AH131" s="1269">
        <f>+(PSUT_2015!M23)</f>
        <v>76.030545405347283</v>
      </c>
      <c r="AI131" s="1025">
        <f>+(PSUT_2015!N23)</f>
        <v>0</v>
      </c>
      <c r="AJ131" s="1025">
        <f>+(PSUT_2015!O23)</f>
        <v>0</v>
      </c>
      <c r="AK131" s="1025">
        <f>+(PSUT_2015!P23)</f>
        <v>0</v>
      </c>
      <c r="AL131" s="1025">
        <f>+(PSUT_2015!Q23)</f>
        <v>0</v>
      </c>
      <c r="AM131" s="1025">
        <f>+(PSUT_2015!R23)</f>
        <v>224372.33</v>
      </c>
      <c r="AN131" s="1025">
        <f>+(PSUT_2015!S23)</f>
        <v>3720.9427500000002</v>
      </c>
      <c r="AO131" s="1025">
        <f>+SUM(PSUT_2015!T23:'PSUT_2015'!V23)</f>
        <v>131.69367175295594</v>
      </c>
      <c r="AP131" s="1025">
        <f>+(PSUT_2015!U23)</f>
        <v>131.69367175295594</v>
      </c>
      <c r="AQ131" s="1025">
        <f>+(PSUT_2015!V23)</f>
        <v>0</v>
      </c>
      <c r="AR131" s="1025">
        <f>+(PSUT_2015!W23)</f>
        <v>977987.3921974902</v>
      </c>
      <c r="AS131" s="1025">
        <f>+(PSUT_2015!X23)</f>
        <v>176061</v>
      </c>
      <c r="AT131" s="1025">
        <f>+(PSUT_2015!AA23)</f>
        <v>1160562.9602874902</v>
      </c>
      <c r="AU131" s="1025"/>
    </row>
    <row r="132" spans="1:47" x14ac:dyDescent="0.25">
      <c r="A132" s="1221"/>
      <c r="B132" s="1220" t="str">
        <f>+(PSUT_2015!A24)</f>
        <v>3. Total use of water (=1+2)</v>
      </c>
      <c r="D132" s="1025">
        <f>+(PSUT_2015!AA24)</f>
        <v>15518186.11440642</v>
      </c>
      <c r="E132" s="1024"/>
      <c r="F132" s="1025">
        <f>+(PSUT_2015!C24)</f>
        <v>13936837.983314097</v>
      </c>
      <c r="H132" s="1024"/>
      <c r="I132" s="1024"/>
      <c r="J132" s="1024"/>
      <c r="K132" s="1024"/>
      <c r="L132" s="1024"/>
      <c r="M132" s="1025">
        <f>+(PSUT_2015!D24)</f>
        <v>22449.851322900999</v>
      </c>
      <c r="N132" s="1025">
        <f>+(PSUT_2015!E24)</f>
        <v>667315.24073085852</v>
      </c>
      <c r="P132" s="1024"/>
      <c r="Q132" s="1024"/>
      <c r="R132" s="1024"/>
      <c r="S132" s="1024"/>
      <c r="T132" s="1024"/>
      <c r="U132" s="1024"/>
      <c r="V132" s="1024"/>
      <c r="W132" s="1025">
        <f>+(PSUT_2015!F24)</f>
        <v>368457.53750127146</v>
      </c>
      <c r="X132" s="1025">
        <f>+(PSUT_2015!G24)</f>
        <v>53807.900497512441</v>
      </c>
      <c r="Y132" s="1025">
        <f>+(PSUT_2015!H24)</f>
        <v>0</v>
      </c>
      <c r="Z132" s="1025">
        <f>+(PSUT_2015!I24)</f>
        <v>0</v>
      </c>
      <c r="AB132" s="1024"/>
      <c r="AC132" s="1024"/>
      <c r="AD132" s="1025">
        <f>+(PSUT_2015!J24)</f>
        <v>0</v>
      </c>
      <c r="AF132" s="1025">
        <f>+(PSUT_2015!K24)</f>
        <v>16672.61</v>
      </c>
      <c r="AG132" s="1025">
        <f>+(PSUT_2015!L24)</f>
        <v>0</v>
      </c>
      <c r="AH132" s="1269">
        <f>+(PSUT_2015!M24)</f>
        <v>76.090545405347285</v>
      </c>
      <c r="AI132" s="1025">
        <f>+(PSUT_2015!N24)</f>
        <v>0</v>
      </c>
      <c r="AJ132" s="1025">
        <f>+(PSUT_2015!O24)</f>
        <v>0</v>
      </c>
      <c r="AK132" s="1025">
        <f>+(PSUT_2015!P24)</f>
        <v>0</v>
      </c>
      <c r="AL132" s="1025">
        <f>+(PSUT_2015!Q24)</f>
        <v>0</v>
      </c>
      <c r="AM132" s="1025">
        <f>+(PSUT_2015!R24)</f>
        <v>224505.4454</v>
      </c>
      <c r="AN132" s="1025">
        <f>+(PSUT_2015!S24)</f>
        <v>4309.7222655737705</v>
      </c>
      <c r="AO132" s="1025">
        <f>+SUM(PSUT_2015!T24:'PSUT_2015'!V24)</f>
        <v>143.40327175295593</v>
      </c>
      <c r="AP132" s="1025">
        <f>+(PSUT_2015!U24)</f>
        <v>143.40327175295593</v>
      </c>
      <c r="AQ132" s="1025">
        <f>+(PSUT_2015!V24)</f>
        <v>0</v>
      </c>
      <c r="AR132" s="1025">
        <f>+(PSUT_2015!W24)</f>
        <v>15294575.784849372</v>
      </c>
      <c r="AS132" s="1025">
        <f>+(PSUT_2015!X24)</f>
        <v>217095.76146704803</v>
      </c>
      <c r="AT132" s="1025">
        <f>+(PSUT_2015!AA24)</f>
        <v>15518186.11440642</v>
      </c>
      <c r="AU132" s="1025"/>
    </row>
    <row r="133" spans="1:47" x14ac:dyDescent="0.25">
      <c r="A133" s="1221"/>
      <c r="B133" s="1220" t="str">
        <f>+(PSUT_2015!B35)</f>
        <v>4. Supply of water to other economic units</v>
      </c>
      <c r="D133" s="1025">
        <f>+(PSUT_2015!AA35)</f>
        <v>34821.028661106844</v>
      </c>
      <c r="E133" s="1024"/>
      <c r="F133" s="1025">
        <f>+(PSUT_2015!C35)</f>
        <v>0</v>
      </c>
      <c r="H133" s="1024"/>
      <c r="I133" s="1024"/>
      <c r="J133" s="1024"/>
      <c r="K133" s="1024"/>
      <c r="L133" s="1024"/>
      <c r="M133" s="1025">
        <f>+(PSUT_2015!D35)</f>
        <v>21327.358756755948</v>
      </c>
      <c r="N133" s="1025">
        <f>+(PSUT_2015!E35)</f>
        <v>816.87563283886971</v>
      </c>
      <c r="P133" s="1024"/>
      <c r="Q133" s="1024"/>
      <c r="R133" s="1024"/>
      <c r="S133" s="1024"/>
      <c r="T133" s="1024"/>
      <c r="U133" s="1024"/>
      <c r="V133" s="1024"/>
      <c r="W133" s="1025">
        <f>+(PSUT_2015!F35)</f>
        <v>0</v>
      </c>
      <c r="X133" s="1025">
        <f>+(PSUT_2015!G35)</f>
        <v>0</v>
      </c>
      <c r="Y133" s="1025">
        <f>+(PSUT_2015!H35)</f>
        <v>0</v>
      </c>
      <c r="Z133" s="1025">
        <f>+(PSUT_2015!I35)</f>
        <v>0</v>
      </c>
      <c r="AB133" s="1024"/>
      <c r="AC133" s="1024"/>
      <c r="AD133" s="1025">
        <f>+(PSUT_2015!J35)</f>
        <v>0</v>
      </c>
      <c r="AF133" s="1025">
        <f>+(PSUT_2015!K35)</f>
        <v>12671.183667903779</v>
      </c>
      <c r="AG133" s="1025">
        <f>+(PSUT_2015!L35)</f>
        <v>0</v>
      </c>
      <c r="AH133" s="1269">
        <f>+(PSUT_2015!M35)</f>
        <v>5.6106036082474233</v>
      </c>
      <c r="AI133" s="1025">
        <f>+(PSUT_2015!N35)</f>
        <v>0</v>
      </c>
      <c r="AJ133" s="1025">
        <f>+(PSUT_2015!O35)</f>
        <v>0</v>
      </c>
      <c r="AK133" s="1025">
        <f>+(PSUT_2015!P35)</f>
        <v>0</v>
      </c>
      <c r="AL133" s="1025">
        <f>+(PSUT_2015!Q35)</f>
        <v>0</v>
      </c>
      <c r="AM133" s="1025">
        <f>+(PSUT_2015!R35)</f>
        <v>0</v>
      </c>
      <c r="AN133" s="1025">
        <f>+(PSUT_2015!S35)</f>
        <v>0</v>
      </c>
      <c r="AO133" s="1025">
        <f>+SUM(PSUT_2015!T35:'PSUT_2015'!V35)</f>
        <v>0</v>
      </c>
      <c r="AP133" s="1025">
        <f>+(PSUT_2015!U35)</f>
        <v>0</v>
      </c>
      <c r="AQ133" s="1025">
        <f>+(PSUT_2015!V35)</f>
        <v>0</v>
      </c>
      <c r="AR133" s="1025">
        <f>+(PSUT_2015!W35)</f>
        <v>34821.028661106844</v>
      </c>
      <c r="AS133" s="1025">
        <f>+(PSUT_2015!X35)</f>
        <v>0</v>
      </c>
      <c r="AT133" s="1025">
        <f>+(PSUT_2015!AA35)</f>
        <v>34821.028661106844</v>
      </c>
      <c r="AU133" s="1025"/>
    </row>
    <row r="134" spans="1:47" x14ac:dyDescent="0.25">
      <c r="A134" s="1222"/>
      <c r="B134" s="1220" t="str">
        <f>+(PSUT_2015!B38)</f>
        <v>5. Total returns (= 5.a+5.b)</v>
      </c>
      <c r="D134" s="1025">
        <f>+(PSUT_2015!AA38)</f>
        <v>2696647.8338164063</v>
      </c>
      <c r="F134" s="1025">
        <f>+(PSUT_2015!C38)</f>
        <v>1557982.4711064098</v>
      </c>
      <c r="M134" s="1025">
        <f>+(PSUT_2015!D38)</f>
        <v>54.219910499999997</v>
      </c>
      <c r="N134" s="1025">
        <f>+(PSUT_2015!E38)</f>
        <v>514699.26072578516</v>
      </c>
      <c r="W134" s="1025">
        <f>+(PSUT_2015!F38)</f>
        <v>350034.66062620789</v>
      </c>
      <c r="X134" s="1025">
        <f>+(PSUT_2015!G38)</f>
        <v>2570.3302400000002</v>
      </c>
      <c r="Y134" s="1025">
        <f>+(PSUT_2015!H38)</f>
        <v>0</v>
      </c>
      <c r="Z134" s="1025">
        <f>+(PSUT_2015!I38)</f>
        <v>0</v>
      </c>
      <c r="AD134" s="1025">
        <f>+(PSUT_2015!J38)</f>
        <v>0</v>
      </c>
      <c r="AF134" s="1025">
        <f>+(PSUT_2015!K38)</f>
        <v>301.01142363711335</v>
      </c>
      <c r="AG134" s="1025">
        <f>+(PSUT_2015!L38)</f>
        <v>0</v>
      </c>
      <c r="AH134" s="1269">
        <f>+(PSUT_2015!M38)</f>
        <v>56.868619657611163</v>
      </c>
      <c r="AI134" s="1025">
        <f>+(PSUT_2015!N38)</f>
        <v>0</v>
      </c>
      <c r="AJ134" s="1025">
        <f>+(PSUT_2015!O38)</f>
        <v>0</v>
      </c>
      <c r="AK134" s="1025">
        <f>+(PSUT_2015!P38)</f>
        <v>0</v>
      </c>
      <c r="AL134" s="1025">
        <f>+(PSUT_2015!Q38)</f>
        <v>0</v>
      </c>
      <c r="AM134" s="1025">
        <f>+(PSUT_2015!R38)</f>
        <v>179497.86400000003</v>
      </c>
      <c r="AN134" s="1025">
        <f>+(PSUT_2015!S38)</f>
        <v>3447.7778158871602</v>
      </c>
      <c r="AO134" s="1025">
        <f>+SUM(PSUT_2015!T38:'PSUT_2015'!V38)</f>
        <v>10.714873014735879</v>
      </c>
      <c r="AP134" s="1025">
        <f>+(PSUT_2015!U38)</f>
        <v>10.714873014735879</v>
      </c>
      <c r="AQ134" s="1025">
        <f>+(PSUT_2015!V38)</f>
        <v>0</v>
      </c>
      <c r="AR134" s="1025">
        <f>+(PSUT_2015!W38)</f>
        <v>2608655.1793411002</v>
      </c>
      <c r="AS134" s="1025">
        <f>+(PSUT_2015!X38)</f>
        <v>82781</v>
      </c>
      <c r="AT134" s="1025">
        <f>+(PSUT_2015!AA38)</f>
        <v>2696647.8338164063</v>
      </c>
      <c r="AU134" s="1025"/>
    </row>
    <row r="135" spans="1:47" x14ac:dyDescent="0.25">
      <c r="A135" s="1222"/>
      <c r="B135" s="1220" t="str">
        <f>+(PSUT_2015!A44)</f>
        <v>6. Total supply of water (= 4+5)</v>
      </c>
      <c r="D135" s="1025">
        <f>+(PSUT_2015!AA44)</f>
        <v>2731468.862477513</v>
      </c>
      <c r="F135" s="1025">
        <f>+(PSUT_2015!C44)</f>
        <v>1557982.4711064098</v>
      </c>
      <c r="M135" s="1025">
        <f>+(PSUT_2015!D44)</f>
        <v>21381.578667255948</v>
      </c>
      <c r="N135" s="1025">
        <f>+(PSUT_2015!E44)</f>
        <v>515516.13635862403</v>
      </c>
      <c r="W135" s="1025">
        <f>+(PSUT_2015!F44)</f>
        <v>350034.66062620789</v>
      </c>
      <c r="X135" s="1025">
        <f>+(PSUT_2015!G44)</f>
        <v>2570.3302400000002</v>
      </c>
      <c r="Y135" s="1025">
        <f>+(PSUT_2015!H44)</f>
        <v>0</v>
      </c>
      <c r="Z135" s="1025">
        <f>+(PSUT_2015!I44)</f>
        <v>0</v>
      </c>
      <c r="AD135" s="1025">
        <f>+(PSUT_2015!J44)</f>
        <v>0</v>
      </c>
      <c r="AF135" s="1025">
        <f>+(PSUT_2015!K44)</f>
        <v>12972.195091540892</v>
      </c>
      <c r="AG135" s="1025">
        <f>+(PSUT_2015!L44)</f>
        <v>0</v>
      </c>
      <c r="AH135" s="1269">
        <f>+(PSUT_2015!M44)</f>
        <v>62.479223265858586</v>
      </c>
      <c r="AI135" s="1025">
        <f>+(PSUT_2015!N44)</f>
        <v>0</v>
      </c>
      <c r="AJ135" s="1025">
        <f>+(PSUT_2015!O44)</f>
        <v>0</v>
      </c>
      <c r="AK135" s="1025">
        <f>+(PSUT_2015!P44)</f>
        <v>0</v>
      </c>
      <c r="AL135" s="1025">
        <f>+(PSUT_2015!Q44)</f>
        <v>0</v>
      </c>
      <c r="AM135" s="1025">
        <f>+(PSUT_2015!R44)</f>
        <v>179497.86400000003</v>
      </c>
      <c r="AN135" s="1025">
        <f>+(PSUT_2015!S44)</f>
        <v>3447.7778158871602</v>
      </c>
      <c r="AO135" s="1025">
        <f>+SUM(PSUT_2015!T44:'PSUT_2015'!V44)</f>
        <v>10.714873014735879</v>
      </c>
      <c r="AP135" s="1025">
        <f>+(PSUT_2015!U44)</f>
        <v>10.714873014735879</v>
      </c>
      <c r="AQ135" s="1025">
        <f>+(PSUT_2015!V44)</f>
        <v>0</v>
      </c>
      <c r="AR135" s="1025">
        <f>+(PSUT_2015!W44)</f>
        <v>2643476.2080022069</v>
      </c>
      <c r="AS135" s="1025">
        <f>+(PSUT_2015!X44)</f>
        <v>82781</v>
      </c>
      <c r="AT135" s="1025">
        <f>+(PSUT_2015!AA44)</f>
        <v>2731468.862477513</v>
      </c>
      <c r="AU135" s="1025"/>
    </row>
    <row r="136" spans="1:47" x14ac:dyDescent="0.25">
      <c r="A136" s="1223"/>
      <c r="B136" s="1224" t="str">
        <f>+(PSUT_2015!A45)</f>
        <v>7. Consumption (3-6)</v>
      </c>
      <c r="C136" s="295"/>
      <c r="D136" s="1028">
        <f>+(PSUT_2015!AA45)</f>
        <v>12786717.251928911</v>
      </c>
      <c r="E136" s="295"/>
      <c r="F136" s="1028">
        <f>+(PSUT_2015!C45)</f>
        <v>12378855.512207687</v>
      </c>
      <c r="G136" s="295"/>
      <c r="H136" s="295"/>
      <c r="I136" s="295"/>
      <c r="J136" s="295"/>
      <c r="K136" s="295"/>
      <c r="L136" s="295"/>
      <c r="M136" s="1028">
        <f>+(PSUT_2015!D45)</f>
        <v>1068.2726556450507</v>
      </c>
      <c r="N136" s="1028">
        <f>+(PSUT_2015!E45)</f>
        <v>151799.10437223449</v>
      </c>
      <c r="O136" s="295"/>
      <c r="P136" s="295"/>
      <c r="Q136" s="295"/>
      <c r="R136" s="295"/>
      <c r="S136" s="295"/>
      <c r="T136" s="295"/>
      <c r="U136" s="295"/>
      <c r="V136" s="295"/>
      <c r="W136" s="1195">
        <f>+(PSUT_2015!F45)</f>
        <v>18422.876875063579</v>
      </c>
      <c r="X136" s="1028">
        <f>+(PSUT_2015!G45)</f>
        <v>51237.570257512438</v>
      </c>
      <c r="Y136" s="1028">
        <f>+(PSUT_2015!H45)</f>
        <v>0</v>
      </c>
      <c r="Z136" s="1028">
        <f>+(PSUT_2015!I45)</f>
        <v>0</v>
      </c>
      <c r="AA136" s="295"/>
      <c r="AB136" s="295"/>
      <c r="AC136" s="295"/>
      <c r="AD136" s="1028">
        <f>+(PSUT_2015!J45)</f>
        <v>0</v>
      </c>
      <c r="AE136" s="295"/>
      <c r="AF136" s="1028">
        <f>+(PSUT_2015!K45)</f>
        <v>3700.4149084591081</v>
      </c>
      <c r="AG136" s="1028">
        <f>+(PSUT_2015!L45)</f>
        <v>0</v>
      </c>
      <c r="AH136" s="1270">
        <f>+(PSUT_2015!M45)</f>
        <v>13.611322139488699</v>
      </c>
      <c r="AI136" s="1028">
        <f>+(PSUT_2015!N45)</f>
        <v>0</v>
      </c>
      <c r="AJ136" s="1028">
        <f>+(PSUT_2015!O45)</f>
        <v>0</v>
      </c>
      <c r="AK136" s="1028">
        <f>+(PSUT_2015!P45)</f>
        <v>0</v>
      </c>
      <c r="AL136" s="1028">
        <f>+(PSUT_2015!Q45)</f>
        <v>0</v>
      </c>
      <c r="AM136" s="1028">
        <f>+(PSUT_2015!R45)</f>
        <v>45007.581399999966</v>
      </c>
      <c r="AN136" s="1028">
        <f>+(PSUT_2015!S45)</f>
        <v>861.94444968661037</v>
      </c>
      <c r="AO136" s="1028">
        <f>+SUM(PSUT_2015!T45:'PSUT_2015'!V45)</f>
        <v>132.68839873822006</v>
      </c>
      <c r="AP136" s="1028">
        <f>+(PSUT_2015!U45)</f>
        <v>132.68839873822006</v>
      </c>
      <c r="AQ136" s="1028">
        <f>+(PSUT_2015!V45)</f>
        <v>0</v>
      </c>
      <c r="AR136" s="1028">
        <f>+(PSUT_2015!W45)</f>
        <v>12651099.576847168</v>
      </c>
      <c r="AS136" s="1028">
        <f>+(PSUT_2015!X45)</f>
        <v>134314.76146704803</v>
      </c>
      <c r="AT136" s="1028">
        <f>+(PSUT_2015!AA45)</f>
        <v>12786717.251928911</v>
      </c>
      <c r="AU136" s="1025"/>
    </row>
    <row r="137" spans="1:47" x14ac:dyDescent="0.25">
      <c r="B137" s="1025"/>
      <c r="F137" s="1025"/>
      <c r="M137" s="1025"/>
      <c r="N137" s="1025"/>
      <c r="W137" s="1025"/>
      <c r="X137" s="1025"/>
      <c r="Y137" s="1025"/>
      <c r="Z137" s="1025"/>
      <c r="AD137" s="1025"/>
      <c r="AF137" s="1025"/>
      <c r="AG137" s="1025"/>
      <c r="AH137" s="1025"/>
      <c r="AI137" s="1025"/>
      <c r="AJ137" s="1025"/>
      <c r="AK137" s="1025"/>
      <c r="AL137" s="1025"/>
      <c r="AM137" s="1025"/>
      <c r="AN137" s="1025"/>
      <c r="AO137" s="1025"/>
      <c r="AP137" s="1025"/>
      <c r="AQ137" s="1025"/>
      <c r="AR137" s="1025"/>
      <c r="AS137" s="1025"/>
      <c r="AU137" s="1025"/>
    </row>
  </sheetData>
  <mergeCells count="4">
    <mergeCell ref="A72:A78"/>
    <mergeCell ref="A89:A95"/>
    <mergeCell ref="A106:A112"/>
    <mergeCell ref="A123:A129"/>
  </mergeCells>
  <conditionalFormatting sqref="AP8:AP20 E8:E20 D8:D25 G8:K25 O8:Y25">
    <cfRule type="cellIs" dxfId="100" priority="10" operator="lessThan">
      <formula>0</formula>
    </cfRule>
  </conditionalFormatting>
  <conditionalFormatting sqref="L8:L25">
    <cfRule type="cellIs" dxfId="99" priority="9" operator="lessThan">
      <formula>0</formula>
    </cfRule>
  </conditionalFormatting>
  <conditionalFormatting sqref="Z8:AA25">
    <cfRule type="cellIs" dxfId="98" priority="8" operator="lessThan">
      <formula>0</formula>
    </cfRule>
  </conditionalFormatting>
  <conditionalFormatting sqref="N8:N25">
    <cfRule type="cellIs" dxfId="97" priority="7" operator="lessThan">
      <formula>0</formula>
    </cfRule>
  </conditionalFormatting>
  <conditionalFormatting sqref="AE8:AE25">
    <cfRule type="cellIs" dxfId="96" priority="6" operator="lessThan">
      <formula>0</formula>
    </cfRule>
  </conditionalFormatting>
  <conditionalFormatting sqref="AQ8:AQ25">
    <cfRule type="cellIs" dxfId="95" priority="5" operator="lessThan">
      <formula>0</formula>
    </cfRule>
  </conditionalFormatting>
  <conditionalFormatting sqref="F8:F25">
    <cfRule type="cellIs" dxfId="94" priority="4" operator="lessThan">
      <formula>0</formula>
    </cfRule>
  </conditionalFormatting>
  <conditionalFormatting sqref="M8:M25">
    <cfRule type="cellIs" dxfId="93" priority="3" operator="lessThan">
      <formula>0</formula>
    </cfRule>
  </conditionalFormatting>
  <conditionalFormatting sqref="AB8:AD25">
    <cfRule type="cellIs" dxfId="92" priority="2" operator="lessThan">
      <formula>0</formula>
    </cfRule>
  </conditionalFormatting>
  <conditionalFormatting sqref="AF8:AO25">
    <cfRule type="cellIs" dxfId="91" priority="1" operator="lessThan">
      <formula>0</formula>
    </cfRule>
  </conditionalFormatting>
  <pageMargins left="0.51181102362204722" right="0.51181102362204722" top="0.74803149606299213" bottom="0.74803149606299213" header="0.31496062992125984" footer="0.31496062992125984"/>
  <pageSetup paperSize="9" scale="17" orientation="landscape" r:id="rId1"/>
  <headerFooter>
    <oddHeader>&amp;L&amp;F    &amp;&amp;&amp;A&amp;C
&amp;D&amp;RPage &amp;P of &amp;N</oddHeader>
  </headerFooter>
  <drawing r:id="rId2"/>
  <legacyDrawing r:id="rId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BK137"/>
  <sheetViews>
    <sheetView zoomScale="70" zoomScaleNormal="70" workbookViewId="0">
      <pane xSplit="4" ySplit="7" topLeftCell="AU47" activePane="bottomRight" state="frozen"/>
      <selection activeCell="Y26" sqref="Y26"/>
      <selection pane="topRight" activeCell="Y26" sqref="Y26"/>
      <selection pane="bottomLeft" activeCell="Y26" sqref="Y26"/>
      <selection pane="bottomRight" activeCell="BO57" sqref="BO57"/>
    </sheetView>
  </sheetViews>
  <sheetFormatPr defaultRowHeight="15" x14ac:dyDescent="0.25"/>
  <cols>
    <col min="2" max="2" width="37.7109375" customWidth="1"/>
    <col min="4" max="4" width="10.85546875" customWidth="1"/>
    <col min="6" max="6" width="13.7109375" customWidth="1"/>
    <col min="7" max="12" width="0" hidden="1" customWidth="1"/>
    <col min="13" max="13" width="10.5703125" customWidth="1"/>
    <col min="15" max="22" width="0" hidden="1" customWidth="1"/>
    <col min="23" max="23" width="13" customWidth="1"/>
    <col min="26" max="26" width="18.140625" hidden="1" customWidth="1"/>
    <col min="27" max="33" width="0" hidden="1" customWidth="1"/>
    <col min="34" max="34" width="16.42578125" hidden="1" customWidth="1"/>
    <col min="35" max="40" width="0" hidden="1" customWidth="1"/>
    <col min="41" max="41" width="12.5703125" hidden="1" customWidth="1"/>
    <col min="42" max="42" width="0" hidden="1" customWidth="1"/>
    <col min="43" max="43" width="17.5703125" hidden="1" customWidth="1"/>
    <col min="44" max="44" width="13" customWidth="1"/>
    <col min="45" max="45" width="14.42578125" customWidth="1"/>
    <col min="46" max="46" width="17.42578125" bestFit="1" customWidth="1"/>
    <col min="48" max="48" width="18.140625" customWidth="1"/>
  </cols>
  <sheetData>
    <row r="1" spans="1:58" ht="18" x14ac:dyDescent="0.25">
      <c r="A1" s="565"/>
      <c r="B1" s="566" t="s">
        <v>743</v>
      </c>
      <c r="C1" s="565"/>
      <c r="D1" s="565"/>
      <c r="E1" s="565"/>
      <c r="F1" s="565"/>
      <c r="G1" s="573"/>
      <c r="H1" s="573"/>
      <c r="I1" s="573"/>
      <c r="J1" s="573"/>
      <c r="K1" s="573"/>
      <c r="L1" s="565"/>
      <c r="M1" s="573"/>
      <c r="N1" s="565"/>
      <c r="O1" s="590"/>
      <c r="P1" s="590"/>
      <c r="Q1" s="590"/>
      <c r="R1" s="590"/>
      <c r="S1" s="590"/>
      <c r="T1" s="590"/>
      <c r="U1" s="590"/>
      <c r="V1" s="590"/>
      <c r="W1" s="573"/>
      <c r="X1" s="573"/>
      <c r="Y1" s="573"/>
      <c r="Z1" s="565"/>
      <c r="AA1" s="565"/>
      <c r="AB1" s="573"/>
      <c r="AC1" s="573"/>
      <c r="AD1" s="573"/>
      <c r="AE1" s="565"/>
      <c r="AF1" s="573"/>
      <c r="AG1" s="573"/>
      <c r="AH1" s="573"/>
      <c r="AI1" s="573"/>
      <c r="AJ1" s="573"/>
      <c r="AK1" s="573"/>
      <c r="AL1" s="573"/>
      <c r="AM1" s="573"/>
      <c r="AN1" s="573"/>
      <c r="AO1" s="573"/>
      <c r="AP1" s="565"/>
      <c r="AQ1" s="565"/>
      <c r="AR1" s="565"/>
      <c r="AS1" s="598"/>
      <c r="AT1" s="598"/>
      <c r="AU1" s="565"/>
      <c r="AV1" s="565"/>
      <c r="AW1" s="565"/>
      <c r="AX1" s="565"/>
      <c r="AY1" s="565"/>
      <c r="AZ1" s="565"/>
      <c r="BA1" s="565"/>
      <c r="BB1" s="565"/>
      <c r="BC1" s="565"/>
      <c r="BD1" s="565"/>
      <c r="BE1" s="565"/>
      <c r="BF1" s="565"/>
    </row>
    <row r="2" spans="1:58" ht="18" x14ac:dyDescent="0.25">
      <c r="A2" s="565"/>
      <c r="B2" s="569" t="s">
        <v>744</v>
      </c>
      <c r="C2" s="565"/>
      <c r="D2" s="565"/>
      <c r="E2" s="565"/>
      <c r="F2" s="565"/>
      <c r="G2" s="573"/>
      <c r="H2" s="573"/>
      <c r="I2" s="573"/>
      <c r="J2" s="573"/>
      <c r="K2" s="573"/>
      <c r="L2" s="565"/>
      <c r="M2" s="573"/>
      <c r="N2" s="565"/>
      <c r="O2" s="590"/>
      <c r="P2" s="590"/>
      <c r="Q2" s="590"/>
      <c r="R2" s="590"/>
      <c r="S2" s="590"/>
      <c r="T2" s="590"/>
      <c r="U2" s="590"/>
      <c r="V2" s="590"/>
      <c r="W2" s="573"/>
      <c r="X2" s="573"/>
      <c r="Y2" s="573"/>
      <c r="Z2" s="565"/>
      <c r="AA2" s="565"/>
      <c r="AB2" s="573"/>
      <c r="AC2" s="573"/>
      <c r="AD2" s="573"/>
      <c r="AE2" s="565"/>
      <c r="AF2" s="573"/>
      <c r="AG2" s="573"/>
      <c r="AH2" s="573"/>
      <c r="AI2" s="573"/>
      <c r="AJ2" s="573"/>
      <c r="AK2" s="573"/>
      <c r="AL2" s="573"/>
      <c r="AM2" s="573"/>
      <c r="AN2" s="573"/>
      <c r="AO2" s="573"/>
      <c r="AP2" s="565"/>
      <c r="AQ2" s="565"/>
      <c r="AR2" s="565"/>
      <c r="AS2" s="598"/>
      <c r="AT2" s="598"/>
      <c r="AU2" s="565"/>
      <c r="AV2" s="565"/>
      <c r="AW2" s="565"/>
      <c r="AX2" s="565"/>
      <c r="AY2" s="565"/>
      <c r="AZ2" s="565"/>
      <c r="BA2" s="565"/>
      <c r="BB2" s="565"/>
      <c r="BC2" s="573"/>
      <c r="BD2" s="565"/>
      <c r="BE2" s="565"/>
      <c r="BF2" s="565"/>
    </row>
    <row r="3" spans="1:58" ht="18" x14ac:dyDescent="0.25">
      <c r="A3" s="565"/>
      <c r="B3" s="1023" t="s">
        <v>745</v>
      </c>
      <c r="C3" s="565"/>
      <c r="D3" s="565"/>
      <c r="E3" s="565"/>
      <c r="F3" s="565" t="str">
        <f t="shared" ref="F3:AQ3" si="0">LOWER(F5)</f>
        <v>agriculture, forestry &amp; fishing</v>
      </c>
      <c r="G3" s="565" t="str">
        <f t="shared" si="0"/>
        <v>food crops</v>
      </c>
      <c r="H3" s="565" t="str">
        <f t="shared" si="0"/>
        <v>export crops</v>
      </c>
      <c r="I3" s="565" t="str">
        <f t="shared" si="0"/>
        <v>livestock &amp; livestock products</v>
      </c>
      <c r="J3" s="565" t="str">
        <f t="shared" si="0"/>
        <v>forestry</v>
      </c>
      <c r="K3" s="565" t="str">
        <f t="shared" si="0"/>
        <v>fishing</v>
      </c>
      <c r="L3" s="565" t="str">
        <f t="shared" si="0"/>
        <v>industry</v>
      </c>
      <c r="M3" s="565" t="str">
        <f t="shared" si="0"/>
        <v>mining &amp; quarrying</v>
      </c>
      <c r="N3" s="565" t="str">
        <f t="shared" si="0"/>
        <v>total manufacturing</v>
      </c>
      <c r="O3" s="565" t="str">
        <f t="shared" si="0"/>
        <v>of which: food</v>
      </c>
      <c r="P3" s="565" t="str">
        <f t="shared" si="0"/>
        <v xml:space="preserve">              beverages &amp; tobacco</v>
      </c>
      <c r="Q3" s="565" t="str">
        <f t="shared" si="0"/>
        <v xml:space="preserve">             textiles, clothing &amp; leather goods</v>
      </c>
      <c r="R3" s="565" t="str">
        <f t="shared" si="0"/>
        <v xml:space="preserve">             wood &amp; paper; printing</v>
      </c>
      <c r="S3" s="565" t="str">
        <f t="shared" si="0"/>
        <v xml:space="preserve">             chemicals, rubber &amp; plastic products</v>
      </c>
      <c r="T3" s="565" t="str">
        <f t="shared" si="0"/>
        <v xml:space="preserve">             non-metallic mineral products</v>
      </c>
      <c r="U3" s="565" t="str">
        <f t="shared" si="0"/>
        <v xml:space="preserve">             metal products, machinery &amp; equipment</v>
      </c>
      <c r="V3" s="565" t="str">
        <f t="shared" si="0"/>
        <v xml:space="preserve">             furniture &amp; other manufacturing </v>
      </c>
      <c r="W3" s="565" t="str">
        <f t="shared" si="0"/>
        <v>electricity</v>
      </c>
      <c r="X3" s="565" t="str">
        <f t="shared" si="0"/>
        <v>water &amp; waste management</v>
      </c>
      <c r="Y3" s="565" t="str">
        <f t="shared" si="0"/>
        <v>construction</v>
      </c>
      <c r="Z3" s="565" t="str">
        <f t="shared" si="0"/>
        <v>services</v>
      </c>
      <c r="AA3" s="565" t="str">
        <f t="shared" si="0"/>
        <v>trade &amp;transport</v>
      </c>
      <c r="AB3" s="565" t="str">
        <f t="shared" si="0"/>
        <v>maintenance and repair of motor vehicles</v>
      </c>
      <c r="AC3" s="565" t="str">
        <f t="shared" si="0"/>
        <v>wholesale &amp; retail trade</v>
      </c>
      <c r="AD3" s="565" t="str">
        <f t="shared" si="0"/>
        <v>transport services</v>
      </c>
      <c r="AE3" s="565" t="str">
        <f t="shared" si="0"/>
        <v>other services</v>
      </c>
      <c r="AF3" s="565" t="str">
        <f t="shared" si="0"/>
        <v>hotels &amp; restaurants</v>
      </c>
      <c r="AG3" s="565" t="str">
        <f t="shared" si="0"/>
        <v>information &amp; communication</v>
      </c>
      <c r="AH3" s="565" t="str">
        <f t="shared" si="0"/>
        <v>financial services</v>
      </c>
      <c r="AI3" s="565" t="str">
        <f t="shared" si="0"/>
        <v>real estate activities</v>
      </c>
      <c r="AJ3" s="565" t="str">
        <f t="shared" si="0"/>
        <v>professional, scientific and technical activities</v>
      </c>
      <c r="AK3" s="565" t="str">
        <f t="shared" si="0"/>
        <v>administrative and support service activities</v>
      </c>
      <c r="AL3" s="565" t="str">
        <f t="shared" si="0"/>
        <v>public administration and defence; compulsory social security</v>
      </c>
      <c r="AM3" s="565" t="str">
        <f t="shared" si="0"/>
        <v>education</v>
      </c>
      <c r="AN3" s="565" t="str">
        <f t="shared" si="0"/>
        <v>human health and social work activities</v>
      </c>
      <c r="AO3" s="565" t="str">
        <f t="shared" si="0"/>
        <v>cultural, domestic &amp; other services</v>
      </c>
      <c r="AP3" s="565" t="str">
        <f t="shared" si="0"/>
        <v/>
      </c>
      <c r="AQ3" s="565" t="str">
        <f t="shared" si="0"/>
        <v>taxes less subsidies on products</v>
      </c>
      <c r="AR3" s="565"/>
      <c r="AS3" s="598"/>
      <c r="AT3" s="598"/>
      <c r="AU3" s="565"/>
      <c r="AV3" s="565" t="str">
        <f>LOWER(AV5)</f>
        <v>services</v>
      </c>
      <c r="AW3" s="565"/>
      <c r="AX3" s="565"/>
      <c r="AY3" s="565"/>
      <c r="AZ3" s="565"/>
      <c r="BA3" s="565"/>
      <c r="BB3" s="565"/>
      <c r="BC3" s="573"/>
      <c r="BD3" s="565"/>
      <c r="BE3" s="565"/>
      <c r="BF3" s="565"/>
    </row>
    <row r="4" spans="1:58" ht="18.75" thickBot="1" x14ac:dyDescent="0.3">
      <c r="A4" s="565"/>
      <c r="B4" s="574" t="s">
        <v>746</v>
      </c>
      <c r="C4" s="565"/>
      <c r="D4" s="565" t="s">
        <v>1440</v>
      </c>
      <c r="E4" s="565"/>
      <c r="F4" s="565" t="s">
        <v>1441</v>
      </c>
      <c r="G4" s="565" t="s">
        <v>1442</v>
      </c>
      <c r="H4" s="565" t="s">
        <v>1443</v>
      </c>
      <c r="I4" s="565" t="s">
        <v>1444</v>
      </c>
      <c r="J4" s="565" t="s">
        <v>1445</v>
      </c>
      <c r="K4" s="565" t="s">
        <v>1446</v>
      </c>
      <c r="L4" s="565" t="s">
        <v>1447</v>
      </c>
      <c r="M4" s="565" t="s">
        <v>1448</v>
      </c>
      <c r="N4" s="565" t="s">
        <v>1449</v>
      </c>
      <c r="O4" s="565" t="s">
        <v>1450</v>
      </c>
      <c r="P4" s="565" t="s">
        <v>1451</v>
      </c>
      <c r="Q4" s="565" t="s">
        <v>1452</v>
      </c>
      <c r="R4" s="565" t="s">
        <v>1453</v>
      </c>
      <c r="S4" s="565" t="s">
        <v>1454</v>
      </c>
      <c r="T4" s="565" t="s">
        <v>1455</v>
      </c>
      <c r="U4" s="565" t="s">
        <v>1456</v>
      </c>
      <c r="V4" s="565" t="s">
        <v>1457</v>
      </c>
      <c r="W4" s="565" t="s">
        <v>1458</v>
      </c>
      <c r="X4" s="565" t="s">
        <v>1459</v>
      </c>
      <c r="Y4" s="565" t="s">
        <v>1460</v>
      </c>
      <c r="Z4" s="565" t="s">
        <v>1461</v>
      </c>
      <c r="AA4" s="565" t="s">
        <v>1462</v>
      </c>
      <c r="AB4" s="565" t="s">
        <v>1463</v>
      </c>
      <c r="AC4" s="565" t="s">
        <v>1464</v>
      </c>
      <c r="AD4" s="565" t="s">
        <v>1465</v>
      </c>
      <c r="AE4" s="565" t="s">
        <v>1466</v>
      </c>
      <c r="AF4" s="565" t="s">
        <v>1467</v>
      </c>
      <c r="AG4" s="565" t="s">
        <v>1468</v>
      </c>
      <c r="AH4" s="565" t="s">
        <v>1469</v>
      </c>
      <c r="AI4" s="565" t="s">
        <v>1470</v>
      </c>
      <c r="AJ4" s="565" t="s">
        <v>239</v>
      </c>
      <c r="AK4" s="565" t="s">
        <v>1471</v>
      </c>
      <c r="AL4" s="565" t="s">
        <v>1472</v>
      </c>
      <c r="AM4" s="565" t="s">
        <v>1473</v>
      </c>
      <c r="AN4" s="565" t="s">
        <v>1474</v>
      </c>
      <c r="AO4" s="565" t="s">
        <v>1475</v>
      </c>
      <c r="AP4" s="565" t="s">
        <v>1476</v>
      </c>
      <c r="AQ4" s="565" t="s">
        <v>1476</v>
      </c>
      <c r="AR4" s="565"/>
      <c r="AS4" s="598"/>
      <c r="AT4" s="598"/>
      <c r="AU4" s="565"/>
      <c r="AV4" s="565" t="s">
        <v>1477</v>
      </c>
      <c r="AW4" s="565"/>
      <c r="AX4" s="565"/>
      <c r="AY4" s="565"/>
      <c r="AZ4" s="565"/>
      <c r="BA4" s="565"/>
      <c r="BB4" s="565"/>
      <c r="BC4" s="573"/>
      <c r="BD4" s="565"/>
      <c r="BE4" s="565"/>
      <c r="BF4" s="565"/>
    </row>
    <row r="5" spans="1:58" ht="91.5" thickTop="1" thickBot="1" x14ac:dyDescent="0.3">
      <c r="B5" s="575" t="s">
        <v>747</v>
      </c>
      <c r="C5" s="579"/>
      <c r="D5" s="738" t="s">
        <v>749</v>
      </c>
      <c r="E5" s="579"/>
      <c r="F5" s="738" t="s">
        <v>750</v>
      </c>
      <c r="G5" s="739" t="s">
        <v>752</v>
      </c>
      <c r="H5" s="739" t="s">
        <v>754</v>
      </c>
      <c r="I5" s="739" t="s">
        <v>756</v>
      </c>
      <c r="J5" s="739" t="s">
        <v>220</v>
      </c>
      <c r="K5" s="739" t="s">
        <v>205</v>
      </c>
      <c r="L5" s="738" t="s">
        <v>760</v>
      </c>
      <c r="M5" s="739" t="s">
        <v>762</v>
      </c>
      <c r="N5" s="740" t="s">
        <v>764</v>
      </c>
      <c r="O5" s="741" t="s">
        <v>766</v>
      </c>
      <c r="P5" s="741" t="s">
        <v>768</v>
      </c>
      <c r="Q5" s="741" t="s">
        <v>770</v>
      </c>
      <c r="R5" s="741" t="s">
        <v>772</v>
      </c>
      <c r="S5" s="741" t="s">
        <v>774</v>
      </c>
      <c r="T5" s="741" t="s">
        <v>776</v>
      </c>
      <c r="U5" s="741" t="s">
        <v>778</v>
      </c>
      <c r="V5" s="741" t="s">
        <v>780</v>
      </c>
      <c r="W5" s="739" t="s">
        <v>698</v>
      </c>
      <c r="X5" s="739" t="s">
        <v>783</v>
      </c>
      <c r="Y5" s="739" t="s">
        <v>785</v>
      </c>
      <c r="Z5" s="738" t="s">
        <v>787</v>
      </c>
      <c r="AA5" s="738" t="s">
        <v>789</v>
      </c>
      <c r="AB5" s="739" t="s">
        <v>791</v>
      </c>
      <c r="AC5" s="739" t="s">
        <v>793</v>
      </c>
      <c r="AD5" s="739" t="s">
        <v>795</v>
      </c>
      <c r="AE5" s="738" t="s">
        <v>797</v>
      </c>
      <c r="AF5" s="739" t="s">
        <v>799</v>
      </c>
      <c r="AG5" s="739" t="s">
        <v>801</v>
      </c>
      <c r="AH5" s="739" t="s">
        <v>803</v>
      </c>
      <c r="AI5" s="739" t="s">
        <v>805</v>
      </c>
      <c r="AJ5" s="739" t="s">
        <v>807</v>
      </c>
      <c r="AK5" s="739" t="s">
        <v>809</v>
      </c>
      <c r="AL5" s="739" t="s">
        <v>811</v>
      </c>
      <c r="AM5" s="739" t="s">
        <v>813</v>
      </c>
      <c r="AN5" s="739" t="s">
        <v>814</v>
      </c>
      <c r="AO5" s="739" t="s">
        <v>816</v>
      </c>
      <c r="AP5" s="742"/>
      <c r="AQ5" s="738" t="s">
        <v>818</v>
      </c>
      <c r="AR5" s="743"/>
      <c r="AS5" s="744" t="s">
        <v>819</v>
      </c>
      <c r="AT5" s="1021">
        <v>42807</v>
      </c>
      <c r="AU5" s="603"/>
      <c r="AV5" s="738" t="s">
        <v>787</v>
      </c>
      <c r="AW5" s="603"/>
      <c r="AX5" s="584"/>
      <c r="AY5" s="584"/>
      <c r="AZ5" s="584"/>
      <c r="BA5" s="584"/>
      <c r="BB5" s="584"/>
      <c r="BC5" s="584"/>
      <c r="BD5" s="584"/>
      <c r="BE5" s="584"/>
      <c r="BF5" s="584"/>
    </row>
    <row r="6" spans="1:58" ht="19.5" thickTop="1" thickBot="1" x14ac:dyDescent="0.3">
      <c r="A6" s="567"/>
      <c r="B6" s="576" t="s">
        <v>748</v>
      </c>
      <c r="C6" s="580"/>
      <c r="D6" s="582" t="s">
        <v>1408</v>
      </c>
      <c r="E6" s="580"/>
      <c r="F6" s="582" t="s">
        <v>751</v>
      </c>
      <c r="G6" s="567" t="s">
        <v>753</v>
      </c>
      <c r="H6" s="567" t="s">
        <v>755</v>
      </c>
      <c r="I6" s="567" t="s">
        <v>757</v>
      </c>
      <c r="J6" s="567" t="s">
        <v>758</v>
      </c>
      <c r="K6" s="567" t="s">
        <v>759</v>
      </c>
      <c r="L6" s="582" t="s">
        <v>761</v>
      </c>
      <c r="M6" s="567" t="s">
        <v>763</v>
      </c>
      <c r="N6" s="588" t="s">
        <v>765</v>
      </c>
      <c r="O6" s="592" t="s">
        <v>767</v>
      </c>
      <c r="P6" s="592" t="s">
        <v>769</v>
      </c>
      <c r="Q6" s="592" t="s">
        <v>771</v>
      </c>
      <c r="R6" s="592" t="s">
        <v>773</v>
      </c>
      <c r="S6" s="592" t="s">
        <v>775</v>
      </c>
      <c r="T6" s="592" t="s">
        <v>777</v>
      </c>
      <c r="U6" s="592" t="s">
        <v>779</v>
      </c>
      <c r="V6" s="592" t="s">
        <v>781</v>
      </c>
      <c r="W6" s="567" t="s">
        <v>782</v>
      </c>
      <c r="X6" s="567" t="s">
        <v>784</v>
      </c>
      <c r="Y6" s="567" t="s">
        <v>786</v>
      </c>
      <c r="Z6" s="582" t="s">
        <v>788</v>
      </c>
      <c r="AA6" s="582" t="s">
        <v>790</v>
      </c>
      <c r="AB6" s="567" t="s">
        <v>792</v>
      </c>
      <c r="AC6" s="567" t="s">
        <v>794</v>
      </c>
      <c r="AD6" s="567" t="s">
        <v>796</v>
      </c>
      <c r="AE6" s="582" t="s">
        <v>798</v>
      </c>
      <c r="AF6" s="567" t="s">
        <v>800</v>
      </c>
      <c r="AG6" s="567" t="s">
        <v>802</v>
      </c>
      <c r="AH6" s="567" t="s">
        <v>804</v>
      </c>
      <c r="AI6" s="567" t="s">
        <v>806</v>
      </c>
      <c r="AJ6" s="567" t="s">
        <v>808</v>
      </c>
      <c r="AK6" s="567" t="s">
        <v>810</v>
      </c>
      <c r="AL6" s="567" t="s">
        <v>812</v>
      </c>
      <c r="AM6" s="567" t="s">
        <v>385</v>
      </c>
      <c r="AN6" s="567" t="s">
        <v>815</v>
      </c>
      <c r="AO6" s="567" t="s">
        <v>817</v>
      </c>
      <c r="AP6" s="572"/>
      <c r="AQ6" s="582"/>
      <c r="AR6" s="597"/>
      <c r="AS6" s="600"/>
      <c r="AT6" s="600"/>
      <c r="AU6" s="604"/>
      <c r="AV6" s="582" t="s">
        <v>788</v>
      </c>
      <c r="AW6" s="604"/>
      <c r="AX6" s="604"/>
      <c r="AY6" s="604"/>
      <c r="AZ6" s="604"/>
      <c r="BA6" s="604"/>
      <c r="BB6" s="604"/>
      <c r="BC6" s="604"/>
      <c r="BD6" s="604"/>
      <c r="BE6" s="604"/>
      <c r="BF6" s="604"/>
    </row>
    <row r="7" spans="1:58" ht="7.5" customHeight="1" thickTop="1" thickBot="1" x14ac:dyDescent="0.3">
      <c r="A7" s="567"/>
      <c r="B7" s="576"/>
      <c r="C7" s="580"/>
      <c r="D7" s="582"/>
      <c r="E7" s="580"/>
      <c r="F7" s="582"/>
      <c r="G7" s="567"/>
      <c r="H7" s="567"/>
      <c r="I7" s="567"/>
      <c r="J7" s="567"/>
      <c r="K7" s="567"/>
      <c r="L7" s="582"/>
      <c r="M7" s="567"/>
      <c r="N7" s="588"/>
      <c r="O7" s="592"/>
      <c r="P7" s="592"/>
      <c r="Q7" s="592"/>
      <c r="R7" s="592"/>
      <c r="S7" s="592"/>
      <c r="T7" s="592"/>
      <c r="U7" s="592"/>
      <c r="V7" s="592"/>
      <c r="W7" s="567"/>
      <c r="X7" s="567"/>
      <c r="Y7" s="567"/>
      <c r="Z7" s="582"/>
      <c r="AA7" s="582"/>
      <c r="AB7" s="567"/>
      <c r="AC7" s="567"/>
      <c r="AD7" s="567"/>
      <c r="AE7" s="582"/>
      <c r="AF7" s="567"/>
      <c r="AG7" s="567"/>
      <c r="AH7" s="567"/>
      <c r="AI7" s="567"/>
      <c r="AJ7" s="567"/>
      <c r="AK7" s="567"/>
      <c r="AL7" s="567"/>
      <c r="AM7" s="567"/>
      <c r="AN7" s="567"/>
      <c r="AO7" s="567"/>
      <c r="AP7" s="572"/>
      <c r="AQ7" s="582"/>
      <c r="AR7" s="597"/>
      <c r="AS7" s="601"/>
      <c r="AT7" s="601"/>
      <c r="AU7" s="604"/>
      <c r="AV7" s="582"/>
      <c r="AW7" s="604"/>
      <c r="AX7" s="604"/>
      <c r="AY7" s="604"/>
      <c r="AZ7" s="604"/>
      <c r="BA7" s="604"/>
      <c r="BB7" s="604"/>
      <c r="BC7" s="604"/>
      <c r="BD7" s="604"/>
      <c r="BE7" s="604"/>
      <c r="BF7" s="604"/>
    </row>
    <row r="8" spans="1:58" ht="19.5" thickTop="1" thickBot="1" x14ac:dyDescent="0.3">
      <c r="A8" s="568"/>
      <c r="B8" s="577">
        <v>1999</v>
      </c>
      <c r="C8" s="580"/>
      <c r="D8" s="583">
        <v>1736</v>
      </c>
      <c r="E8" s="585"/>
      <c r="F8" s="583">
        <v>702</v>
      </c>
      <c r="G8" s="586">
        <v>398</v>
      </c>
      <c r="H8" s="586">
        <v>60</v>
      </c>
      <c r="I8" s="586">
        <v>88</v>
      </c>
      <c r="J8" s="586">
        <v>153</v>
      </c>
      <c r="K8" s="586">
        <v>13</v>
      </c>
      <c r="L8" s="583">
        <v>243</v>
      </c>
      <c r="M8" s="586">
        <v>21</v>
      </c>
      <c r="N8" s="589">
        <v>114</v>
      </c>
      <c r="O8" s="593">
        <v>25</v>
      </c>
      <c r="P8" s="593">
        <v>58</v>
      </c>
      <c r="Q8" s="593">
        <v>7</v>
      </c>
      <c r="R8" s="593">
        <v>2</v>
      </c>
      <c r="S8" s="593">
        <v>13</v>
      </c>
      <c r="T8" s="593">
        <v>5</v>
      </c>
      <c r="U8" s="593">
        <v>4</v>
      </c>
      <c r="V8" s="593">
        <v>6</v>
      </c>
      <c r="W8" s="586">
        <v>49</v>
      </c>
      <c r="X8" s="586">
        <v>37</v>
      </c>
      <c r="Y8" s="586">
        <v>75</v>
      </c>
      <c r="Z8" s="583">
        <v>646</v>
      </c>
      <c r="AA8" s="583">
        <v>126</v>
      </c>
      <c r="AB8" s="586">
        <v>5</v>
      </c>
      <c r="AC8" s="586">
        <v>89</v>
      </c>
      <c r="AD8" s="586">
        <v>32</v>
      </c>
      <c r="AE8" s="583">
        <v>607</v>
      </c>
      <c r="AF8" s="586">
        <v>14</v>
      </c>
      <c r="AG8" s="586">
        <v>12</v>
      </c>
      <c r="AH8" s="586">
        <v>43</v>
      </c>
      <c r="AI8" s="586">
        <v>224</v>
      </c>
      <c r="AJ8" s="586">
        <v>74</v>
      </c>
      <c r="AK8" s="586">
        <v>84</v>
      </c>
      <c r="AL8" s="586">
        <v>89</v>
      </c>
      <c r="AM8" s="586">
        <v>28</v>
      </c>
      <c r="AN8" s="586">
        <v>31</v>
      </c>
      <c r="AO8" s="586">
        <v>9</v>
      </c>
      <c r="AP8" s="595"/>
      <c r="AQ8" s="583">
        <v>168</v>
      </c>
      <c r="AR8" s="596"/>
      <c r="AS8" s="601"/>
      <c r="AT8" s="601"/>
      <c r="AU8" s="605"/>
      <c r="AV8" s="583">
        <v>646</v>
      </c>
      <c r="AW8" s="605"/>
      <c r="AX8" s="584"/>
      <c r="AY8" s="584"/>
      <c r="AZ8" s="584"/>
      <c r="BA8" s="584"/>
      <c r="BB8" s="584"/>
      <c r="BC8" s="584"/>
      <c r="BD8" s="584"/>
      <c r="BE8" s="584"/>
      <c r="BF8" s="584"/>
    </row>
    <row r="9" spans="1:58" ht="19.5" thickTop="1" thickBot="1" x14ac:dyDescent="0.3">
      <c r="A9" s="568"/>
      <c r="B9" s="577">
        <v>2000</v>
      </c>
      <c r="C9" s="580"/>
      <c r="D9" s="583">
        <v>1881</v>
      </c>
      <c r="E9" s="585"/>
      <c r="F9" s="583">
        <v>754</v>
      </c>
      <c r="G9" s="586">
        <v>428</v>
      </c>
      <c r="H9" s="586">
        <v>69</v>
      </c>
      <c r="I9" s="586">
        <v>92</v>
      </c>
      <c r="J9" s="586">
        <v>161</v>
      </c>
      <c r="K9" s="586">
        <v>13</v>
      </c>
      <c r="L9" s="583">
        <v>246</v>
      </c>
      <c r="M9" s="586">
        <v>29</v>
      </c>
      <c r="N9" s="589">
        <v>114</v>
      </c>
      <c r="O9" s="593">
        <v>26</v>
      </c>
      <c r="P9" s="593">
        <v>53</v>
      </c>
      <c r="Q9" s="593">
        <v>8</v>
      </c>
      <c r="R9" s="593">
        <v>2</v>
      </c>
      <c r="S9" s="593">
        <v>13</v>
      </c>
      <c r="T9" s="593">
        <v>6</v>
      </c>
      <c r="U9" s="593">
        <v>5</v>
      </c>
      <c r="V9" s="593">
        <v>6</v>
      </c>
      <c r="W9" s="586">
        <v>43</v>
      </c>
      <c r="X9" s="586">
        <v>33</v>
      </c>
      <c r="Y9" s="586">
        <v>77</v>
      </c>
      <c r="Z9" s="583">
        <v>720</v>
      </c>
      <c r="AA9" s="583">
        <v>144</v>
      </c>
      <c r="AB9" s="586">
        <v>6</v>
      </c>
      <c r="AC9" s="586">
        <v>101</v>
      </c>
      <c r="AD9" s="586">
        <v>37</v>
      </c>
      <c r="AE9" s="583">
        <v>681</v>
      </c>
      <c r="AF9" s="586">
        <v>14</v>
      </c>
      <c r="AG9" s="586">
        <v>13</v>
      </c>
      <c r="AH9" s="586">
        <v>52</v>
      </c>
      <c r="AI9" s="586">
        <v>231</v>
      </c>
      <c r="AJ9" s="586">
        <v>77</v>
      </c>
      <c r="AK9" s="586">
        <v>87</v>
      </c>
      <c r="AL9" s="586">
        <v>94</v>
      </c>
      <c r="AM9" s="586">
        <v>33</v>
      </c>
      <c r="AN9" s="586">
        <v>32</v>
      </c>
      <c r="AO9" s="586">
        <v>48</v>
      </c>
      <c r="AP9" s="595"/>
      <c r="AQ9" s="583">
        <v>182</v>
      </c>
      <c r="AR9" s="596"/>
      <c r="AS9" s="601"/>
      <c r="AT9" s="601"/>
      <c r="AU9" s="605"/>
      <c r="AV9" s="583">
        <v>720</v>
      </c>
      <c r="AW9" s="605"/>
      <c r="AX9" s="584"/>
      <c r="AY9" s="584"/>
      <c r="AZ9" s="584"/>
      <c r="BA9" s="584"/>
      <c r="BB9" s="584"/>
      <c r="BC9" s="584"/>
      <c r="BD9" s="584"/>
      <c r="BE9" s="584"/>
      <c r="BF9" s="584"/>
    </row>
    <row r="10" spans="1:58" ht="19.5" thickTop="1" thickBot="1" x14ac:dyDescent="0.3">
      <c r="A10" s="568"/>
      <c r="B10" s="577">
        <v>2001</v>
      </c>
      <c r="C10" s="580"/>
      <c r="D10" s="583">
        <v>2041</v>
      </c>
      <c r="E10" s="585"/>
      <c r="F10" s="583">
        <v>821</v>
      </c>
      <c r="G10" s="586">
        <v>466</v>
      </c>
      <c r="H10" s="586">
        <v>79</v>
      </c>
      <c r="I10" s="586">
        <v>98</v>
      </c>
      <c r="J10" s="586">
        <v>174</v>
      </c>
      <c r="K10" s="586">
        <v>14</v>
      </c>
      <c r="L10" s="583">
        <v>278</v>
      </c>
      <c r="M10" s="586">
        <v>79</v>
      </c>
      <c r="N10" s="589">
        <v>125</v>
      </c>
      <c r="O10" s="593">
        <v>32</v>
      </c>
      <c r="P10" s="593">
        <v>53</v>
      </c>
      <c r="Q10" s="593">
        <v>8</v>
      </c>
      <c r="R10" s="593">
        <v>2</v>
      </c>
      <c r="S10" s="593">
        <v>14</v>
      </c>
      <c r="T10" s="593">
        <v>7</v>
      </c>
      <c r="U10" s="593">
        <v>5</v>
      </c>
      <c r="V10" s="593">
        <v>6</v>
      </c>
      <c r="W10" s="586">
        <v>39</v>
      </c>
      <c r="X10" s="586">
        <v>30</v>
      </c>
      <c r="Y10" s="586">
        <v>85</v>
      </c>
      <c r="Z10" s="583">
        <v>769</v>
      </c>
      <c r="AA10" s="583">
        <v>156</v>
      </c>
      <c r="AB10" s="586">
        <v>7</v>
      </c>
      <c r="AC10" s="586">
        <v>107</v>
      </c>
      <c r="AD10" s="586">
        <v>42</v>
      </c>
      <c r="AE10" s="583">
        <v>714</v>
      </c>
      <c r="AF10" s="586">
        <v>15</v>
      </c>
      <c r="AG10" s="586">
        <v>15</v>
      </c>
      <c r="AH10" s="586">
        <v>54</v>
      </c>
      <c r="AI10" s="586">
        <v>239</v>
      </c>
      <c r="AJ10" s="586">
        <v>79</v>
      </c>
      <c r="AK10" s="586">
        <v>90</v>
      </c>
      <c r="AL10" s="586">
        <v>98</v>
      </c>
      <c r="AM10" s="586">
        <v>37</v>
      </c>
      <c r="AN10" s="586">
        <v>37</v>
      </c>
      <c r="AO10" s="586">
        <v>51</v>
      </c>
      <c r="AP10" s="595"/>
      <c r="AQ10" s="583">
        <v>197</v>
      </c>
      <c r="AR10" s="596"/>
      <c r="AS10" s="601"/>
      <c r="AT10" s="601"/>
      <c r="AU10" s="605"/>
      <c r="AV10" s="583">
        <v>769</v>
      </c>
      <c r="AW10" s="605"/>
      <c r="AX10" s="584"/>
      <c r="AY10" s="584"/>
      <c r="AZ10" s="584"/>
      <c r="BA10" s="584"/>
      <c r="BB10" s="584"/>
      <c r="BC10" s="584"/>
      <c r="BD10" s="584"/>
      <c r="BE10" s="584"/>
      <c r="BF10" s="584"/>
    </row>
    <row r="11" spans="1:58" ht="19.5" thickTop="1" thickBot="1" x14ac:dyDescent="0.3">
      <c r="A11" s="568"/>
      <c r="B11" s="577">
        <v>2002</v>
      </c>
      <c r="C11" s="580"/>
      <c r="D11" s="583">
        <v>2310</v>
      </c>
      <c r="E11" s="585"/>
      <c r="F11" s="583">
        <v>960</v>
      </c>
      <c r="G11" s="586">
        <v>553</v>
      </c>
      <c r="H11" s="586">
        <v>83</v>
      </c>
      <c r="I11" s="586">
        <v>102</v>
      </c>
      <c r="J11" s="586">
        <v>190</v>
      </c>
      <c r="K11" s="586">
        <v>15</v>
      </c>
      <c r="L11" s="583">
        <v>298</v>
      </c>
      <c r="M11" s="586">
        <v>60</v>
      </c>
      <c r="N11" s="589">
        <v>144</v>
      </c>
      <c r="O11" s="593">
        <v>36</v>
      </c>
      <c r="P11" s="593">
        <v>64</v>
      </c>
      <c r="Q11" s="593">
        <v>10</v>
      </c>
      <c r="R11" s="593">
        <v>3</v>
      </c>
      <c r="S11" s="593">
        <v>16</v>
      </c>
      <c r="T11" s="593">
        <v>8</v>
      </c>
      <c r="U11" s="593">
        <v>5</v>
      </c>
      <c r="V11" s="593">
        <v>6</v>
      </c>
      <c r="W11" s="586">
        <v>39</v>
      </c>
      <c r="X11" s="586">
        <v>29</v>
      </c>
      <c r="Y11" s="586">
        <v>87</v>
      </c>
      <c r="Z11" s="583">
        <v>858</v>
      </c>
      <c r="AA11" s="583">
        <v>179</v>
      </c>
      <c r="AB11" s="586">
        <v>8</v>
      </c>
      <c r="AC11" s="586">
        <v>122</v>
      </c>
      <c r="AD11" s="586">
        <v>49</v>
      </c>
      <c r="AE11" s="583">
        <v>773</v>
      </c>
      <c r="AF11" s="586">
        <v>21</v>
      </c>
      <c r="AG11" s="586">
        <v>18</v>
      </c>
      <c r="AH11" s="586">
        <v>53</v>
      </c>
      <c r="AI11" s="586">
        <v>250</v>
      </c>
      <c r="AJ11" s="586">
        <v>83</v>
      </c>
      <c r="AK11" s="586">
        <v>94</v>
      </c>
      <c r="AL11" s="586">
        <v>98</v>
      </c>
      <c r="AM11" s="586">
        <v>51</v>
      </c>
      <c r="AN11" s="586">
        <v>40</v>
      </c>
      <c r="AO11" s="586">
        <v>64</v>
      </c>
      <c r="AP11" s="595"/>
      <c r="AQ11" s="583">
        <v>217</v>
      </c>
      <c r="AR11" s="596"/>
      <c r="AS11" s="601"/>
      <c r="AT11" s="601"/>
      <c r="AU11" s="605"/>
      <c r="AV11" s="583">
        <v>858</v>
      </c>
      <c r="AW11" s="605"/>
      <c r="AX11" s="584"/>
      <c r="AY11" s="584"/>
      <c r="AZ11" s="584"/>
      <c r="BA11" s="584"/>
      <c r="BB11" s="584"/>
      <c r="BC11" s="584"/>
      <c r="BD11" s="584"/>
      <c r="BE11" s="584"/>
      <c r="BF11" s="584"/>
    </row>
    <row r="12" spans="1:58" ht="19.5" thickTop="1" thickBot="1" x14ac:dyDescent="0.3">
      <c r="A12" s="568"/>
      <c r="B12" s="577">
        <v>2003</v>
      </c>
      <c r="C12" s="580"/>
      <c r="D12" s="583">
        <v>2361</v>
      </c>
      <c r="E12" s="585"/>
      <c r="F12" s="583">
        <v>930</v>
      </c>
      <c r="G12" s="586">
        <v>533</v>
      </c>
      <c r="H12" s="586">
        <v>69</v>
      </c>
      <c r="I12" s="586">
        <v>107</v>
      </c>
      <c r="J12" s="586">
        <v>207</v>
      </c>
      <c r="K12" s="586">
        <v>15</v>
      </c>
      <c r="L12" s="583">
        <v>312</v>
      </c>
      <c r="M12" s="586">
        <v>48</v>
      </c>
      <c r="N12" s="589">
        <v>151</v>
      </c>
      <c r="O12" s="593">
        <v>40</v>
      </c>
      <c r="P12" s="593">
        <v>58</v>
      </c>
      <c r="Q12" s="593">
        <v>11</v>
      </c>
      <c r="R12" s="593">
        <v>4</v>
      </c>
      <c r="S12" s="593">
        <v>19</v>
      </c>
      <c r="T12" s="593">
        <v>9</v>
      </c>
      <c r="U12" s="593">
        <v>6</v>
      </c>
      <c r="V12" s="593">
        <v>7</v>
      </c>
      <c r="W12" s="586">
        <v>35</v>
      </c>
      <c r="X12" s="586">
        <v>27</v>
      </c>
      <c r="Y12" s="586">
        <v>95</v>
      </c>
      <c r="Z12" s="583">
        <v>918</v>
      </c>
      <c r="AA12" s="583">
        <v>184</v>
      </c>
      <c r="AB12" s="586">
        <v>8</v>
      </c>
      <c r="AC12" s="586">
        <v>124</v>
      </c>
      <c r="AD12" s="586">
        <v>52</v>
      </c>
      <c r="AE12" s="583">
        <v>847</v>
      </c>
      <c r="AF12" s="586">
        <v>32</v>
      </c>
      <c r="AG12" s="586">
        <v>19</v>
      </c>
      <c r="AH12" s="586">
        <v>64</v>
      </c>
      <c r="AI12" s="586">
        <v>264</v>
      </c>
      <c r="AJ12" s="586">
        <v>88</v>
      </c>
      <c r="AK12" s="586">
        <v>99</v>
      </c>
      <c r="AL12" s="586">
        <v>104</v>
      </c>
      <c r="AM12" s="586">
        <v>49</v>
      </c>
      <c r="AN12" s="586">
        <v>48</v>
      </c>
      <c r="AO12" s="586">
        <v>82</v>
      </c>
      <c r="AP12" s="595"/>
      <c r="AQ12" s="583">
        <v>216</v>
      </c>
      <c r="AR12" s="596"/>
      <c r="AS12" s="601"/>
      <c r="AT12" s="601"/>
      <c r="AU12" s="605"/>
      <c r="AV12" s="583">
        <v>918</v>
      </c>
      <c r="AW12" s="605"/>
      <c r="AX12" s="584"/>
      <c r="AY12" s="584"/>
      <c r="AZ12" s="584"/>
      <c r="BA12" s="584"/>
      <c r="BB12" s="584"/>
      <c r="BC12" s="584"/>
      <c r="BD12" s="584"/>
      <c r="BE12" s="584"/>
      <c r="BF12" s="584"/>
    </row>
    <row r="13" spans="1:58" ht="19.5" thickTop="1" thickBot="1" x14ac:dyDescent="0.3">
      <c r="A13" s="568"/>
      <c r="B13" s="577">
        <v>2004</v>
      </c>
      <c r="C13" s="580"/>
      <c r="D13" s="583">
        <v>2537</v>
      </c>
      <c r="E13" s="585"/>
      <c r="F13" s="583">
        <v>947</v>
      </c>
      <c r="G13" s="586">
        <v>531</v>
      </c>
      <c r="H13" s="586">
        <v>112</v>
      </c>
      <c r="I13" s="586">
        <v>111</v>
      </c>
      <c r="J13" s="586">
        <v>225</v>
      </c>
      <c r="K13" s="586">
        <v>16</v>
      </c>
      <c r="L13" s="583">
        <v>360</v>
      </c>
      <c r="M13" s="586">
        <v>71</v>
      </c>
      <c r="N13" s="589">
        <v>170</v>
      </c>
      <c r="O13" s="593">
        <v>54</v>
      </c>
      <c r="P13" s="593">
        <v>59</v>
      </c>
      <c r="Q13" s="593">
        <v>13</v>
      </c>
      <c r="R13" s="593">
        <v>5</v>
      </c>
      <c r="S13" s="593">
        <v>21</v>
      </c>
      <c r="T13" s="593">
        <v>9</v>
      </c>
      <c r="U13" s="593">
        <v>5</v>
      </c>
      <c r="V13" s="593">
        <v>7</v>
      </c>
      <c r="W13" s="586">
        <v>24</v>
      </c>
      <c r="X13" s="586">
        <v>18</v>
      </c>
      <c r="Y13" s="586">
        <v>114</v>
      </c>
      <c r="Z13" s="583">
        <v>1012</v>
      </c>
      <c r="AA13" s="583">
        <v>210</v>
      </c>
      <c r="AB13" s="586">
        <v>9</v>
      </c>
      <c r="AC13" s="586">
        <v>140</v>
      </c>
      <c r="AD13" s="586">
        <v>62</v>
      </c>
      <c r="AE13" s="583">
        <v>904</v>
      </c>
      <c r="AF13" s="586">
        <v>40</v>
      </c>
      <c r="AG13" s="586">
        <v>23</v>
      </c>
      <c r="AH13" s="586">
        <v>69</v>
      </c>
      <c r="AI13" s="586">
        <v>271</v>
      </c>
      <c r="AJ13" s="586">
        <v>90</v>
      </c>
      <c r="AK13" s="586">
        <v>102</v>
      </c>
      <c r="AL13" s="586">
        <v>104</v>
      </c>
      <c r="AM13" s="586">
        <v>58</v>
      </c>
      <c r="AN13" s="586">
        <v>52</v>
      </c>
      <c r="AO13" s="586">
        <v>95</v>
      </c>
      <c r="AP13" s="595"/>
      <c r="AQ13" s="583">
        <v>226</v>
      </c>
      <c r="AR13" s="596"/>
      <c r="AS13" s="601"/>
      <c r="AT13" s="601"/>
      <c r="AU13" s="605"/>
      <c r="AV13" s="583">
        <v>1012</v>
      </c>
      <c r="AW13" s="605"/>
      <c r="AX13" s="584"/>
      <c r="AY13" s="584"/>
      <c r="AZ13" s="584"/>
      <c r="BA13" s="584"/>
      <c r="BB13" s="584"/>
      <c r="BC13" s="584"/>
      <c r="BD13" s="584"/>
      <c r="BE13" s="584"/>
      <c r="BF13" s="584"/>
    </row>
    <row r="14" spans="1:58" ht="19.5" thickTop="1" thickBot="1" x14ac:dyDescent="0.3">
      <c r="A14" s="568"/>
      <c r="B14" s="577">
        <v>2005</v>
      </c>
      <c r="C14" s="580"/>
      <c r="D14" s="583">
        <v>2775</v>
      </c>
      <c r="E14" s="585"/>
      <c r="F14" s="583">
        <v>1009</v>
      </c>
      <c r="G14" s="586">
        <v>573</v>
      </c>
      <c r="H14" s="586">
        <v>87</v>
      </c>
      <c r="I14" s="586">
        <v>116</v>
      </c>
      <c r="J14" s="586">
        <v>244</v>
      </c>
      <c r="K14" s="586">
        <v>16</v>
      </c>
      <c r="L14" s="583">
        <v>394</v>
      </c>
      <c r="M14" s="586">
        <v>93</v>
      </c>
      <c r="N14" s="589">
        <v>184</v>
      </c>
      <c r="O14" s="593">
        <v>61</v>
      </c>
      <c r="P14" s="593">
        <v>66</v>
      </c>
      <c r="Q14" s="593">
        <v>14</v>
      </c>
      <c r="R14" s="593">
        <v>6</v>
      </c>
      <c r="S14" s="593">
        <v>23</v>
      </c>
      <c r="T14" s="593">
        <v>9</v>
      </c>
      <c r="U14" s="593">
        <v>4</v>
      </c>
      <c r="V14" s="593">
        <v>5</v>
      </c>
      <c r="W14" s="586">
        <v>21</v>
      </c>
      <c r="X14" s="586">
        <v>16</v>
      </c>
      <c r="Y14" s="586">
        <v>124</v>
      </c>
      <c r="Z14" s="583">
        <v>1132</v>
      </c>
      <c r="AA14" s="583">
        <v>240</v>
      </c>
      <c r="AB14" s="586">
        <v>10</v>
      </c>
      <c r="AC14" s="586">
        <v>158</v>
      </c>
      <c r="AD14" s="586">
        <v>72</v>
      </c>
      <c r="AE14" s="583">
        <v>1005</v>
      </c>
      <c r="AF14" s="586">
        <v>55</v>
      </c>
      <c r="AG14" s="586">
        <v>27</v>
      </c>
      <c r="AH14" s="586">
        <v>70</v>
      </c>
      <c r="AI14" s="586">
        <v>293</v>
      </c>
      <c r="AJ14" s="586">
        <v>97</v>
      </c>
      <c r="AK14" s="586">
        <v>110</v>
      </c>
      <c r="AL14" s="586">
        <v>107</v>
      </c>
      <c r="AM14" s="586">
        <v>69</v>
      </c>
      <c r="AN14" s="586">
        <v>50</v>
      </c>
      <c r="AO14" s="586">
        <v>127</v>
      </c>
      <c r="AP14" s="595"/>
      <c r="AQ14" s="583">
        <v>240</v>
      </c>
      <c r="AR14" s="596"/>
      <c r="AS14" s="601"/>
      <c r="AT14" s="601"/>
      <c r="AU14" s="605"/>
      <c r="AV14" s="583">
        <v>1132</v>
      </c>
      <c r="AW14" s="605"/>
      <c r="AX14" s="584"/>
      <c r="AY14" s="584"/>
      <c r="AZ14" s="584"/>
      <c r="BA14" s="584"/>
      <c r="BB14" s="584"/>
      <c r="BC14" s="584"/>
      <c r="BD14" s="584"/>
      <c r="BE14" s="584"/>
      <c r="BF14" s="584"/>
    </row>
    <row r="15" spans="1:58" ht="19.5" thickTop="1" thickBot="1" x14ac:dyDescent="0.3">
      <c r="A15" s="568"/>
      <c r="B15" s="577">
        <v>2006</v>
      </c>
      <c r="C15" s="580"/>
      <c r="D15" s="583">
        <v>3031</v>
      </c>
      <c r="E15" s="585"/>
      <c r="F15" s="583">
        <v>1036</v>
      </c>
      <c r="G15" s="586">
        <v>581</v>
      </c>
      <c r="H15" s="586">
        <v>115</v>
      </c>
      <c r="I15" s="586">
        <v>121</v>
      </c>
      <c r="J15" s="586">
        <v>264</v>
      </c>
      <c r="K15" s="586">
        <v>16</v>
      </c>
      <c r="L15" s="583">
        <v>440</v>
      </c>
      <c r="M15" s="586">
        <v>80</v>
      </c>
      <c r="N15" s="589">
        <v>208</v>
      </c>
      <c r="O15" s="593">
        <v>71</v>
      </c>
      <c r="P15" s="593">
        <v>71</v>
      </c>
      <c r="Q15" s="593">
        <v>16</v>
      </c>
      <c r="R15" s="593">
        <v>8</v>
      </c>
      <c r="S15" s="593">
        <v>27</v>
      </c>
      <c r="T15" s="593">
        <v>10</v>
      </c>
      <c r="U15" s="593">
        <v>5</v>
      </c>
      <c r="V15" s="593">
        <v>7</v>
      </c>
      <c r="W15" s="586">
        <v>18</v>
      </c>
      <c r="X15" s="586">
        <v>14</v>
      </c>
      <c r="Y15" s="586">
        <v>140</v>
      </c>
      <c r="Z15" s="583">
        <v>1282</v>
      </c>
      <c r="AA15" s="583">
        <v>290</v>
      </c>
      <c r="AB15" s="586">
        <v>12</v>
      </c>
      <c r="AC15" s="586">
        <v>187</v>
      </c>
      <c r="AD15" s="586">
        <v>89</v>
      </c>
      <c r="AE15" s="583">
        <v>1016</v>
      </c>
      <c r="AF15" s="586">
        <v>68</v>
      </c>
      <c r="AG15" s="586">
        <v>33</v>
      </c>
      <c r="AH15" s="586">
        <v>77</v>
      </c>
      <c r="AI15" s="586">
        <v>305</v>
      </c>
      <c r="AJ15" s="586">
        <v>101</v>
      </c>
      <c r="AK15" s="586">
        <v>114</v>
      </c>
      <c r="AL15" s="586">
        <v>117</v>
      </c>
      <c r="AM15" s="586">
        <v>74</v>
      </c>
      <c r="AN15" s="586">
        <v>54</v>
      </c>
      <c r="AO15" s="586">
        <v>152</v>
      </c>
      <c r="AP15" s="595">
        <v>0</v>
      </c>
      <c r="AQ15" s="583">
        <v>261</v>
      </c>
      <c r="AR15" s="596"/>
      <c r="AS15" s="601"/>
      <c r="AT15" s="601"/>
      <c r="AU15" s="605"/>
      <c r="AV15" s="583">
        <v>1282</v>
      </c>
      <c r="AW15" s="605"/>
      <c r="AX15" s="584"/>
      <c r="AY15" s="584"/>
      <c r="AZ15" s="584"/>
      <c r="BA15" s="584"/>
      <c r="BB15" s="584"/>
      <c r="BC15" s="584"/>
      <c r="BD15" s="584"/>
      <c r="BE15" s="584"/>
      <c r="BF15" s="584"/>
    </row>
    <row r="16" spans="1:58" ht="19.5" thickTop="1" thickBot="1" x14ac:dyDescent="0.3">
      <c r="A16" s="568"/>
      <c r="B16" s="577">
        <v>2007</v>
      </c>
      <c r="C16" s="580"/>
      <c r="D16" s="583">
        <v>3262</v>
      </c>
      <c r="E16" s="585"/>
      <c r="F16" s="583">
        <v>1063</v>
      </c>
      <c r="G16" s="586">
        <v>604</v>
      </c>
      <c r="H16" s="586">
        <v>82</v>
      </c>
      <c r="I16" s="586">
        <v>124</v>
      </c>
      <c r="J16" s="586">
        <v>272</v>
      </c>
      <c r="K16" s="586">
        <v>17</v>
      </c>
      <c r="L16" s="583">
        <v>480</v>
      </c>
      <c r="M16" s="586">
        <v>114</v>
      </c>
      <c r="N16" s="589">
        <v>210</v>
      </c>
      <c r="O16" s="593">
        <v>67</v>
      </c>
      <c r="P16" s="593">
        <v>70</v>
      </c>
      <c r="Q16" s="593">
        <v>17</v>
      </c>
      <c r="R16" s="593">
        <v>9</v>
      </c>
      <c r="S16" s="593">
        <v>27</v>
      </c>
      <c r="T16" s="593">
        <v>10</v>
      </c>
      <c r="U16" s="593">
        <v>6</v>
      </c>
      <c r="V16" s="593">
        <v>8</v>
      </c>
      <c r="W16" s="586">
        <v>19</v>
      </c>
      <c r="X16" s="586">
        <v>15</v>
      </c>
      <c r="Y16" s="586">
        <v>161</v>
      </c>
      <c r="Z16" s="583">
        <v>1439</v>
      </c>
      <c r="AA16" s="583">
        <v>333</v>
      </c>
      <c r="AB16" s="586">
        <v>13</v>
      </c>
      <c r="AC16" s="586">
        <v>215</v>
      </c>
      <c r="AD16" s="586">
        <v>102</v>
      </c>
      <c r="AE16" s="583">
        <v>1126</v>
      </c>
      <c r="AF16" s="586">
        <v>70</v>
      </c>
      <c r="AG16" s="586">
        <v>37</v>
      </c>
      <c r="AH16" s="586">
        <v>86</v>
      </c>
      <c r="AI16" s="586">
        <v>338</v>
      </c>
      <c r="AJ16" s="586">
        <v>112</v>
      </c>
      <c r="AK16" s="586">
        <v>127</v>
      </c>
      <c r="AL16" s="586">
        <v>124</v>
      </c>
      <c r="AM16" s="586">
        <v>84</v>
      </c>
      <c r="AN16" s="586">
        <v>62</v>
      </c>
      <c r="AO16" s="586">
        <v>173</v>
      </c>
      <c r="AP16" s="595">
        <v>0</v>
      </c>
      <c r="AQ16" s="583">
        <v>272</v>
      </c>
      <c r="AR16" s="596"/>
      <c r="AS16" s="601"/>
      <c r="AT16" s="601"/>
      <c r="AU16" s="605"/>
      <c r="AV16" s="583">
        <v>1439</v>
      </c>
      <c r="AW16" s="605"/>
      <c r="AX16" s="584"/>
      <c r="AY16" s="584"/>
      <c r="AZ16" s="584"/>
      <c r="BA16" s="584"/>
      <c r="BB16" s="584"/>
      <c r="BC16" s="584"/>
      <c r="BD16" s="584"/>
      <c r="BE16" s="584"/>
      <c r="BF16" s="584"/>
    </row>
    <row r="17" spans="1:58" ht="19.5" thickTop="1" thickBot="1" x14ac:dyDescent="0.3">
      <c r="A17" s="568"/>
      <c r="B17" s="577">
        <v>2008</v>
      </c>
      <c r="C17" s="580"/>
      <c r="D17" s="583">
        <v>3626</v>
      </c>
      <c r="E17" s="585"/>
      <c r="F17" s="583">
        <v>1132</v>
      </c>
      <c r="G17" s="586">
        <v>642</v>
      </c>
      <c r="H17" s="586">
        <v>106</v>
      </c>
      <c r="I17" s="586">
        <v>128</v>
      </c>
      <c r="J17" s="586">
        <v>283</v>
      </c>
      <c r="K17" s="586">
        <v>17</v>
      </c>
      <c r="L17" s="583">
        <v>552</v>
      </c>
      <c r="M17" s="586">
        <v>96</v>
      </c>
      <c r="N17" s="589">
        <v>221</v>
      </c>
      <c r="O17" s="593">
        <v>73</v>
      </c>
      <c r="P17" s="593">
        <v>72</v>
      </c>
      <c r="Q17" s="593">
        <v>17</v>
      </c>
      <c r="R17" s="593">
        <v>10</v>
      </c>
      <c r="S17" s="593">
        <v>28</v>
      </c>
      <c r="T17" s="593">
        <v>10</v>
      </c>
      <c r="U17" s="593">
        <v>7</v>
      </c>
      <c r="V17" s="593">
        <v>9</v>
      </c>
      <c r="W17" s="586">
        <v>23</v>
      </c>
      <c r="X17" s="586">
        <v>17</v>
      </c>
      <c r="Y17" s="586">
        <v>206</v>
      </c>
      <c r="Z17" s="583">
        <v>1638</v>
      </c>
      <c r="AA17" s="583">
        <v>401</v>
      </c>
      <c r="AB17" s="586">
        <v>16</v>
      </c>
      <c r="AC17" s="586">
        <v>256</v>
      </c>
      <c r="AD17" s="586">
        <v>126</v>
      </c>
      <c r="AE17" s="583">
        <v>1237</v>
      </c>
      <c r="AF17" s="586">
        <v>74</v>
      </c>
      <c r="AG17" s="586">
        <v>46</v>
      </c>
      <c r="AH17" s="586">
        <v>87</v>
      </c>
      <c r="AI17" s="586">
        <v>390</v>
      </c>
      <c r="AJ17" s="586">
        <v>130</v>
      </c>
      <c r="AK17" s="586">
        <v>146</v>
      </c>
      <c r="AL17" s="586">
        <v>130</v>
      </c>
      <c r="AM17" s="586">
        <v>90</v>
      </c>
      <c r="AN17" s="586">
        <v>69</v>
      </c>
      <c r="AO17" s="586">
        <v>177</v>
      </c>
      <c r="AP17" s="595">
        <v>0</v>
      </c>
      <c r="AQ17" s="583">
        <v>304</v>
      </c>
      <c r="AR17" s="596"/>
      <c r="AS17" s="601"/>
      <c r="AT17" s="601"/>
      <c r="AU17" s="605"/>
      <c r="AV17" s="583">
        <v>1638</v>
      </c>
      <c r="AW17" s="605"/>
      <c r="AX17" s="584"/>
      <c r="AY17" s="584"/>
      <c r="AZ17" s="584"/>
      <c r="BA17" s="584"/>
      <c r="BB17" s="584"/>
      <c r="BC17" s="584"/>
      <c r="BD17" s="584"/>
      <c r="BE17" s="584"/>
      <c r="BF17" s="584"/>
    </row>
    <row r="18" spans="1:58" ht="19.5" thickTop="1" thickBot="1" x14ac:dyDescent="0.3">
      <c r="A18" s="568"/>
      <c r="B18" s="577">
        <v>2009</v>
      </c>
      <c r="C18" s="580"/>
      <c r="D18" s="583">
        <v>3853</v>
      </c>
      <c r="E18" s="585"/>
      <c r="F18" s="583">
        <v>1219</v>
      </c>
      <c r="G18" s="586">
        <v>702</v>
      </c>
      <c r="H18" s="586">
        <v>90</v>
      </c>
      <c r="I18" s="586">
        <v>132</v>
      </c>
      <c r="J18" s="586">
        <v>289</v>
      </c>
      <c r="K18" s="586">
        <v>18</v>
      </c>
      <c r="L18" s="583">
        <v>559</v>
      </c>
      <c r="M18" s="586">
        <v>79</v>
      </c>
      <c r="N18" s="589">
        <v>228</v>
      </c>
      <c r="O18" s="593">
        <v>77</v>
      </c>
      <c r="P18" s="593">
        <v>75</v>
      </c>
      <c r="Q18" s="593">
        <v>17</v>
      </c>
      <c r="R18" s="593">
        <v>10</v>
      </c>
      <c r="S18" s="593">
        <v>28</v>
      </c>
      <c r="T18" s="593">
        <v>10</v>
      </c>
      <c r="U18" s="593">
        <v>7</v>
      </c>
      <c r="V18" s="593">
        <v>8</v>
      </c>
      <c r="W18" s="586">
        <v>26</v>
      </c>
      <c r="X18" s="586">
        <v>20</v>
      </c>
      <c r="Y18" s="586">
        <v>209</v>
      </c>
      <c r="Z18" s="583">
        <v>1740</v>
      </c>
      <c r="AA18" s="583">
        <v>423</v>
      </c>
      <c r="AB18" s="586">
        <v>16</v>
      </c>
      <c r="AC18" s="586">
        <v>267</v>
      </c>
      <c r="AD18" s="586">
        <v>138</v>
      </c>
      <c r="AE18" s="583">
        <v>1321</v>
      </c>
      <c r="AF18" s="586">
        <v>70</v>
      </c>
      <c r="AG18" s="586">
        <v>50</v>
      </c>
      <c r="AH18" s="586">
        <v>84</v>
      </c>
      <c r="AI18" s="586">
        <v>422</v>
      </c>
      <c r="AJ18" s="586">
        <v>140</v>
      </c>
      <c r="AK18" s="586">
        <v>158</v>
      </c>
      <c r="AL18" s="586">
        <v>140</v>
      </c>
      <c r="AM18" s="586">
        <v>104</v>
      </c>
      <c r="AN18" s="586">
        <v>80</v>
      </c>
      <c r="AO18" s="586">
        <v>167</v>
      </c>
      <c r="AP18" s="595">
        <v>0</v>
      </c>
      <c r="AQ18" s="583">
        <v>333</v>
      </c>
      <c r="AR18" s="596"/>
      <c r="AS18" s="601"/>
      <c r="AT18" s="601"/>
      <c r="AU18" s="605"/>
      <c r="AV18" s="583">
        <v>1740</v>
      </c>
      <c r="AW18" s="605"/>
      <c r="AX18" s="584"/>
      <c r="AY18" s="584"/>
      <c r="AZ18" s="584"/>
      <c r="BA18" s="584"/>
      <c r="BB18" s="584"/>
      <c r="BC18" s="584"/>
      <c r="BD18" s="584"/>
      <c r="BE18" s="584"/>
      <c r="BF18" s="584"/>
    </row>
    <row r="19" spans="1:58" ht="19.5" thickTop="1" thickBot="1" x14ac:dyDescent="0.3">
      <c r="A19" s="568"/>
      <c r="B19" s="577">
        <v>2010</v>
      </c>
      <c r="C19" s="580"/>
      <c r="D19" s="583">
        <v>4135</v>
      </c>
      <c r="E19" s="585"/>
      <c r="F19" s="583">
        <v>1280</v>
      </c>
      <c r="G19" s="586">
        <v>737</v>
      </c>
      <c r="H19" s="586">
        <v>102</v>
      </c>
      <c r="I19" s="586">
        <v>138</v>
      </c>
      <c r="J19" s="586">
        <v>299</v>
      </c>
      <c r="K19" s="586">
        <v>18</v>
      </c>
      <c r="L19" s="583">
        <v>606</v>
      </c>
      <c r="M19" s="586">
        <v>71</v>
      </c>
      <c r="N19" s="589">
        <v>249</v>
      </c>
      <c r="O19" s="593">
        <v>84</v>
      </c>
      <c r="P19" s="593">
        <v>76</v>
      </c>
      <c r="Q19" s="593">
        <v>17</v>
      </c>
      <c r="R19" s="593">
        <v>11</v>
      </c>
      <c r="S19" s="593">
        <v>29</v>
      </c>
      <c r="T19" s="593">
        <v>11</v>
      </c>
      <c r="U19" s="593">
        <v>10</v>
      </c>
      <c r="V19" s="593">
        <v>12</v>
      </c>
      <c r="W19" s="586">
        <v>30</v>
      </c>
      <c r="X19" s="586">
        <v>23</v>
      </c>
      <c r="Y19" s="586">
        <v>228</v>
      </c>
      <c r="Z19" s="583">
        <v>1900</v>
      </c>
      <c r="AA19" s="583">
        <v>461</v>
      </c>
      <c r="AB19" s="586">
        <v>18</v>
      </c>
      <c r="AC19" s="586">
        <v>291</v>
      </c>
      <c r="AD19" s="586">
        <v>150</v>
      </c>
      <c r="AE19" s="583">
        <v>1443</v>
      </c>
      <c r="AF19" s="586">
        <v>75</v>
      </c>
      <c r="AG19" s="586">
        <v>55</v>
      </c>
      <c r="AH19" s="586">
        <v>103</v>
      </c>
      <c r="AI19" s="586">
        <v>427</v>
      </c>
      <c r="AJ19" s="586">
        <v>142</v>
      </c>
      <c r="AK19" s="586">
        <v>160</v>
      </c>
      <c r="AL19" s="586">
        <v>160</v>
      </c>
      <c r="AM19" s="586">
        <v>113</v>
      </c>
      <c r="AN19" s="586">
        <v>92</v>
      </c>
      <c r="AO19" s="586">
        <v>179</v>
      </c>
      <c r="AP19" s="595">
        <v>0</v>
      </c>
      <c r="AQ19" s="583">
        <v>349</v>
      </c>
      <c r="AR19" s="596"/>
      <c r="AS19" s="601"/>
      <c r="AT19" s="601"/>
      <c r="AU19" s="605"/>
      <c r="AV19" s="583">
        <v>1900</v>
      </c>
      <c r="AW19" s="605"/>
      <c r="AX19" s="584"/>
      <c r="AY19" s="584"/>
      <c r="AZ19" s="584"/>
      <c r="BA19" s="584"/>
      <c r="BB19" s="584"/>
      <c r="BC19" s="584"/>
      <c r="BD19" s="584"/>
      <c r="BE19" s="584"/>
      <c r="BF19" s="584"/>
    </row>
    <row r="20" spans="1:58" ht="19.5" thickTop="1" thickBot="1" x14ac:dyDescent="0.3">
      <c r="A20" s="568"/>
      <c r="B20" s="577">
        <v>2011</v>
      </c>
      <c r="C20" s="580"/>
      <c r="D20" s="583">
        <v>4459</v>
      </c>
      <c r="E20" s="585"/>
      <c r="F20" s="583">
        <v>1340</v>
      </c>
      <c r="G20" s="586">
        <v>774</v>
      </c>
      <c r="H20" s="586">
        <v>105</v>
      </c>
      <c r="I20" s="586">
        <v>142</v>
      </c>
      <c r="J20" s="586">
        <v>306</v>
      </c>
      <c r="K20" s="586">
        <v>19</v>
      </c>
      <c r="L20" s="583">
        <v>714</v>
      </c>
      <c r="M20" s="586">
        <v>106</v>
      </c>
      <c r="N20" s="589">
        <v>270</v>
      </c>
      <c r="O20" s="593">
        <v>88</v>
      </c>
      <c r="P20" s="593">
        <v>82</v>
      </c>
      <c r="Q20" s="593">
        <v>17</v>
      </c>
      <c r="R20" s="593">
        <v>10</v>
      </c>
      <c r="S20" s="593">
        <v>34</v>
      </c>
      <c r="T20" s="593">
        <v>13</v>
      </c>
      <c r="U20" s="593">
        <v>13</v>
      </c>
      <c r="V20" s="593">
        <v>16</v>
      </c>
      <c r="W20" s="586">
        <v>34</v>
      </c>
      <c r="X20" s="586">
        <v>26</v>
      </c>
      <c r="Y20" s="586">
        <v>281</v>
      </c>
      <c r="Z20" s="583">
        <v>2052</v>
      </c>
      <c r="AA20" s="583">
        <v>493</v>
      </c>
      <c r="AB20" s="586">
        <v>19</v>
      </c>
      <c r="AC20" s="586">
        <v>314</v>
      </c>
      <c r="AD20" s="586">
        <v>157</v>
      </c>
      <c r="AE20" s="583">
        <v>1569</v>
      </c>
      <c r="AF20" s="586">
        <v>78</v>
      </c>
      <c r="AG20" s="586">
        <v>57</v>
      </c>
      <c r="AH20" s="586">
        <v>124</v>
      </c>
      <c r="AI20" s="586">
        <v>426</v>
      </c>
      <c r="AJ20" s="586">
        <v>141</v>
      </c>
      <c r="AK20" s="586">
        <v>160</v>
      </c>
      <c r="AL20" s="586">
        <v>183</v>
      </c>
      <c r="AM20" s="586">
        <v>134</v>
      </c>
      <c r="AN20" s="586">
        <v>94</v>
      </c>
      <c r="AO20" s="586">
        <v>178</v>
      </c>
      <c r="AP20" s="595">
        <v>0</v>
      </c>
      <c r="AQ20" s="583">
        <v>354</v>
      </c>
      <c r="AR20" s="596"/>
      <c r="AS20" s="601"/>
      <c r="AT20" s="601"/>
      <c r="AU20" s="605"/>
      <c r="AV20" s="583">
        <v>2052</v>
      </c>
      <c r="AW20" s="605"/>
      <c r="AX20" s="584"/>
      <c r="AY20" s="584"/>
      <c r="AZ20" s="584"/>
      <c r="BA20" s="584"/>
      <c r="BB20" s="584"/>
      <c r="BC20" s="584"/>
      <c r="BD20" s="584"/>
      <c r="BE20" s="584"/>
      <c r="BF20" s="584"/>
    </row>
    <row r="21" spans="1:58" ht="16.5" thickTop="1" thickBot="1" x14ac:dyDescent="0.3">
      <c r="A21" s="568"/>
      <c r="B21" s="697">
        <v>2012</v>
      </c>
      <c r="C21" s="578"/>
      <c r="D21" s="583">
        <v>4852</v>
      </c>
      <c r="E21" s="578"/>
      <c r="F21" s="583">
        <v>1427</v>
      </c>
      <c r="G21" s="586">
        <v>829</v>
      </c>
      <c r="H21" s="586">
        <v>114</v>
      </c>
      <c r="I21" s="586">
        <v>151</v>
      </c>
      <c r="J21" s="586">
        <v>317</v>
      </c>
      <c r="K21" s="586">
        <v>18</v>
      </c>
      <c r="L21" s="583">
        <v>774</v>
      </c>
      <c r="M21" s="586">
        <v>98</v>
      </c>
      <c r="N21" s="589">
        <v>285</v>
      </c>
      <c r="O21" s="593">
        <v>89</v>
      </c>
      <c r="P21" s="593">
        <v>86</v>
      </c>
      <c r="Q21" s="593">
        <v>18</v>
      </c>
      <c r="R21" s="593">
        <v>11</v>
      </c>
      <c r="S21" s="593">
        <v>34</v>
      </c>
      <c r="T21" s="593">
        <v>15</v>
      </c>
      <c r="U21" s="593">
        <v>16</v>
      </c>
      <c r="V21" s="593">
        <v>18</v>
      </c>
      <c r="W21" s="586">
        <v>40</v>
      </c>
      <c r="X21" s="586">
        <v>28</v>
      </c>
      <c r="Y21" s="586">
        <v>322</v>
      </c>
      <c r="Z21" s="583">
        <v>2290</v>
      </c>
      <c r="AA21" s="583">
        <v>566</v>
      </c>
      <c r="AB21" s="586">
        <v>21</v>
      </c>
      <c r="AC21" s="586">
        <v>358</v>
      </c>
      <c r="AD21" s="586">
        <v>186</v>
      </c>
      <c r="AE21" s="583">
        <v>1725</v>
      </c>
      <c r="AF21" s="586">
        <v>82</v>
      </c>
      <c r="AG21" s="586">
        <v>75</v>
      </c>
      <c r="AH21" s="586">
        <v>140</v>
      </c>
      <c r="AI21" s="586">
        <v>425</v>
      </c>
      <c r="AJ21" s="586">
        <v>150</v>
      </c>
      <c r="AK21" s="586">
        <v>170</v>
      </c>
      <c r="AL21" s="586">
        <v>223</v>
      </c>
      <c r="AM21" s="586">
        <v>143</v>
      </c>
      <c r="AN21" s="586">
        <v>116</v>
      </c>
      <c r="AO21" s="586">
        <v>197</v>
      </c>
      <c r="AP21" s="584">
        <v>0</v>
      </c>
      <c r="AQ21" s="583">
        <v>361</v>
      </c>
      <c r="AR21" s="596"/>
      <c r="AS21" s="601"/>
      <c r="AT21" s="601"/>
      <c r="AU21" s="584"/>
      <c r="AV21" s="583">
        <v>2290</v>
      </c>
      <c r="AW21" s="584"/>
      <c r="AX21" s="584"/>
      <c r="AY21" s="584"/>
      <c r="AZ21" s="584"/>
      <c r="BA21" s="584"/>
      <c r="BB21" s="584"/>
      <c r="BC21" s="584"/>
      <c r="BD21" s="584"/>
      <c r="BE21" s="584"/>
      <c r="BF21" s="584"/>
    </row>
    <row r="22" spans="1:58" ht="16.5" thickTop="1" thickBot="1" x14ac:dyDescent="0.3">
      <c r="A22" s="568"/>
      <c r="B22" s="1205">
        <v>2013</v>
      </c>
      <c r="C22" s="578"/>
      <c r="D22" s="583">
        <v>5079</v>
      </c>
      <c r="E22" s="578"/>
      <c r="F22" s="583">
        <v>1474</v>
      </c>
      <c r="G22" s="586">
        <v>859</v>
      </c>
      <c r="H22" s="586">
        <v>109</v>
      </c>
      <c r="I22" s="586">
        <v>160</v>
      </c>
      <c r="J22" s="586">
        <v>326</v>
      </c>
      <c r="K22" s="586">
        <v>19</v>
      </c>
      <c r="L22" s="583">
        <v>846</v>
      </c>
      <c r="M22" s="586">
        <v>118</v>
      </c>
      <c r="N22" s="589">
        <v>299</v>
      </c>
      <c r="O22" s="593">
        <v>96</v>
      </c>
      <c r="P22" s="593">
        <v>89</v>
      </c>
      <c r="Q22" s="593">
        <v>19</v>
      </c>
      <c r="R22" s="593">
        <v>12</v>
      </c>
      <c r="S22" s="593">
        <v>33</v>
      </c>
      <c r="T22" s="593">
        <v>16</v>
      </c>
      <c r="U22" s="593">
        <v>14</v>
      </c>
      <c r="V22" s="593">
        <v>20</v>
      </c>
      <c r="W22" s="586">
        <v>43</v>
      </c>
      <c r="X22" s="586">
        <v>30</v>
      </c>
      <c r="Y22" s="586">
        <v>357</v>
      </c>
      <c r="Z22" s="583">
        <v>2410</v>
      </c>
      <c r="AA22" s="583">
        <v>599</v>
      </c>
      <c r="AB22" s="586">
        <v>22</v>
      </c>
      <c r="AC22" s="586">
        <v>378</v>
      </c>
      <c r="AD22" s="586">
        <v>199</v>
      </c>
      <c r="AE22" s="583">
        <v>1811</v>
      </c>
      <c r="AF22" s="586">
        <v>85</v>
      </c>
      <c r="AG22" s="586">
        <v>75</v>
      </c>
      <c r="AH22" s="586">
        <v>154</v>
      </c>
      <c r="AI22" s="586">
        <v>428</v>
      </c>
      <c r="AJ22" s="586">
        <v>156</v>
      </c>
      <c r="AK22" s="586">
        <v>176</v>
      </c>
      <c r="AL22" s="586">
        <v>244</v>
      </c>
      <c r="AM22" s="586">
        <v>149</v>
      </c>
      <c r="AN22" s="586">
        <v>123</v>
      </c>
      <c r="AO22" s="586">
        <v>221</v>
      </c>
      <c r="AP22" s="584">
        <v>0</v>
      </c>
      <c r="AQ22" s="583">
        <v>349</v>
      </c>
      <c r="AR22" s="596"/>
      <c r="AS22" s="601"/>
      <c r="AT22" s="601"/>
      <c r="AU22" s="584"/>
      <c r="AV22" s="583">
        <v>2410</v>
      </c>
      <c r="AW22" s="584"/>
      <c r="AX22" s="584"/>
      <c r="AY22" s="584"/>
      <c r="AZ22" s="584"/>
      <c r="BA22" s="584"/>
      <c r="BB22" s="584"/>
      <c r="BC22" s="584"/>
      <c r="BD22" s="584"/>
      <c r="BE22" s="584"/>
      <c r="BF22" s="584"/>
    </row>
    <row r="23" spans="1:58" ht="16.5" thickTop="1" thickBot="1" x14ac:dyDescent="0.3">
      <c r="A23" s="568"/>
      <c r="B23" s="1216">
        <v>2014</v>
      </c>
      <c r="C23" s="578"/>
      <c r="D23" s="583">
        <v>5466</v>
      </c>
      <c r="E23" s="578"/>
      <c r="F23" s="583">
        <v>1572</v>
      </c>
      <c r="G23" s="586">
        <v>934</v>
      </c>
      <c r="H23" s="586">
        <v>107</v>
      </c>
      <c r="I23" s="586">
        <v>174</v>
      </c>
      <c r="J23" s="586">
        <v>337</v>
      </c>
      <c r="K23" s="586">
        <v>20</v>
      </c>
      <c r="L23" s="583">
        <v>939</v>
      </c>
      <c r="M23" s="586">
        <v>147</v>
      </c>
      <c r="N23" s="589">
        <v>322</v>
      </c>
      <c r="O23" s="593">
        <v>101</v>
      </c>
      <c r="P23" s="593">
        <v>95</v>
      </c>
      <c r="Q23" s="593">
        <v>20</v>
      </c>
      <c r="R23" s="593">
        <v>14</v>
      </c>
      <c r="S23" s="593">
        <v>32</v>
      </c>
      <c r="T23" s="593">
        <v>18</v>
      </c>
      <c r="U23" s="593">
        <v>18</v>
      </c>
      <c r="V23" s="593">
        <v>22</v>
      </c>
      <c r="W23" s="586">
        <v>47</v>
      </c>
      <c r="X23" s="586">
        <v>31</v>
      </c>
      <c r="Y23" s="586">
        <v>392</v>
      </c>
      <c r="Z23" s="583">
        <v>2578</v>
      </c>
      <c r="AA23" s="583">
        <v>640</v>
      </c>
      <c r="AB23" s="586">
        <v>23</v>
      </c>
      <c r="AC23" s="586">
        <v>410</v>
      </c>
      <c r="AD23" s="586">
        <v>207</v>
      </c>
      <c r="AE23" s="583">
        <v>1938</v>
      </c>
      <c r="AF23" s="586">
        <v>96</v>
      </c>
      <c r="AG23" s="586">
        <v>80</v>
      </c>
      <c r="AH23" s="586">
        <v>159</v>
      </c>
      <c r="AI23" s="586">
        <v>452</v>
      </c>
      <c r="AJ23" s="586">
        <v>144</v>
      </c>
      <c r="AK23" s="586">
        <v>202</v>
      </c>
      <c r="AL23" s="586">
        <v>260</v>
      </c>
      <c r="AM23" s="586">
        <v>154</v>
      </c>
      <c r="AN23" s="586">
        <v>133</v>
      </c>
      <c r="AO23" s="586">
        <v>257</v>
      </c>
      <c r="AP23" s="584">
        <v>0</v>
      </c>
      <c r="AQ23" s="583">
        <v>377</v>
      </c>
      <c r="AR23" s="596"/>
      <c r="AS23" s="601"/>
      <c r="AT23" s="601"/>
      <c r="AU23" s="584"/>
      <c r="AV23" s="583">
        <v>2578</v>
      </c>
      <c r="AW23" s="584"/>
      <c r="AX23" s="584"/>
      <c r="AY23" s="584"/>
      <c r="AZ23" s="584"/>
      <c r="BA23" s="584"/>
      <c r="BB23" s="584"/>
      <c r="BC23" s="584"/>
      <c r="BD23" s="584"/>
      <c r="BE23" s="584"/>
      <c r="BF23" s="584"/>
    </row>
    <row r="24" spans="1:58" ht="16.5" thickTop="1" thickBot="1" x14ac:dyDescent="0.3">
      <c r="A24" s="568"/>
      <c r="B24" s="1217">
        <v>2015</v>
      </c>
      <c r="C24" s="578"/>
      <c r="D24" s="583">
        <v>5951</v>
      </c>
      <c r="E24" s="578"/>
      <c r="F24" s="583">
        <v>1650</v>
      </c>
      <c r="G24" s="586">
        <v>968</v>
      </c>
      <c r="H24" s="586">
        <v>122</v>
      </c>
      <c r="I24" s="586">
        <v>189</v>
      </c>
      <c r="J24" s="586">
        <v>350</v>
      </c>
      <c r="K24" s="586">
        <v>21</v>
      </c>
      <c r="L24" s="583">
        <v>1023</v>
      </c>
      <c r="M24" s="586">
        <v>140</v>
      </c>
      <c r="N24" s="589">
        <v>349</v>
      </c>
      <c r="O24" s="593">
        <v>102</v>
      </c>
      <c r="P24" s="593">
        <v>101</v>
      </c>
      <c r="Q24" s="593">
        <v>21</v>
      </c>
      <c r="R24" s="593">
        <v>15</v>
      </c>
      <c r="S24" s="593">
        <v>37</v>
      </c>
      <c r="T24" s="593">
        <v>22</v>
      </c>
      <c r="U24" s="593">
        <v>25</v>
      </c>
      <c r="V24" s="593">
        <v>26</v>
      </c>
      <c r="W24" s="586">
        <v>51</v>
      </c>
      <c r="X24" s="586">
        <v>31</v>
      </c>
      <c r="Y24" s="586">
        <v>453</v>
      </c>
      <c r="Z24" s="583">
        <v>2847</v>
      </c>
      <c r="AA24" s="583">
        <v>714</v>
      </c>
      <c r="AB24" s="586">
        <v>24</v>
      </c>
      <c r="AC24" s="586">
        <v>462</v>
      </c>
      <c r="AD24" s="586">
        <v>227</v>
      </c>
      <c r="AE24" s="583">
        <v>2134</v>
      </c>
      <c r="AF24" s="586">
        <v>105</v>
      </c>
      <c r="AG24" s="586">
        <v>94</v>
      </c>
      <c r="AH24" s="586">
        <v>179</v>
      </c>
      <c r="AI24" s="586">
        <v>472</v>
      </c>
      <c r="AJ24" s="586">
        <v>165</v>
      </c>
      <c r="AK24" s="586">
        <v>235</v>
      </c>
      <c r="AL24" s="586">
        <v>275</v>
      </c>
      <c r="AM24" s="586">
        <v>157</v>
      </c>
      <c r="AN24" s="586">
        <v>146</v>
      </c>
      <c r="AO24" s="586">
        <v>306</v>
      </c>
      <c r="AP24" s="584">
        <v>0</v>
      </c>
      <c r="AQ24" s="583">
        <v>430</v>
      </c>
      <c r="AR24" s="596"/>
      <c r="AS24" s="601"/>
      <c r="AT24" s="601"/>
      <c r="AU24" s="584"/>
      <c r="AV24" s="583">
        <v>2847</v>
      </c>
      <c r="AW24" s="584"/>
      <c r="AX24" s="584"/>
      <c r="AY24" s="584"/>
      <c r="AZ24" s="584"/>
      <c r="BA24" s="584"/>
      <c r="BB24" s="584"/>
      <c r="BC24" s="584"/>
      <c r="BD24" s="584"/>
      <c r="BE24" s="584"/>
      <c r="BF24" s="584"/>
    </row>
    <row r="25" spans="1:58" ht="16.5" thickTop="1" thickBot="1" x14ac:dyDescent="0.3">
      <c r="A25" s="568"/>
      <c r="B25" s="577">
        <v>2016</v>
      </c>
      <c r="C25" s="578"/>
      <c r="D25" s="583">
        <v>6304</v>
      </c>
      <c r="E25" s="578"/>
      <c r="F25" s="583">
        <v>1714</v>
      </c>
      <c r="G25" s="586">
        <v>997</v>
      </c>
      <c r="H25" s="586">
        <v>125</v>
      </c>
      <c r="I25" s="586">
        <v>208</v>
      </c>
      <c r="J25" s="586">
        <v>363</v>
      </c>
      <c r="K25" s="586">
        <v>21</v>
      </c>
      <c r="L25" s="583">
        <v>1093</v>
      </c>
      <c r="M25" s="586">
        <v>154</v>
      </c>
      <c r="N25" s="589">
        <v>372</v>
      </c>
      <c r="O25" s="593">
        <v>110</v>
      </c>
      <c r="P25" s="593">
        <v>104</v>
      </c>
      <c r="Q25" s="593">
        <v>23</v>
      </c>
      <c r="R25" s="593">
        <v>17</v>
      </c>
      <c r="S25" s="593">
        <v>39</v>
      </c>
      <c r="T25" s="593">
        <v>26</v>
      </c>
      <c r="U25" s="593">
        <v>29</v>
      </c>
      <c r="V25" s="593">
        <v>24</v>
      </c>
      <c r="W25" s="586">
        <v>59</v>
      </c>
      <c r="X25" s="586">
        <v>33</v>
      </c>
      <c r="Y25" s="586">
        <v>475</v>
      </c>
      <c r="Z25" s="583">
        <v>3049</v>
      </c>
      <c r="AA25" s="583">
        <v>762</v>
      </c>
      <c r="AB25" s="586">
        <v>26</v>
      </c>
      <c r="AC25" s="586">
        <v>491</v>
      </c>
      <c r="AD25" s="586">
        <v>245</v>
      </c>
      <c r="AE25" s="583">
        <v>2287</v>
      </c>
      <c r="AF25" s="586">
        <v>116</v>
      </c>
      <c r="AG25" s="586">
        <v>102</v>
      </c>
      <c r="AH25" s="586">
        <v>185</v>
      </c>
      <c r="AI25" s="586">
        <v>501</v>
      </c>
      <c r="AJ25" s="586">
        <v>175</v>
      </c>
      <c r="AK25" s="586">
        <v>258</v>
      </c>
      <c r="AL25" s="586">
        <v>307</v>
      </c>
      <c r="AM25" s="586">
        <v>160</v>
      </c>
      <c r="AN25" s="586">
        <v>155</v>
      </c>
      <c r="AO25" s="586">
        <v>328</v>
      </c>
      <c r="AP25" s="584">
        <v>0</v>
      </c>
      <c r="AQ25" s="583">
        <v>449</v>
      </c>
      <c r="AR25" s="596"/>
      <c r="AS25" s="601"/>
      <c r="AT25" s="601"/>
      <c r="AU25" s="584"/>
      <c r="AV25" s="583">
        <v>3049</v>
      </c>
      <c r="AW25" s="584"/>
      <c r="AX25" s="584"/>
      <c r="AY25" s="584"/>
      <c r="AZ25" s="584"/>
      <c r="BA25" s="584"/>
      <c r="BB25" s="584"/>
      <c r="BC25" s="584"/>
      <c r="BD25" s="584"/>
      <c r="BE25" s="584"/>
      <c r="BF25" s="584"/>
    </row>
    <row r="26" spans="1:58" ht="15.75" thickTop="1" x14ac:dyDescent="0.25">
      <c r="A26" s="568"/>
      <c r="B26" s="578"/>
      <c r="C26" s="578"/>
      <c r="D26" s="584"/>
      <c r="E26" s="578"/>
      <c r="F26" s="584"/>
      <c r="G26" s="584"/>
      <c r="H26" s="584"/>
      <c r="I26" s="584"/>
      <c r="J26" s="584"/>
      <c r="K26" s="584"/>
      <c r="L26" s="584"/>
      <c r="M26" s="584"/>
      <c r="N26" s="584"/>
      <c r="O26" s="594"/>
      <c r="P26" s="594"/>
      <c r="Q26" s="594"/>
      <c r="R26" s="594"/>
      <c r="S26" s="594"/>
      <c r="T26" s="594"/>
      <c r="U26" s="594"/>
      <c r="V26" s="59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601"/>
      <c r="AT26" s="601"/>
      <c r="AU26" s="584"/>
      <c r="AV26" s="584"/>
      <c r="AW26" s="584"/>
      <c r="AX26" s="584"/>
      <c r="AY26" s="584"/>
      <c r="AZ26" s="584"/>
      <c r="BA26" s="584"/>
      <c r="BB26" s="584"/>
      <c r="BC26" s="584"/>
      <c r="BD26" s="584"/>
      <c r="BE26" s="584"/>
      <c r="BF26" s="584"/>
    </row>
    <row r="27" spans="1:58" x14ac:dyDescent="0.25">
      <c r="A27" s="568"/>
      <c r="B27" s="578"/>
      <c r="C27" s="578"/>
      <c r="D27" s="584"/>
      <c r="E27" s="578"/>
      <c r="F27" s="584"/>
      <c r="G27" s="584"/>
      <c r="H27" s="584"/>
      <c r="I27" s="584"/>
      <c r="J27" s="584"/>
      <c r="K27" s="584"/>
      <c r="L27" s="584"/>
      <c r="M27" s="584"/>
      <c r="N27" s="584"/>
      <c r="O27" s="594"/>
      <c r="P27" s="594"/>
      <c r="Q27" s="594"/>
      <c r="R27" s="594"/>
      <c r="S27" s="594"/>
      <c r="T27" s="594"/>
      <c r="U27" s="594"/>
      <c r="V27" s="59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601"/>
      <c r="AT27" s="601"/>
      <c r="AU27" s="584"/>
      <c r="AV27" s="584"/>
      <c r="AW27" s="584"/>
      <c r="AX27" s="584"/>
      <c r="AY27" s="584"/>
      <c r="AZ27" s="584"/>
      <c r="BA27" s="584"/>
      <c r="BB27" s="584"/>
      <c r="BC27" s="584"/>
      <c r="BD27" s="584"/>
      <c r="BE27" s="584"/>
      <c r="BF27" s="584"/>
    </row>
    <row r="28" spans="1:58" x14ac:dyDescent="0.25">
      <c r="A28" s="1032">
        <v>2012</v>
      </c>
      <c r="B28" s="1032" t="s">
        <v>1283</v>
      </c>
      <c r="C28" s="1192"/>
      <c r="D28" s="1192"/>
      <c r="E28" s="1192"/>
      <c r="F28" s="1192"/>
      <c r="G28" s="1192"/>
      <c r="H28" s="1192"/>
      <c r="I28" s="1192"/>
      <c r="J28" s="1192"/>
      <c r="K28" s="1192"/>
      <c r="L28" s="1192"/>
      <c r="M28" s="1192"/>
      <c r="N28" s="1192"/>
      <c r="O28" s="1192"/>
      <c r="P28" s="1192"/>
      <c r="Q28" s="1192"/>
      <c r="R28" s="1192"/>
      <c r="S28" s="1192"/>
      <c r="T28" s="1192"/>
      <c r="U28" s="1192"/>
      <c r="V28" s="1192"/>
      <c r="W28" s="1192"/>
      <c r="X28" s="1192"/>
      <c r="Y28" s="1192" t="s">
        <v>1420</v>
      </c>
      <c r="Z28" s="1192"/>
      <c r="AA28" s="1192"/>
      <c r="AB28" s="1192"/>
      <c r="AC28" s="1192"/>
      <c r="AD28" s="1192"/>
      <c r="AE28" s="1192"/>
      <c r="AF28" s="1192"/>
      <c r="AG28" s="1192"/>
      <c r="AH28" s="1192"/>
      <c r="AI28" s="1192"/>
      <c r="AJ28" s="1192"/>
      <c r="AK28" s="1192"/>
      <c r="AL28" s="1192"/>
      <c r="AM28" s="1192"/>
      <c r="AN28" s="1192"/>
      <c r="AO28" s="1192"/>
      <c r="AP28" s="1192"/>
      <c r="AQ28" s="1192"/>
      <c r="AR28" s="1192"/>
      <c r="AS28" s="1192"/>
      <c r="AT28" s="1192"/>
      <c r="AU28" s="1025"/>
      <c r="AV28" s="1192"/>
      <c r="AW28" s="1025"/>
    </row>
    <row r="29" spans="1:58" x14ac:dyDescent="0.25">
      <c r="A29" s="1190">
        <v>2013</v>
      </c>
      <c r="B29" s="1190" t="s">
        <v>1283</v>
      </c>
      <c r="C29" s="1191"/>
      <c r="D29" s="1191"/>
      <c r="E29" s="1191"/>
      <c r="F29" s="1191"/>
      <c r="G29" s="1191"/>
      <c r="H29" s="1191"/>
      <c r="I29" s="1191"/>
      <c r="J29" s="1191"/>
      <c r="K29" s="1191"/>
      <c r="L29" s="1191"/>
      <c r="M29" s="1191"/>
      <c r="N29" s="1191"/>
      <c r="O29" s="1191"/>
      <c r="P29" s="1191"/>
      <c r="Q29" s="1191"/>
      <c r="R29" s="1191"/>
      <c r="S29" s="1191"/>
      <c r="T29" s="1191"/>
      <c r="U29" s="1191"/>
      <c r="V29" s="1191"/>
      <c r="W29" s="1191"/>
      <c r="X29" s="1191"/>
      <c r="Y29" s="1191" t="s">
        <v>1420</v>
      </c>
      <c r="Z29" s="1191"/>
      <c r="AA29" s="1191"/>
      <c r="AB29" s="1191"/>
      <c r="AC29" s="1191"/>
      <c r="AD29" s="1191"/>
      <c r="AE29" s="1191"/>
      <c r="AF29" s="1191"/>
      <c r="AG29" s="1191"/>
      <c r="AH29" s="1191"/>
      <c r="AI29" s="1191"/>
      <c r="AJ29" s="1191"/>
      <c r="AK29" s="1191"/>
      <c r="AL29" s="1191"/>
      <c r="AM29" s="1191"/>
      <c r="AN29" s="1191"/>
      <c r="AO29" s="1191"/>
      <c r="AP29" s="1191"/>
      <c r="AQ29" s="1191"/>
      <c r="AR29" s="1191"/>
      <c r="AS29" s="1191"/>
      <c r="AT29" s="1191"/>
      <c r="AU29" s="1025"/>
      <c r="AV29" s="1191"/>
      <c r="AW29" s="1025"/>
    </row>
    <row r="30" spans="1:58" x14ac:dyDescent="0.25">
      <c r="A30" s="1213">
        <v>2014</v>
      </c>
      <c r="B30" s="1213" t="s">
        <v>1283</v>
      </c>
      <c r="C30" s="1207"/>
      <c r="D30" s="1207"/>
      <c r="E30" s="1207"/>
      <c r="F30" s="1207"/>
      <c r="G30" s="1207"/>
      <c r="H30" s="1207"/>
      <c r="I30" s="1207"/>
      <c r="J30" s="1207"/>
      <c r="K30" s="1207"/>
      <c r="L30" s="1207"/>
      <c r="M30" s="1207"/>
      <c r="N30" s="1207"/>
      <c r="O30" s="1207"/>
      <c r="P30" s="1207"/>
      <c r="Q30" s="1207"/>
      <c r="R30" s="1207"/>
      <c r="S30" s="1207"/>
      <c r="T30" s="1207"/>
      <c r="U30" s="1207"/>
      <c r="V30" s="1207"/>
      <c r="W30" s="1207"/>
      <c r="X30" s="1207"/>
      <c r="Y30" s="1207" t="s">
        <v>1420</v>
      </c>
      <c r="Z30" s="1207"/>
      <c r="AA30" s="1207"/>
      <c r="AB30" s="1207"/>
      <c r="AC30" s="1207"/>
      <c r="AD30" s="1207"/>
      <c r="AE30" s="1207"/>
      <c r="AF30" s="1207"/>
      <c r="AG30" s="1207"/>
      <c r="AH30" s="1207"/>
      <c r="AI30" s="1207"/>
      <c r="AJ30" s="1207"/>
      <c r="AK30" s="1207"/>
      <c r="AL30" s="1207"/>
      <c r="AM30" s="1207"/>
      <c r="AN30" s="1207"/>
      <c r="AO30" s="1207"/>
      <c r="AP30" s="1207"/>
      <c r="AQ30" s="1207"/>
      <c r="AR30" s="1207"/>
      <c r="AS30" s="1207"/>
      <c r="AT30" s="1207"/>
      <c r="AU30" s="1025"/>
      <c r="AV30" s="1207"/>
      <c r="AW30" s="1025"/>
    </row>
    <row r="31" spans="1:58" x14ac:dyDescent="0.25">
      <c r="A31" s="1225">
        <v>2015</v>
      </c>
      <c r="B31" s="1225" t="s">
        <v>1283</v>
      </c>
      <c r="C31" s="1219"/>
      <c r="D31" s="1219"/>
      <c r="E31" s="1219"/>
      <c r="F31" s="1219"/>
      <c r="G31" s="1219"/>
      <c r="H31" s="1219"/>
      <c r="I31" s="1219"/>
      <c r="J31" s="1219"/>
      <c r="K31" s="1219"/>
      <c r="L31" s="1219"/>
      <c r="M31" s="1219"/>
      <c r="N31" s="1219"/>
      <c r="O31" s="1219"/>
      <c r="P31" s="1219"/>
      <c r="Q31" s="1219"/>
      <c r="R31" s="1219"/>
      <c r="S31" s="1219"/>
      <c r="T31" s="1219"/>
      <c r="U31" s="1219"/>
      <c r="V31" s="1219"/>
      <c r="W31" s="1219"/>
      <c r="X31" s="1219"/>
      <c r="Y31" s="1219" t="s">
        <v>1420</v>
      </c>
      <c r="Z31" s="1219"/>
      <c r="AA31" s="1219"/>
      <c r="AB31" s="1219"/>
      <c r="AC31" s="1219"/>
      <c r="AD31" s="1219"/>
      <c r="AE31" s="1219"/>
      <c r="AF31" s="1219"/>
      <c r="AG31" s="1219"/>
      <c r="AH31" s="1219"/>
      <c r="AI31" s="1219"/>
      <c r="AJ31" s="1219"/>
      <c r="AK31" s="1219"/>
      <c r="AL31" s="1219"/>
      <c r="AM31" s="1219"/>
      <c r="AN31" s="1219"/>
      <c r="AO31" s="1219"/>
      <c r="AP31" s="1219"/>
      <c r="AQ31" s="1219"/>
      <c r="AR31" s="1219"/>
      <c r="AS31" s="1219"/>
      <c r="AT31" s="1219"/>
      <c r="AU31" s="1025"/>
      <c r="AV31" s="1219"/>
      <c r="AW31" s="1025"/>
    </row>
    <row r="32" spans="1:58" x14ac:dyDescent="0.25">
      <c r="A32" s="1243"/>
      <c r="B32" s="1243"/>
      <c r="C32" s="1029"/>
      <c r="D32" s="1029"/>
      <c r="E32" s="1029"/>
      <c r="F32" s="1029"/>
      <c r="G32" s="1029"/>
      <c r="H32" s="1029"/>
      <c r="I32" s="1029"/>
      <c r="J32" s="1029"/>
      <c r="K32" s="1029"/>
      <c r="L32" s="1029"/>
      <c r="M32" s="1029"/>
      <c r="N32" s="1029"/>
      <c r="O32" s="1029"/>
      <c r="P32" s="1029"/>
      <c r="Q32" s="1029"/>
      <c r="R32" s="1029"/>
      <c r="S32" s="1029"/>
      <c r="T32" s="1029"/>
      <c r="U32" s="1029"/>
      <c r="V32" s="1029"/>
      <c r="W32" s="1029"/>
      <c r="X32" s="1029"/>
      <c r="Y32" s="1029"/>
      <c r="Z32" s="1029"/>
      <c r="AA32" s="1029"/>
      <c r="AB32" s="1029"/>
      <c r="AC32" s="1029"/>
      <c r="AD32" s="1029"/>
      <c r="AE32" s="1029"/>
      <c r="AF32" s="1029"/>
      <c r="AG32" s="1029"/>
      <c r="AH32" s="1029"/>
      <c r="AI32" s="1029"/>
      <c r="AJ32" s="1029"/>
      <c r="AK32" s="1029"/>
      <c r="AL32" s="1029"/>
      <c r="AM32" s="1029"/>
      <c r="AN32" s="1029"/>
      <c r="AO32" s="1029"/>
      <c r="AP32" s="1029"/>
      <c r="AQ32" s="1029"/>
      <c r="AR32" s="1029"/>
      <c r="AS32" s="1029"/>
      <c r="AT32" s="1029"/>
      <c r="AU32" s="1025"/>
      <c r="AV32" s="1029"/>
      <c r="AW32" s="1025"/>
    </row>
    <row r="33" spans="1:63" x14ac:dyDescent="0.25">
      <c r="A33" s="1232">
        <v>2012</v>
      </c>
      <c r="B33" s="1194" t="s">
        <v>1280</v>
      </c>
      <c r="C33" s="1030"/>
      <c r="D33" s="1194">
        <f>+(1000000*D$21/D72)</f>
        <v>345.61218675897641</v>
      </c>
      <c r="E33" s="1030"/>
      <c r="F33" s="1194">
        <f>+(1000000*F$21/F72)</f>
        <v>105.20975943053541</v>
      </c>
      <c r="G33" s="1194"/>
      <c r="H33" s="1194"/>
      <c r="I33" s="1194"/>
      <c r="J33" s="1194"/>
      <c r="K33" s="1194"/>
      <c r="L33" s="1194"/>
      <c r="M33" s="1194">
        <f>+(1000000*M$21/M72)</f>
        <v>4376.8252029746</v>
      </c>
      <c r="N33" s="1194">
        <f>+(1000000*N$21/N72)</f>
        <v>12056.793887467467</v>
      </c>
      <c r="O33" s="1194"/>
      <c r="P33" s="1194"/>
      <c r="Q33" s="1194"/>
      <c r="R33" s="1194"/>
      <c r="S33" s="1194"/>
      <c r="T33" s="1194"/>
      <c r="U33" s="1194"/>
      <c r="V33" s="1194"/>
      <c r="W33" s="1194">
        <f>+(1000000*W$21/W72)</f>
        <v>119.30676723111065</v>
      </c>
      <c r="X33" s="1194">
        <f>+(1000000*X$21/X72)</f>
        <v>528.21431866337093</v>
      </c>
      <c r="Y33" s="1194"/>
      <c r="Z33" s="1030" t="e">
        <f>+(1000000*Z$21/Z72)</f>
        <v>#DIV/0!</v>
      </c>
      <c r="AA33" s="1030"/>
      <c r="AB33" s="1030"/>
      <c r="AC33" s="1030"/>
      <c r="AD33" s="1030" t="e">
        <f>+(1000000*AD$21/AD72)</f>
        <v>#DIV/0!</v>
      </c>
      <c r="AE33" s="1030"/>
      <c r="AF33" s="1030" t="e">
        <f t="shared" ref="AF33:AS33" si="1">+(1000000*AF$21/AF72)</f>
        <v>#DIV/0!</v>
      </c>
      <c r="AG33" s="1030" t="e">
        <f t="shared" si="1"/>
        <v>#DIV/0!</v>
      </c>
      <c r="AH33" s="1030">
        <f t="shared" si="1"/>
        <v>2333333333.3333335</v>
      </c>
      <c r="AI33" s="1030" t="e">
        <f t="shared" si="1"/>
        <v>#DIV/0!</v>
      </c>
      <c r="AJ33" s="1030" t="e">
        <f t="shared" si="1"/>
        <v>#DIV/0!</v>
      </c>
      <c r="AK33" s="1030" t="e">
        <f t="shared" si="1"/>
        <v>#DIV/0!</v>
      </c>
      <c r="AL33" s="1030" t="e">
        <f t="shared" si="1"/>
        <v>#DIV/0!</v>
      </c>
      <c r="AM33" s="1030">
        <f t="shared" si="1"/>
        <v>1074255.8712215116</v>
      </c>
      <c r="AN33" s="1030">
        <f t="shared" si="1"/>
        <v>197017.72383666749</v>
      </c>
      <c r="AO33" s="1030">
        <f t="shared" si="1"/>
        <v>16823802.691808429</v>
      </c>
      <c r="AP33" s="1030">
        <f t="shared" si="1"/>
        <v>0</v>
      </c>
      <c r="AQ33" s="1030" t="e">
        <f t="shared" si="1"/>
        <v>#DIV/0!</v>
      </c>
      <c r="AR33" s="1030">
        <f t="shared" si="1"/>
        <v>0</v>
      </c>
      <c r="AS33" s="1030">
        <f t="shared" si="1"/>
        <v>0</v>
      </c>
      <c r="AT33" s="1030"/>
      <c r="AV33" s="1194">
        <f>+(1000000*AV$21/AV72)</f>
        <v>3072282.6995906807</v>
      </c>
    </row>
    <row r="34" spans="1:63" x14ac:dyDescent="0.25">
      <c r="A34" s="1234">
        <v>2013</v>
      </c>
      <c r="B34" s="1197" t="s">
        <v>1280</v>
      </c>
      <c r="C34" s="1030"/>
      <c r="D34" s="1194">
        <f>+(1000000*D$22/D89)</f>
        <v>376.31272513762212</v>
      </c>
      <c r="E34" s="1030"/>
      <c r="F34" s="1194">
        <f>+(1000000*F$22/F89)</f>
        <v>113.29729849792503</v>
      </c>
      <c r="G34" s="1194"/>
      <c r="H34" s="1194"/>
      <c r="I34" s="1194"/>
      <c r="J34" s="1194"/>
      <c r="K34" s="1194"/>
      <c r="L34" s="1194"/>
      <c r="M34" s="1194">
        <f>+(1000000*M$22/M89)</f>
        <v>5265.5064063337359</v>
      </c>
      <c r="N34" s="1194">
        <f>+(1000000*N$22/N89)</f>
        <v>12490.610605508882</v>
      </c>
      <c r="O34" s="1194"/>
      <c r="P34" s="1194"/>
      <c r="Q34" s="1194"/>
      <c r="R34" s="1194"/>
      <c r="S34" s="1194"/>
      <c r="T34" s="1194"/>
      <c r="U34" s="1194"/>
      <c r="V34" s="1194"/>
      <c r="W34" s="1194">
        <f>+(1000000*W$22/W89)</f>
        <v>124.2949651934687</v>
      </c>
      <c r="X34" s="1194">
        <f>+(1000000*X$22/X89)</f>
        <v>565.30485869724316</v>
      </c>
      <c r="Y34" s="1194"/>
      <c r="Z34" s="1030" t="e">
        <f>+(1000000*Z$22/Z89)</f>
        <v>#DIV/0!</v>
      </c>
      <c r="AA34" s="1030"/>
      <c r="AB34" s="1030"/>
      <c r="AC34" s="1030"/>
      <c r="AD34" s="1030" t="e">
        <f>+(1000000*AD$22/AD89)</f>
        <v>#DIV/0!</v>
      </c>
      <c r="AE34" s="1030"/>
      <c r="AF34" s="1030" t="e">
        <f t="shared" ref="AF34:AS34" si="2">+(1000000*AF$22/AF89)</f>
        <v>#DIV/0!</v>
      </c>
      <c r="AG34" s="1030" t="e">
        <f t="shared" si="2"/>
        <v>#DIV/0!</v>
      </c>
      <c r="AH34" s="1030">
        <f t="shared" si="2"/>
        <v>2566666666.666667</v>
      </c>
      <c r="AI34" s="1030" t="e">
        <f t="shared" si="2"/>
        <v>#DIV/0!</v>
      </c>
      <c r="AJ34" s="1030" t="e">
        <f t="shared" si="2"/>
        <v>#DIV/0!</v>
      </c>
      <c r="AK34" s="1030" t="e">
        <f t="shared" si="2"/>
        <v>#DIV/0!</v>
      </c>
      <c r="AL34" s="1030" t="e">
        <f t="shared" si="2"/>
        <v>#DIV/0!</v>
      </c>
      <c r="AM34" s="1030">
        <f t="shared" si="2"/>
        <v>1119329.5441398968</v>
      </c>
      <c r="AN34" s="1030">
        <f t="shared" si="2"/>
        <v>208906.72441301812</v>
      </c>
      <c r="AO34" s="1030">
        <f t="shared" si="2"/>
        <v>18873403.019744482</v>
      </c>
      <c r="AP34" s="1030">
        <f t="shared" si="2"/>
        <v>0</v>
      </c>
      <c r="AQ34" s="1030" t="e">
        <f t="shared" si="2"/>
        <v>#DIV/0!</v>
      </c>
      <c r="AR34" s="1030">
        <f t="shared" si="2"/>
        <v>0</v>
      </c>
      <c r="AS34" s="1030">
        <f t="shared" si="2"/>
        <v>0</v>
      </c>
      <c r="AT34" s="1030"/>
      <c r="AV34" s="1194">
        <f>+(1000000*AV$22/AV89)</f>
        <v>3233275.6794818952</v>
      </c>
      <c r="AY34" t="s">
        <v>1421</v>
      </c>
    </row>
    <row r="35" spans="1:63" ht="17.25" x14ac:dyDescent="0.25">
      <c r="A35" s="1237">
        <v>2014</v>
      </c>
      <c r="B35" s="1215" t="s">
        <v>1280</v>
      </c>
      <c r="C35" s="1030"/>
      <c r="D35" s="1194">
        <f>+(1000000*D$23/D106)</f>
        <v>390.27146791397234</v>
      </c>
      <c r="E35" s="1030"/>
      <c r="F35" s="1194">
        <f>+(1000000*F$23/F106)</f>
        <v>116.38540667558449</v>
      </c>
      <c r="G35" s="1194"/>
      <c r="H35" s="1194"/>
      <c r="I35" s="1194"/>
      <c r="J35" s="1194"/>
      <c r="K35" s="1194"/>
      <c r="L35" s="1194"/>
      <c r="M35" s="1194">
        <f>+(1000000*M$23/M106)</f>
        <v>6553.8020177284579</v>
      </c>
      <c r="N35" s="1194">
        <f>+(1000000*N$23/N106)</f>
        <v>13282.514116364151</v>
      </c>
      <c r="O35" s="1194"/>
      <c r="P35" s="1194"/>
      <c r="Q35" s="1194"/>
      <c r="R35" s="1194"/>
      <c r="S35" s="1194"/>
      <c r="T35" s="1194"/>
      <c r="U35" s="1194"/>
      <c r="V35" s="1194"/>
      <c r="W35" s="1194">
        <f>+(1000000*W$23/W106)</f>
        <v>131.64934987970557</v>
      </c>
      <c r="X35" s="1194">
        <f>+(1000000*X$23/X106)</f>
        <v>579.00419291476157</v>
      </c>
      <c r="Y35" s="1194"/>
      <c r="Z35" s="1030" t="e">
        <f>+(1000000*Z$23/Z106)</f>
        <v>#DIV/0!</v>
      </c>
      <c r="AA35" s="1030"/>
      <c r="AB35" s="1030"/>
      <c r="AC35" s="1030"/>
      <c r="AD35" s="1030" t="e">
        <f>+(1000000*AD$23/AD106)</f>
        <v>#DIV/0!</v>
      </c>
      <c r="AE35" s="1030"/>
      <c r="AF35" s="1030" t="e">
        <f t="shared" ref="AF35:AS35" si="3">+(1000000*AF$23/AF106)</f>
        <v>#DIV/0!</v>
      </c>
      <c r="AG35" s="1030" t="e">
        <f t="shared" si="3"/>
        <v>#DIV/0!</v>
      </c>
      <c r="AH35" s="1030">
        <f t="shared" si="3"/>
        <v>2650000000</v>
      </c>
      <c r="AI35" s="1030" t="e">
        <f t="shared" si="3"/>
        <v>#DIV/0!</v>
      </c>
      <c r="AJ35" s="1030" t="e">
        <f t="shared" si="3"/>
        <v>#DIV/0!</v>
      </c>
      <c r="AK35" s="1030" t="e">
        <f t="shared" si="3"/>
        <v>#DIV/0!</v>
      </c>
      <c r="AL35" s="1030" t="e">
        <f t="shared" si="3"/>
        <v>#DIV/0!</v>
      </c>
      <c r="AM35" s="1030">
        <f t="shared" si="3"/>
        <v>1156890.9382385509</v>
      </c>
      <c r="AN35" s="1030">
        <f t="shared" si="3"/>
        <v>225891.01095066188</v>
      </c>
      <c r="AO35" s="1030">
        <f t="shared" si="3"/>
        <v>21947803.511648558</v>
      </c>
      <c r="AP35" s="1030">
        <f t="shared" si="3"/>
        <v>0</v>
      </c>
      <c r="AQ35" s="1030" t="e">
        <f t="shared" si="3"/>
        <v>#DIV/0!</v>
      </c>
      <c r="AR35" s="1030">
        <f t="shared" si="3"/>
        <v>0</v>
      </c>
      <c r="AS35" s="1030">
        <f t="shared" si="3"/>
        <v>0</v>
      </c>
      <c r="AT35" s="1030"/>
      <c r="AV35" s="1194">
        <f>+(1000000*AV$23/AV106)</f>
        <v>3458665.8513295958</v>
      </c>
      <c r="AY35" t="s">
        <v>1422</v>
      </c>
      <c r="BK35" t="s">
        <v>1421</v>
      </c>
    </row>
    <row r="36" spans="1:63" ht="17.25" x14ac:dyDescent="0.25">
      <c r="A36" s="1240">
        <v>2015</v>
      </c>
      <c r="B36" s="1227" t="s">
        <v>1280</v>
      </c>
      <c r="C36" s="1030"/>
      <c r="D36" s="1194">
        <f>+(1000000*D$24/D123)</f>
        <v>414.48364650055402</v>
      </c>
      <c r="E36" s="1030"/>
      <c r="F36" s="1194">
        <f>+(1000000*F$24/F123)</f>
        <v>119.16293039038506</v>
      </c>
      <c r="G36" s="1194"/>
      <c r="H36" s="1194"/>
      <c r="I36" s="1194"/>
      <c r="J36" s="1194"/>
      <c r="K36" s="1194"/>
      <c r="L36" s="1194"/>
      <c r="M36" s="1194">
        <f>+(1000000*M$24/M123)</f>
        <v>6236.121477436538</v>
      </c>
      <c r="N36" s="1194">
        <f>+(1000000*N$24/N123)</f>
        <v>14215.043177074132</v>
      </c>
      <c r="O36" s="1194"/>
      <c r="P36" s="1194"/>
      <c r="Q36" s="1194"/>
      <c r="R36" s="1194"/>
      <c r="S36" s="1194"/>
      <c r="T36" s="1194"/>
      <c r="U36" s="1194"/>
      <c r="V36" s="1194"/>
      <c r="W36" s="1194">
        <f>+(1000000*W$24/W123)</f>
        <v>138.41486415466264</v>
      </c>
      <c r="X36" s="1194">
        <f>+(1000000*X$24/X123)</f>
        <v>576.12357503956389</v>
      </c>
      <c r="Y36" s="1194"/>
      <c r="Z36" s="1030" t="e">
        <f>+(1000000*Z$24/Z123)</f>
        <v>#DIV/0!</v>
      </c>
      <c r="AA36" s="1030"/>
      <c r="AB36" s="1030"/>
      <c r="AC36" s="1030"/>
      <c r="AD36" s="1030" t="e">
        <f>+(1000000*AD$24/AD123)</f>
        <v>#DIV/0!</v>
      </c>
      <c r="AE36" s="1030"/>
      <c r="AF36" s="1030" t="e">
        <f t="shared" ref="AF36:AS36" si="4">+(1000000*AF$24/AF123)</f>
        <v>#DIV/0!</v>
      </c>
      <c r="AG36" s="1030" t="e">
        <f t="shared" si="4"/>
        <v>#DIV/0!</v>
      </c>
      <c r="AH36" s="1030">
        <f t="shared" si="4"/>
        <v>2983333333.3333335</v>
      </c>
      <c r="AI36" s="1030" t="e">
        <f t="shared" si="4"/>
        <v>#DIV/0!</v>
      </c>
      <c r="AJ36" s="1030" t="e">
        <f t="shared" si="4"/>
        <v>#DIV/0!</v>
      </c>
      <c r="AK36" s="1030" t="e">
        <f t="shared" si="4"/>
        <v>#DIV/0!</v>
      </c>
      <c r="AL36" s="1030" t="e">
        <f t="shared" si="4"/>
        <v>#DIV/0!</v>
      </c>
      <c r="AM36" s="1030">
        <f t="shared" si="4"/>
        <v>1179427.7746977436</v>
      </c>
      <c r="AN36" s="1030">
        <f t="shared" si="4"/>
        <v>247970.58344959872</v>
      </c>
      <c r="AO36" s="1030">
        <f t="shared" si="4"/>
        <v>26132404.181184664</v>
      </c>
      <c r="AP36" s="1030">
        <f t="shared" si="4"/>
        <v>0</v>
      </c>
      <c r="AQ36" s="1030" t="e">
        <f t="shared" si="4"/>
        <v>#DIV/0!</v>
      </c>
      <c r="AR36" s="1030">
        <f t="shared" si="4"/>
        <v>0</v>
      </c>
      <c r="AS36" s="1030">
        <f t="shared" si="4"/>
        <v>0</v>
      </c>
      <c r="AT36" s="1030"/>
      <c r="AV36" s="1194">
        <f>+(1000000*AV$24/AV123)</f>
        <v>3819558.4479190689</v>
      </c>
      <c r="AY36" t="s">
        <v>1425</v>
      </c>
      <c r="BK36" t="s">
        <v>1422</v>
      </c>
    </row>
    <row r="37" spans="1:63" x14ac:dyDescent="0.25">
      <c r="A37" s="510"/>
      <c r="B37" s="1054"/>
      <c r="C37" s="1025"/>
      <c r="D37" s="1025"/>
      <c r="E37" s="1025"/>
      <c r="F37" s="1025"/>
      <c r="G37" s="1025"/>
      <c r="H37" s="1025"/>
      <c r="I37" s="1025"/>
      <c r="J37" s="1025"/>
      <c r="K37" s="1025"/>
      <c r="L37" s="1025"/>
      <c r="M37" s="1025"/>
      <c r="N37" s="1025"/>
      <c r="O37" s="1025"/>
      <c r="P37" s="1025"/>
      <c r="Q37" s="1025"/>
      <c r="R37" s="1025"/>
      <c r="S37" s="1025"/>
      <c r="T37" s="1025"/>
      <c r="U37" s="1025"/>
      <c r="V37" s="1025"/>
      <c r="W37" s="1025"/>
      <c r="X37" s="1025"/>
      <c r="Y37" s="1025"/>
      <c r="Z37" s="1025"/>
      <c r="AA37" s="1025"/>
      <c r="AB37" s="1025"/>
      <c r="AC37" s="1025"/>
      <c r="AD37" s="1025"/>
      <c r="AE37" s="1025"/>
      <c r="AF37" s="1025"/>
      <c r="AG37" s="1025"/>
      <c r="AH37" s="1025"/>
      <c r="AI37" s="1025"/>
      <c r="AJ37" s="1025"/>
      <c r="AK37" s="1025"/>
      <c r="AL37" s="1025"/>
      <c r="AM37" s="1025"/>
      <c r="AN37" s="1025"/>
      <c r="AO37" s="1025"/>
      <c r="AP37" s="1025"/>
      <c r="AQ37" s="1025"/>
      <c r="AR37" s="1025"/>
      <c r="AS37" s="1025"/>
      <c r="AT37" s="1025"/>
      <c r="AV37" s="1025"/>
      <c r="BK37" t="s">
        <v>1425</v>
      </c>
    </row>
    <row r="38" spans="1:63" x14ac:dyDescent="0.25">
      <c r="A38" s="510">
        <v>2012</v>
      </c>
      <c r="B38" s="1054" t="s">
        <v>1324</v>
      </c>
      <c r="C38" s="1025"/>
      <c r="D38" s="1025">
        <f>+(1000000*D$21/D73)</f>
        <v>7394.1317369833378</v>
      </c>
      <c r="E38" s="1025"/>
      <c r="F38" s="1025">
        <f>+(1000000*F$21/F73)</f>
        <v>7023.8327667885706</v>
      </c>
      <c r="G38" s="1025"/>
      <c r="H38" s="1025"/>
      <c r="I38" s="1025"/>
      <c r="J38" s="1025"/>
      <c r="K38" s="1025"/>
      <c r="L38" s="1025"/>
      <c r="M38" s="1025">
        <f>+(1000000*M$21/M73)</f>
        <v>95066.360694324161</v>
      </c>
      <c r="N38" s="1025">
        <f>+(1000000*N$21/N73)</f>
        <v>12071.194678187234</v>
      </c>
      <c r="O38" s="1025"/>
      <c r="P38" s="1025"/>
      <c r="Q38" s="1025"/>
      <c r="R38" s="1025"/>
      <c r="S38" s="1025"/>
      <c r="T38" s="1025"/>
      <c r="U38" s="1025"/>
      <c r="V38" s="1025"/>
      <c r="W38" s="1025">
        <f>+(1000000*W$21/W73)</f>
        <v>119.30676723111065</v>
      </c>
      <c r="X38" s="1025">
        <f>+(1000000*X$21/X73)</f>
        <v>528.21431866337093</v>
      </c>
      <c r="Y38" s="1025"/>
      <c r="Z38" s="1025" t="e">
        <f>+(1000000*Z$21/Z73)</f>
        <v>#DIV/0!</v>
      </c>
      <c r="AA38" s="1025"/>
      <c r="AB38" s="1025"/>
      <c r="AC38" s="1025"/>
      <c r="AD38" s="1025" t="e">
        <f>+(1000000*AD$21/AD73)</f>
        <v>#DIV/0!</v>
      </c>
      <c r="AE38" s="1025"/>
      <c r="AF38" s="1025" t="e">
        <f t="shared" ref="AF38:AS38" si="5">+(1000000*AF$21/AF73)</f>
        <v>#DIV/0!</v>
      </c>
      <c r="AG38" s="1025" t="e">
        <f t="shared" si="5"/>
        <v>#DIV/0!</v>
      </c>
      <c r="AH38" s="1025" t="e">
        <f t="shared" si="5"/>
        <v>#DIV/0!</v>
      </c>
      <c r="AI38" s="1025" t="e">
        <f t="shared" si="5"/>
        <v>#DIV/0!</v>
      </c>
      <c r="AJ38" s="1025" t="e">
        <f t="shared" si="5"/>
        <v>#DIV/0!</v>
      </c>
      <c r="AK38" s="1025" t="e">
        <f t="shared" si="5"/>
        <v>#DIV/0!</v>
      </c>
      <c r="AL38" s="1025" t="e">
        <f t="shared" si="5"/>
        <v>#DIV/0!</v>
      </c>
      <c r="AM38" s="1025">
        <f t="shared" si="5"/>
        <v>1074255.8712215116</v>
      </c>
      <c r="AN38" s="1025">
        <f t="shared" si="5"/>
        <v>1277662.2752743775</v>
      </c>
      <c r="AO38" s="1025" t="e">
        <f t="shared" si="5"/>
        <v>#DIV/0!</v>
      </c>
      <c r="AP38" s="1025">
        <f t="shared" si="5"/>
        <v>0</v>
      </c>
      <c r="AQ38" s="1025" t="e">
        <f t="shared" si="5"/>
        <v>#DIV/0!</v>
      </c>
      <c r="AR38" s="1025">
        <f t="shared" si="5"/>
        <v>0</v>
      </c>
      <c r="AS38" s="1025">
        <f t="shared" si="5"/>
        <v>0</v>
      </c>
      <c r="AT38" s="1025"/>
      <c r="AV38" s="1025">
        <f>+(1000000*AV$21/AV73)</f>
        <v>10133648.415393258</v>
      </c>
    </row>
    <row r="39" spans="1:63" x14ac:dyDescent="0.25">
      <c r="A39" s="1235">
        <v>2013</v>
      </c>
      <c r="B39" s="1198" t="s">
        <v>1324</v>
      </c>
      <c r="C39" s="1025"/>
      <c r="D39" s="1025">
        <f>+(1000000*D$22/D90)</f>
        <v>7543.1790644299736</v>
      </c>
      <c r="E39" s="1025"/>
      <c r="F39" s="1025">
        <f>+(1000000*F$22/F90)</f>
        <v>7051.4538791248769</v>
      </c>
      <c r="G39" s="1025"/>
      <c r="H39" s="1025"/>
      <c r="I39" s="1025"/>
      <c r="J39" s="1025"/>
      <c r="K39" s="1025"/>
      <c r="L39" s="1025"/>
      <c r="M39" s="1025">
        <f>+(1000000*M$22/M90)</f>
        <v>112359.52142342206</v>
      </c>
      <c r="N39" s="1025">
        <f>+(1000000*N$22/N90)</f>
        <v>12505.342451790215</v>
      </c>
      <c r="O39" s="1025"/>
      <c r="P39" s="1025"/>
      <c r="Q39" s="1025"/>
      <c r="R39" s="1025"/>
      <c r="S39" s="1025"/>
      <c r="T39" s="1025"/>
      <c r="U39" s="1025"/>
      <c r="V39" s="1025"/>
      <c r="W39" s="1025">
        <f>+(1000000*W$22/W90)</f>
        <v>124.2949651934687</v>
      </c>
      <c r="X39" s="1025">
        <f>+(1000000*X$22/X90)</f>
        <v>565.30485869724316</v>
      </c>
      <c r="Y39" s="1025"/>
      <c r="Z39" s="1025" t="e">
        <f>+(1000000*Z$22/Z90)</f>
        <v>#DIV/0!</v>
      </c>
      <c r="AA39" s="1025"/>
      <c r="AB39" s="1025"/>
      <c r="AC39" s="1025"/>
      <c r="AD39" s="1025" t="e">
        <f>+(1000000*AD$22/AD90)</f>
        <v>#DIV/0!</v>
      </c>
      <c r="AE39" s="1025"/>
      <c r="AF39" s="1025" t="e">
        <f t="shared" ref="AF39:AS39" si="6">+(1000000*AF$22/AF90)</f>
        <v>#DIV/0!</v>
      </c>
      <c r="AG39" s="1025" t="e">
        <f t="shared" si="6"/>
        <v>#DIV/0!</v>
      </c>
      <c r="AH39" s="1025" t="e">
        <f t="shared" si="6"/>
        <v>#DIV/0!</v>
      </c>
      <c r="AI39" s="1025" t="e">
        <f t="shared" si="6"/>
        <v>#DIV/0!</v>
      </c>
      <c r="AJ39" s="1025" t="e">
        <f t="shared" si="6"/>
        <v>#DIV/0!</v>
      </c>
      <c r="AK39" s="1025" t="e">
        <f t="shared" si="6"/>
        <v>#DIV/0!</v>
      </c>
      <c r="AL39" s="1025" t="e">
        <f t="shared" si="6"/>
        <v>#DIV/0!</v>
      </c>
      <c r="AM39" s="1025">
        <f t="shared" si="6"/>
        <v>1119329.5441398968</v>
      </c>
      <c r="AN39" s="1025">
        <f t="shared" si="6"/>
        <v>1354762.5849892108</v>
      </c>
      <c r="AO39" s="1025" t="e">
        <f t="shared" si="6"/>
        <v>#DIV/0!</v>
      </c>
      <c r="AP39" s="1025">
        <f t="shared" si="6"/>
        <v>0</v>
      </c>
      <c r="AQ39" s="1025" t="e">
        <f t="shared" si="6"/>
        <v>#DIV/0!</v>
      </c>
      <c r="AR39" s="1025">
        <f t="shared" si="6"/>
        <v>0</v>
      </c>
      <c r="AS39" s="1025">
        <f t="shared" si="6"/>
        <v>0</v>
      </c>
      <c r="AT39" s="1025"/>
      <c r="AV39" s="1025">
        <f>+(1000000*AV$22/AV90)</f>
        <v>10664669.293055788</v>
      </c>
    </row>
    <row r="40" spans="1:63" x14ac:dyDescent="0.25">
      <c r="A40" s="1238">
        <v>2014</v>
      </c>
      <c r="B40" s="1208" t="s">
        <v>1324</v>
      </c>
      <c r="C40" s="1025"/>
      <c r="D40" s="1025">
        <f>+(1000000*D$23/D107)</f>
        <v>7859.7038281260311</v>
      </c>
      <c r="E40" s="1025"/>
      <c r="F40" s="1025">
        <f>+(1000000*F$23/F107)</f>
        <v>7174.6727798520687</v>
      </c>
      <c r="G40" s="1025"/>
      <c r="H40" s="1025"/>
      <c r="I40" s="1025"/>
      <c r="J40" s="1025"/>
      <c r="K40" s="1025"/>
      <c r="L40" s="1025"/>
      <c r="M40" s="1025">
        <f>+(1000000*M$23/M107)</f>
        <v>137392.3565098418</v>
      </c>
      <c r="N40" s="1025">
        <f>+(1000000*N$23/N107)</f>
        <v>13297.983011542328</v>
      </c>
      <c r="O40" s="1025"/>
      <c r="P40" s="1025"/>
      <c r="Q40" s="1025"/>
      <c r="R40" s="1025"/>
      <c r="S40" s="1025"/>
      <c r="T40" s="1025"/>
      <c r="U40" s="1025"/>
      <c r="V40" s="1025"/>
      <c r="W40" s="1025">
        <f>+(1000000*W$23/W107)</f>
        <v>131.64934987970557</v>
      </c>
      <c r="X40" s="1025">
        <f>+(1000000*X$23/X107)</f>
        <v>579.00419291476157</v>
      </c>
      <c r="Y40" s="1025"/>
      <c r="Z40" s="1025" t="e">
        <f>+(1000000*Z$23/Z107)</f>
        <v>#DIV/0!</v>
      </c>
      <c r="AA40" s="1025"/>
      <c r="AB40" s="1025"/>
      <c r="AC40" s="1025"/>
      <c r="AD40" s="1025" t="e">
        <f>+(1000000*AD$23/AD107)</f>
        <v>#DIV/0!</v>
      </c>
      <c r="AE40" s="1025"/>
      <c r="AF40" s="1025" t="e">
        <f t="shared" ref="AF40:AS40" si="7">+(1000000*AF$23/AF107)</f>
        <v>#DIV/0!</v>
      </c>
      <c r="AG40" s="1025" t="e">
        <f t="shared" si="7"/>
        <v>#DIV/0!</v>
      </c>
      <c r="AH40" s="1025" t="e">
        <f t="shared" si="7"/>
        <v>#DIV/0!</v>
      </c>
      <c r="AI40" s="1025" t="e">
        <f t="shared" si="7"/>
        <v>#DIV/0!</v>
      </c>
      <c r="AJ40" s="1025" t="e">
        <f t="shared" si="7"/>
        <v>#DIV/0!</v>
      </c>
      <c r="AK40" s="1025" t="e">
        <f t="shared" si="7"/>
        <v>#DIV/0!</v>
      </c>
      <c r="AL40" s="1025" t="e">
        <f t="shared" si="7"/>
        <v>#DIV/0!</v>
      </c>
      <c r="AM40" s="1025">
        <f t="shared" si="7"/>
        <v>1156890.9382385509</v>
      </c>
      <c r="AN40" s="1025">
        <f t="shared" si="7"/>
        <v>1464905.8845818294</v>
      </c>
      <c r="AO40" s="1025" t="e">
        <f t="shared" si="7"/>
        <v>#DIV/0!</v>
      </c>
      <c r="AP40" s="1025">
        <f t="shared" si="7"/>
        <v>0</v>
      </c>
      <c r="AQ40" s="1025" t="e">
        <f t="shared" si="7"/>
        <v>#DIV/0!</v>
      </c>
      <c r="AR40" s="1025">
        <f t="shared" si="7"/>
        <v>0</v>
      </c>
      <c r="AS40" s="1025">
        <f t="shared" si="7"/>
        <v>0</v>
      </c>
      <c r="AT40" s="1025"/>
      <c r="AV40" s="1025">
        <f>+(1000000*AV$23/AV107)</f>
        <v>11408098.521783328</v>
      </c>
    </row>
    <row r="41" spans="1:63" x14ac:dyDescent="0.25">
      <c r="A41" s="1241">
        <v>2015</v>
      </c>
      <c r="B41" s="1220" t="s">
        <v>1324</v>
      </c>
      <c r="C41" s="1025"/>
      <c r="D41" s="1025">
        <f>+(1000000*D$24/D124)</f>
        <v>8309.6692892723895</v>
      </c>
      <c r="E41" s="1025"/>
      <c r="F41" s="1025">
        <f>+(1000000*F$24/F124)</f>
        <v>7250.7022397856781</v>
      </c>
      <c r="G41" s="1025"/>
      <c r="H41" s="1025"/>
      <c r="I41" s="1025"/>
      <c r="J41" s="1025"/>
      <c r="K41" s="1025"/>
      <c r="L41" s="1025"/>
      <c r="M41" s="1025">
        <f>+(1000000*M$24/M124)</f>
        <v>128434.31961296283</v>
      </c>
      <c r="N41" s="1025">
        <f>+(1000000*N$24/N124)</f>
        <v>14231.389465909435</v>
      </c>
      <c r="O41" s="1025"/>
      <c r="P41" s="1025"/>
      <c r="Q41" s="1025"/>
      <c r="R41" s="1025"/>
      <c r="S41" s="1025"/>
      <c r="T41" s="1025"/>
      <c r="U41" s="1025"/>
      <c r="V41" s="1025"/>
      <c r="W41" s="1025">
        <f>+(1000000*W$24/W124)</f>
        <v>138.41486415466264</v>
      </c>
      <c r="X41" s="1025">
        <f>+(1000000*X$24/X124)</f>
        <v>576.12357503956389</v>
      </c>
      <c r="Y41" s="1025"/>
      <c r="Z41" s="1025" t="e">
        <f>+(1000000*Z$24/Z124)</f>
        <v>#DIV/0!</v>
      </c>
      <c r="AA41" s="1025"/>
      <c r="AB41" s="1025"/>
      <c r="AC41" s="1025"/>
      <c r="AD41" s="1025" t="e">
        <f>+(1000000*AD$24/AD124)</f>
        <v>#DIV/0!</v>
      </c>
      <c r="AE41" s="1025"/>
      <c r="AF41" s="1025" t="e">
        <f t="shared" ref="AF41:AS41" si="8">+(1000000*AF$24/AF124)</f>
        <v>#DIV/0!</v>
      </c>
      <c r="AG41" s="1025" t="e">
        <f t="shared" si="8"/>
        <v>#DIV/0!</v>
      </c>
      <c r="AH41" s="1025" t="e">
        <f t="shared" si="8"/>
        <v>#DIV/0!</v>
      </c>
      <c r="AI41" s="1025" t="e">
        <f t="shared" si="8"/>
        <v>#DIV/0!</v>
      </c>
      <c r="AJ41" s="1025" t="e">
        <f t="shared" si="8"/>
        <v>#DIV/0!</v>
      </c>
      <c r="AK41" s="1025" t="e">
        <f t="shared" si="8"/>
        <v>#DIV/0!</v>
      </c>
      <c r="AL41" s="1025" t="e">
        <f t="shared" si="8"/>
        <v>#DIV/0!</v>
      </c>
      <c r="AM41" s="1025">
        <f t="shared" si="8"/>
        <v>1179427.7746977436</v>
      </c>
      <c r="AN41" s="1025">
        <f t="shared" si="8"/>
        <v>1608092.1740522338</v>
      </c>
      <c r="AO41" s="1025" t="e">
        <f t="shared" si="8"/>
        <v>#DIV/0!</v>
      </c>
      <c r="AP41" s="1025">
        <f t="shared" si="8"/>
        <v>0</v>
      </c>
      <c r="AQ41" s="1025" t="e">
        <f t="shared" si="8"/>
        <v>#DIV/0!</v>
      </c>
      <c r="AR41" s="1025">
        <f t="shared" si="8"/>
        <v>0</v>
      </c>
      <c r="AS41" s="1025">
        <f t="shared" si="8"/>
        <v>0</v>
      </c>
      <c r="AT41" s="1025"/>
      <c r="AV41" s="1025">
        <f>+(1000000*AV$24/AV124)</f>
        <v>12598470.322543496</v>
      </c>
    </row>
    <row r="42" spans="1:63" x14ac:dyDescent="0.25">
      <c r="A42" s="510"/>
      <c r="B42" s="1054"/>
      <c r="C42" s="1025"/>
      <c r="D42" s="1025"/>
      <c r="E42" s="1025"/>
      <c r="F42" s="1025"/>
      <c r="G42" s="1025"/>
      <c r="H42" s="1025"/>
      <c r="I42" s="1025"/>
      <c r="J42" s="1025"/>
      <c r="K42" s="1025"/>
      <c r="L42" s="1025"/>
      <c r="M42" s="1025"/>
      <c r="N42" s="1025"/>
      <c r="O42" s="1025"/>
      <c r="P42" s="1025"/>
      <c r="Q42" s="1025"/>
      <c r="R42" s="1025"/>
      <c r="S42" s="1025"/>
      <c r="T42" s="1025"/>
      <c r="U42" s="1025"/>
      <c r="V42" s="1025"/>
      <c r="W42" s="1025"/>
      <c r="X42" s="1025"/>
      <c r="Y42" s="1025"/>
      <c r="Z42" s="1025"/>
      <c r="AA42" s="1025"/>
      <c r="AB42" s="1025"/>
      <c r="AC42" s="1025"/>
      <c r="AD42" s="1025"/>
      <c r="AE42" s="1025"/>
      <c r="AF42" s="1025"/>
      <c r="AG42" s="1025"/>
      <c r="AH42" s="1025"/>
      <c r="AI42" s="1025"/>
      <c r="AJ42" s="1025"/>
      <c r="AK42" s="1025"/>
      <c r="AL42" s="1025"/>
      <c r="AM42" s="1025"/>
      <c r="AN42" s="1025"/>
      <c r="AO42" s="1025"/>
      <c r="AP42" s="1025"/>
      <c r="AQ42" s="1025"/>
      <c r="AR42" s="1025"/>
      <c r="AS42" s="1025"/>
      <c r="AT42" s="1025"/>
      <c r="AV42" s="1025"/>
    </row>
    <row r="43" spans="1:63" x14ac:dyDescent="0.25">
      <c r="A43" s="510">
        <v>2012</v>
      </c>
      <c r="B43" s="1054" t="s">
        <v>1279</v>
      </c>
      <c r="C43" s="1025"/>
      <c r="D43" s="1025">
        <f>+(1000000*D$21/D74)</f>
        <v>8185.6416099469352</v>
      </c>
      <c r="E43" s="1025"/>
      <c r="F43" s="1025">
        <f>+(1000000*F$21/F74)</f>
        <v>7536.8778526533333</v>
      </c>
      <c r="G43" s="1025"/>
      <c r="H43" s="1025"/>
      <c r="I43" s="1025"/>
      <c r="J43" s="1025"/>
      <c r="K43" s="1025"/>
      <c r="L43" s="1025"/>
      <c r="M43" s="1025">
        <f>+(1000000*M$21/M74)</f>
        <v>101336.95207953574</v>
      </c>
      <c r="N43" s="1025">
        <f>+(1000000*N$21/N74)</f>
        <v>19198.579895537965</v>
      </c>
      <c r="O43" s="1025"/>
      <c r="P43" s="1025"/>
      <c r="Q43" s="1025"/>
      <c r="R43" s="1025"/>
      <c r="S43" s="1025"/>
      <c r="T43" s="1025"/>
      <c r="U43" s="1025"/>
      <c r="V43" s="1025"/>
      <c r="W43" s="1025">
        <f>+(1000000*W$21/W74)</f>
        <v>119.30676723111065</v>
      </c>
      <c r="X43" s="1025">
        <f>+(1000000*X$21/X74)</f>
        <v>682.52845080507859</v>
      </c>
      <c r="Y43" s="1025"/>
      <c r="Z43" s="1025" t="e">
        <f>+(1000000*Z$21/Z74)</f>
        <v>#DIV/0!</v>
      </c>
      <c r="AA43" s="1025"/>
      <c r="AB43" s="1025"/>
      <c r="AC43" s="1025"/>
      <c r="AD43" s="1025" t="e">
        <f>+(1000000*AD$21/AD74)</f>
        <v>#DIV/0!</v>
      </c>
      <c r="AE43" s="1025"/>
      <c r="AF43" s="1025" t="e">
        <f t="shared" ref="AF43:AS43" si="9">+(1000000*AF$21/AF74)</f>
        <v>#DIV/0!</v>
      </c>
      <c r="AG43" s="1025" t="e">
        <f t="shared" si="9"/>
        <v>#DIV/0!</v>
      </c>
      <c r="AH43" s="1025" t="e">
        <f t="shared" si="9"/>
        <v>#DIV/0!</v>
      </c>
      <c r="AI43" s="1025" t="e">
        <f t="shared" si="9"/>
        <v>#DIV/0!</v>
      </c>
      <c r="AJ43" s="1025" t="e">
        <f t="shared" si="9"/>
        <v>#DIV/0!</v>
      </c>
      <c r="AK43" s="1025" t="e">
        <f t="shared" si="9"/>
        <v>#DIV/0!</v>
      </c>
      <c r="AL43" s="1025" t="e">
        <f t="shared" si="9"/>
        <v>#DIV/0!</v>
      </c>
      <c r="AM43" s="1025" t="e">
        <f t="shared" si="9"/>
        <v>#DIV/0!</v>
      </c>
      <c r="AN43" s="1025" t="e">
        <f t="shared" si="9"/>
        <v>#DIV/0!</v>
      </c>
      <c r="AO43" s="1025">
        <f t="shared" si="9"/>
        <v>95003858.024691343</v>
      </c>
      <c r="AP43" s="1025">
        <f t="shared" si="9"/>
        <v>0</v>
      </c>
      <c r="AQ43" s="1025" t="e">
        <f t="shared" si="9"/>
        <v>#DIV/0!</v>
      </c>
      <c r="AR43" s="1025">
        <f t="shared" si="9"/>
        <v>0</v>
      </c>
      <c r="AS43" s="1025">
        <f t="shared" si="9"/>
        <v>0</v>
      </c>
      <c r="AT43" s="1025"/>
      <c r="AV43" s="1025">
        <f>+(1000000*AV$21/AV74)</f>
        <v>552179783.95061719</v>
      </c>
    </row>
    <row r="44" spans="1:63" x14ac:dyDescent="0.25">
      <c r="A44" s="1235">
        <v>2013</v>
      </c>
      <c r="B44" s="1198" t="s">
        <v>1279</v>
      </c>
      <c r="C44" s="1025"/>
      <c r="D44" s="1025">
        <f>+(1000000*D$22/D91)</f>
        <v>8333.7533923827796</v>
      </c>
      <c r="E44" s="1025"/>
      <c r="F44" s="1025">
        <f>+(1000000*F$22/F91)</f>
        <v>7552.8840613077873</v>
      </c>
      <c r="G44" s="1025"/>
      <c r="H44" s="1025"/>
      <c r="I44" s="1025"/>
      <c r="J44" s="1025"/>
      <c r="K44" s="1025"/>
      <c r="L44" s="1025"/>
      <c r="M44" s="1025">
        <f>+(1000000*M$22/M91)</f>
        <v>119625.4536353063</v>
      </c>
      <c r="N44" s="1025">
        <f>+(1000000*N$22/N91)</f>
        <v>19897.62255125399</v>
      </c>
      <c r="O44" s="1025"/>
      <c r="P44" s="1025"/>
      <c r="Q44" s="1025"/>
      <c r="R44" s="1025"/>
      <c r="S44" s="1025"/>
      <c r="T44" s="1025"/>
      <c r="U44" s="1025"/>
      <c r="V44" s="1025"/>
      <c r="W44" s="1025">
        <f>+(1000000*W$22/W91)</f>
        <v>124.2949651934687</v>
      </c>
      <c r="X44" s="1025">
        <f>+(1000000*X$22/X91)</f>
        <v>731.28048300544128</v>
      </c>
      <c r="Y44" s="1025"/>
      <c r="Z44" s="1025" t="e">
        <f>+(1000000*Z$22/Z91)</f>
        <v>#DIV/0!</v>
      </c>
      <c r="AA44" s="1025"/>
      <c r="AB44" s="1025"/>
      <c r="AC44" s="1025"/>
      <c r="AD44" s="1025" t="e">
        <f>+(1000000*AD$22/AD91)</f>
        <v>#DIV/0!</v>
      </c>
      <c r="AE44" s="1025"/>
      <c r="AF44" s="1025" t="e">
        <f t="shared" ref="AF44:AS44" si="10">+(1000000*AF$22/AF91)</f>
        <v>#DIV/0!</v>
      </c>
      <c r="AG44" s="1025" t="e">
        <f t="shared" si="10"/>
        <v>#DIV/0!</v>
      </c>
      <c r="AH44" s="1025" t="e">
        <f t="shared" si="10"/>
        <v>#DIV/0!</v>
      </c>
      <c r="AI44" s="1025" t="e">
        <f t="shared" si="10"/>
        <v>#DIV/0!</v>
      </c>
      <c r="AJ44" s="1025" t="e">
        <f t="shared" si="10"/>
        <v>#DIV/0!</v>
      </c>
      <c r="AK44" s="1025" t="e">
        <f t="shared" si="10"/>
        <v>#DIV/0!</v>
      </c>
      <c r="AL44" s="1025" t="e">
        <f t="shared" si="10"/>
        <v>#DIV/0!</v>
      </c>
      <c r="AM44" s="1025" t="e">
        <f t="shared" si="10"/>
        <v>#DIV/0!</v>
      </c>
      <c r="AN44" s="1025" t="e">
        <f t="shared" si="10"/>
        <v>#DIV/0!</v>
      </c>
      <c r="AO44" s="1025">
        <f t="shared" si="10"/>
        <v>106577932.09876542</v>
      </c>
      <c r="AP44" s="1025">
        <f t="shared" si="10"/>
        <v>0</v>
      </c>
      <c r="AQ44" s="1025" t="e">
        <f t="shared" si="10"/>
        <v>#DIV/0!</v>
      </c>
      <c r="AR44" s="1025">
        <f t="shared" si="10"/>
        <v>0</v>
      </c>
      <c r="AS44" s="1025">
        <f t="shared" si="10"/>
        <v>0</v>
      </c>
      <c r="AT44" s="1025"/>
      <c r="AV44" s="1025">
        <f>+(1000000*AV$22/AV91)</f>
        <v>581114969.13580239</v>
      </c>
    </row>
    <row r="45" spans="1:63" x14ac:dyDescent="0.25">
      <c r="A45" s="1238">
        <v>2014</v>
      </c>
      <c r="B45" s="1208" t="s">
        <v>1279</v>
      </c>
      <c r="C45" s="1025"/>
      <c r="D45" s="1025">
        <f>+(1000000*D$23/D108)</f>
        <v>8660.4688063164795</v>
      </c>
      <c r="E45" s="1025"/>
      <c r="F45" s="1025">
        <f>+(1000000*F$23/F108)</f>
        <v>7661.6315378275294</v>
      </c>
      <c r="G45" s="1025"/>
      <c r="H45" s="1025"/>
      <c r="I45" s="1025"/>
      <c r="J45" s="1025"/>
      <c r="K45" s="1025"/>
      <c r="L45" s="1025"/>
      <c r="M45" s="1025">
        <f>+(1000000*M$23/M108)</f>
        <v>146102.87208698926</v>
      </c>
      <c r="N45" s="1025">
        <f>+(1000000*N$23/N108)</f>
        <v>21168.213179717044</v>
      </c>
      <c r="O45" s="1025"/>
      <c r="P45" s="1025"/>
      <c r="Q45" s="1025"/>
      <c r="R45" s="1025"/>
      <c r="S45" s="1025"/>
      <c r="T45" s="1025"/>
      <c r="U45" s="1025"/>
      <c r="V45" s="1025"/>
      <c r="W45" s="1025">
        <f>+(1000000*W$23/W108)</f>
        <v>131.64934987970557</v>
      </c>
      <c r="X45" s="1025">
        <f>+(1000000*X$23/X108)</f>
        <v>748.1562328710902</v>
      </c>
      <c r="Y45" s="1025"/>
      <c r="Z45" s="1025" t="e">
        <f>+(1000000*Z$23/Z108)</f>
        <v>#DIV/0!</v>
      </c>
      <c r="AA45" s="1025"/>
      <c r="AB45" s="1025"/>
      <c r="AC45" s="1025"/>
      <c r="AD45" s="1025" t="e">
        <f>+(1000000*AD$23/AD108)</f>
        <v>#DIV/0!</v>
      </c>
      <c r="AE45" s="1025"/>
      <c r="AF45" s="1025" t="e">
        <f t="shared" ref="AF45:AS45" si="11">+(1000000*AF$23/AF108)</f>
        <v>#DIV/0!</v>
      </c>
      <c r="AG45" s="1025" t="e">
        <f t="shared" si="11"/>
        <v>#DIV/0!</v>
      </c>
      <c r="AH45" s="1025" t="e">
        <f t="shared" si="11"/>
        <v>#DIV/0!</v>
      </c>
      <c r="AI45" s="1025" t="e">
        <f t="shared" si="11"/>
        <v>#DIV/0!</v>
      </c>
      <c r="AJ45" s="1025" t="e">
        <f t="shared" si="11"/>
        <v>#DIV/0!</v>
      </c>
      <c r="AK45" s="1025" t="e">
        <f t="shared" si="11"/>
        <v>#DIV/0!</v>
      </c>
      <c r="AL45" s="1025" t="e">
        <f t="shared" si="11"/>
        <v>#DIV/0!</v>
      </c>
      <c r="AM45" s="1025" t="e">
        <f t="shared" si="11"/>
        <v>#DIV/0!</v>
      </c>
      <c r="AN45" s="1025" t="e">
        <f t="shared" si="11"/>
        <v>#DIV/0!</v>
      </c>
      <c r="AO45" s="1025">
        <f t="shared" si="11"/>
        <v>123939043.20987652</v>
      </c>
      <c r="AP45" s="1025">
        <f t="shared" si="11"/>
        <v>0</v>
      </c>
      <c r="AQ45" s="1025" t="e">
        <f t="shared" si="11"/>
        <v>#DIV/0!</v>
      </c>
      <c r="AR45" s="1025">
        <f t="shared" si="11"/>
        <v>0</v>
      </c>
      <c r="AS45" s="1025">
        <f t="shared" si="11"/>
        <v>0</v>
      </c>
      <c r="AT45" s="1025"/>
      <c r="AV45" s="1025">
        <f>+(1000000*AV$23/AV108)</f>
        <v>621624228.39506161</v>
      </c>
    </row>
    <row r="46" spans="1:63" x14ac:dyDescent="0.25">
      <c r="A46" s="1241">
        <v>2015</v>
      </c>
      <c r="B46" s="1220" t="s">
        <v>1279</v>
      </c>
      <c r="C46" s="1025"/>
      <c r="D46" s="1025">
        <f>+(1000000*D$24/D125)</f>
        <v>9135.4502415578845</v>
      </c>
      <c r="E46" s="1025"/>
      <c r="F46" s="1025">
        <f>+(1000000*F$24/F125)</f>
        <v>7725.0838838192267</v>
      </c>
      <c r="G46" s="1025"/>
      <c r="H46" s="1025"/>
      <c r="I46" s="1025"/>
      <c r="J46" s="1025"/>
      <c r="K46" s="1025"/>
      <c r="L46" s="1025"/>
      <c r="M46" s="1025">
        <f>+(1000000*M$24/M125)</f>
        <v>136417.24751352871</v>
      </c>
      <c r="N46" s="1025">
        <f>+(1000000*N$24/N125)</f>
        <v>22664.420512847351</v>
      </c>
      <c r="O46" s="1025"/>
      <c r="P46" s="1025"/>
      <c r="Q46" s="1025"/>
      <c r="R46" s="1025"/>
      <c r="S46" s="1025"/>
      <c r="T46" s="1025"/>
      <c r="U46" s="1025"/>
      <c r="V46" s="1025"/>
      <c r="W46" s="1025">
        <f>+(1000000*W$24/W125)</f>
        <v>138.41486415466264</v>
      </c>
      <c r="X46" s="1025">
        <f>+(1000000*X$24/X125)</f>
        <v>744.43406255829871</v>
      </c>
      <c r="Y46" s="1025"/>
      <c r="Z46" s="1025" t="e">
        <f>+(1000000*Z$24/Z125)</f>
        <v>#DIV/0!</v>
      </c>
      <c r="AA46" s="1025"/>
      <c r="AB46" s="1025"/>
      <c r="AC46" s="1025"/>
      <c r="AD46" s="1025" t="e">
        <f>+(1000000*AD$24/AD125)</f>
        <v>#DIV/0!</v>
      </c>
      <c r="AE46" s="1025"/>
      <c r="AF46" s="1025" t="e">
        <f t="shared" ref="AF46:AS46" si="12">+(1000000*AF$24/AF125)</f>
        <v>#DIV/0!</v>
      </c>
      <c r="AG46" s="1025" t="e">
        <f t="shared" si="12"/>
        <v>#DIV/0!</v>
      </c>
      <c r="AH46" s="1025" t="e">
        <f t="shared" si="12"/>
        <v>#DIV/0!</v>
      </c>
      <c r="AI46" s="1025" t="e">
        <f t="shared" si="12"/>
        <v>#DIV/0!</v>
      </c>
      <c r="AJ46" s="1025" t="e">
        <f t="shared" si="12"/>
        <v>#DIV/0!</v>
      </c>
      <c r="AK46" s="1025" t="e">
        <f t="shared" si="12"/>
        <v>#DIV/0!</v>
      </c>
      <c r="AL46" s="1025" t="e">
        <f t="shared" si="12"/>
        <v>#DIV/0!</v>
      </c>
      <c r="AM46" s="1025" t="e">
        <f t="shared" si="12"/>
        <v>#DIV/0!</v>
      </c>
      <c r="AN46" s="1025" t="e">
        <f t="shared" si="12"/>
        <v>#DIV/0!</v>
      </c>
      <c r="AO46" s="1025">
        <f t="shared" si="12"/>
        <v>147569444.44444442</v>
      </c>
      <c r="AP46" s="1025">
        <f t="shared" si="12"/>
        <v>0</v>
      </c>
      <c r="AQ46" s="1025" t="e">
        <f t="shared" si="12"/>
        <v>#DIV/0!</v>
      </c>
      <c r="AR46" s="1025">
        <f t="shared" si="12"/>
        <v>0</v>
      </c>
      <c r="AS46" s="1025">
        <f t="shared" si="12"/>
        <v>0</v>
      </c>
      <c r="AT46" s="1025"/>
      <c r="AV46" s="1025">
        <f>+(1000000*AV$24/AV125)</f>
        <v>686487268.51851845</v>
      </c>
    </row>
    <row r="48" spans="1:63" x14ac:dyDescent="0.25">
      <c r="A48" s="510">
        <v>2012</v>
      </c>
      <c r="B48" s="1054" t="s">
        <v>1278</v>
      </c>
      <c r="C48" s="1025"/>
      <c r="D48" s="1025">
        <f>+(1000000*D$21/D75)</f>
        <v>76468.676491750724</v>
      </c>
      <c r="E48" s="1025"/>
      <c r="F48" s="1025">
        <f>+(1000000*F$21/F75)</f>
        <v>103183.46492203586</v>
      </c>
      <c r="G48" s="1025"/>
      <c r="H48" s="1025"/>
      <c r="I48" s="1025"/>
      <c r="J48" s="1025"/>
      <c r="K48" s="1025"/>
      <c r="L48" s="1025"/>
      <c r="M48" s="1025">
        <f>+(1000000*M$21/M75)</f>
        <v>1536335.9922919828</v>
      </c>
      <c r="N48" s="1025">
        <f>+(1000000*N$21/N75)</f>
        <v>32515.401987759036</v>
      </c>
      <c r="O48" s="1025"/>
      <c r="P48" s="1025"/>
      <c r="Q48" s="1025"/>
      <c r="R48" s="1025"/>
      <c r="S48" s="1025"/>
      <c r="T48" s="1025"/>
      <c r="U48" s="1025"/>
      <c r="V48" s="1025"/>
      <c r="W48" s="1025" t="e">
        <f>+(1000000*W$21/W75)</f>
        <v>#DIV/0!</v>
      </c>
      <c r="X48" s="1025">
        <f>+(1000000*X$21/X75)</f>
        <v>2336.2818142884121</v>
      </c>
      <c r="Y48" s="1025"/>
      <c r="Z48" s="1025" t="e">
        <f>+(1000000*Z$21/Z75)</f>
        <v>#DIV/0!</v>
      </c>
      <c r="AA48" s="1025"/>
      <c r="AB48" s="1025"/>
      <c r="AC48" s="1025"/>
      <c r="AD48" s="1025" t="e">
        <f>+(1000000*AD$21/AD75)</f>
        <v>#DIV/0!</v>
      </c>
      <c r="AE48" s="1025"/>
      <c r="AF48" s="1025" t="e">
        <f t="shared" ref="AF48:AS48" si="13">+(1000000*AF$21/AF75)</f>
        <v>#DIV/0!</v>
      </c>
      <c r="AG48" s="1025" t="e">
        <f t="shared" si="13"/>
        <v>#DIV/0!</v>
      </c>
      <c r="AH48" s="1025" t="e">
        <f t="shared" si="13"/>
        <v>#DIV/0!</v>
      </c>
      <c r="AI48" s="1025" t="e">
        <f t="shared" si="13"/>
        <v>#DIV/0!</v>
      </c>
      <c r="AJ48" s="1025" t="e">
        <f t="shared" si="13"/>
        <v>#DIV/0!</v>
      </c>
      <c r="AK48" s="1025" t="e">
        <f t="shared" si="13"/>
        <v>#DIV/0!</v>
      </c>
      <c r="AL48" s="1025" t="e">
        <f t="shared" si="13"/>
        <v>#DIV/0!</v>
      </c>
      <c r="AM48" s="1025">
        <f t="shared" si="13"/>
        <v>1074255.8712215116</v>
      </c>
      <c r="AN48" s="1025">
        <f t="shared" si="13"/>
        <v>1277662.2752743775</v>
      </c>
      <c r="AO48" s="1025" t="e">
        <f t="shared" si="13"/>
        <v>#DIV/0!</v>
      </c>
      <c r="AP48" s="1025" t="e">
        <f t="shared" si="13"/>
        <v>#DIV/0!</v>
      </c>
      <c r="AQ48" s="1025" t="e">
        <f t="shared" si="13"/>
        <v>#DIV/0!</v>
      </c>
      <c r="AR48" s="1025">
        <f t="shared" si="13"/>
        <v>0</v>
      </c>
      <c r="AS48" s="1025">
        <f t="shared" si="13"/>
        <v>0</v>
      </c>
      <c r="AT48" s="1025"/>
      <c r="AV48" s="1025">
        <f>+(1000000*AV$21/AV75)</f>
        <v>10227496.338731663</v>
      </c>
    </row>
    <row r="49" spans="1:48" x14ac:dyDescent="0.25">
      <c r="A49" s="1235">
        <v>2013</v>
      </c>
      <c r="B49" s="1198" t="s">
        <v>1278</v>
      </c>
      <c r="C49" s="1025"/>
      <c r="D49" s="1025">
        <f>+(1000000*D$22/D92)</f>
        <v>79515.602638309574</v>
      </c>
      <c r="E49" s="1025"/>
      <c r="F49" s="1025">
        <f>+(1000000*F$22/F92)</f>
        <v>106213.8170080508</v>
      </c>
      <c r="G49" s="1025"/>
      <c r="H49" s="1025"/>
      <c r="I49" s="1025"/>
      <c r="J49" s="1025"/>
      <c r="K49" s="1025"/>
      <c r="L49" s="1025"/>
      <c r="M49" s="1025">
        <f>+(1000000*M$22/M92)</f>
        <v>1849873.9499025915</v>
      </c>
      <c r="N49" s="1025">
        <f>+(1000000*N$22/N92)</f>
        <v>33660.329510233838</v>
      </c>
      <c r="O49" s="1025"/>
      <c r="P49" s="1025"/>
      <c r="Q49" s="1025"/>
      <c r="R49" s="1025"/>
      <c r="S49" s="1025"/>
      <c r="T49" s="1025"/>
      <c r="U49" s="1025"/>
      <c r="V49" s="1025"/>
      <c r="W49" s="1025" t="e">
        <f>+(1000000*W$22/W92)</f>
        <v>#DIV/0!</v>
      </c>
      <c r="X49" s="1025">
        <f>+(1000000*X$22/X92)</f>
        <v>2490.7055589428705</v>
      </c>
      <c r="Y49" s="1025"/>
      <c r="Z49" s="1025" t="e">
        <f>+(1000000*Z$22/Z92)</f>
        <v>#DIV/0!</v>
      </c>
      <c r="AA49" s="1025"/>
      <c r="AB49" s="1025"/>
      <c r="AC49" s="1025"/>
      <c r="AD49" s="1025" t="e">
        <f>+(1000000*AD$22/AD92)</f>
        <v>#DIV/0!</v>
      </c>
      <c r="AE49" s="1025"/>
      <c r="AF49" s="1025" t="e">
        <f t="shared" ref="AF49:AS49" si="14">+(1000000*AF$22/AF92)</f>
        <v>#DIV/0!</v>
      </c>
      <c r="AG49" s="1025" t="e">
        <f t="shared" si="14"/>
        <v>#DIV/0!</v>
      </c>
      <c r="AH49" s="1025" t="e">
        <f t="shared" si="14"/>
        <v>#DIV/0!</v>
      </c>
      <c r="AI49" s="1025" t="e">
        <f t="shared" si="14"/>
        <v>#DIV/0!</v>
      </c>
      <c r="AJ49" s="1025" t="e">
        <f t="shared" si="14"/>
        <v>#DIV/0!</v>
      </c>
      <c r="AK49" s="1025" t="e">
        <f t="shared" si="14"/>
        <v>#DIV/0!</v>
      </c>
      <c r="AL49" s="1025" t="e">
        <f t="shared" si="14"/>
        <v>#DIV/0!</v>
      </c>
      <c r="AM49" s="1025">
        <f t="shared" si="14"/>
        <v>1119329.5441398968</v>
      </c>
      <c r="AN49" s="1025">
        <f t="shared" si="14"/>
        <v>1354762.5849892108</v>
      </c>
      <c r="AO49" s="1025" t="e">
        <f t="shared" si="14"/>
        <v>#DIV/0!</v>
      </c>
      <c r="AP49" s="1025" t="e">
        <f t="shared" si="14"/>
        <v>#DIV/0!</v>
      </c>
      <c r="AQ49" s="1025" t="e">
        <f t="shared" si="14"/>
        <v>#DIV/0!</v>
      </c>
      <c r="AR49" s="1025">
        <f t="shared" si="14"/>
        <v>0</v>
      </c>
      <c r="AS49" s="1025">
        <f t="shared" si="14"/>
        <v>0</v>
      </c>
      <c r="AT49" s="1025"/>
      <c r="AV49" s="1025">
        <f>+(1000000*AV$22/AV92)</f>
        <v>10763435.011503628</v>
      </c>
    </row>
    <row r="50" spans="1:48" x14ac:dyDescent="0.25">
      <c r="A50" s="1238">
        <v>2014</v>
      </c>
      <c r="B50" s="1208" t="s">
        <v>1278</v>
      </c>
      <c r="C50" s="1025"/>
      <c r="D50" s="1025">
        <f>+(1000000*D$23/D109)</f>
        <v>85004.616440883736</v>
      </c>
      <c r="E50" s="1025"/>
      <c r="F50" s="1025">
        <f>+(1000000*F$23/F109)</f>
        <v>112883.68541156304</v>
      </c>
      <c r="G50" s="1025"/>
      <c r="H50" s="1025"/>
      <c r="I50" s="1025"/>
      <c r="J50" s="1025"/>
      <c r="K50" s="1025"/>
      <c r="L50" s="1025"/>
      <c r="M50" s="1025">
        <f>+(1000000*M$23/M109)</f>
        <v>2304503.9884379744</v>
      </c>
      <c r="N50" s="1025">
        <f>+(1000000*N$23/N109)</f>
        <v>35767.002137609481</v>
      </c>
      <c r="O50" s="1025"/>
      <c r="P50" s="1025"/>
      <c r="Q50" s="1025"/>
      <c r="R50" s="1025"/>
      <c r="S50" s="1025"/>
      <c r="T50" s="1025"/>
      <c r="U50" s="1025"/>
      <c r="V50" s="1025"/>
      <c r="W50" s="1025" t="e">
        <f>+(1000000*W$23/W109)</f>
        <v>#DIV/0!</v>
      </c>
      <c r="X50" s="1025">
        <f>+(1000000*X$23/X109)</f>
        <v>2560.9244552978103</v>
      </c>
      <c r="Y50" s="1025"/>
      <c r="Z50" s="1025" t="e">
        <f>+(1000000*Z$23/Z109)</f>
        <v>#DIV/0!</v>
      </c>
      <c r="AA50" s="1025"/>
      <c r="AB50" s="1025"/>
      <c r="AC50" s="1025"/>
      <c r="AD50" s="1025" t="e">
        <f>+(1000000*AD$23/AD109)</f>
        <v>#DIV/0!</v>
      </c>
      <c r="AE50" s="1025"/>
      <c r="AF50" s="1025" t="e">
        <f t="shared" ref="AF50:AS50" si="15">+(1000000*AF$23/AF109)</f>
        <v>#DIV/0!</v>
      </c>
      <c r="AG50" s="1025" t="e">
        <f t="shared" si="15"/>
        <v>#DIV/0!</v>
      </c>
      <c r="AH50" s="1025" t="e">
        <f t="shared" si="15"/>
        <v>#DIV/0!</v>
      </c>
      <c r="AI50" s="1025" t="e">
        <f t="shared" si="15"/>
        <v>#DIV/0!</v>
      </c>
      <c r="AJ50" s="1025" t="e">
        <f t="shared" si="15"/>
        <v>#DIV/0!</v>
      </c>
      <c r="AK50" s="1025" t="e">
        <f t="shared" si="15"/>
        <v>#DIV/0!</v>
      </c>
      <c r="AL50" s="1025" t="e">
        <f t="shared" si="15"/>
        <v>#DIV/0!</v>
      </c>
      <c r="AM50" s="1025">
        <f t="shared" si="15"/>
        <v>1156890.9382385509</v>
      </c>
      <c r="AN50" s="1025">
        <f t="shared" si="15"/>
        <v>1464905.8845818294</v>
      </c>
      <c r="AO50" s="1025" t="e">
        <f t="shared" si="15"/>
        <v>#DIV/0!</v>
      </c>
      <c r="AP50" s="1025" t="e">
        <f t="shared" si="15"/>
        <v>#DIV/0!</v>
      </c>
      <c r="AQ50" s="1025" t="e">
        <f t="shared" si="15"/>
        <v>#DIV/0!</v>
      </c>
      <c r="AR50" s="1025">
        <f t="shared" si="15"/>
        <v>0</v>
      </c>
      <c r="AS50" s="1025">
        <f t="shared" si="15"/>
        <v>0</v>
      </c>
      <c r="AT50" s="1025"/>
      <c r="AV50" s="1025">
        <f>+(1000000*AV$23/AV109)</f>
        <v>11513749.153384378</v>
      </c>
    </row>
    <row r="51" spans="1:48" x14ac:dyDescent="0.25">
      <c r="A51" s="1241">
        <v>2015</v>
      </c>
      <c r="B51" s="1220" t="s">
        <v>1278</v>
      </c>
      <c r="C51" s="1025"/>
      <c r="D51" s="1025">
        <f>+(1000000*D$24/D126)</f>
        <v>91928.2166848825</v>
      </c>
      <c r="E51" s="1025"/>
      <c r="F51" s="1025">
        <f>+(1000000*F$24/F126)</f>
        <v>118074.30520009546</v>
      </c>
      <c r="G51" s="1025"/>
      <c r="H51" s="1025"/>
      <c r="I51" s="1025"/>
      <c r="J51" s="1025"/>
      <c r="K51" s="1025"/>
      <c r="L51" s="1025"/>
      <c r="M51" s="1025">
        <f>+(1000000*M$24/M126)</f>
        <v>2194765.7032742612</v>
      </c>
      <c r="N51" s="1025">
        <f>+(1000000*N$24/N126)</f>
        <v>38247.955396131976</v>
      </c>
      <c r="O51" s="1025"/>
      <c r="P51" s="1025"/>
      <c r="Q51" s="1025"/>
      <c r="R51" s="1025"/>
      <c r="S51" s="1025"/>
      <c r="T51" s="1025"/>
      <c r="U51" s="1025"/>
      <c r="V51" s="1025"/>
      <c r="W51" s="1025" t="e">
        <f>+(1000000*W$24/W126)</f>
        <v>#DIV/0!</v>
      </c>
      <c r="X51" s="1025">
        <f>+(1000000*X$24/X126)</f>
        <v>2548.183537609762</v>
      </c>
      <c r="Y51" s="1025"/>
      <c r="Z51" s="1025" t="e">
        <f>+(1000000*Z$24/Z126)</f>
        <v>#DIV/0!</v>
      </c>
      <c r="AA51" s="1025"/>
      <c r="AB51" s="1025"/>
      <c r="AC51" s="1025"/>
      <c r="AD51" s="1025" t="e">
        <f>+(1000000*AD$24/AD126)</f>
        <v>#DIV/0!</v>
      </c>
      <c r="AE51" s="1025"/>
      <c r="AF51" s="1025" t="e">
        <f t="shared" ref="AF51:AS51" si="16">+(1000000*AF$24/AF126)</f>
        <v>#DIV/0!</v>
      </c>
      <c r="AG51" s="1025" t="e">
        <f t="shared" si="16"/>
        <v>#DIV/0!</v>
      </c>
      <c r="AH51" s="1025" t="e">
        <f t="shared" si="16"/>
        <v>#DIV/0!</v>
      </c>
      <c r="AI51" s="1025" t="e">
        <f t="shared" si="16"/>
        <v>#DIV/0!</v>
      </c>
      <c r="AJ51" s="1025" t="e">
        <f t="shared" si="16"/>
        <v>#DIV/0!</v>
      </c>
      <c r="AK51" s="1025" t="e">
        <f t="shared" si="16"/>
        <v>#DIV/0!</v>
      </c>
      <c r="AL51" s="1025" t="e">
        <f t="shared" si="16"/>
        <v>#DIV/0!</v>
      </c>
      <c r="AM51" s="1025">
        <f t="shared" si="16"/>
        <v>1179427.7746977436</v>
      </c>
      <c r="AN51" s="1025">
        <f t="shared" si="16"/>
        <v>1608092.1740522338</v>
      </c>
      <c r="AO51" s="1025" t="e">
        <f t="shared" si="16"/>
        <v>#DIV/0!</v>
      </c>
      <c r="AP51" s="1025" t="e">
        <f t="shared" si="16"/>
        <v>#DIV/0!</v>
      </c>
      <c r="AQ51" s="1025" t="e">
        <f t="shared" si="16"/>
        <v>#DIV/0!</v>
      </c>
      <c r="AR51" s="1025">
        <f t="shared" si="16"/>
        <v>0</v>
      </c>
      <c r="AS51" s="1025">
        <f t="shared" si="16"/>
        <v>0</v>
      </c>
      <c r="AT51" s="1025"/>
      <c r="AV51" s="1025">
        <f>+(1000000*AV$24/AV126)</f>
        <v>12715145.011514867</v>
      </c>
    </row>
    <row r="53" spans="1:48" x14ac:dyDescent="0.25">
      <c r="A53" s="510">
        <v>2012</v>
      </c>
      <c r="B53" s="1054" t="s">
        <v>1277</v>
      </c>
      <c r="C53" s="1025"/>
      <c r="D53" s="1220">
        <f>+(1000000*D$21/D81)</f>
        <v>319.22271211005909</v>
      </c>
      <c r="E53" s="1025"/>
      <c r="F53" s="1220">
        <f>+(1000000*F$21/F81)</f>
        <v>104.51432675531389</v>
      </c>
      <c r="G53" s="1220"/>
      <c r="H53" s="1220"/>
      <c r="I53" s="1220"/>
      <c r="J53" s="1220"/>
      <c r="K53" s="1220"/>
      <c r="L53" s="1220"/>
      <c r="M53" s="1220">
        <f>+(1000000*M$21/M81)</f>
        <v>4376.8252029746</v>
      </c>
      <c r="N53" s="1220">
        <f>+(1000000*N$21/N81)</f>
        <v>427.669842568972</v>
      </c>
      <c r="O53" s="1220"/>
      <c r="P53" s="1220"/>
      <c r="Q53" s="1220"/>
      <c r="R53" s="1220"/>
      <c r="S53" s="1220"/>
      <c r="T53" s="1220"/>
      <c r="U53" s="1220"/>
      <c r="V53" s="1220"/>
      <c r="W53" s="1220">
        <f>+(1000000*W$21/W81)</f>
        <v>119.30676723111065</v>
      </c>
      <c r="X53" s="1220">
        <f>+(1000000*X$21/X81)</f>
        <v>528.21431866337093</v>
      </c>
      <c r="Y53" s="1220"/>
      <c r="Z53" s="1025" t="e">
        <f>+(1000000*Z$21/Z81)</f>
        <v>#DIV/0!</v>
      </c>
      <c r="AA53" s="1025"/>
      <c r="AB53" s="1025"/>
      <c r="AC53" s="1025"/>
      <c r="AD53" s="1025" t="e">
        <f>+(1000000*AD$21/AD81)</f>
        <v>#DIV/0!</v>
      </c>
      <c r="AE53" s="1025"/>
      <c r="AF53" s="1025">
        <f t="shared" ref="AF53:AS53" si="17">+(1000000*AF$21/AF81)</f>
        <v>4918.24615342169</v>
      </c>
      <c r="AG53" s="1025" t="e">
        <f t="shared" si="17"/>
        <v>#DIV/0!</v>
      </c>
      <c r="AH53" s="1025">
        <f t="shared" si="17"/>
        <v>1839913.2146339098</v>
      </c>
      <c r="AI53" s="1025" t="e">
        <f t="shared" si="17"/>
        <v>#DIV/0!</v>
      </c>
      <c r="AJ53" s="1025" t="e">
        <f t="shared" si="17"/>
        <v>#DIV/0!</v>
      </c>
      <c r="AK53" s="1025" t="e">
        <f t="shared" si="17"/>
        <v>#DIV/0!</v>
      </c>
      <c r="AL53" s="1025" t="e">
        <f t="shared" si="17"/>
        <v>#DIV/0!</v>
      </c>
      <c r="AM53" s="1025">
        <f t="shared" si="17"/>
        <v>636.95559697992076</v>
      </c>
      <c r="AN53" s="1025">
        <f t="shared" si="17"/>
        <v>26915.887579720049</v>
      </c>
      <c r="AO53" s="1025">
        <f t="shared" si="17"/>
        <v>1373748.2945254999</v>
      </c>
      <c r="AP53" s="1025">
        <f t="shared" si="17"/>
        <v>0</v>
      </c>
      <c r="AQ53" s="1025" t="e">
        <f t="shared" si="17"/>
        <v>#DIV/0!</v>
      </c>
      <c r="AR53" s="1025">
        <f t="shared" si="17"/>
        <v>0</v>
      </c>
      <c r="AS53" s="1025">
        <f t="shared" si="17"/>
        <v>0</v>
      </c>
      <c r="AT53" s="1025"/>
      <c r="AV53" s="1220">
        <f>+(1000000*AV$21/AV81)</f>
        <v>9314.5971728036657</v>
      </c>
    </row>
    <row r="54" spans="1:48" x14ac:dyDescent="0.25">
      <c r="A54" s="1235">
        <v>2013</v>
      </c>
      <c r="B54" s="1198" t="s">
        <v>1277</v>
      </c>
      <c r="C54" s="1025"/>
      <c r="D54" s="1220">
        <f>+(1000000*D$22/D98)</f>
        <v>346.51152005883165</v>
      </c>
      <c r="E54" s="1025"/>
      <c r="F54" s="1220">
        <f>+(1000000*F$22/F98)</f>
        <v>112.5167739734662</v>
      </c>
      <c r="G54" s="1220"/>
      <c r="H54" s="1220"/>
      <c r="I54" s="1220"/>
      <c r="J54" s="1220"/>
      <c r="K54" s="1220"/>
      <c r="L54" s="1220"/>
      <c r="M54" s="1220">
        <f>+(1000000*M$22/M98)</f>
        <v>5265.5064063337359</v>
      </c>
      <c r="N54" s="1220">
        <f>+(1000000*N$22/N98)</f>
        <v>448.47638797685966</v>
      </c>
      <c r="O54" s="1220"/>
      <c r="P54" s="1220"/>
      <c r="Q54" s="1220"/>
      <c r="R54" s="1220"/>
      <c r="S54" s="1220"/>
      <c r="T54" s="1220"/>
      <c r="U54" s="1220"/>
      <c r="V54" s="1220"/>
      <c r="W54" s="1220">
        <f>+(1000000*W$22/W98)</f>
        <v>124.2949651934687</v>
      </c>
      <c r="X54" s="1220">
        <f>+(1000000*X$22/X98)</f>
        <v>563.12827149613111</v>
      </c>
      <c r="Y54" s="1220"/>
      <c r="Z54" s="1025" t="e">
        <f>+(1000000*Z$22/Z98)</f>
        <v>#DIV/0!</v>
      </c>
      <c r="AA54" s="1025"/>
      <c r="AB54" s="1025"/>
      <c r="AC54" s="1025"/>
      <c r="AD54" s="1025" t="e">
        <f>+(1000000*AD$22/AD98)</f>
        <v>#DIV/0!</v>
      </c>
      <c r="AE54" s="1025"/>
      <c r="AF54" s="1025">
        <f t="shared" ref="AF54:AS54" si="18">+(1000000*AF$22/AF98)</f>
        <v>5098.1819883029711</v>
      </c>
      <c r="AG54" s="1025" t="e">
        <f t="shared" si="18"/>
        <v>#DIV/0!</v>
      </c>
      <c r="AH54" s="1025">
        <f t="shared" si="18"/>
        <v>2023904.5360973007</v>
      </c>
      <c r="AI54" s="1025" t="e">
        <f t="shared" si="18"/>
        <v>#DIV/0!</v>
      </c>
      <c r="AJ54" s="1025" t="e">
        <f t="shared" si="18"/>
        <v>#DIV/0!</v>
      </c>
      <c r="AK54" s="1025" t="e">
        <f t="shared" si="18"/>
        <v>#DIV/0!</v>
      </c>
      <c r="AL54" s="1025" t="e">
        <f t="shared" si="18"/>
        <v>#DIV/0!</v>
      </c>
      <c r="AM54" s="1025">
        <f t="shared" si="18"/>
        <v>663.68100664341398</v>
      </c>
      <c r="AN54" s="1025">
        <f t="shared" si="18"/>
        <v>28540.122175047982</v>
      </c>
      <c r="AO54" s="1025">
        <f t="shared" si="18"/>
        <v>1541108.4928433273</v>
      </c>
      <c r="AP54" s="1025">
        <f t="shared" si="18"/>
        <v>0</v>
      </c>
      <c r="AQ54" s="1025" t="e">
        <f t="shared" si="18"/>
        <v>#DIV/0!</v>
      </c>
      <c r="AR54" s="1025">
        <f t="shared" si="18"/>
        <v>0</v>
      </c>
      <c r="AS54" s="1025">
        <f t="shared" si="18"/>
        <v>0</v>
      </c>
      <c r="AT54" s="1025"/>
      <c r="AV54" s="1220">
        <f>+(1000000*AV$22/AV98)</f>
        <v>9802.6983346973084</v>
      </c>
    </row>
    <row r="55" spans="1:48" x14ac:dyDescent="0.25">
      <c r="A55" s="1238">
        <v>2014</v>
      </c>
      <c r="B55" s="1208" t="s">
        <v>1277</v>
      </c>
      <c r="C55" s="1025"/>
      <c r="D55" s="1220">
        <f>+(1000000*D$23/D115)</f>
        <v>360.40672589475537</v>
      </c>
      <c r="E55" s="1025"/>
      <c r="F55" s="1220">
        <f>+(1000000*F$23/F115)</f>
        <v>115.61290485680546</v>
      </c>
      <c r="G55" s="1220"/>
      <c r="H55" s="1220"/>
      <c r="I55" s="1220"/>
      <c r="J55" s="1220"/>
      <c r="K55" s="1220"/>
      <c r="L55" s="1220"/>
      <c r="M55" s="1220">
        <f>+(1000000*M$23/M115)</f>
        <v>6553.8020177284579</v>
      </c>
      <c r="N55" s="1220">
        <f>+(1000000*N$23/N115)</f>
        <v>482.75414511112177</v>
      </c>
      <c r="O55" s="1220"/>
      <c r="P55" s="1220"/>
      <c r="Q55" s="1220"/>
      <c r="R55" s="1220"/>
      <c r="S55" s="1220"/>
      <c r="T55" s="1220"/>
      <c r="U55" s="1220"/>
      <c r="V55" s="1220"/>
      <c r="W55" s="1220">
        <f>+(1000000*W$23/W115)</f>
        <v>131.64934987970557</v>
      </c>
      <c r="X55" s="1220">
        <f>+(1000000*X$23/X115)</f>
        <v>579.00419291476169</v>
      </c>
      <c r="Y55" s="1220"/>
      <c r="Z55" s="1025" t="e">
        <f>+(1000000*Z$23/Z115)</f>
        <v>#DIV/0!</v>
      </c>
      <c r="AA55" s="1025"/>
      <c r="AB55" s="1025"/>
      <c r="AC55" s="1025"/>
      <c r="AD55" s="1025" t="e">
        <f>+(1000000*AD$23/AD115)</f>
        <v>#DIV/0!</v>
      </c>
      <c r="AE55" s="1025"/>
      <c r="AF55" s="1025">
        <f t="shared" ref="AF55:AS55" si="19">+(1000000*AF$23/AF115)</f>
        <v>5757.9467162010023</v>
      </c>
      <c r="AG55" s="1025" t="e">
        <f t="shared" si="19"/>
        <v>#DIV/0!</v>
      </c>
      <c r="AH55" s="1025">
        <f t="shared" si="19"/>
        <v>2089615.7223342261</v>
      </c>
      <c r="AI55" s="1025" t="e">
        <f t="shared" si="19"/>
        <v>#DIV/0!</v>
      </c>
      <c r="AJ55" s="1025" t="e">
        <f t="shared" si="19"/>
        <v>#DIV/0!</v>
      </c>
      <c r="AK55" s="1025" t="e">
        <f t="shared" si="19"/>
        <v>#DIV/0!</v>
      </c>
      <c r="AL55" s="1025" t="e">
        <f t="shared" si="19"/>
        <v>#DIV/0!</v>
      </c>
      <c r="AM55" s="1025">
        <f t="shared" si="19"/>
        <v>685.95218136299161</v>
      </c>
      <c r="AN55" s="1025">
        <f t="shared" si="19"/>
        <v>30860.457311230744</v>
      </c>
      <c r="AO55" s="1025">
        <f t="shared" si="19"/>
        <v>1792148.7903200684</v>
      </c>
      <c r="AP55" s="1025">
        <f t="shared" si="19"/>
        <v>0</v>
      </c>
      <c r="AQ55" s="1025" t="e">
        <f t="shared" si="19"/>
        <v>#DIV/0!</v>
      </c>
      <c r="AR55" s="1025">
        <f t="shared" si="19"/>
        <v>0</v>
      </c>
      <c r="AS55" s="1025">
        <f t="shared" si="19"/>
        <v>0</v>
      </c>
      <c r="AT55" s="1025"/>
      <c r="AV55" s="1220">
        <f>+(1000000*AV$23/AV115)</f>
        <v>10486.039961348406</v>
      </c>
    </row>
    <row r="56" spans="1:48" x14ac:dyDescent="0.25">
      <c r="A56" s="1241">
        <v>2015</v>
      </c>
      <c r="B56" s="1220" t="s">
        <v>1277</v>
      </c>
      <c r="C56" s="1025"/>
      <c r="D56" s="1220">
        <f>+(1000000*D$24/D132)</f>
        <v>383.48554116613838</v>
      </c>
      <c r="E56" s="1025"/>
      <c r="F56" s="1220">
        <f>+(1000000*F$24/F132)</f>
        <v>118.39127368600147</v>
      </c>
      <c r="G56" s="1220"/>
      <c r="H56" s="1220"/>
      <c r="I56" s="1220"/>
      <c r="J56" s="1220"/>
      <c r="K56" s="1220"/>
      <c r="L56" s="1220"/>
      <c r="M56" s="1220">
        <f>+(1000000*M$24/M132)</f>
        <v>6236.121477436538</v>
      </c>
      <c r="N56" s="1220">
        <f>+(1000000*N$24/N132)</f>
        <v>522.99120220567329</v>
      </c>
      <c r="O56" s="1220"/>
      <c r="P56" s="1220"/>
      <c r="Q56" s="1220"/>
      <c r="R56" s="1220"/>
      <c r="S56" s="1220"/>
      <c r="T56" s="1220"/>
      <c r="U56" s="1220"/>
      <c r="V56" s="1220"/>
      <c r="W56" s="1220">
        <f>+(1000000*W$24/W132)</f>
        <v>138.41486415466264</v>
      </c>
      <c r="X56" s="1220">
        <f>+(1000000*X$24/X132)</f>
        <v>576.123575039564</v>
      </c>
      <c r="Y56" s="1220"/>
      <c r="Z56" s="1025" t="e">
        <f>+(1000000*Z$24/Z132)</f>
        <v>#DIV/0!</v>
      </c>
      <c r="AA56" s="1025"/>
      <c r="AB56" s="1025"/>
      <c r="AC56" s="1025"/>
      <c r="AD56" s="1025" t="e">
        <f>+(1000000*AD$24/AD132)</f>
        <v>#DIV/0!</v>
      </c>
      <c r="AE56" s="1025"/>
      <c r="AF56" s="1025">
        <f t="shared" ref="AF56:AS56" si="20">+(1000000*AF$24/AF132)</f>
        <v>6297.7542208448467</v>
      </c>
      <c r="AG56" s="1025" t="e">
        <f t="shared" si="20"/>
        <v>#DIV/0!</v>
      </c>
      <c r="AH56" s="1025">
        <f t="shared" si="20"/>
        <v>2352460.4672819274</v>
      </c>
      <c r="AI56" s="1025" t="e">
        <f t="shared" si="20"/>
        <v>#DIV/0!</v>
      </c>
      <c r="AJ56" s="1025" t="e">
        <f t="shared" si="20"/>
        <v>#DIV/0!</v>
      </c>
      <c r="AK56" s="1025" t="e">
        <f t="shared" si="20"/>
        <v>#DIV/0!</v>
      </c>
      <c r="AL56" s="1025" t="e">
        <f t="shared" si="20"/>
        <v>#DIV/0!</v>
      </c>
      <c r="AM56" s="1025">
        <f t="shared" si="20"/>
        <v>699.31488619473816</v>
      </c>
      <c r="AN56" s="1025">
        <f t="shared" si="20"/>
        <v>33876.892988268337</v>
      </c>
      <c r="AO56" s="1025">
        <f t="shared" si="20"/>
        <v>2133842.5285522994</v>
      </c>
      <c r="AP56" s="1025">
        <f t="shared" si="20"/>
        <v>0</v>
      </c>
      <c r="AQ56" s="1025" t="e">
        <f t="shared" si="20"/>
        <v>#DIV/0!</v>
      </c>
      <c r="AR56" s="1025">
        <f t="shared" si="20"/>
        <v>0</v>
      </c>
      <c r="AS56" s="1025">
        <f t="shared" si="20"/>
        <v>0</v>
      </c>
      <c r="AT56" s="1025"/>
      <c r="AV56" s="1220">
        <f>+(1000000*AV$24/AV132)</f>
        <v>11580.200065926654</v>
      </c>
    </row>
    <row r="58" spans="1:48" x14ac:dyDescent="0.25">
      <c r="A58" s="510">
        <v>2012</v>
      </c>
      <c r="B58" s="1054" t="s">
        <v>1281</v>
      </c>
      <c r="C58" s="1025"/>
      <c r="D58" s="1025">
        <f>+(1000000*D$21/D84)</f>
        <v>1816.1646941543595</v>
      </c>
      <c r="E58" s="1025"/>
      <c r="F58" s="1025">
        <f>+(1000000*F$21/F84)</f>
        <v>932.88599582731979</v>
      </c>
      <c r="G58" s="1025"/>
      <c r="H58" s="1025"/>
      <c r="I58" s="1025"/>
      <c r="J58" s="1025"/>
      <c r="K58" s="1025"/>
      <c r="L58" s="1025"/>
      <c r="M58" s="1025">
        <f>+(1000000*M$21/M84)</f>
        <v>4595.4706105283667</v>
      </c>
      <c r="N58" s="1025">
        <f>+(1000000*N$21/N84)</f>
        <v>552.84399439581648</v>
      </c>
      <c r="O58" s="1025"/>
      <c r="P58" s="1025"/>
      <c r="Q58" s="1025"/>
      <c r="R58" s="1025"/>
      <c r="S58" s="1025"/>
      <c r="T58" s="1025"/>
      <c r="U58" s="1025"/>
      <c r="V58" s="1025"/>
      <c r="W58" s="1025">
        <f>+(1000000*W$21/W84)</f>
        <v>125.58607076959017</v>
      </c>
      <c r="X58" s="1025">
        <f>+(1000000*X$21/X84)</f>
        <v>10893.541835309068</v>
      </c>
      <c r="Y58" s="1025"/>
      <c r="Z58" s="1025" t="e">
        <f>+(1000000*Z$21/Z84)</f>
        <v>#DIV/0!</v>
      </c>
      <c r="AA58" s="1025"/>
      <c r="AB58" s="1025"/>
      <c r="AC58" s="1025"/>
      <c r="AD58" s="1025" t="e">
        <f>+(1000000*AD$21/AD84)</f>
        <v>#DIV/0!</v>
      </c>
      <c r="AE58" s="1025"/>
      <c r="AF58" s="1025">
        <f t="shared" ref="AF58:AS58" si="21">+(1000000*AF$21/AF84)</f>
        <v>6321.2123639330566</v>
      </c>
      <c r="AG58" s="1025" t="e">
        <f t="shared" si="21"/>
        <v>#DIV/0!</v>
      </c>
      <c r="AH58" s="1025">
        <f t="shared" si="21"/>
        <v>2240744.885772327</v>
      </c>
      <c r="AI58" s="1025" t="e">
        <f t="shared" si="21"/>
        <v>#DIV/0!</v>
      </c>
      <c r="AJ58" s="1025" t="e">
        <f t="shared" si="21"/>
        <v>#DIV/0!</v>
      </c>
      <c r="AK58" s="1025" t="e">
        <f t="shared" si="21"/>
        <v>#DIV/0!</v>
      </c>
      <c r="AL58" s="1025" t="e">
        <f t="shared" si="21"/>
        <v>#DIV/0!</v>
      </c>
      <c r="AM58" s="1025">
        <f t="shared" si="21"/>
        <v>796.66686172934055</v>
      </c>
      <c r="AN58" s="1025">
        <f t="shared" si="21"/>
        <v>33644.859441196801</v>
      </c>
      <c r="AO58" s="1025">
        <f t="shared" si="21"/>
        <v>18385658.86213221</v>
      </c>
      <c r="AP58" s="1025">
        <f t="shared" si="21"/>
        <v>0</v>
      </c>
      <c r="AQ58" s="1025" t="e">
        <f t="shared" si="21"/>
        <v>#DIV/0!</v>
      </c>
      <c r="AR58" s="1025">
        <f t="shared" si="21"/>
        <v>0</v>
      </c>
      <c r="AS58" s="1025">
        <f t="shared" si="21"/>
        <v>0</v>
      </c>
      <c r="AT58" s="1025"/>
      <c r="AV58" s="1025">
        <f>+(1000000*AV$21/AV84)</f>
        <v>11683.569397592562</v>
      </c>
    </row>
    <row r="59" spans="1:48" x14ac:dyDescent="0.25">
      <c r="A59" s="1235">
        <v>2013</v>
      </c>
      <c r="B59" s="1198" t="s">
        <v>1281</v>
      </c>
      <c r="C59" s="1025"/>
      <c r="D59" s="1025">
        <f>+(1000000*D$22/D101)</f>
        <v>1933.8308216331227</v>
      </c>
      <c r="E59" s="1025"/>
      <c r="F59" s="1025">
        <f>+(1000000*F$22/F101)</f>
        <v>999.77917537873248</v>
      </c>
      <c r="G59" s="1025"/>
      <c r="H59" s="1025"/>
      <c r="I59" s="1025"/>
      <c r="J59" s="1025"/>
      <c r="K59" s="1025"/>
      <c r="L59" s="1025"/>
      <c r="M59" s="1025">
        <f>+(1000000*M$22/M101)</f>
        <v>5528.5582393504019</v>
      </c>
      <c r="N59" s="1025">
        <f>+(1000000*N$22/N101)</f>
        <v>580.00124324333035</v>
      </c>
      <c r="O59" s="1025"/>
      <c r="P59" s="1025"/>
      <c r="Q59" s="1025"/>
      <c r="R59" s="1025"/>
      <c r="S59" s="1025"/>
      <c r="T59" s="1025"/>
      <c r="U59" s="1025"/>
      <c r="V59" s="1025"/>
      <c r="W59" s="1025">
        <f>+(1000000*W$22/W101)</f>
        <v>130.83680546680915</v>
      </c>
      <c r="X59" s="1025">
        <f>+(1000000*X$22/X101)</f>
        <v>11671.651966402573</v>
      </c>
      <c r="Y59" s="1025"/>
      <c r="Z59" s="1025" t="e">
        <f>+(1000000*Z$22/Z101)</f>
        <v>#DIV/0!</v>
      </c>
      <c r="AA59" s="1025"/>
      <c r="AB59" s="1025"/>
      <c r="AC59" s="1025"/>
      <c r="AD59" s="1025" t="e">
        <f>+(1000000*AD$22/AD101)</f>
        <v>#DIV/0!</v>
      </c>
      <c r="AE59" s="1025"/>
      <c r="AF59" s="1025">
        <f t="shared" ref="AF59:AS59" si="22">+(1000000*AF$22/AF101)</f>
        <v>6552.4762309062171</v>
      </c>
      <c r="AG59" s="1025" t="e">
        <f t="shared" si="22"/>
        <v>#DIV/0!</v>
      </c>
      <c r="AH59" s="1025">
        <f t="shared" si="22"/>
        <v>2464819.3743495597</v>
      </c>
      <c r="AI59" s="1025" t="e">
        <f t="shared" si="22"/>
        <v>#DIV/0!</v>
      </c>
      <c r="AJ59" s="1025" t="e">
        <f t="shared" si="22"/>
        <v>#DIV/0!</v>
      </c>
      <c r="AK59" s="1025" t="e">
        <f t="shared" si="22"/>
        <v>#DIV/0!</v>
      </c>
      <c r="AL59" s="1025" t="e">
        <f t="shared" si="22"/>
        <v>#DIV/0!</v>
      </c>
      <c r="AM59" s="1025">
        <f t="shared" si="22"/>
        <v>830.09344334036189</v>
      </c>
      <c r="AN59" s="1025">
        <f t="shared" si="22"/>
        <v>35675.152683337983</v>
      </c>
      <c r="AO59" s="1025">
        <f t="shared" si="22"/>
        <v>20625536.083914816</v>
      </c>
      <c r="AP59" s="1025">
        <f t="shared" si="22"/>
        <v>0</v>
      </c>
      <c r="AQ59" s="1025" t="e">
        <f t="shared" si="22"/>
        <v>#DIV/0!</v>
      </c>
      <c r="AR59" s="1025">
        <f t="shared" si="22"/>
        <v>0</v>
      </c>
      <c r="AS59" s="1025">
        <f t="shared" si="22"/>
        <v>0</v>
      </c>
      <c r="AT59" s="1025"/>
      <c r="AV59" s="1025">
        <f>+(1000000*AV$22/AV101)</f>
        <v>12295.808842007893</v>
      </c>
    </row>
    <row r="60" spans="1:48" x14ac:dyDescent="0.25">
      <c r="A60" s="1238">
        <v>2014</v>
      </c>
      <c r="B60" s="1208" t="s">
        <v>1281</v>
      </c>
      <c r="C60" s="1025"/>
      <c r="D60" s="1025">
        <f>+(1000000*D$23/D118)</f>
        <v>2034.5420883867541</v>
      </c>
      <c r="E60" s="1025"/>
      <c r="F60" s="1025">
        <f>+(1000000*F$23/F118)</f>
        <v>1031.4903268354442</v>
      </c>
      <c r="G60" s="1025"/>
      <c r="H60" s="1025"/>
      <c r="I60" s="1025"/>
      <c r="J60" s="1025"/>
      <c r="K60" s="1025"/>
      <c r="L60" s="1025"/>
      <c r="M60" s="1025">
        <f>+(1000000*M$23/M118)</f>
        <v>6881.2293264901818</v>
      </c>
      <c r="N60" s="1025">
        <f>+(1000000*N$23/N118)</f>
        <v>624.6167234928173</v>
      </c>
      <c r="O60" s="1025"/>
      <c r="P60" s="1025"/>
      <c r="Q60" s="1025"/>
      <c r="R60" s="1025"/>
      <c r="S60" s="1025"/>
      <c r="T60" s="1025"/>
      <c r="U60" s="1025"/>
      <c r="V60" s="1025"/>
      <c r="W60" s="1025">
        <f>+(1000000*W$23/W118)</f>
        <v>138.57826303126902</v>
      </c>
      <c r="X60" s="1025">
        <f>+(1000000*X$23/X118)</f>
        <v>12060.707031949325</v>
      </c>
      <c r="Y60" s="1025"/>
      <c r="Z60" s="1025" t="e">
        <f>+(1000000*Z$23/Z118)</f>
        <v>#DIV/0!</v>
      </c>
      <c r="AA60" s="1025"/>
      <c r="AB60" s="1025"/>
      <c r="AC60" s="1025"/>
      <c r="AD60" s="1025" t="e">
        <f>+(1000000*AD$23/AD118)</f>
        <v>#DIV/0!</v>
      </c>
      <c r="AE60" s="1025"/>
      <c r="AF60" s="1025">
        <f t="shared" ref="AF60:AS60" si="23">+(1000000*AF$23/AF118)</f>
        <v>7400.4437431411397</v>
      </c>
      <c r="AG60" s="1025" t="e">
        <f t="shared" si="23"/>
        <v>#DIV/0!</v>
      </c>
      <c r="AH60" s="1025">
        <f t="shared" si="23"/>
        <v>2544845.9774128566</v>
      </c>
      <c r="AI60" s="1025" t="e">
        <f t="shared" si="23"/>
        <v>#DIV/0!</v>
      </c>
      <c r="AJ60" s="1025" t="e">
        <f t="shared" si="23"/>
        <v>#DIV/0!</v>
      </c>
      <c r="AK60" s="1025" t="e">
        <f t="shared" si="23"/>
        <v>#DIV/0!</v>
      </c>
      <c r="AL60" s="1025" t="e">
        <f t="shared" si="23"/>
        <v>#DIV/0!</v>
      </c>
      <c r="AM60" s="1025">
        <f t="shared" si="23"/>
        <v>857.9489280162129</v>
      </c>
      <c r="AN60" s="1025">
        <f t="shared" si="23"/>
        <v>38575.571600682539</v>
      </c>
      <c r="AO60" s="1025">
        <f t="shared" si="23"/>
        <v>23985351.916588724</v>
      </c>
      <c r="AP60" s="1025">
        <f t="shared" si="23"/>
        <v>0</v>
      </c>
      <c r="AQ60" s="1025" t="e">
        <f t="shared" si="23"/>
        <v>#DIV/0!</v>
      </c>
      <c r="AR60" s="1025">
        <f t="shared" si="23"/>
        <v>0</v>
      </c>
      <c r="AS60" s="1025">
        <f t="shared" si="23"/>
        <v>0</v>
      </c>
      <c r="AT60" s="1025"/>
      <c r="AV60" s="1025">
        <f>+(1000000*AV$23/AV118)</f>
        <v>13152.944064189356</v>
      </c>
    </row>
    <row r="61" spans="1:48" x14ac:dyDescent="0.25">
      <c r="A61" s="1241">
        <v>2015</v>
      </c>
      <c r="B61" s="1220" t="s">
        <v>1281</v>
      </c>
      <c r="C61" s="1025"/>
      <c r="D61" s="1025">
        <f>+(1000000*D$24/D135)</f>
        <v>2178.6812515967285</v>
      </c>
      <c r="E61" s="1025"/>
      <c r="F61" s="1025">
        <f>+(1000000*F$24/F135)</f>
        <v>1059.061979579426</v>
      </c>
      <c r="G61" s="1025"/>
      <c r="H61" s="1025"/>
      <c r="I61" s="1025"/>
      <c r="J61" s="1025"/>
      <c r="K61" s="1025"/>
      <c r="L61" s="1025"/>
      <c r="M61" s="1025">
        <f>+(1000000*M$24/M135)</f>
        <v>6547.6923934713004</v>
      </c>
      <c r="N61" s="1025">
        <f>+(1000000*N$24/N135)</f>
        <v>676.99141769873643</v>
      </c>
      <c r="O61" s="1025"/>
      <c r="P61" s="1025"/>
      <c r="Q61" s="1025"/>
      <c r="R61" s="1025"/>
      <c r="S61" s="1025"/>
      <c r="T61" s="1025"/>
      <c r="U61" s="1025"/>
      <c r="V61" s="1025"/>
      <c r="W61" s="1025">
        <f>+(1000000*W$24/W135)</f>
        <v>145.69985700490804</v>
      </c>
      <c r="X61" s="1025">
        <f>+(1000000*X$24/X135)</f>
        <v>12060.707031949325</v>
      </c>
      <c r="Y61" s="1025"/>
      <c r="Z61" s="1025" t="e">
        <f>+(1000000*Z$24/Z135)</f>
        <v>#DIV/0!</v>
      </c>
      <c r="AA61" s="1025"/>
      <c r="AB61" s="1025"/>
      <c r="AC61" s="1025"/>
      <c r="AD61" s="1025" t="e">
        <f>+(1000000*AD$24/AD135)</f>
        <v>#DIV/0!</v>
      </c>
      <c r="AE61" s="1025"/>
      <c r="AF61" s="1025">
        <f t="shared" ref="AF61:AS61" si="24">+(1000000*AF$24/AF135)</f>
        <v>8094.2353440606212</v>
      </c>
      <c r="AG61" s="1025" t="e">
        <f t="shared" si="24"/>
        <v>#DIV/0!</v>
      </c>
      <c r="AH61" s="1025">
        <f t="shared" si="24"/>
        <v>2864952.3896660465</v>
      </c>
      <c r="AI61" s="1025" t="e">
        <f t="shared" si="24"/>
        <v>#DIV/0!</v>
      </c>
      <c r="AJ61" s="1025" t="e">
        <f t="shared" si="24"/>
        <v>#DIV/0!</v>
      </c>
      <c r="AK61" s="1025" t="e">
        <f t="shared" si="24"/>
        <v>#DIV/0!</v>
      </c>
      <c r="AL61" s="1025" t="e">
        <f t="shared" si="24"/>
        <v>#DIV/0!</v>
      </c>
      <c r="AM61" s="1025">
        <f t="shared" si="24"/>
        <v>874.66221882172351</v>
      </c>
      <c r="AN61" s="1025">
        <f t="shared" si="24"/>
        <v>42346.116193230453</v>
      </c>
      <c r="AO61" s="1025">
        <f t="shared" si="24"/>
        <v>28558434.577728208</v>
      </c>
      <c r="AP61" s="1025">
        <f t="shared" si="24"/>
        <v>0</v>
      </c>
      <c r="AQ61" s="1025" t="e">
        <f t="shared" si="24"/>
        <v>#DIV/0!</v>
      </c>
      <c r="AR61" s="1025">
        <f t="shared" si="24"/>
        <v>0</v>
      </c>
      <c r="AS61" s="1025">
        <f t="shared" si="24"/>
        <v>0</v>
      </c>
      <c r="AT61" s="1025"/>
      <c r="AV61" s="1025">
        <f>+(1000000*AV$24/AV135)</f>
        <v>14525.380818753722</v>
      </c>
    </row>
    <row r="63" spans="1:48" x14ac:dyDescent="0.25">
      <c r="A63" s="1233">
        <v>2012</v>
      </c>
      <c r="B63" s="1195" t="s">
        <v>1282</v>
      </c>
      <c r="C63" s="1028"/>
      <c r="D63" s="1028">
        <f>+(1000000*D$21/D85)</f>
        <v>387.29692016168815</v>
      </c>
      <c r="E63" s="1028"/>
      <c r="F63" s="1028">
        <f>+(1000000*F$21/F85)</f>
        <v>117.70073197044327</v>
      </c>
      <c r="G63" s="1028"/>
      <c r="H63" s="1028"/>
      <c r="I63" s="1028"/>
      <c r="J63" s="1028"/>
      <c r="K63" s="1028"/>
      <c r="L63" s="1028"/>
      <c r="M63" s="1028">
        <f>+(1000000*M$21/M85)</f>
        <v>91991.740474784645</v>
      </c>
      <c r="N63" s="1028">
        <f>+(1000000*N$21/N85)</f>
        <v>1888.8460644456738</v>
      </c>
      <c r="O63" s="1028"/>
      <c r="P63" s="1028"/>
      <c r="Q63" s="1028"/>
      <c r="R63" s="1028"/>
      <c r="S63" s="1028"/>
      <c r="T63" s="1028"/>
      <c r="U63" s="1028"/>
      <c r="V63" s="1028"/>
      <c r="W63" s="1195">
        <f>+(1000000*W$21/W85)</f>
        <v>2386.1353446222101</v>
      </c>
      <c r="X63" s="1028">
        <f>+(1000000*X$21/X85)</f>
        <v>555.13197910323117</v>
      </c>
      <c r="Y63" s="1028"/>
      <c r="Z63" s="1028" t="e">
        <f>+(1000000*Z$21/Z85)</f>
        <v>#DIV/0!</v>
      </c>
      <c r="AA63" s="1028"/>
      <c r="AB63" s="1028"/>
      <c r="AC63" s="1028"/>
      <c r="AD63" s="1028" t="e">
        <f>+(1000000*AD$21/AD85)</f>
        <v>#DIV/0!</v>
      </c>
      <c r="AE63" s="1028"/>
      <c r="AF63" s="1028">
        <f t="shared" ref="AF63:AS63" si="25">+(1000000*AF$21/AF85)</f>
        <v>22159.677233098617</v>
      </c>
      <c r="AG63" s="1028" t="e">
        <f t="shared" si="25"/>
        <v>#DIV/0!</v>
      </c>
      <c r="AH63" s="1028">
        <f t="shared" si="25"/>
        <v>10285554.817179503</v>
      </c>
      <c r="AI63" s="1028" t="e">
        <f t="shared" si="25"/>
        <v>#DIV/0!</v>
      </c>
      <c r="AJ63" s="1028" t="e">
        <f t="shared" si="25"/>
        <v>#DIV/0!</v>
      </c>
      <c r="AK63" s="1028" t="e">
        <f t="shared" si="25"/>
        <v>#DIV/0!</v>
      </c>
      <c r="AL63" s="1028" t="e">
        <f t="shared" si="25"/>
        <v>#DIV/0!</v>
      </c>
      <c r="AM63" s="1028">
        <f t="shared" si="25"/>
        <v>3177.2424900841283</v>
      </c>
      <c r="AN63" s="1028">
        <f t="shared" si="25"/>
        <v>134579.43843385243</v>
      </c>
      <c r="AO63" s="1028">
        <f t="shared" si="25"/>
        <v>1484681.4180692602</v>
      </c>
      <c r="AP63" s="1028">
        <f t="shared" si="25"/>
        <v>0</v>
      </c>
      <c r="AQ63" s="1028" t="e">
        <f t="shared" si="25"/>
        <v>#DIV/0!</v>
      </c>
      <c r="AR63" s="1028">
        <f t="shared" si="25"/>
        <v>0</v>
      </c>
      <c r="AS63" s="1028">
        <f t="shared" si="25"/>
        <v>0</v>
      </c>
      <c r="AT63" s="1028"/>
      <c r="AV63" s="1028">
        <f>+(1000000*AV$21/AV85)</f>
        <v>45938.800522985861</v>
      </c>
    </row>
    <row r="64" spans="1:48" x14ac:dyDescent="0.25">
      <c r="A64" s="1236">
        <v>2013</v>
      </c>
      <c r="B64" s="1200" t="s">
        <v>1282</v>
      </c>
      <c r="C64" s="1028"/>
      <c r="D64" s="1028">
        <f>+(1000000*D$22/D102)</f>
        <v>422.15492300516826</v>
      </c>
      <c r="E64" s="1028"/>
      <c r="F64" s="1028">
        <f>+(1000000*F$22/F102)</f>
        <v>126.78541018000988</v>
      </c>
      <c r="G64" s="1028"/>
      <c r="H64" s="1028"/>
      <c r="I64" s="1028"/>
      <c r="J64" s="1028"/>
      <c r="K64" s="1028"/>
      <c r="L64" s="1028"/>
      <c r="M64" s="1028">
        <f>+(1000000*M$22/M102)</f>
        <v>110665.10540241827</v>
      </c>
      <c r="N64" s="1028">
        <f>+(1000000*N$22/N102)</f>
        <v>1977.7011886069547</v>
      </c>
      <c r="O64" s="1028"/>
      <c r="P64" s="1028"/>
      <c r="Q64" s="1028"/>
      <c r="R64" s="1028"/>
      <c r="S64" s="1028"/>
      <c r="T64" s="1028"/>
      <c r="U64" s="1028"/>
      <c r="V64" s="1028"/>
      <c r="W64" s="1195">
        <f>+(1000000*W$22/W102)</f>
        <v>2485.8993038693739</v>
      </c>
      <c r="X64" s="1028">
        <f>+(1000000*X$22/X102)</f>
        <v>591.67512964467392</v>
      </c>
      <c r="Y64" s="1028"/>
      <c r="Z64" s="1028" t="e">
        <f>+(1000000*Z$22/Z102)</f>
        <v>#DIV/0!</v>
      </c>
      <c r="AA64" s="1028"/>
      <c r="AB64" s="1028"/>
      <c r="AC64" s="1028"/>
      <c r="AD64" s="1028" t="e">
        <f>+(1000000*AD$22/AD102)</f>
        <v>#DIV/0!</v>
      </c>
      <c r="AE64" s="1028"/>
      <c r="AF64" s="1028">
        <f t="shared" ref="AF64:AS64" si="26">+(1000000*AF$22/AF102)</f>
        <v>22970.397131870519</v>
      </c>
      <c r="AG64" s="1028" t="e">
        <f t="shared" si="26"/>
        <v>#DIV/0!</v>
      </c>
      <c r="AH64" s="1028">
        <f t="shared" si="26"/>
        <v>11314110.298897453</v>
      </c>
      <c r="AI64" s="1028" t="e">
        <f t="shared" si="26"/>
        <v>#DIV/0!</v>
      </c>
      <c r="AJ64" s="1028" t="e">
        <f t="shared" si="26"/>
        <v>#DIV/0!</v>
      </c>
      <c r="AK64" s="1028" t="e">
        <f t="shared" si="26"/>
        <v>#DIV/0!</v>
      </c>
      <c r="AL64" s="1028" t="e">
        <f t="shared" si="26"/>
        <v>#DIV/0!</v>
      </c>
      <c r="AM64" s="1028">
        <f t="shared" si="26"/>
        <v>3310.553363793952</v>
      </c>
      <c r="AN64" s="1028">
        <f t="shared" si="26"/>
        <v>142700.61144279182</v>
      </c>
      <c r="AO64" s="1028">
        <f t="shared" si="26"/>
        <v>1665556.3116411499</v>
      </c>
      <c r="AP64" s="1028">
        <f t="shared" si="26"/>
        <v>0</v>
      </c>
      <c r="AQ64" s="1028" t="e">
        <f t="shared" si="26"/>
        <v>#DIV/0!</v>
      </c>
      <c r="AR64" s="1028">
        <f t="shared" si="26"/>
        <v>0</v>
      </c>
      <c r="AS64" s="1028">
        <f t="shared" si="26"/>
        <v>0</v>
      </c>
      <c r="AT64" s="1028"/>
      <c r="AV64" s="1028">
        <f>+(1000000*AV$22/AV102)</f>
        <v>48346.073912836648</v>
      </c>
    </row>
    <row r="65" spans="1:49" x14ac:dyDescent="0.25">
      <c r="A65" s="1239">
        <v>2014</v>
      </c>
      <c r="B65" s="1212" t="s">
        <v>1282</v>
      </c>
      <c r="C65" s="1028"/>
      <c r="D65" s="1028">
        <f>+(1000000*D$23/D119)</f>
        <v>437.99484151572136</v>
      </c>
      <c r="E65" s="1028"/>
      <c r="F65" s="1028">
        <f>+(1000000*F$23/F119)</f>
        <v>130.20693616347577</v>
      </c>
      <c r="G65" s="1028"/>
      <c r="H65" s="1028"/>
      <c r="I65" s="1028"/>
      <c r="J65" s="1028"/>
      <c r="K65" s="1028"/>
      <c r="L65" s="1028"/>
      <c r="M65" s="1028">
        <f>+(1000000*M$23/M119)</f>
        <v>137735.04358862899</v>
      </c>
      <c r="N65" s="1028">
        <f>+(1000000*N$23/N119)</f>
        <v>2125.5521774077115</v>
      </c>
      <c r="O65" s="1028"/>
      <c r="P65" s="1028"/>
      <c r="Q65" s="1028"/>
      <c r="R65" s="1028"/>
      <c r="S65" s="1028"/>
      <c r="T65" s="1028"/>
      <c r="U65" s="1028"/>
      <c r="V65" s="1028"/>
      <c r="W65" s="1195">
        <f>+(1000000*W$23/W119)</f>
        <v>2632.9869975941078</v>
      </c>
      <c r="X65" s="1028">
        <f>+(1000000*X$23/X119)</f>
        <v>608.20246255409893</v>
      </c>
      <c r="Y65" s="1028"/>
      <c r="Z65" s="1028" t="e">
        <f>+(1000000*Z$23/Z119)</f>
        <v>#DIV/0!</v>
      </c>
      <c r="AA65" s="1028"/>
      <c r="AB65" s="1028"/>
      <c r="AC65" s="1028"/>
      <c r="AD65" s="1028" t="e">
        <f>+(1000000*AD$23/AD119)</f>
        <v>#DIV/0!</v>
      </c>
      <c r="AE65" s="1028"/>
      <c r="AF65" s="1028">
        <f t="shared" ref="AF65:AS65" si="27">+(1000000*AF$23/AF119)</f>
        <v>25943.036760700819</v>
      </c>
      <c r="AG65" s="1028" t="e">
        <f t="shared" si="27"/>
        <v>#DIV/0!</v>
      </c>
      <c r="AH65" s="1028">
        <f t="shared" si="27"/>
        <v>11681451.542368149</v>
      </c>
      <c r="AI65" s="1028" t="e">
        <f t="shared" si="27"/>
        <v>#DIV/0!</v>
      </c>
      <c r="AJ65" s="1028" t="e">
        <f t="shared" si="27"/>
        <v>#DIV/0!</v>
      </c>
      <c r="AK65" s="1028" t="e">
        <f t="shared" si="27"/>
        <v>#DIV/0!</v>
      </c>
      <c r="AL65" s="1028" t="e">
        <f t="shared" si="27"/>
        <v>#DIV/0!</v>
      </c>
      <c r="AM65" s="1028">
        <f t="shared" si="27"/>
        <v>3421.6457585521384</v>
      </c>
      <c r="AN65" s="1028">
        <f t="shared" si="27"/>
        <v>154302.28716984804</v>
      </c>
      <c r="AO65" s="1028">
        <f t="shared" si="27"/>
        <v>1936868.6519989842</v>
      </c>
      <c r="AP65" s="1028">
        <f t="shared" si="27"/>
        <v>0</v>
      </c>
      <c r="AQ65" s="1028" t="e">
        <f t="shared" si="27"/>
        <v>#DIV/0!</v>
      </c>
      <c r="AR65" s="1028">
        <f t="shared" si="27"/>
        <v>0</v>
      </c>
      <c r="AS65" s="1028">
        <f t="shared" si="27"/>
        <v>0</v>
      </c>
      <c r="AT65" s="1028"/>
      <c r="AV65" s="1028">
        <f>+(1000000*AV$23/AV119)</f>
        <v>51716.256658627753</v>
      </c>
    </row>
    <row r="66" spans="1:49" x14ac:dyDescent="0.25">
      <c r="A66" s="1242">
        <v>2015</v>
      </c>
      <c r="B66" s="1224" t="s">
        <v>1282</v>
      </c>
      <c r="C66" s="1028"/>
      <c r="D66" s="1028">
        <f>+(1000000*D$24/D136)</f>
        <v>465.40483243283381</v>
      </c>
      <c r="E66" s="1028"/>
      <c r="F66" s="1028">
        <f>+(1000000*F$24/F136)</f>
        <v>133.29180539936146</v>
      </c>
      <c r="G66" s="1028"/>
      <c r="H66" s="1028"/>
      <c r="I66" s="1028"/>
      <c r="J66" s="1028"/>
      <c r="K66" s="1028"/>
      <c r="L66" s="1028"/>
      <c r="M66" s="1028">
        <f>+(1000000*M$24/M136)</f>
        <v>131052.68515505003</v>
      </c>
      <c r="N66" s="1028">
        <f>+(1000000*N$24/N136)</f>
        <v>2299.0912986166172</v>
      </c>
      <c r="O66" s="1028"/>
      <c r="P66" s="1028"/>
      <c r="Q66" s="1028"/>
      <c r="R66" s="1028"/>
      <c r="S66" s="1028"/>
      <c r="T66" s="1028"/>
      <c r="U66" s="1028"/>
      <c r="V66" s="1028"/>
      <c r="W66" s="1195">
        <f>+(1000000*W$24/W136)</f>
        <v>2768.2972830932517</v>
      </c>
      <c r="X66" s="1028">
        <f>+(1000000*X$24/X136)</f>
        <v>605.0247863862121</v>
      </c>
      <c r="Y66" s="1028"/>
      <c r="Z66" s="1028" t="e">
        <f>+(1000000*Z$24/Z136)</f>
        <v>#DIV/0!</v>
      </c>
      <c r="AA66" s="1028"/>
      <c r="AB66" s="1028"/>
      <c r="AC66" s="1028"/>
      <c r="AD66" s="1028" t="e">
        <f>+(1000000*AD$24/AD136)</f>
        <v>#DIV/0!</v>
      </c>
      <c r="AE66" s="1028"/>
      <c r="AF66" s="1028">
        <f t="shared" ref="AF66:AS66" si="28">+(1000000*AF$24/AF136)</f>
        <v>28375.196457016522</v>
      </c>
      <c r="AG66" s="1028" t="e">
        <f t="shared" si="28"/>
        <v>#DIV/0!</v>
      </c>
      <c r="AH66" s="1028">
        <f t="shared" si="28"/>
        <v>13150816.516250934</v>
      </c>
      <c r="AI66" s="1028" t="e">
        <f t="shared" si="28"/>
        <v>#DIV/0!</v>
      </c>
      <c r="AJ66" s="1028" t="e">
        <f t="shared" si="28"/>
        <v>#DIV/0!</v>
      </c>
      <c r="AK66" s="1028" t="e">
        <f t="shared" si="28"/>
        <v>#DIV/0!</v>
      </c>
      <c r="AL66" s="1028" t="e">
        <f t="shared" si="28"/>
        <v>#DIV/0!</v>
      </c>
      <c r="AM66" s="1028">
        <f t="shared" si="28"/>
        <v>3488.3011954070503</v>
      </c>
      <c r="AN66" s="1028">
        <f t="shared" si="28"/>
        <v>169384.46561502118</v>
      </c>
      <c r="AO66" s="1028">
        <f t="shared" si="28"/>
        <v>2306154.8930415921</v>
      </c>
      <c r="AP66" s="1028">
        <f t="shared" si="28"/>
        <v>0</v>
      </c>
      <c r="AQ66" s="1028" t="e">
        <f t="shared" si="28"/>
        <v>#DIV/0!</v>
      </c>
      <c r="AR66" s="1028">
        <f t="shared" si="28"/>
        <v>0</v>
      </c>
      <c r="AS66" s="1028">
        <f t="shared" si="28"/>
        <v>0</v>
      </c>
      <c r="AT66" s="1028"/>
      <c r="AV66" s="1028">
        <f>+(1000000*AV$24/AV136)</f>
        <v>57112.561174209935</v>
      </c>
    </row>
    <row r="69" spans="1:49" x14ac:dyDescent="0.25">
      <c r="A69" s="568"/>
      <c r="B69" s="578"/>
      <c r="C69" s="578"/>
      <c r="D69" s="584"/>
      <c r="E69" s="578"/>
      <c r="F69" s="584"/>
      <c r="G69" s="584"/>
      <c r="H69" s="584"/>
      <c r="I69" s="584"/>
      <c r="J69" s="584"/>
      <c r="K69" s="584"/>
      <c r="L69" s="584"/>
      <c r="M69" s="584"/>
      <c r="N69" s="584"/>
      <c r="O69" s="594"/>
      <c r="P69" s="594"/>
      <c r="Q69" s="594"/>
      <c r="R69" s="594"/>
      <c r="S69" s="594"/>
      <c r="T69" s="594"/>
      <c r="U69" s="594"/>
      <c r="V69" s="594"/>
      <c r="W69" s="584"/>
      <c r="X69" s="584"/>
      <c r="Y69" s="584"/>
      <c r="Z69" s="584"/>
      <c r="AA69" s="584"/>
      <c r="AB69" s="584"/>
      <c r="AC69" s="584"/>
      <c r="AD69" s="584"/>
      <c r="AE69" s="584"/>
      <c r="AF69" s="584"/>
      <c r="AG69" s="584"/>
      <c r="AH69" s="584"/>
      <c r="AI69" s="584"/>
      <c r="AJ69" s="584"/>
      <c r="AK69" s="584"/>
      <c r="AL69" s="584"/>
      <c r="AM69" s="584"/>
      <c r="AN69" s="584"/>
      <c r="AO69" s="584"/>
      <c r="AP69" s="584"/>
      <c r="AQ69" s="584"/>
      <c r="AR69" s="584"/>
      <c r="AS69" s="601"/>
      <c r="AT69" s="601"/>
      <c r="AU69" s="584"/>
      <c r="AV69" s="584"/>
      <c r="AW69" s="584"/>
    </row>
    <row r="70" spans="1:49" x14ac:dyDescent="0.25">
      <c r="A70" s="568"/>
      <c r="B70" s="578"/>
      <c r="C70" s="578"/>
      <c r="D70" s="584"/>
      <c r="E70" s="578"/>
      <c r="F70" s="584"/>
      <c r="G70" s="584"/>
      <c r="H70" s="584"/>
      <c r="I70" s="584"/>
      <c r="J70" s="584"/>
      <c r="K70" s="584"/>
      <c r="L70" s="584"/>
      <c r="M70" s="584"/>
      <c r="N70" s="584"/>
      <c r="O70" s="594"/>
      <c r="P70" s="594"/>
      <c r="Q70" s="594"/>
      <c r="R70" s="594"/>
      <c r="S70" s="594"/>
      <c r="T70" s="594"/>
      <c r="U70" s="594"/>
      <c r="V70" s="594"/>
      <c r="W70" s="584"/>
      <c r="X70" s="584"/>
      <c r="Y70" s="584"/>
      <c r="Z70" s="584"/>
      <c r="AA70" s="584"/>
      <c r="AB70" s="584"/>
      <c r="AC70" s="584"/>
      <c r="AD70" s="584"/>
      <c r="AE70" s="584"/>
      <c r="AF70" s="584"/>
      <c r="AG70" s="584"/>
      <c r="AH70" s="584"/>
      <c r="AI70" s="584"/>
      <c r="AJ70" s="584"/>
      <c r="AK70" s="584"/>
      <c r="AL70" s="584"/>
      <c r="AM70" s="584"/>
      <c r="AN70" s="584"/>
      <c r="AO70" s="584"/>
      <c r="AP70" s="584"/>
      <c r="AQ70" s="584"/>
      <c r="AR70" s="584"/>
      <c r="AS70" s="601"/>
      <c r="AT70" s="601"/>
      <c r="AU70" s="584"/>
      <c r="AV70" s="584"/>
      <c r="AW70" s="584"/>
    </row>
    <row r="71" spans="1:49" ht="150" x14ac:dyDescent="0.25">
      <c r="A71" s="1201"/>
      <c r="B71" s="1192" t="s">
        <v>1326</v>
      </c>
      <c r="C71" s="1192" t="s">
        <v>1050</v>
      </c>
      <c r="D71" s="1228" t="str">
        <f>PSUT_2012!AA3</f>
        <v xml:space="preserve">Total </v>
      </c>
      <c r="E71" s="1192"/>
      <c r="F71" s="1228" t="str">
        <f>PSUT_2012!C4</f>
        <v xml:space="preserve">A. Agriculture, forestry and fishing </v>
      </c>
      <c r="G71" s="1192"/>
      <c r="H71" s="1192"/>
      <c r="I71" s="1192"/>
      <c r="J71" s="1192"/>
      <c r="K71" s="1192"/>
      <c r="L71" s="1192"/>
      <c r="M71" s="1228" t="str">
        <f>PSUT_2012!D4</f>
        <v xml:space="preserve">B. Mining and Quarrying </v>
      </c>
      <c r="N71" s="1228" t="str">
        <f>PSUT_2012!E4</f>
        <v>C. Manufacturing</v>
      </c>
      <c r="O71" s="1192"/>
      <c r="P71" s="1192"/>
      <c r="Q71" s="1192"/>
      <c r="R71" s="1192"/>
      <c r="S71" s="1192"/>
      <c r="T71" s="1192"/>
      <c r="U71" s="1192"/>
      <c r="V71" s="1192"/>
      <c r="W71" s="1228" t="str">
        <f>PSUT_2012!F4</f>
        <v>D. Electricity, gas, steam and air conditioning supply</v>
      </c>
      <c r="X71" s="1228" t="str">
        <f>PSUT_2012!G4</f>
        <v>E. Water supply (WASAC &amp; AquaVirunga)</v>
      </c>
      <c r="Y71" s="1228" t="str">
        <f>PSUT_2012!H4</f>
        <v>F. Construction</v>
      </c>
      <c r="Z71" s="1228" t="str">
        <f>PSUT_2012!I4</f>
        <v>G. Wholesale and retail trade; repair of motor vehicles and motorcycles</v>
      </c>
      <c r="AA71" s="1192"/>
      <c r="AB71" s="1192"/>
      <c r="AC71" s="1192"/>
      <c r="AD71" s="1228" t="str">
        <f>PSUT_2012!J4</f>
        <v>H. Transportation and storage</v>
      </c>
      <c r="AE71" s="1192"/>
      <c r="AF71" s="1228" t="str">
        <f>PSUT_2012!K4</f>
        <v>I. Accommodation and food service activities</v>
      </c>
      <c r="AG71" s="1228" t="str">
        <f>PSUT_2012!L4</f>
        <v>J. Information and communication</v>
      </c>
      <c r="AH71" s="1228" t="str">
        <f>PSUT_2012!M4</f>
        <v>K. Banking and insurance activities</v>
      </c>
      <c r="AI71" s="1228" t="str">
        <f>PSUT_2012!N4</f>
        <v>L. Real estate activities</v>
      </c>
      <c r="AJ71" s="1228" t="str">
        <f>PSUT_2012!O4</f>
        <v>M. Professional, scientific and technical activities</v>
      </c>
      <c r="AK71" s="1228" t="str">
        <f>PSUT_2012!P4</f>
        <v>N. Administrative and support service activities</v>
      </c>
      <c r="AL71" s="1228" t="str">
        <f>PSUT_2012!Q4</f>
        <v>O. Public administration and defence; compulsory social security</v>
      </c>
      <c r="AM71" s="1228" t="str">
        <f>PSUT_2012!R4</f>
        <v>P. Education</v>
      </c>
      <c r="AN71" s="1228" t="str">
        <f>PSUT_2012!S4</f>
        <v xml:space="preserve">Q. Human health and social work activities </v>
      </c>
      <c r="AO71" s="1228" t="str">
        <f>PSUT_2012!T4</f>
        <v>R. Arts, entertainment and recreation</v>
      </c>
      <c r="AP71" s="1228" t="str">
        <f>PSUT_2012!U4</f>
        <v>S. Other service activities (Religious &amp; Burial)</v>
      </c>
      <c r="AQ71" s="1228" t="str">
        <f>PSUT_2012!V4</f>
        <v>T. Activities of households as employers; undifferentiated goods- and services-producing activities of households for own use</v>
      </c>
      <c r="AR71" s="1228" t="str">
        <f>PSUT_2012!W3</f>
        <v xml:space="preserve">Total Production activities </v>
      </c>
      <c r="AS71" s="1228" t="str">
        <f>PSUT_2012!X4</f>
        <v>Households</v>
      </c>
      <c r="AT71" s="1228" t="str">
        <f>PSUT_2012!AA3</f>
        <v xml:space="preserve">Total </v>
      </c>
      <c r="AU71" s="584"/>
      <c r="AV71" s="1271" t="s">
        <v>1419</v>
      </c>
      <c r="AW71" s="584"/>
    </row>
    <row r="72" spans="1:49" x14ac:dyDescent="0.25">
      <c r="A72" s="1802" t="str">
        <f>+(PSUT_2012!A6)</f>
        <v>From the environment</v>
      </c>
      <c r="B72" s="1054" t="str">
        <f>+(PSUT_2012!B9)</f>
        <v>1 - Total abstraction (1.i+1.ii)</v>
      </c>
      <c r="D72" s="1025">
        <f>+(PSUT_2012!AA9)</f>
        <v>14038856.805080475</v>
      </c>
      <c r="F72" s="1025">
        <f>+(PSUT_2012!C9)</f>
        <v>13563380.505039312</v>
      </c>
      <c r="H72" s="1024"/>
      <c r="I72" s="1024"/>
      <c r="J72" s="1024"/>
      <c r="K72" s="1024"/>
      <c r="L72" s="1024"/>
      <c r="M72" s="1025">
        <f>+(PSUT_2012!D9)</f>
        <v>22390.658857794173</v>
      </c>
      <c r="N72" s="1025">
        <f>+(PSUT_2012!E9)</f>
        <v>23638.124916130942</v>
      </c>
      <c r="P72" s="1026"/>
      <c r="Q72" s="1026"/>
      <c r="R72" s="1026"/>
      <c r="S72" s="1026"/>
      <c r="T72" s="1026"/>
      <c r="U72" s="1026"/>
      <c r="V72" s="1026"/>
      <c r="W72" s="1025">
        <f>+(PSUT_2012!F9)</f>
        <v>335270.16889591428</v>
      </c>
      <c r="X72" s="1025">
        <f>+(PSUT_2012!G9)</f>
        <v>53008.786416190094</v>
      </c>
      <c r="Y72" s="1025">
        <f>+(PSUT_2012!H9)</f>
        <v>0</v>
      </c>
      <c r="Z72" s="1025">
        <f>+(PSUT_2012!I9)</f>
        <v>0</v>
      </c>
      <c r="AB72" s="1024"/>
      <c r="AC72" s="1024"/>
      <c r="AD72" s="1025">
        <f>+(PSUT_2012!J9)</f>
        <v>0</v>
      </c>
      <c r="AF72" s="1025">
        <f>+(PSUT_2012!K9)</f>
        <v>0</v>
      </c>
      <c r="AG72" s="1025">
        <f>+(PSUT_2012!L9)</f>
        <v>0</v>
      </c>
      <c r="AH72" s="1269">
        <f>+(PSUT_2012!M9)</f>
        <v>0.06</v>
      </c>
      <c r="AI72" s="1025">
        <f>+(PSUT_2012!N9)</f>
        <v>0</v>
      </c>
      <c r="AJ72" s="1025">
        <f>+(PSUT_2012!O9)</f>
        <v>0</v>
      </c>
      <c r="AK72" s="1025">
        <f>+(PSUT_2012!P9)</f>
        <v>0</v>
      </c>
      <c r="AL72" s="1025">
        <f>+(PSUT_2012!Q9)</f>
        <v>0</v>
      </c>
      <c r="AM72" s="1025">
        <f>+(PSUT_2012!R9)</f>
        <v>133.11539999999999</v>
      </c>
      <c r="AN72" s="1025">
        <f>+(PSUT_2012!S9)</f>
        <v>588.7795155737706</v>
      </c>
      <c r="AO72" s="1025">
        <f>+SUM(PSUT_2012!T9:'PSUT_2012'!V9)</f>
        <v>11.709600000000002</v>
      </c>
      <c r="AP72" s="1025">
        <f>+(PSUT_2012!U9)</f>
        <v>11.709600000000002</v>
      </c>
      <c r="AQ72" s="1025">
        <f>+(PSUT_2012!V9)</f>
        <v>0</v>
      </c>
      <c r="AR72" s="1025">
        <f>+(PSUT_2012!W9)</f>
        <v>13998421.908640916</v>
      </c>
      <c r="AS72" s="1025">
        <f>+(PSUT_2012!X9)</f>
        <v>40434.896439560478</v>
      </c>
      <c r="AT72" s="1025">
        <f>+(PSUT_2012!AA9)</f>
        <v>14038856.805080475</v>
      </c>
      <c r="AU72" s="1025"/>
      <c r="AV72" s="1025">
        <f>SUM(Z72:AQ72)</f>
        <v>745.37411557377061</v>
      </c>
      <c r="AW72" s="1025"/>
    </row>
    <row r="73" spans="1:49" x14ac:dyDescent="0.25">
      <c r="A73" s="1802"/>
      <c r="B73" s="1054" t="str">
        <f>+B74 &amp; " &amp; "&amp; B75</f>
        <v>1.i.1 Surface water &amp; 1.i.2 Groundwater</v>
      </c>
      <c r="D73" s="1025">
        <f>+SUM(PSUT_2012!AA11,PSUT_2012!AA16)</f>
        <v>656196.04472715571</v>
      </c>
      <c r="F73" s="1025">
        <f>+SUM(PSUT_2012!C11,PSUT_2012!C16)</f>
        <v>203165.42938599197</v>
      </c>
      <c r="H73" s="1024"/>
      <c r="I73" s="1024"/>
      <c r="J73" s="1024"/>
      <c r="K73" s="1024"/>
      <c r="L73" s="1024"/>
      <c r="M73" s="1025">
        <f>+SUM(PSUT_2012!D11,PSUT_2012!D16)</f>
        <v>1030.8588577941744</v>
      </c>
      <c r="N73" s="1025">
        <f>+SUM(PSUT_2012!E11,PSUT_2012!E16)</f>
        <v>23609.924916130942</v>
      </c>
      <c r="P73" s="1026"/>
      <c r="Q73" s="1026"/>
      <c r="R73" s="1026"/>
      <c r="S73" s="1026"/>
      <c r="T73" s="1026"/>
      <c r="U73" s="1026"/>
      <c r="V73" s="1026"/>
      <c r="W73" s="1025">
        <f>+SUM(PSUT_2012!F11,PSUT_2012!F16)</f>
        <v>335270.16889591428</v>
      </c>
      <c r="X73" s="1025">
        <f>+SUM(PSUT_2012!G11,PSUT_2012!G16)</f>
        <v>53008.786416190094</v>
      </c>
      <c r="Y73" s="1025">
        <f>+SUM(PSUT_2012!H11,PSUT_2012!H16)</f>
        <v>0</v>
      </c>
      <c r="Z73" s="1025">
        <f>+SUM(PSUT_2012!I11,PSUT_2012!I16)</f>
        <v>0</v>
      </c>
      <c r="AB73" s="1024"/>
      <c r="AC73" s="1024"/>
      <c r="AD73" s="1025">
        <f>+SUM(PSUT_2012!J11,PSUT_2012!J16)</f>
        <v>0</v>
      </c>
      <c r="AF73" s="1025">
        <f>+SUM(PSUT_2012!K11,PSUT_2012!K16)</f>
        <v>0</v>
      </c>
      <c r="AG73" s="1025">
        <f>+SUM(PSUT_2012!L11,PSUT_2012!L16)</f>
        <v>0</v>
      </c>
      <c r="AH73" s="1269">
        <f>+SUM(PSUT_2012!M11,PSUT_2012!M16)</f>
        <v>0</v>
      </c>
      <c r="AI73" s="1025">
        <f>+SUM(PSUT_2012!N11,PSUT_2012!N16)</f>
        <v>0</v>
      </c>
      <c r="AJ73" s="1025">
        <f>+SUM(PSUT_2012!O11,PSUT_2012!O16)</f>
        <v>0</v>
      </c>
      <c r="AK73" s="1025">
        <f>+SUM(PSUT_2012!P11,PSUT_2012!P16)</f>
        <v>0</v>
      </c>
      <c r="AL73" s="1025">
        <f>+SUM(PSUT_2012!Q11,PSUT_2012!Q16)</f>
        <v>0</v>
      </c>
      <c r="AM73" s="1025">
        <f>+SUM(PSUT_2012!R11,PSUT_2012!R16)</f>
        <v>133.11539999999999</v>
      </c>
      <c r="AN73" s="1025">
        <f>+SUM(PSUT_2012!S11,PSUT_2012!S16)</f>
        <v>90.790815573770487</v>
      </c>
      <c r="AO73" s="1025">
        <f>+SUM(PSUT_2012!T11,PSUT_2012!T16)</f>
        <v>0</v>
      </c>
      <c r="AP73" s="1025">
        <f>+SUM(PSUT_2012!U11,PSUT_2012!U16)</f>
        <v>2.0736000000000003</v>
      </c>
      <c r="AQ73" s="1025">
        <f>+SUM(PSUT_2012!V11,PSUT_2012!V16)</f>
        <v>0</v>
      </c>
      <c r="AR73" s="1025">
        <f>+SUM(PSUT_2012!W11,PSUT_2012!W16)</f>
        <v>616311.14828759525</v>
      </c>
      <c r="AS73" s="1025">
        <f>+SUM(PSUT_2012!X11,PSUT_2012!X16)</f>
        <v>39884.896439560478</v>
      </c>
      <c r="AT73" s="1025">
        <f>+SUM(PSUT_2012!AA11,PSUT_2012!AA16)</f>
        <v>656196.04472715571</v>
      </c>
      <c r="AU73" s="1025"/>
      <c r="AV73" s="1025">
        <f t="shared" ref="AV73:AV85" si="29">SUM(Z73:AQ73)</f>
        <v>225.97981557377048</v>
      </c>
      <c r="AW73" s="1025"/>
    </row>
    <row r="74" spans="1:49" x14ac:dyDescent="0.25">
      <c r="A74" s="1802"/>
      <c r="B74" s="1054" t="str">
        <f>+(PSUT_2012!B11)</f>
        <v>1.i.1 Surface water</v>
      </c>
      <c r="D74" s="1025">
        <f>+(PSUT_2012!AA11)</f>
        <v>592745.22770505876</v>
      </c>
      <c r="E74" s="578"/>
      <c r="F74" s="1025">
        <f>+(PSUT_2012!C11)</f>
        <v>189335.69415585385</v>
      </c>
      <c r="H74" s="1024"/>
      <c r="I74" s="1024"/>
      <c r="J74" s="1024"/>
      <c r="K74" s="1024"/>
      <c r="L74" s="1024"/>
      <c r="M74" s="1025">
        <f>+(PSUT_2012!D11)</f>
        <v>967.07072779417433</v>
      </c>
      <c r="N74" s="1025">
        <f>+(PSUT_2012!E11)</f>
        <v>14844.847980982084</v>
      </c>
      <c r="P74" s="1026"/>
      <c r="Q74" s="1026"/>
      <c r="R74" s="1026"/>
      <c r="S74" s="1026"/>
      <c r="T74" s="1026"/>
      <c r="U74" s="1026"/>
      <c r="V74" s="1026"/>
      <c r="W74" s="1025">
        <f>+(PSUT_2012!F11)</f>
        <v>335270.16889591428</v>
      </c>
      <c r="X74" s="1025">
        <f>+(PSUT_2012!G11)</f>
        <v>41023.930895441081</v>
      </c>
      <c r="Y74" s="1025">
        <f>+(PSUT_2012!H11)</f>
        <v>0</v>
      </c>
      <c r="Z74" s="1025">
        <f>+(PSUT_2012!I11)</f>
        <v>0</v>
      </c>
      <c r="AB74" s="1024"/>
      <c r="AC74" s="1024"/>
      <c r="AD74" s="1025">
        <f>+(PSUT_2012!J11)</f>
        <v>0</v>
      </c>
      <c r="AF74" s="1025">
        <f>+(PSUT_2012!K11)</f>
        <v>0</v>
      </c>
      <c r="AG74" s="1025">
        <f>+(PSUT_2012!L11)</f>
        <v>0</v>
      </c>
      <c r="AH74" s="1269">
        <f>+(PSUT_2012!M11)</f>
        <v>0</v>
      </c>
      <c r="AI74" s="1025">
        <f>+(PSUT_2012!N11)</f>
        <v>0</v>
      </c>
      <c r="AJ74" s="1025">
        <f>+(PSUT_2012!O11)</f>
        <v>0</v>
      </c>
      <c r="AK74" s="1025">
        <f>+(PSUT_2012!P11)</f>
        <v>0</v>
      </c>
      <c r="AL74" s="1025">
        <f>+(PSUT_2012!Q11)</f>
        <v>0</v>
      </c>
      <c r="AM74" s="1025">
        <f>+(PSUT_2012!R11)</f>
        <v>0</v>
      </c>
      <c r="AN74" s="1025">
        <f>+(PSUT_2012!S11)</f>
        <v>0</v>
      </c>
      <c r="AO74" s="1025">
        <f>+SUM(PSUT_2012!T11:'PSUT_2012'!V11)</f>
        <v>2.0736000000000003</v>
      </c>
      <c r="AP74" s="1025">
        <f>+(PSUT_2012!U11)</f>
        <v>2.0736000000000003</v>
      </c>
      <c r="AQ74" s="1025">
        <f>+(PSUT_2012!V11)</f>
        <v>0</v>
      </c>
      <c r="AR74" s="1025">
        <f>+(PSUT_2012!W11)</f>
        <v>581443.7862559855</v>
      </c>
      <c r="AS74" s="1025">
        <f>+(PSUT_2012!X11)</f>
        <v>11301.441449073298</v>
      </c>
      <c r="AT74" s="1025">
        <f>+(PSUT_2012!AA11)</f>
        <v>592745.22770505876</v>
      </c>
      <c r="AU74" s="1025"/>
      <c r="AV74" s="1025">
        <f t="shared" si="29"/>
        <v>4.1472000000000007</v>
      </c>
      <c r="AW74" s="1025"/>
    </row>
    <row r="75" spans="1:49" x14ac:dyDescent="0.25">
      <c r="A75" s="1802"/>
      <c r="B75" s="1054" t="str">
        <f>+(PSUT_2012!B16)</f>
        <v>1.i.2 Groundwater</v>
      </c>
      <c r="D75" s="1025">
        <f>+(PSUT_2012!AA16)</f>
        <v>63450.817022096933</v>
      </c>
      <c r="E75" s="1024"/>
      <c r="F75" s="1025">
        <f>+(PSUT_2012!C16)</f>
        <v>13829.735230138118</v>
      </c>
      <c r="H75" s="1024"/>
      <c r="I75" s="1024"/>
      <c r="J75" s="1024"/>
      <c r="K75" s="1024"/>
      <c r="L75" s="1024"/>
      <c r="M75" s="1025">
        <f>+(PSUT_2012!D16)</f>
        <v>63.788130000000002</v>
      </c>
      <c r="N75" s="1025">
        <f>+(PSUT_2012!E16)</f>
        <v>8765.0769351488561</v>
      </c>
      <c r="P75" s="1024"/>
      <c r="Q75" s="1024"/>
      <c r="R75" s="1024"/>
      <c r="S75" s="1024"/>
      <c r="T75" s="1024"/>
      <c r="U75" s="1024"/>
      <c r="V75" s="1024"/>
      <c r="W75" s="1025">
        <f>+(PSUT_2012!F16)</f>
        <v>0</v>
      </c>
      <c r="X75" s="1025">
        <f>+(PSUT_2012!G16)</f>
        <v>11984.855520749015</v>
      </c>
      <c r="Y75" s="1025">
        <f>+(PSUT_2012!H16)</f>
        <v>0</v>
      </c>
      <c r="Z75" s="1025">
        <f>+(PSUT_2012!I16)</f>
        <v>0</v>
      </c>
      <c r="AB75" s="1024"/>
      <c r="AC75" s="1024"/>
      <c r="AD75" s="1025">
        <f>+(PSUT_2012!J16)</f>
        <v>0</v>
      </c>
      <c r="AF75" s="1025">
        <f>+(PSUT_2012!K16)</f>
        <v>0</v>
      </c>
      <c r="AG75" s="1025">
        <f>+(PSUT_2012!L16)</f>
        <v>0</v>
      </c>
      <c r="AH75" s="1269">
        <f>+(PSUT_2012!M16)</f>
        <v>0</v>
      </c>
      <c r="AI75" s="1025">
        <f>+(PSUT_2012!N16)</f>
        <v>0</v>
      </c>
      <c r="AJ75" s="1025">
        <f>+(PSUT_2012!O16)</f>
        <v>0</v>
      </c>
      <c r="AK75" s="1025">
        <f>+(PSUT_2012!P16)</f>
        <v>0</v>
      </c>
      <c r="AL75" s="1025">
        <f>+(PSUT_2012!Q16)</f>
        <v>0</v>
      </c>
      <c r="AM75" s="1025">
        <f>+(PSUT_2012!R16)</f>
        <v>133.11539999999999</v>
      </c>
      <c r="AN75" s="1025">
        <f>+(PSUT_2012!S16)</f>
        <v>90.790815573770487</v>
      </c>
      <c r="AO75" s="1025">
        <f>+SUM(PSUT_2012!T16:'PSUT_2012'!V16)</f>
        <v>0</v>
      </c>
      <c r="AP75" s="1025">
        <f>+(PSUT_2012!U16)</f>
        <v>0</v>
      </c>
      <c r="AQ75" s="1025">
        <f>+(PSUT_2012!V16)</f>
        <v>0</v>
      </c>
      <c r="AR75" s="1025">
        <f>+(PSUT_2012!W16)</f>
        <v>34867.362031609759</v>
      </c>
      <c r="AS75" s="1025">
        <f>+(PSUT_2012!X16)</f>
        <v>28583.454990487178</v>
      </c>
      <c r="AT75" s="1025">
        <f>+(PSUT_2012!AA16)</f>
        <v>63450.817022096933</v>
      </c>
      <c r="AU75" s="1025"/>
      <c r="AV75" s="1025">
        <f t="shared" si="29"/>
        <v>223.90621557377048</v>
      </c>
      <c r="AW75" s="1025"/>
    </row>
    <row r="76" spans="1:49" x14ac:dyDescent="0.25">
      <c r="A76" s="1802"/>
      <c r="B76" s="1054" t="str">
        <f>+(PSUT_2012!B19)</f>
        <v>1.i.3 Soil water (green water)</v>
      </c>
      <c r="D76" s="1025">
        <f>+(PSUT_2012!AA19)</f>
        <v>13359408.07565332</v>
      </c>
      <c r="E76" s="1024"/>
      <c r="F76" s="1025">
        <f>+(PSUT_2012!C19)</f>
        <v>13359408.07565332</v>
      </c>
      <c r="H76" s="1024"/>
      <c r="I76" s="1024"/>
      <c r="J76" s="1024"/>
      <c r="K76" s="1024"/>
      <c r="L76" s="1024"/>
      <c r="M76" s="1025">
        <f>+(PSUT_2012!D19)</f>
        <v>0</v>
      </c>
      <c r="N76" s="1025">
        <f>+(PSUT_2012!E19)</f>
        <v>0</v>
      </c>
      <c r="P76" s="1024"/>
      <c r="Q76" s="1024"/>
      <c r="R76" s="1024"/>
      <c r="S76" s="1024"/>
      <c r="T76" s="1024"/>
      <c r="U76" s="1024"/>
      <c r="V76" s="1024"/>
      <c r="W76" s="1025">
        <f>+(PSUT_2012!F19)</f>
        <v>0</v>
      </c>
      <c r="X76" s="1025">
        <f>+(PSUT_2012!G19)</f>
        <v>0</v>
      </c>
      <c r="Y76" s="1025">
        <f>+(PSUT_2012!H19)</f>
        <v>0</v>
      </c>
      <c r="Z76" s="1025">
        <f>+(PSUT_2012!I19)</f>
        <v>0</v>
      </c>
      <c r="AB76" s="1024"/>
      <c r="AC76" s="1024"/>
      <c r="AD76" s="1025">
        <f>+(PSUT_2012!J19)</f>
        <v>0</v>
      </c>
      <c r="AF76" s="1025">
        <f>+(PSUT_2012!K19)</f>
        <v>0</v>
      </c>
      <c r="AG76" s="1025">
        <f>+(PSUT_2012!L19)</f>
        <v>0</v>
      </c>
      <c r="AH76" s="1269">
        <f>+(PSUT_2012!M19)</f>
        <v>0</v>
      </c>
      <c r="AI76" s="1025">
        <f>+(PSUT_2012!N19)</f>
        <v>0</v>
      </c>
      <c r="AJ76" s="1025">
        <f>+(PSUT_2012!O19)</f>
        <v>0</v>
      </c>
      <c r="AK76" s="1025">
        <f>+(PSUT_2012!P19)</f>
        <v>0</v>
      </c>
      <c r="AL76" s="1025">
        <f>+(PSUT_2012!Q19)</f>
        <v>0</v>
      </c>
      <c r="AM76" s="1025">
        <f>+(PSUT_2012!R19)</f>
        <v>0</v>
      </c>
      <c r="AN76" s="1025">
        <f>+(PSUT_2012!S19)</f>
        <v>0</v>
      </c>
      <c r="AO76" s="1025">
        <f>+SUM(PSUT_2012!T19:'PSUT_2012'!V19)</f>
        <v>0</v>
      </c>
      <c r="AP76" s="1025">
        <f>+(PSUT_2012!U19)</f>
        <v>0</v>
      </c>
      <c r="AQ76" s="1025">
        <f>+(PSUT_2012!V19)</f>
        <v>0</v>
      </c>
      <c r="AR76" s="1025">
        <f>+(PSUT_2012!W19)</f>
        <v>13359408.07565332</v>
      </c>
      <c r="AS76" s="1025">
        <f>+(PSUT_2012!X19)</f>
        <v>0</v>
      </c>
      <c r="AT76" s="1025">
        <f>+(PSUT_2012!AA19)</f>
        <v>13359408.07565332</v>
      </c>
      <c r="AU76" s="1025"/>
      <c r="AV76" s="1025">
        <f t="shared" si="29"/>
        <v>0</v>
      </c>
      <c r="AW76" s="1025"/>
    </row>
    <row r="77" spans="1:49" x14ac:dyDescent="0.25">
      <c r="A77" s="1802"/>
      <c r="B77" s="1054" t="str">
        <f>+(PSUT_2012!B20)</f>
        <v xml:space="preserve">1.ii From other sources </v>
      </c>
      <c r="D77" s="1025">
        <f>+(PSUT_2012!AA20)</f>
        <v>23252.684700000002</v>
      </c>
      <c r="E77" s="1024"/>
      <c r="F77" s="1025">
        <f>+(PSUT_2012!C20)</f>
        <v>807</v>
      </c>
      <c r="H77" s="1024"/>
      <c r="I77" s="1024"/>
      <c r="J77" s="1024"/>
      <c r="K77" s="1024"/>
      <c r="L77" s="1024"/>
      <c r="M77" s="1025">
        <f>+(PSUT_2012!D20)</f>
        <v>21359.8</v>
      </c>
      <c r="N77" s="1025">
        <f>+(PSUT_2012!E20)</f>
        <v>28.2</v>
      </c>
      <c r="P77" s="1024"/>
      <c r="Q77" s="1024"/>
      <c r="R77" s="1024"/>
      <c r="S77" s="1024"/>
      <c r="T77" s="1024"/>
      <c r="U77" s="1024"/>
      <c r="V77" s="1024"/>
      <c r="W77" s="1025">
        <f>+(PSUT_2012!F20)</f>
        <v>0</v>
      </c>
      <c r="X77" s="1025">
        <f>+(PSUT_2012!G20)</f>
        <v>0</v>
      </c>
      <c r="Y77" s="1025">
        <f>+(PSUT_2012!H20)</f>
        <v>0</v>
      </c>
      <c r="Z77" s="1025">
        <f>+(PSUT_2012!I20)</f>
        <v>0</v>
      </c>
      <c r="AB77" s="1024"/>
      <c r="AC77" s="1024"/>
      <c r="AD77" s="1025">
        <f>+(PSUT_2012!J20)</f>
        <v>0</v>
      </c>
      <c r="AF77" s="1025">
        <f>+(PSUT_2012!K20)</f>
        <v>0</v>
      </c>
      <c r="AG77" s="1025">
        <f>+(PSUT_2012!L20)</f>
        <v>0</v>
      </c>
      <c r="AH77" s="1269">
        <f>+(PSUT_2012!M20)</f>
        <v>0.06</v>
      </c>
      <c r="AI77" s="1025">
        <f>+(PSUT_2012!N20)</f>
        <v>0</v>
      </c>
      <c r="AJ77" s="1025">
        <f>+(PSUT_2012!O20)</f>
        <v>0</v>
      </c>
      <c r="AK77" s="1025">
        <f>+(PSUT_2012!P20)</f>
        <v>0</v>
      </c>
      <c r="AL77" s="1025">
        <f>+(PSUT_2012!Q20)</f>
        <v>0</v>
      </c>
      <c r="AM77" s="1025">
        <f>+(PSUT_2012!R20)</f>
        <v>0</v>
      </c>
      <c r="AN77" s="1025">
        <f>+(PSUT_2012!S20)</f>
        <v>497.98870000000005</v>
      </c>
      <c r="AO77" s="1025">
        <f>+SUM(PSUT_2012!T20:'PSUT_2012'!V20)</f>
        <v>9.636000000000001</v>
      </c>
      <c r="AP77" s="1025">
        <f>+(PSUT_2012!U20)</f>
        <v>9.636000000000001</v>
      </c>
      <c r="AQ77" s="1025">
        <f>+(PSUT_2012!V20)</f>
        <v>0</v>
      </c>
      <c r="AR77" s="1025">
        <f>+(PSUT_2012!W20)</f>
        <v>22702.684700000002</v>
      </c>
      <c r="AS77" s="1025">
        <f>+(PSUT_2012!X20)</f>
        <v>550</v>
      </c>
      <c r="AT77" s="1025">
        <f>+(PSUT_2012!AA20)</f>
        <v>23252.684700000002</v>
      </c>
      <c r="AU77" s="1025"/>
      <c r="AV77" s="1025">
        <f t="shared" si="29"/>
        <v>517.3207000000001</v>
      </c>
      <c r="AW77" s="1025"/>
    </row>
    <row r="78" spans="1:49" x14ac:dyDescent="0.25">
      <c r="A78" s="1802"/>
      <c r="B78" s="1054" t="str">
        <f>+(PSUT_2012!B21)</f>
        <v>1.ii.1 Collection of precipitation (rainwater harvesting; ..)</v>
      </c>
      <c r="D78" s="1025">
        <f>+(PSUT_2012!AA21)</f>
        <v>23252.684700000002</v>
      </c>
      <c r="E78" s="1024"/>
      <c r="F78" s="1025">
        <f>+(PSUT_2012!C21)</f>
        <v>807</v>
      </c>
      <c r="H78" s="1024"/>
      <c r="I78" s="1024"/>
      <c r="J78" s="1024"/>
      <c r="K78" s="1024"/>
      <c r="L78" s="1024"/>
      <c r="M78" s="1025">
        <f>+(PSUT_2012!D21)</f>
        <v>21359.8</v>
      </c>
      <c r="N78" s="1025">
        <f>+(PSUT_2012!E21)</f>
        <v>28.2</v>
      </c>
      <c r="P78" s="1024"/>
      <c r="Q78" s="1024"/>
      <c r="R78" s="1024"/>
      <c r="S78" s="1024"/>
      <c r="T78" s="1024"/>
      <c r="U78" s="1024"/>
      <c r="V78" s="1024"/>
      <c r="W78" s="1025">
        <f>+(PSUT_2012!F21)</f>
        <v>0</v>
      </c>
      <c r="X78" s="1025">
        <f>+(PSUT_2012!G21)</f>
        <v>0</v>
      </c>
      <c r="Y78" s="1025">
        <f>+(PSUT_2012!H21)</f>
        <v>0</v>
      </c>
      <c r="Z78" s="1025">
        <f>+(PSUT_2012!I21)</f>
        <v>0</v>
      </c>
      <c r="AB78" s="1024"/>
      <c r="AC78" s="1024"/>
      <c r="AD78" s="1025">
        <f>+(PSUT_2012!J21)</f>
        <v>0</v>
      </c>
      <c r="AF78" s="1025">
        <f>+(PSUT_2012!K21)</f>
        <v>0</v>
      </c>
      <c r="AG78" s="1025">
        <f>+(PSUT_2012!L21)</f>
        <v>0</v>
      </c>
      <c r="AH78" s="1269">
        <f>+(PSUT_2012!M21)</f>
        <v>0.06</v>
      </c>
      <c r="AI78" s="1025">
        <f>+(PSUT_2012!N21)</f>
        <v>0</v>
      </c>
      <c r="AJ78" s="1025">
        <f>+(PSUT_2012!O21)</f>
        <v>0</v>
      </c>
      <c r="AK78" s="1025">
        <f>+(PSUT_2012!P21)</f>
        <v>0</v>
      </c>
      <c r="AL78" s="1025">
        <f>+(PSUT_2012!Q21)</f>
        <v>0</v>
      </c>
      <c r="AM78" s="1025">
        <f>+(PSUT_2012!R21)</f>
        <v>0</v>
      </c>
      <c r="AN78" s="1025">
        <f>+(PSUT_2012!S21)</f>
        <v>497.98870000000005</v>
      </c>
      <c r="AO78" s="1025">
        <f>+SUM(PSUT_2012!T21:'PSUT_2012'!V21)</f>
        <v>9.636000000000001</v>
      </c>
      <c r="AP78" s="1025">
        <f>+(PSUT_2012!U21)</f>
        <v>9.636000000000001</v>
      </c>
      <c r="AQ78" s="1025">
        <f>+(PSUT_2012!V21)</f>
        <v>0</v>
      </c>
      <c r="AR78" s="1025">
        <f>+(PSUT_2012!W21)</f>
        <v>22702.684700000002</v>
      </c>
      <c r="AS78" s="1025">
        <f>+(PSUT_2012!X21)</f>
        <v>550</v>
      </c>
      <c r="AT78" s="1025">
        <f>+(PSUT_2012!AA21)</f>
        <v>23252.684700000002</v>
      </c>
      <c r="AU78" s="1025"/>
      <c r="AV78" s="1025">
        <f t="shared" si="29"/>
        <v>517.3207000000001</v>
      </c>
      <c r="AW78" s="1025"/>
    </row>
    <row r="79" spans="1:49" x14ac:dyDescent="0.25">
      <c r="A79" s="1202"/>
      <c r="B79" s="1054" t="str">
        <f>+(PSUT_2012!B22)</f>
        <v>1.ii.2 Abstraction from the sea</v>
      </c>
      <c r="D79" s="1025">
        <f>+(PSUT_2012!AA22)</f>
        <v>0</v>
      </c>
      <c r="E79" s="1024"/>
      <c r="F79" s="1025">
        <f>+(PSUT_2012!C22)</f>
        <v>0</v>
      </c>
      <c r="H79" s="1024"/>
      <c r="I79" s="1024"/>
      <c r="J79" s="1024"/>
      <c r="K79" s="1024"/>
      <c r="L79" s="1024"/>
      <c r="M79" s="1025">
        <f>+(PSUT_2012!D22)</f>
        <v>0</v>
      </c>
      <c r="N79" s="1025">
        <f>+(PSUT_2012!E22)</f>
        <v>0</v>
      </c>
      <c r="P79" s="1024"/>
      <c r="Q79" s="1024"/>
      <c r="R79" s="1024"/>
      <c r="S79" s="1024"/>
      <c r="T79" s="1024"/>
      <c r="U79" s="1024"/>
      <c r="V79" s="1024"/>
      <c r="W79" s="1025">
        <f>+(PSUT_2012!F22)</f>
        <v>0</v>
      </c>
      <c r="X79" s="1025">
        <f>+(PSUT_2012!G22)</f>
        <v>0</v>
      </c>
      <c r="Y79" s="1025">
        <f>+(PSUT_2012!H22)</f>
        <v>0</v>
      </c>
      <c r="Z79" s="1025">
        <f>+(PSUT_2012!I22)</f>
        <v>0</v>
      </c>
      <c r="AB79" s="1024"/>
      <c r="AC79" s="1024"/>
      <c r="AD79" s="1025">
        <f>+(PSUT_2012!J22)</f>
        <v>0</v>
      </c>
      <c r="AF79" s="1025">
        <f>+(PSUT_2012!K22)</f>
        <v>0</v>
      </c>
      <c r="AG79" s="1025">
        <f>+(PSUT_2012!L22)</f>
        <v>0</v>
      </c>
      <c r="AH79" s="1269">
        <f>+(PSUT_2012!M22)</f>
        <v>0</v>
      </c>
      <c r="AI79" s="1025">
        <f>+(PSUT_2012!N22)</f>
        <v>0</v>
      </c>
      <c r="AJ79" s="1025">
        <f>+(PSUT_2012!O22)</f>
        <v>0</v>
      </c>
      <c r="AK79" s="1025">
        <f>+(PSUT_2012!P22)</f>
        <v>0</v>
      </c>
      <c r="AL79" s="1025">
        <f>+(PSUT_2012!Q22)</f>
        <v>0</v>
      </c>
      <c r="AM79" s="1025">
        <f>+(PSUT_2012!R22)</f>
        <v>0</v>
      </c>
      <c r="AN79" s="1025">
        <f>+(PSUT_2012!S22)</f>
        <v>0</v>
      </c>
      <c r="AO79" s="1025">
        <f>+SUM(PSUT_2012!T22:'PSUT_2012'!V22)</f>
        <v>0</v>
      </c>
      <c r="AP79" s="1025">
        <f>+(PSUT_2012!U22)</f>
        <v>0</v>
      </c>
      <c r="AQ79" s="1025">
        <f>+(PSUT_2012!V22)</f>
        <v>0</v>
      </c>
      <c r="AR79" s="1025">
        <f>+(PSUT_2012!W22)</f>
        <v>0</v>
      </c>
      <c r="AS79" s="1025">
        <f>+(PSUT_2012!X22)</f>
        <v>0</v>
      </c>
      <c r="AT79" s="1025">
        <f>+(PSUT_2012!AA22)</f>
        <v>0</v>
      </c>
      <c r="AU79" s="1025"/>
      <c r="AV79" s="1025">
        <f t="shared" si="29"/>
        <v>0</v>
      </c>
      <c r="AW79" s="1025"/>
    </row>
    <row r="80" spans="1:49" x14ac:dyDescent="0.25">
      <c r="A80" s="1202"/>
      <c r="B80" s="1054" t="str">
        <f>+(PSUT_2012!B23)</f>
        <v>2. Use of water received from other economic units</v>
      </c>
      <c r="D80" s="1025">
        <f>+(PSUT_2012!AA23)</f>
        <v>1160562.9602874902</v>
      </c>
      <c r="E80" s="1024"/>
      <c r="F80" s="1025">
        <f>+(PSUT_2012!C23)</f>
        <v>90250</v>
      </c>
      <c r="H80" s="1024"/>
      <c r="I80" s="1024"/>
      <c r="J80" s="1024"/>
      <c r="K80" s="1024"/>
      <c r="L80" s="1024"/>
      <c r="M80" s="1025">
        <f>+(PSUT_2012!D23)</f>
        <v>0</v>
      </c>
      <c r="N80" s="1025">
        <f>+(PSUT_2012!E23)</f>
        <v>642763.78523033194</v>
      </c>
      <c r="P80" s="1024"/>
      <c r="Q80" s="1024"/>
      <c r="R80" s="1024"/>
      <c r="S80" s="1024"/>
      <c r="T80" s="1024"/>
      <c r="U80" s="1024"/>
      <c r="V80" s="1024"/>
      <c r="W80" s="1025">
        <f>+(PSUT_2012!F23)</f>
        <v>0</v>
      </c>
      <c r="X80" s="1025">
        <f>+(PSUT_2012!G23)</f>
        <v>0</v>
      </c>
      <c r="Y80" s="1025">
        <f>+(PSUT_2012!H23)</f>
        <v>0</v>
      </c>
      <c r="Z80" s="1025">
        <f>+(PSUT_2012!I23)</f>
        <v>0</v>
      </c>
      <c r="AB80" s="1024"/>
      <c r="AC80" s="1024"/>
      <c r="AD80" s="1025">
        <f>+(PSUT_2012!J23)</f>
        <v>0</v>
      </c>
      <c r="AF80" s="1025">
        <f>+(PSUT_2012!K23)</f>
        <v>16672.61</v>
      </c>
      <c r="AG80" s="1025">
        <f>+(PSUT_2012!L23)</f>
        <v>0</v>
      </c>
      <c r="AH80" s="1269">
        <f>+(PSUT_2012!M23)</f>
        <v>76.030545405347283</v>
      </c>
      <c r="AI80" s="1025">
        <f>+(PSUT_2012!N23)</f>
        <v>0</v>
      </c>
      <c r="AJ80" s="1025">
        <f>+(PSUT_2012!O23)</f>
        <v>0</v>
      </c>
      <c r="AK80" s="1025">
        <f>+(PSUT_2012!P23)</f>
        <v>0</v>
      </c>
      <c r="AL80" s="1025">
        <f>+(PSUT_2012!Q23)</f>
        <v>0</v>
      </c>
      <c r="AM80" s="1025">
        <f>+(PSUT_2012!R23)</f>
        <v>224372.33</v>
      </c>
      <c r="AN80" s="1025">
        <f>+(PSUT_2012!S23)</f>
        <v>3720.9427500000002</v>
      </c>
      <c r="AO80" s="1025">
        <f>+SUM(PSUT_2012!T23:'PSUT_2012'!V23)</f>
        <v>131.69367175295594</v>
      </c>
      <c r="AP80" s="1025">
        <f>+(PSUT_2012!U23)</f>
        <v>131.69367175295594</v>
      </c>
      <c r="AQ80" s="1025">
        <f>+(PSUT_2012!V23)</f>
        <v>0</v>
      </c>
      <c r="AR80" s="1025">
        <f>+(PSUT_2012!W23)</f>
        <v>977987.3921974902</v>
      </c>
      <c r="AS80" s="1025">
        <f>+(PSUT_2012!X23)</f>
        <v>176061</v>
      </c>
      <c r="AT80" s="1025">
        <f>+(PSUT_2012!AA23)</f>
        <v>1160562.9602874902</v>
      </c>
      <c r="AU80" s="1025"/>
      <c r="AV80" s="1025">
        <f t="shared" si="29"/>
        <v>245105.30063891126</v>
      </c>
      <c r="AW80" s="1025"/>
    </row>
    <row r="81" spans="1:62" x14ac:dyDescent="0.25">
      <c r="A81" s="1202"/>
      <c r="B81" s="1054" t="str">
        <f>+(PSUT_2012!A24)</f>
        <v>3. Total use of water (=1+2)</v>
      </c>
      <c r="D81" s="1025">
        <f>+(PSUT_2012!AA24)</f>
        <v>15199419.765367964</v>
      </c>
      <c r="E81" s="1024"/>
      <c r="F81" s="1025">
        <f>+(PSUT_2012!C24)</f>
        <v>13653630.505039312</v>
      </c>
      <c r="H81" s="1024"/>
      <c r="I81" s="1024"/>
      <c r="J81" s="1024"/>
      <c r="K81" s="1024"/>
      <c r="L81" s="1024"/>
      <c r="M81" s="1025">
        <f>+(PSUT_2012!D24)</f>
        <v>22390.658857794173</v>
      </c>
      <c r="N81" s="1025">
        <f>+(PSUT_2012!E24)</f>
        <v>666401.91014646285</v>
      </c>
      <c r="P81" s="1024"/>
      <c r="Q81" s="1024"/>
      <c r="R81" s="1024"/>
      <c r="S81" s="1024"/>
      <c r="T81" s="1024"/>
      <c r="U81" s="1024"/>
      <c r="V81" s="1024"/>
      <c r="W81" s="1025">
        <f>+(PSUT_2012!F24)</f>
        <v>335270.16889591428</v>
      </c>
      <c r="X81" s="1025">
        <f>+(PSUT_2012!G24)</f>
        <v>53008.786416190094</v>
      </c>
      <c r="Y81" s="1025">
        <f>+(PSUT_2012!H24)</f>
        <v>0</v>
      </c>
      <c r="Z81" s="1025">
        <f>+(PSUT_2012!I24)</f>
        <v>0</v>
      </c>
      <c r="AB81" s="1024"/>
      <c r="AC81" s="1024"/>
      <c r="AD81" s="1025">
        <f>+(PSUT_2012!J24)</f>
        <v>0</v>
      </c>
      <c r="AF81" s="1025">
        <f>+(PSUT_2012!K24)</f>
        <v>16672.61</v>
      </c>
      <c r="AG81" s="1025">
        <f>+(PSUT_2012!L24)</f>
        <v>0</v>
      </c>
      <c r="AH81" s="1269">
        <f>+(PSUT_2012!M24)</f>
        <v>76.090545405347285</v>
      </c>
      <c r="AI81" s="1025">
        <f>+(PSUT_2012!N24)</f>
        <v>0</v>
      </c>
      <c r="AJ81" s="1025">
        <f>+(PSUT_2012!O24)</f>
        <v>0</v>
      </c>
      <c r="AK81" s="1025">
        <f>+(PSUT_2012!P24)</f>
        <v>0</v>
      </c>
      <c r="AL81" s="1025">
        <f>+(PSUT_2012!Q24)</f>
        <v>0</v>
      </c>
      <c r="AM81" s="1025">
        <f>+(PSUT_2012!R24)</f>
        <v>224505.4454</v>
      </c>
      <c r="AN81" s="1025">
        <f>+(PSUT_2012!S24)</f>
        <v>4309.7222655737705</v>
      </c>
      <c r="AO81" s="1025">
        <f>+SUM(PSUT_2012!T24:'PSUT_2012'!V24)</f>
        <v>143.40327175295593</v>
      </c>
      <c r="AP81" s="1025">
        <f>+(PSUT_2012!U24)</f>
        <v>143.40327175295593</v>
      </c>
      <c r="AQ81" s="1025">
        <f>+(PSUT_2012!V24)</f>
        <v>0</v>
      </c>
      <c r="AR81" s="1025">
        <f>+(PSUT_2012!W24)</f>
        <v>14976409.300838405</v>
      </c>
      <c r="AS81" s="1025">
        <f>+(PSUT_2012!X24)</f>
        <v>216495.89643956049</v>
      </c>
      <c r="AT81" s="1025">
        <f>+(PSUT_2012!AA24)</f>
        <v>15199419.765367964</v>
      </c>
      <c r="AU81" s="1025"/>
      <c r="AV81" s="1025">
        <f t="shared" si="29"/>
        <v>245850.67475448505</v>
      </c>
      <c r="AW81" s="1025"/>
    </row>
    <row r="82" spans="1:62" x14ac:dyDescent="0.25">
      <c r="A82" s="1202"/>
      <c r="B82" s="1054" t="str">
        <f>+(PSUT_2012!B35)</f>
        <v>4. Supply of water to other economic units</v>
      </c>
      <c r="D82" s="1025">
        <f>+(PSUT_2012!AA35)</f>
        <v>34764.795819255363</v>
      </c>
      <c r="E82" s="1024"/>
      <c r="F82" s="1025">
        <f>+(PSUT_2012!C35)</f>
        <v>0</v>
      </c>
      <c r="H82" s="1024"/>
      <c r="I82" s="1024"/>
      <c r="J82" s="1024"/>
      <c r="K82" s="1024"/>
      <c r="L82" s="1024"/>
      <c r="M82" s="1025">
        <f>+(PSUT_2012!D35)</f>
        <v>21271.125914904464</v>
      </c>
      <c r="N82" s="1025">
        <f>+(PSUT_2012!E35)</f>
        <v>816.87563283886971</v>
      </c>
      <c r="P82" s="1024"/>
      <c r="Q82" s="1024"/>
      <c r="R82" s="1024"/>
      <c r="S82" s="1024"/>
      <c r="T82" s="1024"/>
      <c r="U82" s="1024"/>
      <c r="V82" s="1024"/>
      <c r="W82" s="1025">
        <f>+(PSUT_2012!F35)</f>
        <v>0</v>
      </c>
      <c r="X82" s="1025">
        <f>+(PSUT_2012!G35)</f>
        <v>0</v>
      </c>
      <c r="Y82" s="1025">
        <f>+(PSUT_2012!H35)</f>
        <v>0</v>
      </c>
      <c r="Z82" s="1025">
        <f>+(PSUT_2012!I35)</f>
        <v>0</v>
      </c>
      <c r="AB82" s="1024"/>
      <c r="AC82" s="1024"/>
      <c r="AD82" s="1025">
        <f>+(PSUT_2012!J35)</f>
        <v>0</v>
      </c>
      <c r="AF82" s="1025">
        <f>+(PSUT_2012!K35)</f>
        <v>12671.183667903779</v>
      </c>
      <c r="AG82" s="1025">
        <f>+(PSUT_2012!L35)</f>
        <v>0</v>
      </c>
      <c r="AH82" s="1269">
        <f>+(PSUT_2012!M35)</f>
        <v>5.6106036082474233</v>
      </c>
      <c r="AI82" s="1025">
        <f>+(PSUT_2012!N35)</f>
        <v>0</v>
      </c>
      <c r="AJ82" s="1025">
        <f>+(PSUT_2012!O35)</f>
        <v>0</v>
      </c>
      <c r="AK82" s="1025">
        <f>+(PSUT_2012!P35)</f>
        <v>0</v>
      </c>
      <c r="AL82" s="1025">
        <f>+(PSUT_2012!Q35)</f>
        <v>0</v>
      </c>
      <c r="AM82" s="1025">
        <f>+(PSUT_2012!R35)</f>
        <v>0</v>
      </c>
      <c r="AN82" s="1025">
        <f>+(PSUT_2012!S35)</f>
        <v>0</v>
      </c>
      <c r="AO82" s="1025">
        <f>+SUM(PSUT_2012!T35:'PSUT_2012'!V35)</f>
        <v>0</v>
      </c>
      <c r="AP82" s="1025">
        <f>+(PSUT_2012!U35)</f>
        <v>0</v>
      </c>
      <c r="AQ82" s="1025">
        <f>+(PSUT_2012!V35)</f>
        <v>0</v>
      </c>
      <c r="AR82" s="1025">
        <f>+(PSUT_2012!W35)</f>
        <v>34764.795819255363</v>
      </c>
      <c r="AS82" s="1025">
        <f>+(PSUT_2012!X35)</f>
        <v>0</v>
      </c>
      <c r="AT82" s="1025">
        <f>+(PSUT_2012!AA35)</f>
        <v>34764.795819255363</v>
      </c>
      <c r="AU82" s="1025"/>
      <c r="AV82" s="1025">
        <f t="shared" si="29"/>
        <v>12676.794271512026</v>
      </c>
      <c r="AW82" s="1025"/>
    </row>
    <row r="83" spans="1:62" x14ac:dyDescent="0.25">
      <c r="A83" s="232"/>
      <c r="B83" s="1054" t="str">
        <f>+(PSUT_2012!B38)</f>
        <v>5. Total returns (= 5.a+5.b)</v>
      </c>
      <c r="D83" s="1025">
        <f>+(PSUT_2012!AA38)</f>
        <v>2636799.0858138381</v>
      </c>
      <c r="F83" s="1025">
        <f>+(PSUT_2012!C38)</f>
        <v>1529661.7232789313</v>
      </c>
      <c r="M83" s="1025">
        <f>+(PSUT_2012!D38)</f>
        <v>54.219910499999997</v>
      </c>
      <c r="N83" s="1025">
        <f>+(PSUT_2012!E38)</f>
        <v>514699.26072578493</v>
      </c>
      <c r="W83" s="1025">
        <f>+(PSUT_2012!F38)</f>
        <v>318506.66045111854</v>
      </c>
      <c r="X83" s="1025">
        <f>+(PSUT_2012!G38)</f>
        <v>2570.3302400000002</v>
      </c>
      <c r="Y83" s="1025">
        <f>+(PSUT_2012!H38)</f>
        <v>0</v>
      </c>
      <c r="Z83" s="1025">
        <f>+(PSUT_2012!I38)</f>
        <v>0</v>
      </c>
      <c r="AD83" s="1025">
        <f>+(PSUT_2012!J38)</f>
        <v>0</v>
      </c>
      <c r="AF83" s="1025">
        <f>+(PSUT_2012!K38)</f>
        <v>301.01142363711335</v>
      </c>
      <c r="AG83" s="1025">
        <f>+(PSUT_2012!L38)</f>
        <v>0</v>
      </c>
      <c r="AH83" s="1269">
        <f>+(PSUT_2012!M38)</f>
        <v>56.868619657611163</v>
      </c>
      <c r="AI83" s="1025">
        <f>+(PSUT_2012!N38)</f>
        <v>0</v>
      </c>
      <c r="AJ83" s="1025">
        <f>+(PSUT_2012!O38)</f>
        <v>0</v>
      </c>
      <c r="AK83" s="1025">
        <f>+(PSUT_2012!P38)</f>
        <v>0</v>
      </c>
      <c r="AL83" s="1025">
        <f>+(PSUT_2012!Q38)</f>
        <v>0</v>
      </c>
      <c r="AM83" s="1025">
        <f>+(PSUT_2012!R38)</f>
        <v>179497.86400000003</v>
      </c>
      <c r="AN83" s="1025">
        <f>+(PSUT_2012!S38)</f>
        <v>3447.7778158871602</v>
      </c>
      <c r="AO83" s="1025">
        <f>+SUM(PSUT_2012!T38:'PSUT_2012'!V38)</f>
        <v>10.714873014735879</v>
      </c>
      <c r="AP83" s="1025">
        <f>+(PSUT_2012!U38)</f>
        <v>10.714873014735879</v>
      </c>
      <c r="AQ83" s="1025">
        <f>+(PSUT_2012!V38)</f>
        <v>0</v>
      </c>
      <c r="AR83" s="1025">
        <f>+(PSUT_2012!W38)</f>
        <v>2548806.4313385319</v>
      </c>
      <c r="AS83" s="1025">
        <f>+(PSUT_2012!X38)</f>
        <v>82781</v>
      </c>
      <c r="AT83" s="1025">
        <f>+(PSUT_2012!AA38)</f>
        <v>2636799.0858138381</v>
      </c>
      <c r="AU83" s="1025"/>
      <c r="AV83" s="1025">
        <f t="shared" si="29"/>
        <v>183324.95160521139</v>
      </c>
      <c r="AW83" s="1025"/>
    </row>
    <row r="84" spans="1:62" x14ac:dyDescent="0.25">
      <c r="A84" s="232"/>
      <c r="B84" s="1054" t="str">
        <f>+(PSUT_2012!A44)</f>
        <v>6. Total supply of water (= 4+5)</v>
      </c>
      <c r="D84" s="1025">
        <f>+(PSUT_2012!AA44)</f>
        <v>2671563.8816330931</v>
      </c>
      <c r="F84" s="1025">
        <f>+(PSUT_2012!C44)</f>
        <v>1529661.7232789313</v>
      </c>
      <c r="M84" s="1025">
        <f>+(PSUT_2012!D44)</f>
        <v>21325.345825404464</v>
      </c>
      <c r="N84" s="1025">
        <f>+(PSUT_2012!E44)</f>
        <v>515516.1363586238</v>
      </c>
      <c r="W84" s="1025">
        <f>+(PSUT_2012!F44)</f>
        <v>318506.66045111854</v>
      </c>
      <c r="X84" s="1025">
        <f>+(PSUT_2012!G44)</f>
        <v>2570.3302400000002</v>
      </c>
      <c r="Y84" s="1025">
        <f>+(PSUT_2012!H44)</f>
        <v>0</v>
      </c>
      <c r="Z84" s="1025">
        <f>+(PSUT_2012!I44)</f>
        <v>0</v>
      </c>
      <c r="AD84" s="1025">
        <f>+(PSUT_2012!J44)</f>
        <v>0</v>
      </c>
      <c r="AF84" s="1025">
        <f>+(PSUT_2012!K44)</f>
        <v>12972.195091540892</v>
      </c>
      <c r="AG84" s="1025">
        <f>+(PSUT_2012!L44)</f>
        <v>0</v>
      </c>
      <c r="AH84" s="1269">
        <f>+(PSUT_2012!M44)</f>
        <v>62.479223265858586</v>
      </c>
      <c r="AI84" s="1025">
        <f>+(PSUT_2012!N44)</f>
        <v>0</v>
      </c>
      <c r="AJ84" s="1025">
        <f>+(PSUT_2012!O44)</f>
        <v>0</v>
      </c>
      <c r="AK84" s="1025">
        <f>+(PSUT_2012!P44)</f>
        <v>0</v>
      </c>
      <c r="AL84" s="1025">
        <f>+(PSUT_2012!Q44)</f>
        <v>0</v>
      </c>
      <c r="AM84" s="1025">
        <f>+(PSUT_2012!R44)</f>
        <v>179497.86400000003</v>
      </c>
      <c r="AN84" s="1025">
        <f>+(PSUT_2012!S44)</f>
        <v>3447.7778158871602</v>
      </c>
      <c r="AO84" s="1025">
        <f>+SUM(PSUT_2012!T44:'PSUT_2012'!V44)</f>
        <v>10.714873014735879</v>
      </c>
      <c r="AP84" s="1025">
        <f>+(PSUT_2012!U44)</f>
        <v>10.714873014735879</v>
      </c>
      <c r="AQ84" s="1025">
        <f>+(PSUT_2012!V44)</f>
        <v>0</v>
      </c>
      <c r="AR84" s="1025">
        <f>+(PSUT_2012!W44)</f>
        <v>2583571.227157787</v>
      </c>
      <c r="AS84" s="1025">
        <f>+(PSUT_2012!X44)</f>
        <v>82781</v>
      </c>
      <c r="AT84" s="1025">
        <f>+(PSUT_2012!AA44)</f>
        <v>2671563.8816330931</v>
      </c>
      <c r="AU84" s="1025"/>
      <c r="AV84" s="1025">
        <f t="shared" si="29"/>
        <v>196001.74587672343</v>
      </c>
      <c r="AW84" s="1025"/>
    </row>
    <row r="85" spans="1:62" x14ac:dyDescent="0.25">
      <c r="A85" s="235"/>
      <c r="B85" s="1195" t="str">
        <f>+(PSUT_2012!A45)</f>
        <v>7. Consumption (3-6)</v>
      </c>
      <c r="C85" s="295"/>
      <c r="D85" s="1028">
        <f>+(PSUT_2012!AA45)</f>
        <v>12527855.883734873</v>
      </c>
      <c r="E85" s="295"/>
      <c r="F85" s="1028">
        <f>+(PSUT_2012!C45)</f>
        <v>12123968.78176038</v>
      </c>
      <c r="G85" s="295"/>
      <c r="H85" s="295"/>
      <c r="I85" s="295"/>
      <c r="J85" s="295"/>
      <c r="K85" s="295"/>
      <c r="L85" s="295"/>
      <c r="M85" s="1028">
        <f>+(PSUT_2012!D45)</f>
        <v>1065.3130323897094</v>
      </c>
      <c r="N85" s="1028">
        <f>+(PSUT_2012!E45)</f>
        <v>150885.77378783905</v>
      </c>
      <c r="O85" s="295"/>
      <c r="P85" s="295"/>
      <c r="Q85" s="295"/>
      <c r="R85" s="295"/>
      <c r="S85" s="295"/>
      <c r="T85" s="295"/>
      <c r="U85" s="295"/>
      <c r="V85" s="295"/>
      <c r="W85" s="1195">
        <f>+(PSUT_2012!F45)</f>
        <v>16763.508444795734</v>
      </c>
      <c r="X85" s="1028">
        <f>+(PSUT_2012!G45)</f>
        <v>50438.456176190091</v>
      </c>
      <c r="Y85" s="1028">
        <f>+(PSUT_2012!H45)</f>
        <v>0</v>
      </c>
      <c r="Z85" s="1028">
        <f>+(PSUT_2012!I45)</f>
        <v>0</v>
      </c>
      <c r="AA85" s="295"/>
      <c r="AB85" s="295"/>
      <c r="AC85" s="295"/>
      <c r="AD85" s="1028">
        <f>+(PSUT_2012!J45)</f>
        <v>0</v>
      </c>
      <c r="AE85" s="295"/>
      <c r="AF85" s="1028">
        <f>+(PSUT_2012!K45)</f>
        <v>3700.4149084591081</v>
      </c>
      <c r="AG85" s="1028">
        <f>+(PSUT_2012!L45)</f>
        <v>0</v>
      </c>
      <c r="AH85" s="1270">
        <f>+(PSUT_2012!M45)</f>
        <v>13.611322139488699</v>
      </c>
      <c r="AI85" s="1028">
        <f>+(PSUT_2012!N45)</f>
        <v>0</v>
      </c>
      <c r="AJ85" s="1028">
        <f>+(PSUT_2012!O45)</f>
        <v>0</v>
      </c>
      <c r="AK85" s="1028">
        <f>+(PSUT_2012!P45)</f>
        <v>0</v>
      </c>
      <c r="AL85" s="1028">
        <f>+(PSUT_2012!Q45)</f>
        <v>0</v>
      </c>
      <c r="AM85" s="1028">
        <f>+(PSUT_2012!R45)</f>
        <v>45007.581399999966</v>
      </c>
      <c r="AN85" s="1028">
        <f>+(PSUT_2012!S45)</f>
        <v>861.94444968661037</v>
      </c>
      <c r="AO85" s="1028">
        <f>+SUM(PSUT_2012!T45:'PSUT_2012'!V45)</f>
        <v>132.68839873822006</v>
      </c>
      <c r="AP85" s="1028">
        <f>+(PSUT_2012!U45)</f>
        <v>132.68839873822006</v>
      </c>
      <c r="AQ85" s="1028">
        <f>+(PSUT_2012!V45)</f>
        <v>0</v>
      </c>
      <c r="AR85" s="1028">
        <f>+(PSUT_2012!W45)</f>
        <v>12392838.073680619</v>
      </c>
      <c r="AS85" s="1028">
        <f>+(PSUT_2012!X45)</f>
        <v>133714.89643956049</v>
      </c>
      <c r="AT85" s="1028">
        <f>+(PSUT_2012!AA45)</f>
        <v>12527855.883734873</v>
      </c>
      <c r="AU85" s="1025"/>
      <c r="AV85" s="1028">
        <f t="shared" si="29"/>
        <v>49848.928877761609</v>
      </c>
      <c r="AW85" s="1025"/>
    </row>
    <row r="86" spans="1:62" x14ac:dyDescent="0.25">
      <c r="B86" s="1025"/>
      <c r="F86" s="1025"/>
      <c r="M86" s="1025"/>
      <c r="N86" s="1025"/>
      <c r="W86" s="1025"/>
      <c r="X86" s="1025"/>
      <c r="Y86" s="1025"/>
      <c r="Z86" s="1025"/>
      <c r="AD86" s="1025"/>
      <c r="AF86" s="1025"/>
      <c r="AG86" s="1025"/>
      <c r="AH86" s="1025"/>
      <c r="AI86" s="1025"/>
      <c r="AJ86" s="1025"/>
      <c r="AK86" s="1025"/>
      <c r="AL86" s="1025"/>
      <c r="AM86" s="1025"/>
      <c r="AN86" s="1025"/>
      <c r="AO86" s="1025"/>
      <c r="AP86" s="1025"/>
      <c r="AQ86" s="1025"/>
      <c r="AR86" s="1025"/>
      <c r="AS86" s="1025"/>
      <c r="AU86" s="1025"/>
      <c r="AV86" s="1025"/>
      <c r="AW86" s="1025"/>
    </row>
    <row r="87" spans="1:62" x14ac:dyDescent="0.25">
      <c r="AX87" t="s">
        <v>1421</v>
      </c>
    </row>
    <row r="88" spans="1:62" ht="150" x14ac:dyDescent="0.25">
      <c r="A88" s="1203"/>
      <c r="B88" s="1191" t="s">
        <v>1405</v>
      </c>
      <c r="C88" s="1191" t="s">
        <v>1050</v>
      </c>
      <c r="D88" s="1229" t="str">
        <f>PSUT_2013!AA3</f>
        <v xml:space="preserve">Total </v>
      </c>
      <c r="E88" s="1191"/>
      <c r="F88" s="1229" t="str">
        <f>PSUT_2013!C4</f>
        <v xml:space="preserve">A. Agriculture, forestry and fishing </v>
      </c>
      <c r="G88" s="1191"/>
      <c r="H88" s="1191"/>
      <c r="I88" s="1191"/>
      <c r="J88" s="1191"/>
      <c r="K88" s="1191"/>
      <c r="L88" s="1191"/>
      <c r="M88" s="1229" t="str">
        <f>PSUT_2013!D4</f>
        <v xml:space="preserve">B. Mining and Quarrying </v>
      </c>
      <c r="N88" s="1229" t="str">
        <f>PSUT_2013!E4</f>
        <v>C. Manufacturing</v>
      </c>
      <c r="O88" s="1191"/>
      <c r="P88" s="1191"/>
      <c r="Q88" s="1191"/>
      <c r="R88" s="1191"/>
      <c r="S88" s="1191"/>
      <c r="T88" s="1191"/>
      <c r="U88" s="1191"/>
      <c r="V88" s="1191"/>
      <c r="W88" s="1229" t="str">
        <f>PSUT_2013!F4</f>
        <v>D. Electricity, gas, steam and air conditioning supply</v>
      </c>
      <c r="X88" s="1229" t="str">
        <f>PSUT_2013!G4</f>
        <v>E. Water supply (WASAC &amp; AquaVirunga)</v>
      </c>
      <c r="Y88" s="1229" t="str">
        <f>PSUT_2013!H4</f>
        <v>F. Construction</v>
      </c>
      <c r="Z88" s="1229" t="str">
        <f>PSUT_2013!I4</f>
        <v>G. Wholesale and retail trade; repair of motor vehicles and motorcycles</v>
      </c>
      <c r="AA88" s="1191"/>
      <c r="AB88" s="1191"/>
      <c r="AC88" s="1191"/>
      <c r="AD88" s="1229" t="str">
        <f>PSUT_2013!J4</f>
        <v>H. Transportation and storage</v>
      </c>
      <c r="AE88" s="1191"/>
      <c r="AF88" s="1229" t="str">
        <f>PSUT_2013!K4</f>
        <v>I. Accommodation and food service activities</v>
      </c>
      <c r="AG88" s="1229" t="str">
        <f>PSUT_2013!L4</f>
        <v>J. Information and communication</v>
      </c>
      <c r="AH88" s="1229" t="str">
        <f>PSUT_2013!M4</f>
        <v>K. Banking and insurance activities</v>
      </c>
      <c r="AI88" s="1229" t="str">
        <f>PSUT_2013!N4</f>
        <v>L. Real estate activities</v>
      </c>
      <c r="AJ88" s="1229" t="str">
        <f>PSUT_2013!O4</f>
        <v>M. Professional, scientific and technical activities</v>
      </c>
      <c r="AK88" s="1229" t="str">
        <f>PSUT_2013!P4</f>
        <v>N. Administrative and support service activities</v>
      </c>
      <c r="AL88" s="1229" t="str">
        <f>PSUT_2013!Q4</f>
        <v>O. Public administration and defence; compulsory social security</v>
      </c>
      <c r="AM88" s="1229" t="str">
        <f>PSUT_2013!R4</f>
        <v>P. Education</v>
      </c>
      <c r="AN88" s="1229" t="str">
        <f>PSUT_2013!S4</f>
        <v xml:space="preserve">Q. Human health and social work activities </v>
      </c>
      <c r="AO88" s="1229" t="str">
        <f>PSUT_2013!T4</f>
        <v>R. Arts, entertainment and recreation</v>
      </c>
      <c r="AP88" s="1229" t="str">
        <f>PSUT_2013!U4</f>
        <v>S. Other service activities (Religious &amp; Burial)</v>
      </c>
      <c r="AQ88" s="1229" t="str">
        <f>PSUT_2013!V4</f>
        <v>T. Activities of households as employers; undifferentiated goods- and services-producing activities of households for own use</v>
      </c>
      <c r="AR88" s="1229" t="str">
        <f>PSUT_2013!W3</f>
        <v xml:space="preserve">Total Production activities </v>
      </c>
      <c r="AS88" s="1229" t="str">
        <f>PSUT_2013!X4</f>
        <v>Households</v>
      </c>
      <c r="AT88" s="1229" t="str">
        <f>PSUT_2013!AA3</f>
        <v xml:space="preserve">Total </v>
      </c>
      <c r="AU88" s="584"/>
      <c r="AV88" s="1272" t="s">
        <v>1419</v>
      </c>
      <c r="AW88" s="584"/>
      <c r="AX88" t="s">
        <v>1422</v>
      </c>
      <c r="AZ88" s="584"/>
      <c r="BA88" s="584"/>
      <c r="BC88" t="s">
        <v>1421</v>
      </c>
    </row>
    <row r="89" spans="1:62" ht="17.25" x14ac:dyDescent="0.25">
      <c r="A89" s="1803" t="str">
        <f>+(PSUT_2013!A6)</f>
        <v>From the environment</v>
      </c>
      <c r="B89" s="1198" t="str">
        <f>+(PSUT_2013!B9)</f>
        <v>1 - Total abstraction (1.i+1.ii)</v>
      </c>
      <c r="D89" s="1025">
        <f>+(PSUT_2013!AA9)</f>
        <v>13496753.260582799</v>
      </c>
      <c r="F89" s="1025">
        <f>+(PSUT_2013!C9)</f>
        <v>13010018.946100427</v>
      </c>
      <c r="H89" s="1024"/>
      <c r="I89" s="1024"/>
      <c r="J89" s="1024"/>
      <c r="K89" s="1024"/>
      <c r="L89" s="1024"/>
      <c r="M89" s="1025">
        <f>+(PSUT_2013!D9)</f>
        <v>22410.000272350058</v>
      </c>
      <c r="N89" s="1025">
        <f>+(PSUT_2013!E9)</f>
        <v>23937.981051793297</v>
      </c>
      <c r="P89" s="1026"/>
      <c r="Q89" s="1026"/>
      <c r="R89" s="1026"/>
      <c r="S89" s="1026"/>
      <c r="T89" s="1026"/>
      <c r="U89" s="1026"/>
      <c r="V89" s="1026"/>
      <c r="W89" s="1025">
        <f>+(PSUT_2013!F9)</f>
        <v>345951.26144545968</v>
      </c>
      <c r="X89" s="1025">
        <f>+(PSUT_2013!G9)</f>
        <v>53068.710693793837</v>
      </c>
      <c r="Y89" s="1025">
        <f>+(PSUT_2013!H9)</f>
        <v>0</v>
      </c>
      <c r="Z89" s="1025">
        <f>+(PSUT_2013!I9)</f>
        <v>0</v>
      </c>
      <c r="AB89" s="1024"/>
      <c r="AC89" s="1024"/>
      <c r="AD89" s="1025">
        <f>+(PSUT_2013!J9)</f>
        <v>0</v>
      </c>
      <c r="AF89" s="1025">
        <f>+(PSUT_2013!K9)</f>
        <v>0</v>
      </c>
      <c r="AG89" s="1025">
        <f>+(PSUT_2013!L9)</f>
        <v>0</v>
      </c>
      <c r="AH89" s="1269">
        <f>+(PSUT_2013!M9)</f>
        <v>0.06</v>
      </c>
      <c r="AI89" s="1025">
        <f>+(PSUT_2013!N9)</f>
        <v>0</v>
      </c>
      <c r="AJ89" s="1025">
        <f>+(PSUT_2013!O9)</f>
        <v>0</v>
      </c>
      <c r="AK89" s="1025">
        <f>+(PSUT_2013!P9)</f>
        <v>0</v>
      </c>
      <c r="AL89" s="1025">
        <f>+(PSUT_2013!Q9)</f>
        <v>0</v>
      </c>
      <c r="AM89" s="1025">
        <f>+(PSUT_2013!R9)</f>
        <v>133.11539999999999</v>
      </c>
      <c r="AN89" s="1025">
        <f>+(PSUT_2013!S9)</f>
        <v>588.7795155737706</v>
      </c>
      <c r="AO89" s="1025">
        <f>+SUM(PSUT_2013!T9:'PSUT_2013'!V9)</f>
        <v>11.709600000000002</v>
      </c>
      <c r="AP89" s="1025">
        <f>+(PSUT_2013!U9)</f>
        <v>11.709600000000002</v>
      </c>
      <c r="AQ89" s="1025">
        <f>+(PSUT_2013!V9)</f>
        <v>0</v>
      </c>
      <c r="AR89" s="1025">
        <f>+(PSUT_2013!W9)</f>
        <v>13456120.564079396</v>
      </c>
      <c r="AS89" s="1025">
        <f>+(PSUT_2013!X9)</f>
        <v>40632.696503402331</v>
      </c>
      <c r="AT89" s="1025">
        <f>+(PSUT_2013!AA9)</f>
        <v>13496753.260582799</v>
      </c>
      <c r="AU89" s="1025"/>
      <c r="AV89" s="1025">
        <f t="shared" ref="AV89:AV102" si="30">SUM(Z89:AQ89)</f>
        <v>745.37411557377061</v>
      </c>
      <c r="AW89" s="1025"/>
      <c r="AX89" t="s">
        <v>1423</v>
      </c>
      <c r="AZ89" s="584"/>
      <c r="BA89" s="584"/>
      <c r="BC89" t="s">
        <v>1422</v>
      </c>
    </row>
    <row r="90" spans="1:62" x14ac:dyDescent="0.25">
      <c r="A90" s="1803"/>
      <c r="B90" s="1198" t="str">
        <f>+B91 &amp; " &amp; "&amp; B92</f>
        <v>1.i.1 Surface water &amp; 1.i.2 Groundwater</v>
      </c>
      <c r="D90" s="1025">
        <f>+SUM(PSUT_2013!AA11,PSUT_2013!AA16)</f>
        <v>673323.53595450707</v>
      </c>
      <c r="F90" s="1025">
        <f>+SUM(PSUT_2013!C11,PSUT_2013!C16)</f>
        <v>209034.90617213416</v>
      </c>
      <c r="H90" s="1024"/>
      <c r="I90" s="1024"/>
      <c r="J90" s="1024"/>
      <c r="K90" s="1024"/>
      <c r="L90" s="1024"/>
      <c r="M90" s="1025">
        <f>+SUM(PSUT_2013!D11,PSUT_2013!D16)</f>
        <v>1050.2002723500577</v>
      </c>
      <c r="N90" s="1025">
        <f>+SUM(PSUT_2013!E11,PSUT_2013!E16)</f>
        <v>23909.781051793296</v>
      </c>
      <c r="P90" s="1026"/>
      <c r="Q90" s="1026"/>
      <c r="R90" s="1026"/>
      <c r="S90" s="1026"/>
      <c r="T90" s="1026"/>
      <c r="U90" s="1026"/>
      <c r="V90" s="1026"/>
      <c r="W90" s="1025">
        <f>+SUM(PSUT_2013!F11,PSUT_2013!F16)</f>
        <v>345951.26144545968</v>
      </c>
      <c r="X90" s="1025">
        <f>+SUM(PSUT_2013!G11,PSUT_2013!G16)</f>
        <v>53068.710693793837</v>
      </c>
      <c r="Y90" s="1025">
        <f>+SUM(PSUT_2013!H11,PSUT_2013!H16)</f>
        <v>0</v>
      </c>
      <c r="Z90" s="1025">
        <f>+SUM(PSUT_2013!I11,PSUT_2013!I16)</f>
        <v>0</v>
      </c>
      <c r="AB90" s="1024"/>
      <c r="AC90" s="1024"/>
      <c r="AD90" s="1025">
        <f>+SUM(PSUT_2013!J11,PSUT_2013!J16)</f>
        <v>0</v>
      </c>
      <c r="AF90" s="1025">
        <f>+SUM(PSUT_2013!K11,PSUT_2013!K16)</f>
        <v>0</v>
      </c>
      <c r="AG90" s="1025">
        <f>+SUM(PSUT_2013!L11,PSUT_2013!L16)</f>
        <v>0</v>
      </c>
      <c r="AH90" s="1269">
        <f>+SUM(PSUT_2013!M11,PSUT_2013!M16)</f>
        <v>0</v>
      </c>
      <c r="AI90" s="1025">
        <f>+SUM(PSUT_2013!N11,PSUT_2013!N16)</f>
        <v>0</v>
      </c>
      <c r="AJ90" s="1025">
        <f>+SUM(PSUT_2013!O11,PSUT_2013!O16)</f>
        <v>0</v>
      </c>
      <c r="AK90" s="1025">
        <f>+SUM(PSUT_2013!P11,PSUT_2013!P16)</f>
        <v>0</v>
      </c>
      <c r="AL90" s="1025">
        <f>+SUM(PSUT_2013!Q11,PSUT_2013!Q16)</f>
        <v>0</v>
      </c>
      <c r="AM90" s="1025">
        <f>+SUM(PSUT_2013!R11,PSUT_2013!R16)</f>
        <v>133.11539999999999</v>
      </c>
      <c r="AN90" s="1025">
        <f>+SUM(PSUT_2013!S11,PSUT_2013!S16)</f>
        <v>90.790815573770487</v>
      </c>
      <c r="AO90" s="1025">
        <f>+SUM(PSUT_2013!T11,PSUT_2013!T16)</f>
        <v>0</v>
      </c>
      <c r="AP90" s="1025">
        <f>+SUM(PSUT_2013!U11,PSUT_2013!U16)</f>
        <v>2.0736000000000003</v>
      </c>
      <c r="AQ90" s="1025">
        <f>+SUM(PSUT_2013!V11,PSUT_2013!V16)</f>
        <v>0</v>
      </c>
      <c r="AR90" s="1025">
        <f>+SUM(PSUT_2013!W11,PSUT_2013!W16)</f>
        <v>633240.83945110487</v>
      </c>
      <c r="AS90" s="1025">
        <f>+SUM(PSUT_2013!X11,PSUT_2013!X16)</f>
        <v>40082.696503402331</v>
      </c>
      <c r="AT90" s="1025">
        <f>+SUM(PSUT_2013!AA11,PSUT_2013!AA16)</f>
        <v>673323.53595450707</v>
      </c>
      <c r="AU90" s="1025"/>
      <c r="AV90" s="1025">
        <f t="shared" si="30"/>
        <v>225.97981557377048</v>
      </c>
      <c r="AW90" s="1025"/>
      <c r="AY90" s="584"/>
      <c r="AZ90" s="584"/>
      <c r="BA90" s="584"/>
      <c r="BC90" t="s">
        <v>1423</v>
      </c>
    </row>
    <row r="91" spans="1:62" x14ac:dyDescent="0.25">
      <c r="A91" s="1803"/>
      <c r="B91" s="1198" t="str">
        <f>+(PSUT_2013!B11)</f>
        <v>1.i.1 Surface water</v>
      </c>
      <c r="D91" s="1025">
        <f>+(PSUT_2013!AA11)</f>
        <v>609449.27943779924</v>
      </c>
      <c r="E91" s="578"/>
      <c r="F91" s="1025">
        <f>+(PSUT_2013!C11)</f>
        <v>195157.23901430785</v>
      </c>
      <c r="H91" s="1024"/>
      <c r="I91" s="1024"/>
      <c r="J91" s="1024"/>
      <c r="K91" s="1024"/>
      <c r="L91" s="1024"/>
      <c r="M91" s="1025">
        <f>+(PSUT_2013!D11)</f>
        <v>986.41214235005782</v>
      </c>
      <c r="N91" s="1025">
        <f>+(PSUT_2013!E11)</f>
        <v>15026.920891167292</v>
      </c>
      <c r="P91" s="1026"/>
      <c r="Q91" s="1026"/>
      <c r="R91" s="1026"/>
      <c r="S91" s="1026"/>
      <c r="T91" s="1026"/>
      <c r="U91" s="1026"/>
      <c r="V91" s="1026"/>
      <c r="W91" s="1025">
        <f>+(PSUT_2013!F11)</f>
        <v>345951.26144545968</v>
      </c>
      <c r="X91" s="1025">
        <f>+(PSUT_2013!G11)</f>
        <v>41023.930895441081</v>
      </c>
      <c r="Y91" s="1025">
        <f>+(PSUT_2013!H11)</f>
        <v>0</v>
      </c>
      <c r="Z91" s="1025">
        <f>+(PSUT_2013!I11)</f>
        <v>0</v>
      </c>
      <c r="AB91" s="1024"/>
      <c r="AC91" s="1024"/>
      <c r="AD91" s="1025">
        <f>+(PSUT_2013!J11)</f>
        <v>0</v>
      </c>
      <c r="AF91" s="1025">
        <f>+(PSUT_2013!K11)</f>
        <v>0</v>
      </c>
      <c r="AG91" s="1025">
        <f>+(PSUT_2013!L11)</f>
        <v>0</v>
      </c>
      <c r="AH91" s="1269">
        <f>+(PSUT_2013!M11)</f>
        <v>0</v>
      </c>
      <c r="AI91" s="1025">
        <f>+(PSUT_2013!N11)</f>
        <v>0</v>
      </c>
      <c r="AJ91" s="1025">
        <f>+(PSUT_2013!O11)</f>
        <v>0</v>
      </c>
      <c r="AK91" s="1025">
        <f>+(PSUT_2013!P11)</f>
        <v>0</v>
      </c>
      <c r="AL91" s="1025">
        <f>+(PSUT_2013!Q11)</f>
        <v>0</v>
      </c>
      <c r="AM91" s="1025">
        <f>+(PSUT_2013!R11)</f>
        <v>0</v>
      </c>
      <c r="AN91" s="1025">
        <f>+(PSUT_2013!S11)</f>
        <v>0</v>
      </c>
      <c r="AO91" s="1025">
        <f>+SUM(PSUT_2013!T11:'PSUT_2013'!V11)</f>
        <v>2.0736000000000003</v>
      </c>
      <c r="AP91" s="1025">
        <f>+(PSUT_2013!U11)</f>
        <v>2.0736000000000003</v>
      </c>
      <c r="AQ91" s="1025">
        <f>+(PSUT_2013!V11)</f>
        <v>0</v>
      </c>
      <c r="AR91" s="1025">
        <f>+(PSUT_2013!W11)</f>
        <v>598147.83798872598</v>
      </c>
      <c r="AS91" s="1025">
        <f>+(PSUT_2013!X11)</f>
        <v>11301.441449073298</v>
      </c>
      <c r="AT91" s="1025">
        <f>+(PSUT_2013!AA11)</f>
        <v>609449.27943779924</v>
      </c>
      <c r="AU91" s="1025"/>
      <c r="AV91" s="1025">
        <f t="shared" si="30"/>
        <v>4.1472000000000007</v>
      </c>
      <c r="AW91" s="1025"/>
      <c r="AY91" s="584"/>
      <c r="AZ91" s="584"/>
      <c r="BA91" s="584"/>
    </row>
    <row r="92" spans="1:62" x14ac:dyDescent="0.25">
      <c r="A92" s="1803"/>
      <c r="B92" s="1198" t="str">
        <f>+(PSUT_2013!B16)</f>
        <v>1.i.2 Groundwater</v>
      </c>
      <c r="D92" s="1025">
        <f>+(PSUT_2013!AA16)</f>
        <v>63874.256516707879</v>
      </c>
      <c r="E92" s="1024"/>
      <c r="F92" s="1025">
        <f>+(PSUT_2013!C16)</f>
        <v>13877.667157826309</v>
      </c>
      <c r="H92" s="1024"/>
      <c r="I92" s="1024"/>
      <c r="J92" s="1024"/>
      <c r="K92" s="1024"/>
      <c r="L92" s="1024"/>
      <c r="M92" s="1025">
        <f>+(PSUT_2013!D16)</f>
        <v>63.788130000000002</v>
      </c>
      <c r="N92" s="1025">
        <f>+(PSUT_2013!E16)</f>
        <v>8882.8601606260054</v>
      </c>
      <c r="P92" s="1024"/>
      <c r="Q92" s="1024"/>
      <c r="R92" s="1024"/>
      <c r="S92" s="1024"/>
      <c r="T92" s="1024"/>
      <c r="U92" s="1024"/>
      <c r="V92" s="1024"/>
      <c r="W92" s="1025">
        <f>+(PSUT_2013!F16)</f>
        <v>0</v>
      </c>
      <c r="X92" s="1025">
        <f>+(PSUT_2013!G16)</f>
        <v>12044.779798352758</v>
      </c>
      <c r="Y92" s="1025">
        <f>+(PSUT_2013!H16)</f>
        <v>0</v>
      </c>
      <c r="Z92" s="1025">
        <f>+(PSUT_2013!I16)</f>
        <v>0</v>
      </c>
      <c r="AB92" s="1024"/>
      <c r="AC92" s="1024"/>
      <c r="AD92" s="1025">
        <f>+(PSUT_2013!J16)</f>
        <v>0</v>
      </c>
      <c r="AF92" s="1025">
        <f>+(PSUT_2013!K16)</f>
        <v>0</v>
      </c>
      <c r="AG92" s="1025">
        <f>+(PSUT_2013!L16)</f>
        <v>0</v>
      </c>
      <c r="AH92" s="1269">
        <f>+(PSUT_2013!M16)</f>
        <v>0</v>
      </c>
      <c r="AI92" s="1025">
        <f>+(PSUT_2013!N16)</f>
        <v>0</v>
      </c>
      <c r="AJ92" s="1025">
        <f>+(PSUT_2013!O16)</f>
        <v>0</v>
      </c>
      <c r="AK92" s="1025">
        <f>+(PSUT_2013!P16)</f>
        <v>0</v>
      </c>
      <c r="AL92" s="1025">
        <f>+(PSUT_2013!Q16)</f>
        <v>0</v>
      </c>
      <c r="AM92" s="1025">
        <f>+(PSUT_2013!R16)</f>
        <v>133.11539999999999</v>
      </c>
      <c r="AN92" s="1025">
        <f>+(PSUT_2013!S16)</f>
        <v>90.790815573770487</v>
      </c>
      <c r="AO92" s="1025">
        <f>+SUM(PSUT_2013!T16:'PSUT_2013'!V16)</f>
        <v>0</v>
      </c>
      <c r="AP92" s="1025">
        <f>+(PSUT_2013!U16)</f>
        <v>0</v>
      </c>
      <c r="AQ92" s="1025">
        <f>+(PSUT_2013!V16)</f>
        <v>0</v>
      </c>
      <c r="AR92" s="1025">
        <f>+(PSUT_2013!W16)</f>
        <v>35093.001462378845</v>
      </c>
      <c r="AS92" s="1025">
        <f>+(PSUT_2013!X16)</f>
        <v>28781.255054329034</v>
      </c>
      <c r="AT92" s="1025">
        <f>+(PSUT_2013!AA16)</f>
        <v>63874.256516707879</v>
      </c>
      <c r="AU92" s="1025"/>
      <c r="AV92" s="1025">
        <f t="shared" si="30"/>
        <v>223.90621557377048</v>
      </c>
      <c r="AW92" s="1025"/>
      <c r="BB92" s="584"/>
      <c r="BC92" s="584"/>
      <c r="BD92" s="584"/>
      <c r="BE92" s="584"/>
      <c r="BF92" s="584"/>
      <c r="BG92" s="584"/>
      <c r="BH92" s="584"/>
      <c r="BI92" s="584"/>
      <c r="BJ92" s="584"/>
    </row>
    <row r="93" spans="1:62" x14ac:dyDescent="0.25">
      <c r="A93" s="1803"/>
      <c r="B93" s="1198" t="str">
        <f>+(PSUT_2013!B19)</f>
        <v>1.i.3 Soil water (green water)</v>
      </c>
      <c r="D93" s="1025">
        <f>+(PSUT_2013!AA19)</f>
        <v>12800177.039928293</v>
      </c>
      <c r="E93" s="1024"/>
      <c r="F93" s="1025">
        <f>+(PSUT_2013!C19)</f>
        <v>12800177.039928293</v>
      </c>
      <c r="H93" s="1024"/>
      <c r="I93" s="1024"/>
      <c r="J93" s="1024"/>
      <c r="K93" s="1024"/>
      <c r="L93" s="1024"/>
      <c r="M93" s="1025">
        <f>+(PSUT_2013!D19)</f>
        <v>0</v>
      </c>
      <c r="N93" s="1025">
        <f>+(PSUT_2013!E19)</f>
        <v>0</v>
      </c>
      <c r="P93" s="1024"/>
      <c r="Q93" s="1024"/>
      <c r="R93" s="1024"/>
      <c r="S93" s="1024"/>
      <c r="T93" s="1024"/>
      <c r="U93" s="1024"/>
      <c r="V93" s="1024"/>
      <c r="W93" s="1025">
        <f>+(PSUT_2013!F19)</f>
        <v>0</v>
      </c>
      <c r="X93" s="1025">
        <f>+(PSUT_2013!G19)</f>
        <v>0</v>
      </c>
      <c r="Y93" s="1025">
        <f>+(PSUT_2013!H19)</f>
        <v>0</v>
      </c>
      <c r="Z93" s="1025">
        <f>+(PSUT_2013!I19)</f>
        <v>0</v>
      </c>
      <c r="AB93" s="1024"/>
      <c r="AC93" s="1024"/>
      <c r="AD93" s="1025">
        <f>+(PSUT_2013!J19)</f>
        <v>0</v>
      </c>
      <c r="AF93" s="1025">
        <f>+(PSUT_2013!K19)</f>
        <v>0</v>
      </c>
      <c r="AG93" s="1025">
        <f>+(PSUT_2013!L19)</f>
        <v>0</v>
      </c>
      <c r="AH93" s="1269">
        <f>+(PSUT_2013!M19)</f>
        <v>0</v>
      </c>
      <c r="AI93" s="1025">
        <f>+(PSUT_2013!N19)</f>
        <v>0</v>
      </c>
      <c r="AJ93" s="1025">
        <f>+(PSUT_2013!O19)</f>
        <v>0</v>
      </c>
      <c r="AK93" s="1025">
        <f>+(PSUT_2013!P19)</f>
        <v>0</v>
      </c>
      <c r="AL93" s="1025">
        <f>+(PSUT_2013!Q19)</f>
        <v>0</v>
      </c>
      <c r="AM93" s="1025">
        <f>+(PSUT_2013!R19)</f>
        <v>0</v>
      </c>
      <c r="AN93" s="1025">
        <f>+(PSUT_2013!S19)</f>
        <v>0</v>
      </c>
      <c r="AO93" s="1025">
        <f>+SUM(PSUT_2013!T19:'PSUT_2013'!V19)</f>
        <v>0</v>
      </c>
      <c r="AP93" s="1025">
        <f>+(PSUT_2013!U19)</f>
        <v>0</v>
      </c>
      <c r="AQ93" s="1025">
        <f>+(PSUT_2013!V19)</f>
        <v>0</v>
      </c>
      <c r="AR93" s="1025">
        <f>+(PSUT_2013!W19)</f>
        <v>12800177.039928293</v>
      </c>
      <c r="AS93" s="1025">
        <f>+(PSUT_2013!X19)</f>
        <v>0</v>
      </c>
      <c r="AT93" s="1025">
        <f>+(PSUT_2013!AA19)</f>
        <v>12800177.039928293</v>
      </c>
      <c r="AU93" s="1025"/>
      <c r="AV93" s="1025">
        <f t="shared" si="30"/>
        <v>0</v>
      </c>
      <c r="AW93" s="1025"/>
      <c r="BB93" s="584"/>
      <c r="BC93" s="584"/>
      <c r="BD93" s="584"/>
      <c r="BE93" s="584"/>
      <c r="BF93" s="584"/>
      <c r="BG93" s="584"/>
      <c r="BH93" s="584"/>
      <c r="BI93" s="584"/>
      <c r="BJ93" s="584"/>
    </row>
    <row r="94" spans="1:62" x14ac:dyDescent="0.25">
      <c r="A94" s="1803"/>
      <c r="B94" s="1198" t="str">
        <f>+(PSUT_2013!B20)</f>
        <v xml:space="preserve">1.ii From other sources </v>
      </c>
      <c r="D94" s="1025">
        <f>+(PSUT_2013!AA20)</f>
        <v>23252.684700000002</v>
      </c>
      <c r="E94" s="1024"/>
      <c r="F94" s="1025">
        <f>+(PSUT_2013!C20)</f>
        <v>807</v>
      </c>
      <c r="H94" s="1024"/>
      <c r="I94" s="1024"/>
      <c r="J94" s="1024"/>
      <c r="K94" s="1024"/>
      <c r="L94" s="1024"/>
      <c r="M94" s="1025">
        <f>+(PSUT_2013!D20)</f>
        <v>21359.8</v>
      </c>
      <c r="N94" s="1025">
        <f>+(PSUT_2013!E20)</f>
        <v>28.2</v>
      </c>
      <c r="P94" s="1024"/>
      <c r="Q94" s="1024"/>
      <c r="R94" s="1024"/>
      <c r="S94" s="1024"/>
      <c r="T94" s="1024"/>
      <c r="U94" s="1024"/>
      <c r="V94" s="1024"/>
      <c r="W94" s="1025">
        <f>+(PSUT_2013!F20)</f>
        <v>0</v>
      </c>
      <c r="X94" s="1025">
        <f>+(PSUT_2013!G20)</f>
        <v>0</v>
      </c>
      <c r="Y94" s="1025">
        <f>+(PSUT_2013!H20)</f>
        <v>0</v>
      </c>
      <c r="Z94" s="1025">
        <f>+(PSUT_2013!I20)</f>
        <v>0</v>
      </c>
      <c r="AB94" s="1024"/>
      <c r="AC94" s="1024"/>
      <c r="AD94" s="1025">
        <f>+(PSUT_2013!J20)</f>
        <v>0</v>
      </c>
      <c r="AF94" s="1025">
        <f>+(PSUT_2013!K20)</f>
        <v>0</v>
      </c>
      <c r="AG94" s="1025">
        <f>+(PSUT_2013!L20)</f>
        <v>0</v>
      </c>
      <c r="AH94" s="1269">
        <f>+(PSUT_2013!M20)</f>
        <v>0.06</v>
      </c>
      <c r="AI94" s="1025">
        <f>+(PSUT_2013!N20)</f>
        <v>0</v>
      </c>
      <c r="AJ94" s="1025">
        <f>+(PSUT_2013!O20)</f>
        <v>0</v>
      </c>
      <c r="AK94" s="1025">
        <f>+(PSUT_2013!P20)</f>
        <v>0</v>
      </c>
      <c r="AL94" s="1025">
        <f>+(PSUT_2013!Q20)</f>
        <v>0</v>
      </c>
      <c r="AM94" s="1025">
        <f>+(PSUT_2013!R20)</f>
        <v>0</v>
      </c>
      <c r="AN94" s="1025">
        <f>+(PSUT_2013!S20)</f>
        <v>497.98870000000005</v>
      </c>
      <c r="AO94" s="1025">
        <f>+SUM(PSUT_2013!T20:'PSUT_2013'!V20)</f>
        <v>9.636000000000001</v>
      </c>
      <c r="AP94" s="1025">
        <f>+(PSUT_2013!U20)</f>
        <v>9.636000000000001</v>
      </c>
      <c r="AQ94" s="1025">
        <f>+(PSUT_2013!V20)</f>
        <v>0</v>
      </c>
      <c r="AR94" s="1025">
        <f>+(PSUT_2013!W20)</f>
        <v>22702.684700000002</v>
      </c>
      <c r="AS94" s="1025">
        <f>+(PSUT_2013!X20)</f>
        <v>550</v>
      </c>
      <c r="AT94" s="1025">
        <f>+(PSUT_2013!AA20)</f>
        <v>23252.684700000002</v>
      </c>
      <c r="AU94" s="1025"/>
      <c r="AV94" s="1025">
        <f t="shared" si="30"/>
        <v>517.3207000000001</v>
      </c>
      <c r="AW94" s="1025"/>
      <c r="BC94" s="584"/>
      <c r="BD94" s="584"/>
      <c r="BE94" s="584"/>
      <c r="BF94" s="584"/>
      <c r="BG94" s="584"/>
      <c r="BH94" s="584"/>
      <c r="BI94" s="584"/>
      <c r="BJ94" s="584"/>
    </row>
    <row r="95" spans="1:62" x14ac:dyDescent="0.25">
      <c r="A95" s="1803"/>
      <c r="B95" s="1198" t="str">
        <f>+(PSUT_2013!B21)</f>
        <v>1.ii.1 Collection of precipitation (rainwater harvesting; ..)</v>
      </c>
      <c r="D95" s="1025">
        <f>+(PSUT_2013!AA21)</f>
        <v>23252.684700000002</v>
      </c>
      <c r="E95" s="1024"/>
      <c r="F95" s="1025">
        <f>+(PSUT_2013!C21)</f>
        <v>807</v>
      </c>
      <c r="H95" s="1024"/>
      <c r="I95" s="1024"/>
      <c r="J95" s="1024"/>
      <c r="K95" s="1024"/>
      <c r="L95" s="1024"/>
      <c r="M95" s="1025">
        <f>+(PSUT_2013!D21)</f>
        <v>21359.8</v>
      </c>
      <c r="N95" s="1025">
        <f>+(PSUT_2013!E21)</f>
        <v>28.2</v>
      </c>
      <c r="P95" s="1024"/>
      <c r="Q95" s="1024"/>
      <c r="R95" s="1024"/>
      <c r="S95" s="1024"/>
      <c r="T95" s="1024"/>
      <c r="U95" s="1024"/>
      <c r="V95" s="1024"/>
      <c r="W95" s="1025">
        <f>+(PSUT_2013!F21)</f>
        <v>0</v>
      </c>
      <c r="X95" s="1025">
        <f>+(PSUT_2013!G21)</f>
        <v>0</v>
      </c>
      <c r="Y95" s="1025">
        <f>+(PSUT_2013!H21)</f>
        <v>0</v>
      </c>
      <c r="Z95" s="1025">
        <f>+(PSUT_2013!I21)</f>
        <v>0</v>
      </c>
      <c r="AB95" s="1024"/>
      <c r="AC95" s="1024"/>
      <c r="AD95" s="1025">
        <f>+(PSUT_2013!J21)</f>
        <v>0</v>
      </c>
      <c r="AF95" s="1025">
        <f>+(PSUT_2013!K21)</f>
        <v>0</v>
      </c>
      <c r="AG95" s="1025">
        <f>+(PSUT_2013!L21)</f>
        <v>0</v>
      </c>
      <c r="AH95" s="1269">
        <f>+(PSUT_2013!M21)</f>
        <v>0.06</v>
      </c>
      <c r="AI95" s="1025">
        <f>+(PSUT_2013!N21)</f>
        <v>0</v>
      </c>
      <c r="AJ95" s="1025">
        <f>+(PSUT_2013!O21)</f>
        <v>0</v>
      </c>
      <c r="AK95" s="1025">
        <f>+(PSUT_2013!P21)</f>
        <v>0</v>
      </c>
      <c r="AL95" s="1025">
        <f>+(PSUT_2013!Q21)</f>
        <v>0</v>
      </c>
      <c r="AM95" s="1025">
        <f>+(PSUT_2013!R21)</f>
        <v>0</v>
      </c>
      <c r="AN95" s="1025">
        <f>+(PSUT_2013!S21)</f>
        <v>497.98870000000005</v>
      </c>
      <c r="AO95" s="1025">
        <f>+SUM(PSUT_2013!T21:'PSUT_2013'!V21)</f>
        <v>9.636000000000001</v>
      </c>
      <c r="AP95" s="1025">
        <f>+(PSUT_2013!U21)</f>
        <v>9.636000000000001</v>
      </c>
      <c r="AQ95" s="1025">
        <f>+(PSUT_2013!V21)</f>
        <v>0</v>
      </c>
      <c r="AR95" s="1025">
        <f>+(PSUT_2013!W21)</f>
        <v>22702.684700000002</v>
      </c>
      <c r="AS95" s="1025">
        <f>+(PSUT_2013!X21)</f>
        <v>550</v>
      </c>
      <c r="AT95" s="1025">
        <f>+(PSUT_2013!AA21)</f>
        <v>23252.684700000002</v>
      </c>
      <c r="AU95" s="1025"/>
      <c r="AV95" s="1025">
        <f t="shared" si="30"/>
        <v>517.3207000000001</v>
      </c>
      <c r="AW95" s="1025"/>
      <c r="BC95" s="584"/>
      <c r="BD95" s="584"/>
      <c r="BE95" s="584"/>
      <c r="BF95" s="584"/>
      <c r="BG95" s="584"/>
      <c r="BH95" s="584"/>
      <c r="BI95" s="584"/>
      <c r="BJ95" s="584"/>
    </row>
    <row r="96" spans="1:62" x14ac:dyDescent="0.25">
      <c r="A96" s="1204"/>
      <c r="B96" s="1198" t="str">
        <f>+(PSUT_2013!B22)</f>
        <v>1.ii.2 Abstraction from the sea</v>
      </c>
      <c r="D96" s="1025">
        <f>+(PSUT_2013!AA22)</f>
        <v>0</v>
      </c>
      <c r="E96" s="1024"/>
      <c r="F96" s="1025">
        <f>+(PSUT_2013!C22)</f>
        <v>0</v>
      </c>
      <c r="H96" s="1024"/>
      <c r="I96" s="1024"/>
      <c r="J96" s="1024"/>
      <c r="K96" s="1024"/>
      <c r="L96" s="1024"/>
      <c r="M96" s="1025">
        <f>+(PSUT_2013!D22)</f>
        <v>0</v>
      </c>
      <c r="N96" s="1025">
        <f>+(PSUT_2013!E22)</f>
        <v>0</v>
      </c>
      <c r="P96" s="1024"/>
      <c r="Q96" s="1024"/>
      <c r="R96" s="1024"/>
      <c r="S96" s="1024"/>
      <c r="T96" s="1024"/>
      <c r="U96" s="1024"/>
      <c r="V96" s="1024"/>
      <c r="W96" s="1025">
        <f>+(PSUT_2013!F22)</f>
        <v>0</v>
      </c>
      <c r="X96" s="1025">
        <f>+(PSUT_2013!G22)</f>
        <v>0</v>
      </c>
      <c r="Y96" s="1025">
        <f>+(PSUT_2013!H22)</f>
        <v>0</v>
      </c>
      <c r="Z96" s="1025">
        <f>+(PSUT_2013!I22)</f>
        <v>0</v>
      </c>
      <c r="AB96" s="1024"/>
      <c r="AC96" s="1024"/>
      <c r="AD96" s="1025">
        <f>+(PSUT_2013!J22)</f>
        <v>0</v>
      </c>
      <c r="AF96" s="1025">
        <f>+(PSUT_2013!K22)</f>
        <v>0</v>
      </c>
      <c r="AG96" s="1025">
        <f>+(PSUT_2013!L22)</f>
        <v>0</v>
      </c>
      <c r="AH96" s="1269">
        <f>+(PSUT_2013!M22)</f>
        <v>0</v>
      </c>
      <c r="AI96" s="1025">
        <f>+(PSUT_2013!N22)</f>
        <v>0</v>
      </c>
      <c r="AJ96" s="1025">
        <f>+(PSUT_2013!O22)</f>
        <v>0</v>
      </c>
      <c r="AK96" s="1025">
        <f>+(PSUT_2013!P22)</f>
        <v>0</v>
      </c>
      <c r="AL96" s="1025">
        <f>+(PSUT_2013!Q22)</f>
        <v>0</v>
      </c>
      <c r="AM96" s="1025">
        <f>+(PSUT_2013!R22)</f>
        <v>0</v>
      </c>
      <c r="AN96" s="1025">
        <f>+(PSUT_2013!S22)</f>
        <v>0</v>
      </c>
      <c r="AO96" s="1025">
        <f>+SUM(PSUT_2013!T22:'PSUT_2013'!V22)</f>
        <v>0</v>
      </c>
      <c r="AP96" s="1025">
        <f>+(PSUT_2013!U22)</f>
        <v>0</v>
      </c>
      <c r="AQ96" s="1025">
        <f>+(PSUT_2013!V22)</f>
        <v>0</v>
      </c>
      <c r="AR96" s="1025">
        <f>+(PSUT_2013!W22)</f>
        <v>0</v>
      </c>
      <c r="AS96" s="1025">
        <f>+(PSUT_2013!X22)</f>
        <v>0</v>
      </c>
      <c r="AT96" s="1025">
        <f>+(PSUT_2013!AA22)</f>
        <v>0</v>
      </c>
      <c r="AU96" s="1025"/>
      <c r="AV96" s="1025">
        <f t="shared" si="30"/>
        <v>0</v>
      </c>
      <c r="AW96" s="1025"/>
      <c r="BC96" s="584"/>
      <c r="BD96" s="584"/>
      <c r="BE96" s="584"/>
      <c r="BF96" s="584"/>
      <c r="BG96" s="584"/>
      <c r="BH96" s="584"/>
      <c r="BI96" s="584"/>
      <c r="BJ96" s="584"/>
    </row>
    <row r="97" spans="1:62" x14ac:dyDescent="0.25">
      <c r="A97" s="1204"/>
      <c r="B97" s="1198" t="str">
        <f>+(PSUT_2013!B23)</f>
        <v>2. Use of water received from other economic units</v>
      </c>
      <c r="D97" s="1025">
        <f>+(PSUT_2013!AA23)</f>
        <v>1160562.9602874902</v>
      </c>
      <c r="E97" s="1024"/>
      <c r="F97" s="1025">
        <f>+(PSUT_2013!C23)</f>
        <v>90250</v>
      </c>
      <c r="H97" s="1024"/>
      <c r="I97" s="1024"/>
      <c r="J97" s="1024"/>
      <c r="K97" s="1024"/>
      <c r="L97" s="1024"/>
      <c r="M97" s="1025">
        <f>+(PSUT_2013!D23)</f>
        <v>0</v>
      </c>
      <c r="N97" s="1025">
        <f>+(PSUT_2013!E23)</f>
        <v>642763.78523033194</v>
      </c>
      <c r="P97" s="1024"/>
      <c r="Q97" s="1024"/>
      <c r="R97" s="1024"/>
      <c r="S97" s="1024"/>
      <c r="T97" s="1024"/>
      <c r="U97" s="1024"/>
      <c r="V97" s="1024"/>
      <c r="W97" s="1025">
        <f>+(PSUT_2013!F23)</f>
        <v>0</v>
      </c>
      <c r="X97" s="1025">
        <f>+(PSUT_2013!G23)</f>
        <v>0</v>
      </c>
      <c r="Y97" s="1025">
        <f>+(PSUT_2013!H23)</f>
        <v>0</v>
      </c>
      <c r="Z97" s="1025">
        <f>+(PSUT_2013!I23)</f>
        <v>0</v>
      </c>
      <c r="AB97" s="1024"/>
      <c r="AC97" s="1024"/>
      <c r="AD97" s="1025">
        <f>+(PSUT_2013!J23)</f>
        <v>0</v>
      </c>
      <c r="AF97" s="1025">
        <f>+(PSUT_2013!K23)</f>
        <v>16672.61</v>
      </c>
      <c r="AG97" s="1025">
        <f>+(PSUT_2013!L23)</f>
        <v>0</v>
      </c>
      <c r="AH97" s="1269">
        <f>+(PSUT_2013!M23)</f>
        <v>76.030545405347283</v>
      </c>
      <c r="AI97" s="1025">
        <f>+(PSUT_2013!N23)</f>
        <v>0</v>
      </c>
      <c r="AJ97" s="1025">
        <f>+(PSUT_2013!O23)</f>
        <v>0</v>
      </c>
      <c r="AK97" s="1025">
        <f>+(PSUT_2013!P23)</f>
        <v>0</v>
      </c>
      <c r="AL97" s="1025">
        <f>+(PSUT_2013!Q23)</f>
        <v>0</v>
      </c>
      <c r="AM97" s="1025">
        <f>+(PSUT_2013!R23)</f>
        <v>224372.33</v>
      </c>
      <c r="AN97" s="1025">
        <f>+(PSUT_2013!S23)</f>
        <v>3720.9427500000002</v>
      </c>
      <c r="AO97" s="1025">
        <f>+SUM(PSUT_2013!T23:'PSUT_2013'!V23)</f>
        <v>131.69367175295594</v>
      </c>
      <c r="AP97" s="1025">
        <f>+(PSUT_2013!U23)</f>
        <v>131.69367175295594</v>
      </c>
      <c r="AQ97" s="1025">
        <f>+(PSUT_2013!V23)</f>
        <v>0</v>
      </c>
      <c r="AR97" s="1025">
        <f>+(PSUT_2013!W23)</f>
        <v>977987.3921974902</v>
      </c>
      <c r="AS97" s="1025">
        <f>+(PSUT_2013!X23)</f>
        <v>176061</v>
      </c>
      <c r="AT97" s="1025">
        <f>+(PSUT_2013!AA23)</f>
        <v>1160562.9602874902</v>
      </c>
      <c r="AU97" s="1025"/>
      <c r="AV97" s="1025">
        <f t="shared" si="30"/>
        <v>245105.30063891126</v>
      </c>
      <c r="AW97" s="1025"/>
      <c r="BC97" s="584"/>
      <c r="BD97" s="584"/>
      <c r="BE97" s="584"/>
      <c r="BF97" s="584"/>
      <c r="BG97" s="584"/>
      <c r="BH97" s="584"/>
      <c r="BI97" s="584"/>
      <c r="BJ97" s="584"/>
    </row>
    <row r="98" spans="1:62" x14ac:dyDescent="0.25">
      <c r="A98" s="1204"/>
      <c r="B98" s="1198" t="str">
        <f>+(PSUT_2013!A24)</f>
        <v>3. Total use of water (=1+2)</v>
      </c>
      <c r="D98" s="1025">
        <f>+(PSUT_2013!AA24)</f>
        <v>14657521.340524765</v>
      </c>
      <c r="E98" s="1024"/>
      <c r="F98" s="1025">
        <f>+(PSUT_2013!C24)</f>
        <v>13100268.946100427</v>
      </c>
      <c r="H98" s="1024"/>
      <c r="I98" s="1024"/>
      <c r="J98" s="1024"/>
      <c r="K98" s="1024"/>
      <c r="L98" s="1024"/>
      <c r="M98" s="1025">
        <f>+(PSUT_2013!D24)</f>
        <v>22410.000272350058</v>
      </c>
      <c r="N98" s="1025">
        <f>+(PSUT_2013!E24)</f>
        <v>666701.76628212526</v>
      </c>
      <c r="P98" s="1024"/>
      <c r="Q98" s="1024"/>
      <c r="R98" s="1024"/>
      <c r="S98" s="1024"/>
      <c r="T98" s="1024"/>
      <c r="U98" s="1024"/>
      <c r="V98" s="1024"/>
      <c r="W98" s="1025">
        <f>+(PSUT_2013!F24)</f>
        <v>345951.26144545968</v>
      </c>
      <c r="X98" s="1025">
        <f>+(PSUT_2013!G24)</f>
        <v>53273.830348271033</v>
      </c>
      <c r="Y98" s="1025">
        <f>+(PSUT_2013!H24)</f>
        <v>0</v>
      </c>
      <c r="Z98" s="1025">
        <f>+(PSUT_2013!I24)</f>
        <v>0</v>
      </c>
      <c r="AB98" s="1024"/>
      <c r="AC98" s="1024"/>
      <c r="AD98" s="1025">
        <f>+(PSUT_2013!J24)</f>
        <v>0</v>
      </c>
      <c r="AF98" s="1025">
        <f>+(PSUT_2013!K24)</f>
        <v>16672.61</v>
      </c>
      <c r="AG98" s="1025">
        <f>+(PSUT_2013!L24)</f>
        <v>0</v>
      </c>
      <c r="AH98" s="1269">
        <f>+(PSUT_2013!M24)</f>
        <v>76.090545405347285</v>
      </c>
      <c r="AI98" s="1025">
        <f>+(PSUT_2013!N24)</f>
        <v>0</v>
      </c>
      <c r="AJ98" s="1025">
        <f>+(PSUT_2013!O24)</f>
        <v>0</v>
      </c>
      <c r="AK98" s="1025">
        <f>+(PSUT_2013!P24)</f>
        <v>0</v>
      </c>
      <c r="AL98" s="1025">
        <f>+(PSUT_2013!Q24)</f>
        <v>0</v>
      </c>
      <c r="AM98" s="1025">
        <f>+(PSUT_2013!R24)</f>
        <v>224505.4454</v>
      </c>
      <c r="AN98" s="1025">
        <f>+(PSUT_2013!S24)</f>
        <v>4309.7222655737705</v>
      </c>
      <c r="AO98" s="1025">
        <f>+SUM(PSUT_2013!T24:'PSUT_2013'!V24)</f>
        <v>143.40327175295593</v>
      </c>
      <c r="AP98" s="1025">
        <f>+(PSUT_2013!U24)</f>
        <v>143.40327175295593</v>
      </c>
      <c r="AQ98" s="1025">
        <f>+(PSUT_2013!V24)</f>
        <v>0</v>
      </c>
      <c r="AR98" s="1025">
        <f>+(PSUT_2013!W24)</f>
        <v>14434313.075931363</v>
      </c>
      <c r="AS98" s="1025">
        <f>+(PSUT_2013!X24)</f>
        <v>216693.69650340232</v>
      </c>
      <c r="AT98" s="1025">
        <f>+(PSUT_2013!AA24)</f>
        <v>14657521.340524765</v>
      </c>
      <c r="AU98" s="1025"/>
      <c r="AV98" s="1025">
        <f t="shared" si="30"/>
        <v>245850.67475448505</v>
      </c>
      <c r="AW98" s="1025"/>
    </row>
    <row r="99" spans="1:62" x14ac:dyDescent="0.25">
      <c r="A99" s="1204"/>
      <c r="B99" s="1198" t="str">
        <f>+(PSUT_2013!B35)</f>
        <v>4. Supply of water to other economic units</v>
      </c>
      <c r="D99" s="1025">
        <f>+(PSUT_2013!AA35)</f>
        <v>34783.17016308345</v>
      </c>
      <c r="E99" s="1024"/>
      <c r="F99" s="1025">
        <f>+(PSUT_2013!C35)</f>
        <v>0</v>
      </c>
      <c r="H99" s="1024"/>
      <c r="I99" s="1024"/>
      <c r="J99" s="1024"/>
      <c r="K99" s="1024"/>
      <c r="L99" s="1024"/>
      <c r="M99" s="1025">
        <f>+(PSUT_2013!D35)</f>
        <v>21289.500258732554</v>
      </c>
      <c r="N99" s="1025">
        <f>+(PSUT_2013!E35)</f>
        <v>816.87563283886971</v>
      </c>
      <c r="P99" s="1024"/>
      <c r="Q99" s="1024"/>
      <c r="R99" s="1024"/>
      <c r="S99" s="1024"/>
      <c r="T99" s="1024"/>
      <c r="U99" s="1024"/>
      <c r="V99" s="1024"/>
      <c r="W99" s="1025">
        <f>+(PSUT_2013!F35)</f>
        <v>0</v>
      </c>
      <c r="X99" s="1025">
        <f>+(PSUT_2013!G35)</f>
        <v>0</v>
      </c>
      <c r="Y99" s="1025">
        <f>+(PSUT_2013!H35)</f>
        <v>0</v>
      </c>
      <c r="Z99" s="1025">
        <f>+(PSUT_2013!I35)</f>
        <v>0</v>
      </c>
      <c r="AB99" s="1024"/>
      <c r="AC99" s="1024"/>
      <c r="AD99" s="1025">
        <f>+(PSUT_2013!J35)</f>
        <v>0</v>
      </c>
      <c r="AF99" s="1025">
        <f>+(PSUT_2013!K35)</f>
        <v>12671.183667903779</v>
      </c>
      <c r="AG99" s="1025">
        <f>+(PSUT_2013!L35)</f>
        <v>0</v>
      </c>
      <c r="AH99" s="1269">
        <f>+(PSUT_2013!M35)</f>
        <v>5.6106036082474233</v>
      </c>
      <c r="AI99" s="1025">
        <f>+(PSUT_2013!N35)</f>
        <v>0</v>
      </c>
      <c r="AJ99" s="1025">
        <f>+(PSUT_2013!O35)</f>
        <v>0</v>
      </c>
      <c r="AK99" s="1025">
        <f>+(PSUT_2013!P35)</f>
        <v>0</v>
      </c>
      <c r="AL99" s="1025">
        <f>+(PSUT_2013!Q35)</f>
        <v>0</v>
      </c>
      <c r="AM99" s="1025">
        <f>+(PSUT_2013!R35)</f>
        <v>0</v>
      </c>
      <c r="AN99" s="1025">
        <f>+(PSUT_2013!S35)</f>
        <v>0</v>
      </c>
      <c r="AO99" s="1025">
        <f>+SUM(PSUT_2013!T35:'PSUT_2013'!V35)</f>
        <v>0</v>
      </c>
      <c r="AP99" s="1025">
        <f>+(PSUT_2013!U35)</f>
        <v>0</v>
      </c>
      <c r="AQ99" s="1025">
        <f>+(PSUT_2013!V35)</f>
        <v>0</v>
      </c>
      <c r="AR99" s="1025">
        <f>+(PSUT_2013!W35)</f>
        <v>34783.17016308345</v>
      </c>
      <c r="AS99" s="1025">
        <f>+(PSUT_2013!X35)</f>
        <v>0</v>
      </c>
      <c r="AT99" s="1025">
        <f>+(PSUT_2013!AA35)</f>
        <v>34783.17016308345</v>
      </c>
      <c r="AU99" s="1025"/>
      <c r="AV99" s="1025">
        <f t="shared" si="30"/>
        <v>12676.794271512026</v>
      </c>
      <c r="AW99" s="1025"/>
    </row>
    <row r="100" spans="1:62" x14ac:dyDescent="0.25">
      <c r="A100" s="267"/>
      <c r="B100" s="1198" t="str">
        <f>+(PSUT_2013!B38)</f>
        <v>5. Total returns (= 5.a+5.b)</v>
      </c>
      <c r="D100" s="1025">
        <f>+(PSUT_2013!AA38)</f>
        <v>2591609.9678420178</v>
      </c>
      <c r="F100" s="1025">
        <f>+(PSUT_2013!C38)</f>
        <v>1474325.5673850428</v>
      </c>
      <c r="M100" s="1025">
        <f>+(PSUT_2013!D38)</f>
        <v>54.219910499999997</v>
      </c>
      <c r="N100" s="1025">
        <f>+(PSUT_2013!E38)</f>
        <v>514699.26072578493</v>
      </c>
      <c r="W100" s="1025">
        <f>+(PSUT_2013!F38)</f>
        <v>328653.69837318669</v>
      </c>
      <c r="X100" s="1025">
        <f>+(PSUT_2013!G38)</f>
        <v>2570.3302400000002</v>
      </c>
      <c r="Y100" s="1025">
        <f>+(PSUT_2013!H38)</f>
        <v>0</v>
      </c>
      <c r="Z100" s="1025">
        <f>+(PSUT_2013!I38)</f>
        <v>0</v>
      </c>
      <c r="AD100" s="1025">
        <f>+(PSUT_2013!J38)</f>
        <v>0</v>
      </c>
      <c r="AF100" s="1025">
        <f>+(PSUT_2013!K38)</f>
        <v>301.01142363711335</v>
      </c>
      <c r="AG100" s="1025">
        <f>+(PSUT_2013!L38)</f>
        <v>0</v>
      </c>
      <c r="AH100" s="1269">
        <f>+(PSUT_2013!M38)</f>
        <v>56.868619657611163</v>
      </c>
      <c r="AI100" s="1025">
        <f>+(PSUT_2013!N38)</f>
        <v>0</v>
      </c>
      <c r="AJ100" s="1025">
        <f>+(PSUT_2013!O38)</f>
        <v>0</v>
      </c>
      <c r="AK100" s="1025">
        <f>+(PSUT_2013!P38)</f>
        <v>0</v>
      </c>
      <c r="AL100" s="1025">
        <f>+(PSUT_2013!Q38)</f>
        <v>0</v>
      </c>
      <c r="AM100" s="1025">
        <f>+(PSUT_2013!R38)</f>
        <v>179497.86400000003</v>
      </c>
      <c r="AN100" s="1025">
        <f>+(PSUT_2013!S38)</f>
        <v>3447.7778158871602</v>
      </c>
      <c r="AO100" s="1025">
        <f>+SUM(PSUT_2013!T38:'PSUT_2013'!V38)</f>
        <v>10.714873014735879</v>
      </c>
      <c r="AP100" s="1025">
        <f>+(PSUT_2013!U38)</f>
        <v>10.714873014735879</v>
      </c>
      <c r="AQ100" s="1025">
        <f>+(PSUT_2013!V38)</f>
        <v>0</v>
      </c>
      <c r="AR100" s="1025">
        <f>+(PSUT_2013!W38)</f>
        <v>2503617.3133667116</v>
      </c>
      <c r="AS100" s="1025">
        <f>+(PSUT_2013!X38)</f>
        <v>82781</v>
      </c>
      <c r="AT100" s="1025">
        <f>+(PSUT_2013!AA38)</f>
        <v>2591609.9678420178</v>
      </c>
      <c r="AU100" s="1025"/>
      <c r="AV100" s="1025">
        <f t="shared" si="30"/>
        <v>183324.95160521139</v>
      </c>
      <c r="AW100" s="1025"/>
    </row>
    <row r="101" spans="1:62" x14ac:dyDescent="0.25">
      <c r="A101" s="267"/>
      <c r="B101" s="1198" t="str">
        <f>+(PSUT_2013!A44)</f>
        <v>6. Total supply of water (= 4+5)</v>
      </c>
      <c r="D101" s="1025">
        <f>+(PSUT_2013!AA44)</f>
        <v>2626393.1380051011</v>
      </c>
      <c r="F101" s="1025">
        <f>+(PSUT_2013!C44)</f>
        <v>1474325.5673850428</v>
      </c>
      <c r="M101" s="1025">
        <f>+(PSUT_2013!D44)</f>
        <v>21343.720169232554</v>
      </c>
      <c r="N101" s="1025">
        <f>+(PSUT_2013!E44)</f>
        <v>515516.1363586238</v>
      </c>
      <c r="W101" s="1025">
        <f>+(PSUT_2013!F44)</f>
        <v>328653.69837318669</v>
      </c>
      <c r="X101" s="1025">
        <f>+(PSUT_2013!G44)</f>
        <v>2570.3302400000002</v>
      </c>
      <c r="Y101" s="1025">
        <f>+(PSUT_2013!H44)</f>
        <v>0</v>
      </c>
      <c r="Z101" s="1025">
        <f>+(PSUT_2013!I44)</f>
        <v>0</v>
      </c>
      <c r="AD101" s="1025">
        <f>+(PSUT_2013!J44)</f>
        <v>0</v>
      </c>
      <c r="AF101" s="1025">
        <f>+(PSUT_2013!K44)</f>
        <v>12972.195091540892</v>
      </c>
      <c r="AG101" s="1025">
        <f>+(PSUT_2013!L44)</f>
        <v>0</v>
      </c>
      <c r="AH101" s="1269">
        <f>+(PSUT_2013!M44)</f>
        <v>62.479223265858586</v>
      </c>
      <c r="AI101" s="1025">
        <f>+(PSUT_2013!N44)</f>
        <v>0</v>
      </c>
      <c r="AJ101" s="1025">
        <f>+(PSUT_2013!O44)</f>
        <v>0</v>
      </c>
      <c r="AK101" s="1025">
        <f>+(PSUT_2013!P44)</f>
        <v>0</v>
      </c>
      <c r="AL101" s="1025">
        <f>+(PSUT_2013!Q44)</f>
        <v>0</v>
      </c>
      <c r="AM101" s="1025">
        <f>+(PSUT_2013!R44)</f>
        <v>179497.86400000003</v>
      </c>
      <c r="AN101" s="1025">
        <f>+(PSUT_2013!S44)</f>
        <v>3447.7778158871602</v>
      </c>
      <c r="AO101" s="1025">
        <f>+SUM(PSUT_2013!T44:'PSUT_2013'!V44)</f>
        <v>10.714873014735879</v>
      </c>
      <c r="AP101" s="1025">
        <f>+(PSUT_2013!U44)</f>
        <v>10.714873014735879</v>
      </c>
      <c r="AQ101" s="1025">
        <f>+(PSUT_2013!V44)</f>
        <v>0</v>
      </c>
      <c r="AR101" s="1025">
        <f>+(PSUT_2013!W44)</f>
        <v>2538400.483529795</v>
      </c>
      <c r="AS101" s="1025">
        <f>+(PSUT_2013!X44)</f>
        <v>82781</v>
      </c>
      <c r="AT101" s="1025">
        <f>+(PSUT_2013!AA44)</f>
        <v>2626393.1380051011</v>
      </c>
      <c r="AU101" s="1025"/>
      <c r="AV101" s="1025">
        <f t="shared" si="30"/>
        <v>196001.74587672343</v>
      </c>
      <c r="AW101" s="1025"/>
    </row>
    <row r="102" spans="1:62" x14ac:dyDescent="0.25">
      <c r="A102" s="1199"/>
      <c r="B102" s="1200" t="str">
        <f>+(PSUT_2013!A45)</f>
        <v>7. Consumption (3-6)</v>
      </c>
      <c r="C102" s="295"/>
      <c r="D102" s="1028">
        <f>+(PSUT_2013!AA45)</f>
        <v>12031128.20251967</v>
      </c>
      <c r="E102" s="295"/>
      <c r="F102" s="1028">
        <f>+(PSUT_2013!C45)</f>
        <v>11625943.378715385</v>
      </c>
      <c r="G102" s="295"/>
      <c r="H102" s="295"/>
      <c r="I102" s="295"/>
      <c r="J102" s="295"/>
      <c r="K102" s="295"/>
      <c r="L102" s="295"/>
      <c r="M102" s="1028">
        <f>+(PSUT_2013!D45)</f>
        <v>1066.280103117504</v>
      </c>
      <c r="N102" s="1028">
        <f>+(PSUT_2013!E45)</f>
        <v>151185.62992350146</v>
      </c>
      <c r="O102" s="295"/>
      <c r="P102" s="295"/>
      <c r="Q102" s="295"/>
      <c r="R102" s="295"/>
      <c r="S102" s="295"/>
      <c r="T102" s="295"/>
      <c r="U102" s="295"/>
      <c r="V102" s="295"/>
      <c r="W102" s="1195">
        <f>+(PSUT_2013!F45)</f>
        <v>17297.563072272984</v>
      </c>
      <c r="X102" s="1028">
        <f>+(PSUT_2013!G45)</f>
        <v>50703.50010827103</v>
      </c>
      <c r="Y102" s="1028">
        <f>+(PSUT_2013!H45)</f>
        <v>0</v>
      </c>
      <c r="Z102" s="1028">
        <f>+(PSUT_2013!I45)</f>
        <v>0</v>
      </c>
      <c r="AA102" s="295"/>
      <c r="AB102" s="295"/>
      <c r="AC102" s="295"/>
      <c r="AD102" s="1028">
        <f>+(PSUT_2013!J45)</f>
        <v>0</v>
      </c>
      <c r="AE102" s="295"/>
      <c r="AF102" s="1028">
        <f>+(PSUT_2013!K45)</f>
        <v>3700.4149084591081</v>
      </c>
      <c r="AG102" s="1028">
        <f>+(PSUT_2013!L45)</f>
        <v>0</v>
      </c>
      <c r="AH102" s="1270">
        <f>+(PSUT_2013!M45)</f>
        <v>13.611322139488699</v>
      </c>
      <c r="AI102" s="1028">
        <f>+(PSUT_2013!N45)</f>
        <v>0</v>
      </c>
      <c r="AJ102" s="1028">
        <f>+(PSUT_2013!O45)</f>
        <v>0</v>
      </c>
      <c r="AK102" s="1028">
        <f>+(PSUT_2013!P45)</f>
        <v>0</v>
      </c>
      <c r="AL102" s="1028">
        <f>+(PSUT_2013!Q45)</f>
        <v>0</v>
      </c>
      <c r="AM102" s="1028">
        <f>+(PSUT_2013!R45)</f>
        <v>45007.581399999966</v>
      </c>
      <c r="AN102" s="1028">
        <f>+(PSUT_2013!S45)</f>
        <v>861.94444968661037</v>
      </c>
      <c r="AO102" s="1028">
        <f>+SUM(PSUT_2013!T45:'PSUT_2013'!V45)</f>
        <v>132.68839873822006</v>
      </c>
      <c r="AP102" s="1028">
        <f>+(PSUT_2013!U45)</f>
        <v>132.68839873822006</v>
      </c>
      <c r="AQ102" s="1028">
        <f>+(PSUT_2013!V45)</f>
        <v>0</v>
      </c>
      <c r="AR102" s="1028">
        <f>+(PSUT_2013!W45)</f>
        <v>11895912.592401573</v>
      </c>
      <c r="AS102" s="1028">
        <f>+(PSUT_2013!X45)</f>
        <v>133912.69650340232</v>
      </c>
      <c r="AT102" s="1028">
        <f>+(PSUT_2013!AA45)</f>
        <v>12031128.20251967</v>
      </c>
      <c r="AU102" s="1025"/>
      <c r="AV102" s="1028">
        <f t="shared" si="30"/>
        <v>49848.928877761609</v>
      </c>
      <c r="AW102" s="1025"/>
    </row>
    <row r="103" spans="1:62" x14ac:dyDescent="0.25">
      <c r="B103" s="1025"/>
      <c r="F103" s="1025"/>
      <c r="M103" s="1025"/>
      <c r="N103" s="1025"/>
      <c r="W103" s="1025"/>
      <c r="X103" s="1025"/>
      <c r="Y103" s="1025"/>
      <c r="Z103" s="1025"/>
      <c r="AD103" s="1025"/>
      <c r="AF103" s="1025"/>
      <c r="AG103" s="1025"/>
      <c r="AH103" s="1025"/>
      <c r="AI103" s="1025"/>
      <c r="AJ103" s="1025"/>
      <c r="AK103" s="1025"/>
      <c r="AL103" s="1025"/>
      <c r="AM103" s="1025"/>
      <c r="AN103" s="1025"/>
      <c r="AO103" s="1025"/>
      <c r="AP103" s="1025"/>
      <c r="AQ103" s="1025"/>
      <c r="AR103" s="1025"/>
      <c r="AS103" s="1025"/>
      <c r="AU103" s="1025"/>
      <c r="AV103" s="1025"/>
      <c r="AW103" s="1025"/>
    </row>
    <row r="105" spans="1:62" ht="150" x14ac:dyDescent="0.25">
      <c r="A105" s="1206"/>
      <c r="B105" s="1207" t="s">
        <v>1406</v>
      </c>
      <c r="C105" s="1207" t="s">
        <v>1050</v>
      </c>
      <c r="D105" s="1230" t="str">
        <f>PSUT_2014!AA3</f>
        <v xml:space="preserve">Total </v>
      </c>
      <c r="E105" s="1207"/>
      <c r="F105" s="1230" t="str">
        <f>PSUT_2014!C4</f>
        <v xml:space="preserve">A. Agriculture, forestry and fishing </v>
      </c>
      <c r="G105" s="1207"/>
      <c r="H105" s="1207"/>
      <c r="I105" s="1207"/>
      <c r="J105" s="1207"/>
      <c r="K105" s="1207"/>
      <c r="L105" s="1207"/>
      <c r="M105" s="1230" t="str">
        <f>PSUT_2014!D4</f>
        <v xml:space="preserve">B. Mining and Quarrying </v>
      </c>
      <c r="N105" s="1230" t="str">
        <f>PSUT_2014!E4</f>
        <v>C. Manufacturing</v>
      </c>
      <c r="O105" s="1207"/>
      <c r="P105" s="1207"/>
      <c r="Q105" s="1207"/>
      <c r="R105" s="1207"/>
      <c r="S105" s="1207"/>
      <c r="T105" s="1207"/>
      <c r="U105" s="1207"/>
      <c r="V105" s="1207"/>
      <c r="W105" s="1230" t="str">
        <f>PSUT_2014!F4</f>
        <v>D. Electricity, gas, steam and air conditioning supply</v>
      </c>
      <c r="X105" s="1230" t="str">
        <f>PSUT_2014!G4</f>
        <v>E. Water supply (WASAC &amp; AquaVirunga)</v>
      </c>
      <c r="Y105" s="1230" t="str">
        <f>PSUT_2014!H4</f>
        <v>F. Construction</v>
      </c>
      <c r="Z105" s="1230" t="str">
        <f>PSUT_2014!I4</f>
        <v>G. Wholesale and retail trade; repair of motor vehicles and motorcycles</v>
      </c>
      <c r="AA105" s="1207"/>
      <c r="AB105" s="1207"/>
      <c r="AC105" s="1207"/>
      <c r="AD105" s="1230" t="str">
        <f>PSUT_2014!J4</f>
        <v>H. Transportation and storage</v>
      </c>
      <c r="AE105" s="1207"/>
      <c r="AF105" s="1230" t="str">
        <f>PSUT_2014!K4</f>
        <v>I. Accommodation and food service activities</v>
      </c>
      <c r="AG105" s="1230" t="str">
        <f>PSUT_2014!L4</f>
        <v>J. Information and communication</v>
      </c>
      <c r="AH105" s="1230" t="str">
        <f>PSUT_2014!M4</f>
        <v>K. Banking and insurance activities</v>
      </c>
      <c r="AI105" s="1230" t="str">
        <f>PSUT_2014!N4</f>
        <v>L. Real estate activities</v>
      </c>
      <c r="AJ105" s="1230" t="str">
        <f>PSUT_2014!O4</f>
        <v>M. Professional, scientific and technical activities</v>
      </c>
      <c r="AK105" s="1230" t="str">
        <f>PSUT_2014!P4</f>
        <v>N. Administrative and support service activities</v>
      </c>
      <c r="AL105" s="1230" t="str">
        <f>PSUT_2014!Q4</f>
        <v>O. Public administration and defence; compulsory social security</v>
      </c>
      <c r="AM105" s="1230" t="str">
        <f>PSUT_2014!R4</f>
        <v>P. Education</v>
      </c>
      <c r="AN105" s="1230" t="str">
        <f>PSUT_2014!S4</f>
        <v xml:space="preserve">Q. Human health and social work activities </v>
      </c>
      <c r="AO105" s="1230" t="str">
        <f>PSUT_2014!T4</f>
        <v>R. Arts, entertainment and recreation</v>
      </c>
      <c r="AP105" s="1230" t="str">
        <f>PSUT_2014!U4</f>
        <v>S. Other service activities (Religious &amp; Burial)</v>
      </c>
      <c r="AQ105" s="1230" t="str">
        <f>PSUT_2014!V4</f>
        <v>T. Activities of households as employers; undifferentiated goods- and services-producing activities of households for own use</v>
      </c>
      <c r="AR105" s="1230" t="str">
        <f>PSUT_2014!W3</f>
        <v xml:space="preserve">Total Production activities </v>
      </c>
      <c r="AS105" s="1230" t="str">
        <f>PSUT_2014!X4</f>
        <v>Households</v>
      </c>
      <c r="AT105" s="1230" t="str">
        <f>PSUT_2014!AA3</f>
        <v xml:space="preserve">Total </v>
      </c>
      <c r="AU105" s="584"/>
      <c r="AV105" s="1273" t="s">
        <v>1419</v>
      </c>
      <c r="AW105" s="584"/>
      <c r="AY105" s="584"/>
      <c r="AZ105" s="584"/>
      <c r="BA105" s="584"/>
    </row>
    <row r="106" spans="1:62" x14ac:dyDescent="0.25">
      <c r="A106" s="1804" t="str">
        <f>+(PSUT_2014!A6)</f>
        <v>From the environment</v>
      </c>
      <c r="B106" s="1208" t="str">
        <f>+(PSUT_2014!B9)</f>
        <v>1 - Total abstraction (1.i+1.ii)</v>
      </c>
      <c r="D106" s="1025">
        <f>+(PSUT_2014!AA9)</f>
        <v>14005635.690500624</v>
      </c>
      <c r="F106" s="1025">
        <f>+(PSUT_2014!C9)</f>
        <v>13506848.022465833</v>
      </c>
      <c r="H106" s="1024"/>
      <c r="I106" s="1024"/>
      <c r="J106" s="1024"/>
      <c r="K106" s="1024"/>
      <c r="L106" s="1024"/>
      <c r="M106" s="1025">
        <f>+(PSUT_2014!D9)</f>
        <v>22429.728515197057</v>
      </c>
      <c r="N106" s="1025">
        <f>+(PSUT_2014!E9)</f>
        <v>24242.398478108429</v>
      </c>
      <c r="P106" s="1026"/>
      <c r="Q106" s="1026"/>
      <c r="R106" s="1026"/>
      <c r="S106" s="1026"/>
      <c r="T106" s="1026"/>
      <c r="U106" s="1026"/>
      <c r="V106" s="1026"/>
      <c r="W106" s="1025">
        <f>+(PSUT_2014!F9)</f>
        <v>357008.97910203272</v>
      </c>
      <c r="X106" s="1025">
        <f>+(PSUT_2014!G9)</f>
        <v>53540.199500012393</v>
      </c>
      <c r="Y106" s="1025">
        <f>+(PSUT_2014!H9)</f>
        <v>0</v>
      </c>
      <c r="Z106" s="1025">
        <f>+(PSUT_2014!I9)</f>
        <v>0</v>
      </c>
      <c r="AB106" s="1024"/>
      <c r="AC106" s="1024"/>
      <c r="AD106" s="1025">
        <f>+(PSUT_2014!J9)</f>
        <v>0</v>
      </c>
      <c r="AF106" s="1025">
        <f>+(PSUT_2014!K9)</f>
        <v>0</v>
      </c>
      <c r="AG106" s="1025">
        <f>+(PSUT_2014!L9)</f>
        <v>0</v>
      </c>
      <c r="AH106" s="1269">
        <f>+(PSUT_2014!M9)</f>
        <v>0.06</v>
      </c>
      <c r="AI106" s="1025">
        <f>+(PSUT_2014!N9)</f>
        <v>0</v>
      </c>
      <c r="AJ106" s="1025">
        <f>+(PSUT_2014!O9)</f>
        <v>0</v>
      </c>
      <c r="AK106" s="1025">
        <f>+(PSUT_2014!P9)</f>
        <v>0</v>
      </c>
      <c r="AL106" s="1025">
        <f>+(PSUT_2014!Q9)</f>
        <v>0</v>
      </c>
      <c r="AM106" s="1025">
        <f>+(PSUT_2014!R9)</f>
        <v>133.11539999999999</v>
      </c>
      <c r="AN106" s="1025">
        <f>+(PSUT_2014!S9)</f>
        <v>588.7795155737706</v>
      </c>
      <c r="AO106" s="1025">
        <f>+SUM(PSUT_2014!T9:'PSUT_2014'!V9)</f>
        <v>11.709600000000002</v>
      </c>
      <c r="AP106" s="1025">
        <f>+(PSUT_2014!U9)</f>
        <v>11.709600000000002</v>
      </c>
      <c r="AQ106" s="1025">
        <f>+(PSUT_2014!V9)</f>
        <v>0</v>
      </c>
      <c r="AR106" s="1025">
        <f>+(PSUT_2014!W9)</f>
        <v>13964802.992576756</v>
      </c>
      <c r="AS106" s="1025">
        <f>+(PSUT_2014!X9)</f>
        <v>40832.697923868138</v>
      </c>
      <c r="AT106" s="1025">
        <f>+(PSUT_2014!AA9)</f>
        <v>14005635.690500624</v>
      </c>
      <c r="AU106" s="1025"/>
      <c r="AV106" s="1025">
        <f t="shared" ref="AV106:AV119" si="31">SUM(Z106:AQ106)</f>
        <v>745.37411557377061</v>
      </c>
      <c r="AW106" s="1025"/>
      <c r="AY106" s="584"/>
      <c r="AZ106" s="584"/>
      <c r="BA106" s="584"/>
    </row>
    <row r="107" spans="1:62" x14ac:dyDescent="0.25">
      <c r="A107" s="1804"/>
      <c r="B107" s="1208" t="str">
        <f>+B108 &amp; " &amp; "&amp; B109</f>
        <v>1.i.1 Surface water &amp; 1.i.2 Groundwater</v>
      </c>
      <c r="D107" s="1025">
        <f>+SUM(PSUT_2014!AA11,PSUT_2014!AA16)</f>
        <v>695446.05236139591</v>
      </c>
      <c r="F107" s="1025">
        <f>+SUM(PSUT_2014!C11,PSUT_2014!C16)</f>
        <v>219104.06902660336</v>
      </c>
      <c r="H107" s="1024"/>
      <c r="I107" s="1024"/>
      <c r="J107" s="1024"/>
      <c r="K107" s="1024"/>
      <c r="L107" s="1024"/>
      <c r="M107" s="1025">
        <f>+SUM(PSUT_2014!D11,PSUT_2014!D16)</f>
        <v>1069.9285151970589</v>
      </c>
      <c r="N107" s="1025">
        <f>+SUM(PSUT_2014!E11,PSUT_2014!E16)</f>
        <v>24214.198478108428</v>
      </c>
      <c r="P107" s="1026"/>
      <c r="Q107" s="1026"/>
      <c r="R107" s="1026"/>
      <c r="S107" s="1026"/>
      <c r="T107" s="1026"/>
      <c r="U107" s="1026"/>
      <c r="V107" s="1026"/>
      <c r="W107" s="1025">
        <f>+SUM(PSUT_2014!F11,PSUT_2014!F16)</f>
        <v>357008.97910203272</v>
      </c>
      <c r="X107" s="1025">
        <f>+SUM(PSUT_2014!G11,PSUT_2014!G16)</f>
        <v>53540.199500012393</v>
      </c>
      <c r="Y107" s="1025">
        <f>+SUM(PSUT_2014!H11,PSUT_2014!H16)</f>
        <v>0</v>
      </c>
      <c r="Z107" s="1025">
        <f>+SUM(PSUT_2014!I11,PSUT_2014!I16)</f>
        <v>0</v>
      </c>
      <c r="AB107" s="1024"/>
      <c r="AC107" s="1024"/>
      <c r="AD107" s="1025">
        <f>+SUM(PSUT_2014!J11,PSUT_2014!J16)</f>
        <v>0</v>
      </c>
      <c r="AF107" s="1025">
        <f>+SUM(PSUT_2014!K11,PSUT_2014!K16)</f>
        <v>0</v>
      </c>
      <c r="AG107" s="1025">
        <f>+SUM(PSUT_2014!L11,PSUT_2014!L16)</f>
        <v>0</v>
      </c>
      <c r="AH107" s="1269">
        <f>+SUM(PSUT_2014!M11,PSUT_2014!M16)</f>
        <v>0</v>
      </c>
      <c r="AI107" s="1025">
        <f>+SUM(PSUT_2014!N11,PSUT_2014!N16)</f>
        <v>0</v>
      </c>
      <c r="AJ107" s="1025">
        <f>+SUM(PSUT_2014!O11,PSUT_2014!O16)</f>
        <v>0</v>
      </c>
      <c r="AK107" s="1025">
        <f>+SUM(PSUT_2014!P11,PSUT_2014!P16)</f>
        <v>0</v>
      </c>
      <c r="AL107" s="1025">
        <f>+SUM(PSUT_2014!Q11,PSUT_2014!Q16)</f>
        <v>0</v>
      </c>
      <c r="AM107" s="1025">
        <f>+SUM(PSUT_2014!R11,PSUT_2014!R16)</f>
        <v>133.11539999999999</v>
      </c>
      <c r="AN107" s="1025">
        <f>+SUM(PSUT_2014!S11,PSUT_2014!S16)</f>
        <v>90.790815573770487</v>
      </c>
      <c r="AO107" s="1025">
        <f>+SUM(PSUT_2014!T11,PSUT_2014!T16)</f>
        <v>0</v>
      </c>
      <c r="AP107" s="1025">
        <f>+SUM(PSUT_2014!U11,PSUT_2014!U16)</f>
        <v>2.0736000000000003</v>
      </c>
      <c r="AQ107" s="1025">
        <f>+SUM(PSUT_2014!V11,PSUT_2014!V16)</f>
        <v>0</v>
      </c>
      <c r="AR107" s="1025">
        <f>+SUM(PSUT_2014!W11,PSUT_2014!W16)</f>
        <v>655163.35443752783</v>
      </c>
      <c r="AS107" s="1025">
        <f>+SUM(PSUT_2014!X11,PSUT_2014!X16)</f>
        <v>40282.697923868138</v>
      </c>
      <c r="AT107" s="1025">
        <f>+SUM(PSUT_2014!AA11,PSUT_2014!AA16)</f>
        <v>695446.05236139591</v>
      </c>
      <c r="AU107" s="1025"/>
      <c r="AV107" s="1025">
        <f t="shared" si="31"/>
        <v>225.97981557377048</v>
      </c>
      <c r="AW107" s="1025"/>
      <c r="AY107" s="584"/>
      <c r="AZ107" s="584"/>
      <c r="BA107" s="584"/>
    </row>
    <row r="108" spans="1:62" x14ac:dyDescent="0.25">
      <c r="A108" s="1804"/>
      <c r="B108" s="1208" t="str">
        <f>+(PSUT_2014!B11)</f>
        <v>1.i.1 Surface water</v>
      </c>
      <c r="D108" s="1025">
        <f>+(PSUT_2014!AA11)</f>
        <v>631143.66234001028</v>
      </c>
      <c r="E108" s="578"/>
      <c r="F108" s="1025">
        <f>+(PSUT_2014!C11)</f>
        <v>205178.23028145044</v>
      </c>
      <c r="H108" s="1024"/>
      <c r="I108" s="1024"/>
      <c r="J108" s="1024"/>
      <c r="K108" s="1024"/>
      <c r="L108" s="1024"/>
      <c r="M108" s="1025">
        <f>+(PSUT_2014!D11)</f>
        <v>1006.140385197059</v>
      </c>
      <c r="N108" s="1025">
        <f>+(PSUT_2014!E11)</f>
        <v>15211.48701906186</v>
      </c>
      <c r="P108" s="1026"/>
      <c r="Q108" s="1026"/>
      <c r="R108" s="1026"/>
      <c r="S108" s="1026"/>
      <c r="T108" s="1026"/>
      <c r="U108" s="1026"/>
      <c r="V108" s="1026"/>
      <c r="W108" s="1025">
        <f>+(PSUT_2014!F11)</f>
        <v>357008.97910203272</v>
      </c>
      <c r="X108" s="1025">
        <f>+(PSUT_2014!G11)</f>
        <v>41435.195802667869</v>
      </c>
      <c r="Y108" s="1025">
        <f>+(PSUT_2014!H11)</f>
        <v>0</v>
      </c>
      <c r="Z108" s="1025">
        <f>+(PSUT_2014!I11)</f>
        <v>0</v>
      </c>
      <c r="AB108" s="1024"/>
      <c r="AC108" s="1024"/>
      <c r="AD108" s="1025">
        <f>+(PSUT_2014!J11)</f>
        <v>0</v>
      </c>
      <c r="AF108" s="1025">
        <f>+(PSUT_2014!K11)</f>
        <v>0</v>
      </c>
      <c r="AG108" s="1025">
        <f>+(PSUT_2014!L11)</f>
        <v>0</v>
      </c>
      <c r="AH108" s="1269">
        <f>+(PSUT_2014!M11)</f>
        <v>0</v>
      </c>
      <c r="AI108" s="1025">
        <f>+(PSUT_2014!N11)</f>
        <v>0</v>
      </c>
      <c r="AJ108" s="1025">
        <f>+(PSUT_2014!O11)</f>
        <v>0</v>
      </c>
      <c r="AK108" s="1025">
        <f>+(PSUT_2014!P11)</f>
        <v>0</v>
      </c>
      <c r="AL108" s="1025">
        <f>+(PSUT_2014!Q11)</f>
        <v>0</v>
      </c>
      <c r="AM108" s="1025">
        <f>+(PSUT_2014!R11)</f>
        <v>0</v>
      </c>
      <c r="AN108" s="1025">
        <f>+(PSUT_2014!S11)</f>
        <v>0</v>
      </c>
      <c r="AO108" s="1025">
        <f>+SUM(PSUT_2014!T11:'PSUT_2014'!V11)</f>
        <v>2.0736000000000003</v>
      </c>
      <c r="AP108" s="1025">
        <f>+(PSUT_2014!U11)</f>
        <v>2.0736000000000003</v>
      </c>
      <c r="AQ108" s="1025">
        <f>+(PSUT_2014!V11)</f>
        <v>0</v>
      </c>
      <c r="AR108" s="1025">
        <f>+(PSUT_2014!W11)</f>
        <v>619842.10619040998</v>
      </c>
      <c r="AS108" s="1025">
        <f>+(PSUT_2014!X11)</f>
        <v>11301.556149600257</v>
      </c>
      <c r="AT108" s="1025">
        <f>+(PSUT_2014!AA11)</f>
        <v>631143.66234001028</v>
      </c>
      <c r="AU108" s="1025"/>
      <c r="AV108" s="1025">
        <f t="shared" si="31"/>
        <v>4.1472000000000007</v>
      </c>
      <c r="AW108" s="1025"/>
      <c r="AY108" s="584"/>
      <c r="AZ108" s="584"/>
      <c r="BA108" s="584"/>
      <c r="BB108" s="584"/>
      <c r="BC108" s="584"/>
      <c r="BD108" s="584"/>
      <c r="BE108" s="584"/>
      <c r="BF108" s="584"/>
    </row>
    <row r="109" spans="1:62" x14ac:dyDescent="0.25">
      <c r="A109" s="1804"/>
      <c r="B109" s="1208" t="str">
        <f>+(PSUT_2014!B16)</f>
        <v>1.i.2 Groundwater</v>
      </c>
      <c r="D109" s="1025">
        <f>+(PSUT_2014!AA16)</f>
        <v>64302.390021385683</v>
      </c>
      <c r="E109" s="1024"/>
      <c r="F109" s="1025">
        <f>+(PSUT_2014!C16)</f>
        <v>13925.838745152938</v>
      </c>
      <c r="H109" s="1024"/>
      <c r="I109" s="1024"/>
      <c r="J109" s="1024"/>
      <c r="K109" s="1024"/>
      <c r="L109" s="1024"/>
      <c r="M109" s="1025">
        <f>+(PSUT_2014!D16)</f>
        <v>63.788130000000002</v>
      </c>
      <c r="N109" s="1025">
        <f>+(PSUT_2014!E16)</f>
        <v>9002.7114590465681</v>
      </c>
      <c r="P109" s="1024"/>
      <c r="Q109" s="1024"/>
      <c r="R109" s="1024"/>
      <c r="S109" s="1024"/>
      <c r="T109" s="1024"/>
      <c r="U109" s="1024"/>
      <c r="V109" s="1024"/>
      <c r="W109" s="1025">
        <f>+(PSUT_2014!F16)</f>
        <v>0</v>
      </c>
      <c r="X109" s="1025">
        <f>+(PSUT_2014!G16)</f>
        <v>12105.003697344522</v>
      </c>
      <c r="Y109" s="1025">
        <f>+(PSUT_2014!H16)</f>
        <v>0</v>
      </c>
      <c r="Z109" s="1025">
        <f>+(PSUT_2014!I16)</f>
        <v>0</v>
      </c>
      <c r="AB109" s="1024"/>
      <c r="AC109" s="1024"/>
      <c r="AD109" s="1025">
        <f>+(PSUT_2014!J16)</f>
        <v>0</v>
      </c>
      <c r="AF109" s="1025">
        <f>+(PSUT_2014!K16)</f>
        <v>0</v>
      </c>
      <c r="AG109" s="1025">
        <f>+(PSUT_2014!L16)</f>
        <v>0</v>
      </c>
      <c r="AH109" s="1269">
        <f>+(PSUT_2014!M16)</f>
        <v>0</v>
      </c>
      <c r="AI109" s="1025">
        <f>+(PSUT_2014!N16)</f>
        <v>0</v>
      </c>
      <c r="AJ109" s="1025">
        <f>+(PSUT_2014!O16)</f>
        <v>0</v>
      </c>
      <c r="AK109" s="1025">
        <f>+(PSUT_2014!P16)</f>
        <v>0</v>
      </c>
      <c r="AL109" s="1025">
        <f>+(PSUT_2014!Q16)</f>
        <v>0</v>
      </c>
      <c r="AM109" s="1025">
        <f>+(PSUT_2014!R16)</f>
        <v>133.11539999999999</v>
      </c>
      <c r="AN109" s="1025">
        <f>+(PSUT_2014!S16)</f>
        <v>90.790815573770487</v>
      </c>
      <c r="AO109" s="1025">
        <f>+SUM(PSUT_2014!T16:'PSUT_2014'!V16)</f>
        <v>0</v>
      </c>
      <c r="AP109" s="1025">
        <f>+(PSUT_2014!U16)</f>
        <v>0</v>
      </c>
      <c r="AQ109" s="1025">
        <f>+(PSUT_2014!V16)</f>
        <v>0</v>
      </c>
      <c r="AR109" s="1025">
        <f>+(PSUT_2014!W16)</f>
        <v>35321.248247117801</v>
      </c>
      <c r="AS109" s="1025">
        <f>+(PSUT_2014!X16)</f>
        <v>28981.141774267882</v>
      </c>
      <c r="AT109" s="1025">
        <f>+(PSUT_2014!AA16)</f>
        <v>64302.390021385683</v>
      </c>
      <c r="AU109" s="1025"/>
      <c r="AV109" s="1025">
        <f t="shared" si="31"/>
        <v>223.90621557377048</v>
      </c>
      <c r="AW109" s="1025"/>
    </row>
    <row r="110" spans="1:62" x14ac:dyDescent="0.25">
      <c r="A110" s="1804"/>
      <c r="B110" s="1208" t="str">
        <f>+(PSUT_2014!B19)</f>
        <v>1.i.3 Soil water (green water)</v>
      </c>
      <c r="D110" s="1025">
        <f>+(PSUT_2014!AA19)</f>
        <v>13286936.953439228</v>
      </c>
      <c r="E110" s="1024"/>
      <c r="F110" s="1025">
        <f>+(PSUT_2014!C19)</f>
        <v>13286936.953439228</v>
      </c>
      <c r="H110" s="1024"/>
      <c r="I110" s="1024"/>
      <c r="J110" s="1024"/>
      <c r="K110" s="1024"/>
      <c r="L110" s="1024"/>
      <c r="M110" s="1025">
        <f>+(PSUT_2014!D19)</f>
        <v>0</v>
      </c>
      <c r="N110" s="1025">
        <f>+(PSUT_2014!E19)</f>
        <v>0</v>
      </c>
      <c r="P110" s="1024"/>
      <c r="Q110" s="1024"/>
      <c r="R110" s="1024"/>
      <c r="S110" s="1024"/>
      <c r="T110" s="1024"/>
      <c r="U110" s="1024"/>
      <c r="V110" s="1024"/>
      <c r="W110" s="1025">
        <f>+(PSUT_2014!F19)</f>
        <v>0</v>
      </c>
      <c r="X110" s="1025">
        <f>+(PSUT_2014!G19)</f>
        <v>0</v>
      </c>
      <c r="Y110" s="1025">
        <f>+(PSUT_2014!H19)</f>
        <v>0</v>
      </c>
      <c r="Z110" s="1025">
        <f>+(PSUT_2014!I19)</f>
        <v>0</v>
      </c>
      <c r="AB110" s="1024"/>
      <c r="AC110" s="1024"/>
      <c r="AD110" s="1025">
        <f>+(PSUT_2014!J19)</f>
        <v>0</v>
      </c>
      <c r="AF110" s="1025">
        <f>+(PSUT_2014!K19)</f>
        <v>0</v>
      </c>
      <c r="AG110" s="1025">
        <f>+(PSUT_2014!L19)</f>
        <v>0</v>
      </c>
      <c r="AH110" s="1269">
        <f>+(PSUT_2014!M19)</f>
        <v>0</v>
      </c>
      <c r="AI110" s="1025">
        <f>+(PSUT_2014!N19)</f>
        <v>0</v>
      </c>
      <c r="AJ110" s="1025">
        <f>+(PSUT_2014!O19)</f>
        <v>0</v>
      </c>
      <c r="AK110" s="1025">
        <f>+(PSUT_2014!P19)</f>
        <v>0</v>
      </c>
      <c r="AL110" s="1025">
        <f>+(PSUT_2014!Q19)</f>
        <v>0</v>
      </c>
      <c r="AM110" s="1025">
        <f>+(PSUT_2014!R19)</f>
        <v>0</v>
      </c>
      <c r="AN110" s="1025">
        <f>+(PSUT_2014!S19)</f>
        <v>0</v>
      </c>
      <c r="AO110" s="1025">
        <f>+SUM(PSUT_2014!T19:'PSUT_2014'!V19)</f>
        <v>0</v>
      </c>
      <c r="AP110" s="1025">
        <f>+(PSUT_2014!U19)</f>
        <v>0</v>
      </c>
      <c r="AQ110" s="1025">
        <f>+(PSUT_2014!V19)</f>
        <v>0</v>
      </c>
      <c r="AR110" s="1025">
        <f>+(PSUT_2014!W19)</f>
        <v>13286936.953439228</v>
      </c>
      <c r="AS110" s="1025">
        <f>+(PSUT_2014!X19)</f>
        <v>0</v>
      </c>
      <c r="AT110" s="1025">
        <f>+(PSUT_2014!AA19)</f>
        <v>13286936.953439228</v>
      </c>
      <c r="AU110" s="1025"/>
      <c r="AV110" s="1025">
        <f t="shared" si="31"/>
        <v>0</v>
      </c>
      <c r="AW110" s="1025"/>
    </row>
    <row r="111" spans="1:62" x14ac:dyDescent="0.25">
      <c r="A111" s="1804"/>
      <c r="B111" s="1208" t="str">
        <f>+(PSUT_2014!B20)</f>
        <v xml:space="preserve">1.ii From other sources </v>
      </c>
      <c r="D111" s="1025">
        <f>+(PSUT_2014!AA20)</f>
        <v>23252.684700000002</v>
      </c>
      <c r="E111" s="1024"/>
      <c r="F111" s="1025">
        <f>+(PSUT_2014!C20)</f>
        <v>807</v>
      </c>
      <c r="H111" s="1024"/>
      <c r="I111" s="1024"/>
      <c r="J111" s="1024"/>
      <c r="K111" s="1024"/>
      <c r="L111" s="1024"/>
      <c r="M111" s="1025">
        <f>+(PSUT_2014!D20)</f>
        <v>21359.8</v>
      </c>
      <c r="N111" s="1025">
        <f>+(PSUT_2014!E20)</f>
        <v>28.2</v>
      </c>
      <c r="P111" s="1024"/>
      <c r="Q111" s="1024"/>
      <c r="R111" s="1024"/>
      <c r="S111" s="1024"/>
      <c r="T111" s="1024"/>
      <c r="U111" s="1024"/>
      <c r="V111" s="1024"/>
      <c r="W111" s="1025">
        <f>+(PSUT_2014!F20)</f>
        <v>0</v>
      </c>
      <c r="X111" s="1025">
        <f>+(PSUT_2014!G20)</f>
        <v>0</v>
      </c>
      <c r="Y111" s="1025">
        <f>+(PSUT_2014!H20)</f>
        <v>0</v>
      </c>
      <c r="Z111" s="1025">
        <f>+(PSUT_2014!I20)</f>
        <v>0</v>
      </c>
      <c r="AB111" s="1024"/>
      <c r="AC111" s="1024"/>
      <c r="AD111" s="1025">
        <f>+(PSUT_2014!J20)</f>
        <v>0</v>
      </c>
      <c r="AF111" s="1025">
        <f>+(PSUT_2014!K20)</f>
        <v>0</v>
      </c>
      <c r="AG111" s="1025">
        <f>+(PSUT_2014!L20)</f>
        <v>0</v>
      </c>
      <c r="AH111" s="1269">
        <f>+(PSUT_2014!M20)</f>
        <v>0.06</v>
      </c>
      <c r="AI111" s="1025">
        <f>+(PSUT_2014!N20)</f>
        <v>0</v>
      </c>
      <c r="AJ111" s="1025">
        <f>+(PSUT_2014!O20)</f>
        <v>0</v>
      </c>
      <c r="AK111" s="1025">
        <f>+(PSUT_2014!P20)</f>
        <v>0</v>
      </c>
      <c r="AL111" s="1025">
        <f>+(PSUT_2014!Q20)</f>
        <v>0</v>
      </c>
      <c r="AM111" s="1025">
        <f>+(PSUT_2014!R20)</f>
        <v>0</v>
      </c>
      <c r="AN111" s="1025">
        <f>+(PSUT_2014!S20)</f>
        <v>497.98870000000005</v>
      </c>
      <c r="AO111" s="1025">
        <f>+SUM(PSUT_2014!T20:'PSUT_2014'!V20)</f>
        <v>9.636000000000001</v>
      </c>
      <c r="AP111" s="1025">
        <f>+(PSUT_2014!U20)</f>
        <v>9.636000000000001</v>
      </c>
      <c r="AQ111" s="1025">
        <f>+(PSUT_2014!V20)</f>
        <v>0</v>
      </c>
      <c r="AR111" s="1025">
        <f>+(PSUT_2014!W20)</f>
        <v>22702.684700000002</v>
      </c>
      <c r="AS111" s="1025">
        <f>+(PSUT_2014!X20)</f>
        <v>550</v>
      </c>
      <c r="AT111" s="1025">
        <f>+(PSUT_2014!AA20)</f>
        <v>23252.684700000002</v>
      </c>
      <c r="AU111" s="1025"/>
      <c r="AV111" s="1025">
        <f t="shared" si="31"/>
        <v>517.3207000000001</v>
      </c>
      <c r="AW111" s="1025"/>
    </row>
    <row r="112" spans="1:62" x14ac:dyDescent="0.25">
      <c r="A112" s="1804"/>
      <c r="B112" s="1208" t="str">
        <f>+(PSUT_2014!B21)</f>
        <v>1.ii.1 Collection of precipitation (rainwater harvesting; ..)</v>
      </c>
      <c r="D112" s="1025">
        <f>+(PSUT_2014!AA21)</f>
        <v>23252.684700000002</v>
      </c>
      <c r="E112" s="1024"/>
      <c r="F112" s="1025">
        <f>+(PSUT_2014!C21)</f>
        <v>807</v>
      </c>
      <c r="H112" s="1024"/>
      <c r="I112" s="1024"/>
      <c r="J112" s="1024"/>
      <c r="K112" s="1024"/>
      <c r="L112" s="1024"/>
      <c r="M112" s="1025">
        <f>+(PSUT_2014!D21)</f>
        <v>21359.8</v>
      </c>
      <c r="N112" s="1025">
        <f>+(PSUT_2014!E21)</f>
        <v>28.2</v>
      </c>
      <c r="P112" s="1024"/>
      <c r="Q112" s="1024"/>
      <c r="R112" s="1024"/>
      <c r="S112" s="1024"/>
      <c r="T112" s="1024"/>
      <c r="U112" s="1024"/>
      <c r="V112" s="1024"/>
      <c r="W112" s="1025">
        <f>+(PSUT_2014!F21)</f>
        <v>0</v>
      </c>
      <c r="X112" s="1025">
        <f>+(PSUT_2014!G21)</f>
        <v>0</v>
      </c>
      <c r="Y112" s="1025">
        <f>+(PSUT_2014!H21)</f>
        <v>0</v>
      </c>
      <c r="Z112" s="1025">
        <f>+(PSUT_2014!I21)</f>
        <v>0</v>
      </c>
      <c r="AB112" s="1024"/>
      <c r="AC112" s="1024"/>
      <c r="AD112" s="1025">
        <f>+(PSUT_2014!J21)</f>
        <v>0</v>
      </c>
      <c r="AF112" s="1025">
        <f>+(PSUT_2014!K21)</f>
        <v>0</v>
      </c>
      <c r="AG112" s="1025">
        <f>+(PSUT_2014!L21)</f>
        <v>0</v>
      </c>
      <c r="AH112" s="1269">
        <f>+(PSUT_2014!M21)</f>
        <v>0.06</v>
      </c>
      <c r="AI112" s="1025">
        <f>+(PSUT_2014!N21)</f>
        <v>0</v>
      </c>
      <c r="AJ112" s="1025">
        <f>+(PSUT_2014!O21)</f>
        <v>0</v>
      </c>
      <c r="AK112" s="1025">
        <f>+(PSUT_2014!P21)</f>
        <v>0</v>
      </c>
      <c r="AL112" s="1025">
        <f>+(PSUT_2014!Q21)</f>
        <v>0</v>
      </c>
      <c r="AM112" s="1025">
        <f>+(PSUT_2014!R21)</f>
        <v>0</v>
      </c>
      <c r="AN112" s="1025">
        <f>+(PSUT_2014!S21)</f>
        <v>497.98870000000005</v>
      </c>
      <c r="AO112" s="1025">
        <f>+SUM(PSUT_2014!T21:'PSUT_2014'!V21)</f>
        <v>9.636000000000001</v>
      </c>
      <c r="AP112" s="1025">
        <f>+(PSUT_2014!U21)</f>
        <v>9.636000000000001</v>
      </c>
      <c r="AQ112" s="1025">
        <f>+(PSUT_2014!V21)</f>
        <v>0</v>
      </c>
      <c r="AR112" s="1025">
        <f>+(PSUT_2014!W21)</f>
        <v>22702.684700000002</v>
      </c>
      <c r="AS112" s="1025">
        <f>+(PSUT_2014!X21)</f>
        <v>550</v>
      </c>
      <c r="AT112" s="1025">
        <f>+(PSUT_2014!AA21)</f>
        <v>23252.684700000002</v>
      </c>
      <c r="AU112" s="1025"/>
      <c r="AV112" s="1025">
        <f t="shared" si="31"/>
        <v>517.3207000000001</v>
      </c>
      <c r="AW112" s="1025"/>
    </row>
    <row r="113" spans="1:58" x14ac:dyDescent="0.25">
      <c r="A113" s="1209"/>
      <c r="B113" s="1208" t="str">
        <f>+(PSUT_2014!B22)</f>
        <v>1.ii.2 Abstraction from the sea</v>
      </c>
      <c r="D113" s="1025">
        <f>+(PSUT_2014!AA22)</f>
        <v>0</v>
      </c>
      <c r="E113" s="1024"/>
      <c r="F113" s="1025">
        <f>+(PSUT_2014!C22)</f>
        <v>0</v>
      </c>
      <c r="H113" s="1024"/>
      <c r="I113" s="1024"/>
      <c r="J113" s="1024"/>
      <c r="K113" s="1024"/>
      <c r="L113" s="1024"/>
      <c r="M113" s="1025">
        <f>+(PSUT_2014!D22)</f>
        <v>0</v>
      </c>
      <c r="N113" s="1025">
        <f>+(PSUT_2014!E22)</f>
        <v>0</v>
      </c>
      <c r="P113" s="1024"/>
      <c r="Q113" s="1024"/>
      <c r="R113" s="1024"/>
      <c r="S113" s="1024"/>
      <c r="T113" s="1024"/>
      <c r="U113" s="1024"/>
      <c r="V113" s="1024"/>
      <c r="W113" s="1025">
        <f>+(PSUT_2014!F22)</f>
        <v>0</v>
      </c>
      <c r="X113" s="1025">
        <f>+(PSUT_2014!G22)</f>
        <v>0</v>
      </c>
      <c r="Y113" s="1025">
        <f>+(PSUT_2014!H22)</f>
        <v>0</v>
      </c>
      <c r="Z113" s="1025">
        <f>+(PSUT_2014!I22)</f>
        <v>0</v>
      </c>
      <c r="AB113" s="1024"/>
      <c r="AC113" s="1024"/>
      <c r="AD113" s="1025">
        <f>+(PSUT_2014!J22)</f>
        <v>0</v>
      </c>
      <c r="AF113" s="1025">
        <f>+(PSUT_2014!K22)</f>
        <v>0</v>
      </c>
      <c r="AG113" s="1025">
        <f>+(PSUT_2014!L22)</f>
        <v>0</v>
      </c>
      <c r="AH113" s="1269">
        <f>+(PSUT_2014!M22)</f>
        <v>0</v>
      </c>
      <c r="AI113" s="1025">
        <f>+(PSUT_2014!N22)</f>
        <v>0</v>
      </c>
      <c r="AJ113" s="1025">
        <f>+(PSUT_2014!O22)</f>
        <v>0</v>
      </c>
      <c r="AK113" s="1025">
        <f>+(PSUT_2014!P22)</f>
        <v>0</v>
      </c>
      <c r="AL113" s="1025">
        <f>+(PSUT_2014!Q22)</f>
        <v>0</v>
      </c>
      <c r="AM113" s="1025">
        <f>+(PSUT_2014!R22)</f>
        <v>0</v>
      </c>
      <c r="AN113" s="1025">
        <f>+(PSUT_2014!S22)</f>
        <v>0</v>
      </c>
      <c r="AO113" s="1025">
        <f>+SUM(PSUT_2014!T22:'PSUT_2014'!V22)</f>
        <v>0</v>
      </c>
      <c r="AP113" s="1025">
        <f>+(PSUT_2014!U22)</f>
        <v>0</v>
      </c>
      <c r="AQ113" s="1025">
        <f>+(PSUT_2014!V22)</f>
        <v>0</v>
      </c>
      <c r="AR113" s="1025">
        <f>+(PSUT_2014!W22)</f>
        <v>0</v>
      </c>
      <c r="AS113" s="1025">
        <f>+(PSUT_2014!X22)</f>
        <v>0</v>
      </c>
      <c r="AT113" s="1025">
        <f>+(PSUT_2014!AA22)</f>
        <v>0</v>
      </c>
      <c r="AU113" s="1025"/>
      <c r="AV113" s="1025">
        <f t="shared" si="31"/>
        <v>0</v>
      </c>
      <c r="AW113" s="1025"/>
    </row>
    <row r="114" spans="1:58" x14ac:dyDescent="0.25">
      <c r="A114" s="1209"/>
      <c r="B114" s="1208" t="str">
        <f>+(PSUT_2014!B23)</f>
        <v>2. Use of water received from other economic units</v>
      </c>
      <c r="D114" s="1025">
        <f>+(PSUT_2014!AA23)</f>
        <v>1160562.9602874902</v>
      </c>
      <c r="E114" s="1024"/>
      <c r="F114" s="1025">
        <f>+(PSUT_2014!C23)</f>
        <v>90250</v>
      </c>
      <c r="H114" s="1024"/>
      <c r="I114" s="1024"/>
      <c r="J114" s="1024"/>
      <c r="K114" s="1024"/>
      <c r="L114" s="1024"/>
      <c r="M114" s="1025">
        <f>+(PSUT_2014!D23)</f>
        <v>0</v>
      </c>
      <c r="N114" s="1025">
        <f>+(PSUT_2014!E23)</f>
        <v>642763.78523033194</v>
      </c>
      <c r="P114" s="1024"/>
      <c r="Q114" s="1024"/>
      <c r="R114" s="1024"/>
      <c r="S114" s="1024"/>
      <c r="T114" s="1024"/>
      <c r="U114" s="1024"/>
      <c r="V114" s="1024"/>
      <c r="W114" s="1025">
        <f>+(PSUT_2014!F23)</f>
        <v>0</v>
      </c>
      <c r="X114" s="1025">
        <f>+(PSUT_2014!G23)</f>
        <v>0</v>
      </c>
      <c r="Y114" s="1025">
        <f>+(PSUT_2014!H23)</f>
        <v>0</v>
      </c>
      <c r="Z114" s="1025">
        <f>+(PSUT_2014!I23)</f>
        <v>0</v>
      </c>
      <c r="AB114" s="1024"/>
      <c r="AC114" s="1024"/>
      <c r="AD114" s="1025">
        <f>+(PSUT_2014!J23)</f>
        <v>0</v>
      </c>
      <c r="AF114" s="1025">
        <f>+(PSUT_2014!K23)</f>
        <v>16672.61</v>
      </c>
      <c r="AG114" s="1025">
        <f>+(PSUT_2014!L23)</f>
        <v>0</v>
      </c>
      <c r="AH114" s="1269">
        <f>+(PSUT_2014!M23)</f>
        <v>76.030545405347283</v>
      </c>
      <c r="AI114" s="1025">
        <f>+(PSUT_2014!N23)</f>
        <v>0</v>
      </c>
      <c r="AJ114" s="1025">
        <f>+(PSUT_2014!O23)</f>
        <v>0</v>
      </c>
      <c r="AK114" s="1025">
        <f>+(PSUT_2014!P23)</f>
        <v>0</v>
      </c>
      <c r="AL114" s="1025">
        <f>+(PSUT_2014!Q23)</f>
        <v>0</v>
      </c>
      <c r="AM114" s="1025">
        <f>+(PSUT_2014!R23)</f>
        <v>224372.33</v>
      </c>
      <c r="AN114" s="1025">
        <f>+(PSUT_2014!S23)</f>
        <v>3720.9427500000002</v>
      </c>
      <c r="AO114" s="1025">
        <f>+SUM(PSUT_2014!T23:'PSUT_2014'!V23)</f>
        <v>131.69367175295594</v>
      </c>
      <c r="AP114" s="1025">
        <f>+(PSUT_2014!U23)</f>
        <v>131.69367175295594</v>
      </c>
      <c r="AQ114" s="1025">
        <f>+(PSUT_2014!V23)</f>
        <v>0</v>
      </c>
      <c r="AR114" s="1025">
        <f>+(PSUT_2014!W23)</f>
        <v>977987.3921974902</v>
      </c>
      <c r="AS114" s="1025">
        <f>+(PSUT_2014!X23)</f>
        <v>176061</v>
      </c>
      <c r="AT114" s="1025">
        <f>+(PSUT_2014!AA23)</f>
        <v>1160562.9602874902</v>
      </c>
      <c r="AU114" s="1025"/>
      <c r="AV114" s="1025">
        <f t="shared" si="31"/>
        <v>245105.30063891126</v>
      </c>
      <c r="AW114" s="1025"/>
    </row>
    <row r="115" spans="1:58" x14ac:dyDescent="0.25">
      <c r="A115" s="1209"/>
      <c r="B115" s="1208" t="str">
        <f>+(PSUT_2014!A24)</f>
        <v>3. Total use of water (=1+2)</v>
      </c>
      <c r="D115" s="1025">
        <f>+(PSUT_2014!AA24)</f>
        <v>15166198.650788113</v>
      </c>
      <c r="E115" s="1024"/>
      <c r="F115" s="1025">
        <f>+(PSUT_2014!C24)</f>
        <v>13597098.022465833</v>
      </c>
      <c r="H115" s="1024"/>
      <c r="I115" s="1024"/>
      <c r="J115" s="1024"/>
      <c r="K115" s="1024"/>
      <c r="L115" s="1024"/>
      <c r="M115" s="1025">
        <f>+(PSUT_2014!D24)</f>
        <v>22429.728515197057</v>
      </c>
      <c r="N115" s="1025">
        <f>+(PSUT_2014!E24)</f>
        <v>667006.1837084404</v>
      </c>
      <c r="P115" s="1024"/>
      <c r="Q115" s="1024"/>
      <c r="R115" s="1024"/>
      <c r="S115" s="1024"/>
      <c r="T115" s="1024"/>
      <c r="U115" s="1024"/>
      <c r="V115" s="1024"/>
      <c r="W115" s="1025">
        <f>+(PSUT_2014!F24)</f>
        <v>357008.97910203272</v>
      </c>
      <c r="X115" s="1025">
        <f>+(PSUT_2014!G24)</f>
        <v>53540.199500012386</v>
      </c>
      <c r="Y115" s="1025">
        <f>+(PSUT_2014!H24)</f>
        <v>0</v>
      </c>
      <c r="Z115" s="1025">
        <f>+(PSUT_2014!I24)</f>
        <v>0</v>
      </c>
      <c r="AB115" s="1024"/>
      <c r="AC115" s="1024"/>
      <c r="AD115" s="1025">
        <f>+(PSUT_2014!J24)</f>
        <v>0</v>
      </c>
      <c r="AF115" s="1025">
        <f>+(PSUT_2014!K24)</f>
        <v>16672.61</v>
      </c>
      <c r="AG115" s="1025">
        <f>+(PSUT_2014!L24)</f>
        <v>0</v>
      </c>
      <c r="AH115" s="1269">
        <f>+(PSUT_2014!M24)</f>
        <v>76.090545405347285</v>
      </c>
      <c r="AI115" s="1025">
        <f>+(PSUT_2014!N24)</f>
        <v>0</v>
      </c>
      <c r="AJ115" s="1025">
        <f>+(PSUT_2014!O24)</f>
        <v>0</v>
      </c>
      <c r="AK115" s="1025">
        <f>+(PSUT_2014!P24)</f>
        <v>0</v>
      </c>
      <c r="AL115" s="1025">
        <f>+(PSUT_2014!Q24)</f>
        <v>0</v>
      </c>
      <c r="AM115" s="1025">
        <f>+(PSUT_2014!R24)</f>
        <v>224505.4454</v>
      </c>
      <c r="AN115" s="1025">
        <f>+(PSUT_2014!S24)</f>
        <v>4309.7222655737705</v>
      </c>
      <c r="AO115" s="1025">
        <f>+SUM(PSUT_2014!T24:'PSUT_2014'!V24)</f>
        <v>143.40327175295593</v>
      </c>
      <c r="AP115" s="1025">
        <f>+(PSUT_2014!U24)</f>
        <v>143.40327175295593</v>
      </c>
      <c r="AQ115" s="1025">
        <f>+(PSUT_2014!V24)</f>
        <v>0</v>
      </c>
      <c r="AR115" s="1025">
        <f>+(PSUT_2014!W24)</f>
        <v>14942790.384774245</v>
      </c>
      <c r="AS115" s="1025">
        <f>+(PSUT_2014!X24)</f>
        <v>216893.69792386814</v>
      </c>
      <c r="AT115" s="1025">
        <f>+(PSUT_2014!AA24)</f>
        <v>15166198.650788113</v>
      </c>
      <c r="AU115" s="1025"/>
      <c r="AV115" s="1025">
        <f t="shared" si="31"/>
        <v>245850.67475448505</v>
      </c>
      <c r="AW115" s="1025"/>
    </row>
    <row r="116" spans="1:58" x14ac:dyDescent="0.25">
      <c r="A116" s="1209"/>
      <c r="B116" s="1208" t="str">
        <f>+(PSUT_2014!B35)</f>
        <v>4. Supply of water to other economic units</v>
      </c>
      <c r="D116" s="1025">
        <f>+(PSUT_2014!AA35)</f>
        <v>34801.911993788104</v>
      </c>
      <c r="E116" s="1024"/>
      <c r="F116" s="1025">
        <f>+(PSUT_2014!C35)</f>
        <v>0</v>
      </c>
      <c r="H116" s="1024"/>
      <c r="I116" s="1024"/>
      <c r="J116" s="1024"/>
      <c r="K116" s="1024"/>
      <c r="L116" s="1024"/>
      <c r="M116" s="1025">
        <f>+(PSUT_2014!D35)</f>
        <v>21308.242089437204</v>
      </c>
      <c r="N116" s="1025">
        <f>+(PSUT_2014!E35)</f>
        <v>816.87563283886971</v>
      </c>
      <c r="P116" s="1024"/>
      <c r="Q116" s="1024"/>
      <c r="R116" s="1024"/>
      <c r="S116" s="1024"/>
      <c r="T116" s="1024"/>
      <c r="U116" s="1024"/>
      <c r="V116" s="1024"/>
      <c r="W116" s="1025">
        <f>+(PSUT_2014!F35)</f>
        <v>0</v>
      </c>
      <c r="X116" s="1025">
        <f>+(PSUT_2014!G35)</f>
        <v>0</v>
      </c>
      <c r="Y116" s="1025">
        <f>+(PSUT_2014!H35)</f>
        <v>0</v>
      </c>
      <c r="Z116" s="1025">
        <f>+(PSUT_2014!I35)</f>
        <v>0</v>
      </c>
      <c r="AB116" s="1024"/>
      <c r="AC116" s="1024"/>
      <c r="AD116" s="1025">
        <f>+(PSUT_2014!J35)</f>
        <v>0</v>
      </c>
      <c r="AF116" s="1025">
        <f>+(PSUT_2014!K35)</f>
        <v>12671.183667903779</v>
      </c>
      <c r="AG116" s="1025">
        <f>+(PSUT_2014!L35)</f>
        <v>0</v>
      </c>
      <c r="AH116" s="1269">
        <f>+(PSUT_2014!M35)</f>
        <v>5.6106036082474233</v>
      </c>
      <c r="AI116" s="1025">
        <f>+(PSUT_2014!N35)</f>
        <v>0</v>
      </c>
      <c r="AJ116" s="1025">
        <f>+(PSUT_2014!O35)</f>
        <v>0</v>
      </c>
      <c r="AK116" s="1025">
        <f>+(PSUT_2014!P35)</f>
        <v>0</v>
      </c>
      <c r="AL116" s="1025">
        <f>+(PSUT_2014!Q35)</f>
        <v>0</v>
      </c>
      <c r="AM116" s="1025">
        <f>+(PSUT_2014!R35)</f>
        <v>0</v>
      </c>
      <c r="AN116" s="1025">
        <f>+(PSUT_2014!S35)</f>
        <v>0</v>
      </c>
      <c r="AO116" s="1025">
        <f>+SUM(PSUT_2014!T35:'PSUT_2014'!V35)</f>
        <v>0</v>
      </c>
      <c r="AP116" s="1025">
        <f>+(PSUT_2014!U35)</f>
        <v>0</v>
      </c>
      <c r="AQ116" s="1025">
        <f>+(PSUT_2014!V35)</f>
        <v>0</v>
      </c>
      <c r="AR116" s="1025">
        <f>+(PSUT_2014!W35)</f>
        <v>34801.911993788104</v>
      </c>
      <c r="AS116" s="1025">
        <f>+(PSUT_2014!X35)</f>
        <v>0</v>
      </c>
      <c r="AT116" s="1025">
        <f>+(PSUT_2014!AA35)</f>
        <v>34801.911993788104</v>
      </c>
      <c r="AU116" s="1025"/>
      <c r="AV116" s="1025">
        <f t="shared" si="31"/>
        <v>12676.794271512026</v>
      </c>
      <c r="AW116" s="1025"/>
    </row>
    <row r="117" spans="1:58" x14ac:dyDescent="0.25">
      <c r="A117" s="1210"/>
      <c r="B117" s="1208" t="str">
        <f>+(PSUT_2014!B38)</f>
        <v>5. Total returns (= 5.a+5.b)</v>
      </c>
      <c r="D117" s="1025">
        <f>+(PSUT_2014!AA38)</f>
        <v>2651797.7072523031</v>
      </c>
      <c r="F117" s="1025">
        <f>+(PSUT_2014!C38)</f>
        <v>1524008.4750215835</v>
      </c>
      <c r="M117" s="1025">
        <f>+(PSUT_2014!D38)</f>
        <v>54.219910499999997</v>
      </c>
      <c r="N117" s="1025">
        <f>+(PSUT_2014!E38)</f>
        <v>514699.26072578493</v>
      </c>
      <c r="W117" s="1025">
        <f>+(PSUT_2014!F38)</f>
        <v>339158.53014693107</v>
      </c>
      <c r="X117" s="1025">
        <f>+(PSUT_2014!G38)</f>
        <v>2570.3302400000002</v>
      </c>
      <c r="Y117" s="1025">
        <f>+(PSUT_2014!H38)</f>
        <v>0</v>
      </c>
      <c r="Z117" s="1025">
        <f>+(PSUT_2014!I38)</f>
        <v>0</v>
      </c>
      <c r="AD117" s="1025">
        <f>+(PSUT_2014!J38)</f>
        <v>0</v>
      </c>
      <c r="AF117" s="1025">
        <f>+(PSUT_2014!K38)</f>
        <v>301.01142363711335</v>
      </c>
      <c r="AG117" s="1025">
        <f>+(PSUT_2014!L38)</f>
        <v>0</v>
      </c>
      <c r="AH117" s="1269">
        <f>+(PSUT_2014!M38)</f>
        <v>56.868619657611163</v>
      </c>
      <c r="AI117" s="1025">
        <f>+(PSUT_2014!N38)</f>
        <v>0</v>
      </c>
      <c r="AJ117" s="1025">
        <f>+(PSUT_2014!O38)</f>
        <v>0</v>
      </c>
      <c r="AK117" s="1025">
        <f>+(PSUT_2014!P38)</f>
        <v>0</v>
      </c>
      <c r="AL117" s="1025">
        <f>+(PSUT_2014!Q38)</f>
        <v>0</v>
      </c>
      <c r="AM117" s="1025">
        <f>+(PSUT_2014!R38)</f>
        <v>179497.86400000003</v>
      </c>
      <c r="AN117" s="1025">
        <f>+(PSUT_2014!S38)</f>
        <v>3447.7778158871602</v>
      </c>
      <c r="AO117" s="1025">
        <f>+SUM(PSUT_2014!T38:'PSUT_2014'!V38)</f>
        <v>10.714873014735879</v>
      </c>
      <c r="AP117" s="1025">
        <f>+(PSUT_2014!U38)</f>
        <v>10.714873014735879</v>
      </c>
      <c r="AQ117" s="1025">
        <f>+(PSUT_2014!V38)</f>
        <v>0</v>
      </c>
      <c r="AR117" s="1025">
        <f>+(PSUT_2014!W38)</f>
        <v>2563805.052776997</v>
      </c>
      <c r="AS117" s="1025">
        <f>+(PSUT_2014!X38)</f>
        <v>82781</v>
      </c>
      <c r="AT117" s="1025">
        <f>+(PSUT_2014!AA38)</f>
        <v>2651797.7072523031</v>
      </c>
      <c r="AU117" s="1025"/>
      <c r="AV117" s="1025">
        <f t="shared" si="31"/>
        <v>183324.95160521139</v>
      </c>
      <c r="AW117" s="1025"/>
    </row>
    <row r="118" spans="1:58" x14ac:dyDescent="0.25">
      <c r="A118" s="1210"/>
      <c r="B118" s="1208" t="str">
        <f>+(PSUT_2014!A44)</f>
        <v>6. Total supply of water (= 4+5)</v>
      </c>
      <c r="D118" s="1025">
        <f>+(PSUT_2014!AA44)</f>
        <v>2686599.6192460908</v>
      </c>
      <c r="F118" s="1025">
        <f>+(PSUT_2014!C44)</f>
        <v>1524008.4750215835</v>
      </c>
      <c r="M118" s="1025">
        <f>+(PSUT_2014!D44)</f>
        <v>21362.461999937204</v>
      </c>
      <c r="N118" s="1025">
        <f>+(PSUT_2014!E44)</f>
        <v>515516.1363586238</v>
      </c>
      <c r="W118" s="1025">
        <f>+(PSUT_2014!F44)</f>
        <v>339158.53014693107</v>
      </c>
      <c r="X118" s="1025">
        <f>+(PSUT_2014!G44)</f>
        <v>2570.3302400000002</v>
      </c>
      <c r="Y118" s="1025">
        <f>+(PSUT_2014!H44)</f>
        <v>0</v>
      </c>
      <c r="Z118" s="1025">
        <f>+(PSUT_2014!I44)</f>
        <v>0</v>
      </c>
      <c r="AD118" s="1025">
        <f>+(PSUT_2014!J44)</f>
        <v>0</v>
      </c>
      <c r="AF118" s="1025">
        <f>+(PSUT_2014!K44)</f>
        <v>12972.195091540892</v>
      </c>
      <c r="AG118" s="1025">
        <f>+(PSUT_2014!L44)</f>
        <v>0</v>
      </c>
      <c r="AH118" s="1269">
        <f>+(PSUT_2014!M44)</f>
        <v>62.479223265858586</v>
      </c>
      <c r="AI118" s="1025">
        <f>+(PSUT_2014!N44)</f>
        <v>0</v>
      </c>
      <c r="AJ118" s="1025">
        <f>+(PSUT_2014!O44)</f>
        <v>0</v>
      </c>
      <c r="AK118" s="1025">
        <f>+(PSUT_2014!P44)</f>
        <v>0</v>
      </c>
      <c r="AL118" s="1025">
        <f>+(PSUT_2014!Q44)</f>
        <v>0</v>
      </c>
      <c r="AM118" s="1025">
        <f>+(PSUT_2014!R44)</f>
        <v>179497.86400000003</v>
      </c>
      <c r="AN118" s="1025">
        <f>+(PSUT_2014!S44)</f>
        <v>3447.7778158871602</v>
      </c>
      <c r="AO118" s="1025">
        <f>+SUM(PSUT_2014!T44:'PSUT_2014'!V44)</f>
        <v>10.714873014735879</v>
      </c>
      <c r="AP118" s="1025">
        <f>+(PSUT_2014!U44)</f>
        <v>10.714873014735879</v>
      </c>
      <c r="AQ118" s="1025">
        <f>+(PSUT_2014!V44)</f>
        <v>0</v>
      </c>
      <c r="AR118" s="1025">
        <f>+(PSUT_2014!W44)</f>
        <v>2598606.9647707846</v>
      </c>
      <c r="AS118" s="1025">
        <f>+(PSUT_2014!X44)</f>
        <v>82781</v>
      </c>
      <c r="AT118" s="1025">
        <f>+(PSUT_2014!AA44)</f>
        <v>2686599.6192460908</v>
      </c>
      <c r="AU118" s="1025"/>
      <c r="AV118" s="1025">
        <f t="shared" si="31"/>
        <v>196001.74587672343</v>
      </c>
      <c r="AW118" s="1025"/>
    </row>
    <row r="119" spans="1:58" x14ac:dyDescent="0.25">
      <c r="A119" s="1211"/>
      <c r="B119" s="1212" t="str">
        <f>+(PSUT_2014!A45)</f>
        <v>7. Consumption (3-6)</v>
      </c>
      <c r="C119" s="295"/>
      <c r="D119" s="1028">
        <f>+(PSUT_2014!AA45)</f>
        <v>12479599.031542027</v>
      </c>
      <c r="E119" s="295"/>
      <c r="F119" s="1028">
        <f>+(PSUT_2014!C45)</f>
        <v>12073089.547444249</v>
      </c>
      <c r="G119" s="295"/>
      <c r="H119" s="295"/>
      <c r="I119" s="295"/>
      <c r="J119" s="295"/>
      <c r="K119" s="295"/>
      <c r="L119" s="295"/>
      <c r="M119" s="1028">
        <f>+(PSUT_2014!D45)</f>
        <v>1067.2665152598529</v>
      </c>
      <c r="N119" s="1028">
        <f>+(PSUT_2014!E45)</f>
        <v>151490.0473498166</v>
      </c>
      <c r="O119" s="295"/>
      <c r="P119" s="295"/>
      <c r="Q119" s="295"/>
      <c r="R119" s="295"/>
      <c r="S119" s="295"/>
      <c r="T119" s="295"/>
      <c r="U119" s="295"/>
      <c r="V119" s="295"/>
      <c r="W119" s="1195">
        <f>+(PSUT_2014!F45)</f>
        <v>17850.44895510166</v>
      </c>
      <c r="X119" s="1028">
        <f>+(PSUT_2014!G45)</f>
        <v>50969.869260012383</v>
      </c>
      <c r="Y119" s="1028">
        <f>+(PSUT_2014!H45)</f>
        <v>0</v>
      </c>
      <c r="Z119" s="1028">
        <f>+(PSUT_2014!I45)</f>
        <v>0</v>
      </c>
      <c r="AA119" s="295"/>
      <c r="AB119" s="295"/>
      <c r="AC119" s="295"/>
      <c r="AD119" s="1028">
        <f>+(PSUT_2014!J45)</f>
        <v>0</v>
      </c>
      <c r="AE119" s="295"/>
      <c r="AF119" s="1028">
        <f>+(PSUT_2014!K45)</f>
        <v>3700.4149084591081</v>
      </c>
      <c r="AG119" s="1028">
        <f>+(PSUT_2014!L45)</f>
        <v>0</v>
      </c>
      <c r="AH119" s="1270">
        <f>+(PSUT_2014!M45)</f>
        <v>13.611322139488699</v>
      </c>
      <c r="AI119" s="1028">
        <f>+(PSUT_2014!N45)</f>
        <v>0</v>
      </c>
      <c r="AJ119" s="1028">
        <f>+(PSUT_2014!O45)</f>
        <v>0</v>
      </c>
      <c r="AK119" s="1028">
        <f>+(PSUT_2014!P45)</f>
        <v>0</v>
      </c>
      <c r="AL119" s="1028">
        <f>+(PSUT_2014!Q45)</f>
        <v>0</v>
      </c>
      <c r="AM119" s="1028">
        <f>+(PSUT_2014!R45)</f>
        <v>45007.581399999966</v>
      </c>
      <c r="AN119" s="1028">
        <f>+(PSUT_2014!S45)</f>
        <v>861.94444968661037</v>
      </c>
      <c r="AO119" s="1028">
        <f>+SUM(PSUT_2014!T45:'PSUT_2014'!V45)</f>
        <v>132.68839873822006</v>
      </c>
      <c r="AP119" s="1028">
        <f>+(PSUT_2014!U45)</f>
        <v>132.68839873822006</v>
      </c>
      <c r="AQ119" s="1028">
        <f>+(PSUT_2014!V45)</f>
        <v>0</v>
      </c>
      <c r="AR119" s="1028">
        <f>+(PSUT_2014!W45)</f>
        <v>12344183.420003464</v>
      </c>
      <c r="AS119" s="1028">
        <f>+(PSUT_2014!X45)</f>
        <v>134112.69792386814</v>
      </c>
      <c r="AT119" s="1028">
        <f>+(PSUT_2014!AA45)</f>
        <v>12479599.031542027</v>
      </c>
      <c r="AU119" s="1025"/>
      <c r="AV119" s="1028">
        <f t="shared" si="31"/>
        <v>49848.928877761609</v>
      </c>
      <c r="AW119" s="1025"/>
    </row>
    <row r="120" spans="1:58" x14ac:dyDescent="0.25">
      <c r="B120" s="1025"/>
      <c r="F120" s="1025"/>
      <c r="M120" s="1025"/>
      <c r="N120" s="1025"/>
      <c r="W120" s="1025"/>
      <c r="X120" s="1025"/>
      <c r="Y120" s="1025"/>
      <c r="Z120" s="1025"/>
      <c r="AD120" s="1025"/>
      <c r="AF120" s="1025"/>
      <c r="AG120" s="1025"/>
      <c r="AH120" s="1025"/>
      <c r="AI120" s="1025"/>
      <c r="AJ120" s="1025"/>
      <c r="AK120" s="1025"/>
      <c r="AL120" s="1025"/>
      <c r="AM120" s="1025"/>
      <c r="AN120" s="1025"/>
      <c r="AO120" s="1025"/>
      <c r="AP120" s="1025"/>
      <c r="AQ120" s="1025"/>
      <c r="AR120" s="1025"/>
      <c r="AS120" s="1025"/>
      <c r="AU120" s="1025"/>
      <c r="AV120" s="1025"/>
      <c r="AW120" s="1025"/>
    </row>
    <row r="122" spans="1:58" ht="150" x14ac:dyDescent="0.25">
      <c r="A122" s="1218"/>
      <c r="B122" s="1219" t="s">
        <v>1407</v>
      </c>
      <c r="C122" s="1219" t="s">
        <v>1050</v>
      </c>
      <c r="D122" s="1231" t="str">
        <f>PSUT_2015!AA3</f>
        <v xml:space="preserve">Total </v>
      </c>
      <c r="E122" s="1219"/>
      <c r="F122" s="1231" t="str">
        <f>PSUT_2015!C4</f>
        <v xml:space="preserve">A. Agriculture, forestry and fishing </v>
      </c>
      <c r="G122" s="1219"/>
      <c r="H122" s="1219"/>
      <c r="I122" s="1219"/>
      <c r="J122" s="1219"/>
      <c r="K122" s="1219"/>
      <c r="L122" s="1219"/>
      <c r="M122" s="1231" t="str">
        <f>PSUT_2015!D4</f>
        <v xml:space="preserve">B. Mining and Quarrying </v>
      </c>
      <c r="N122" s="1231" t="str">
        <f>PSUT_2015!E4</f>
        <v>C. Manufacturing</v>
      </c>
      <c r="O122" s="1219"/>
      <c r="P122" s="1219"/>
      <c r="Q122" s="1219"/>
      <c r="R122" s="1219"/>
      <c r="S122" s="1219"/>
      <c r="T122" s="1219"/>
      <c r="U122" s="1219"/>
      <c r="V122" s="1219"/>
      <c r="W122" s="1231" t="str">
        <f>PSUT_2015!F4</f>
        <v>D. Electricity, gas, steam and air conditioning supply</v>
      </c>
      <c r="X122" s="1231" t="str">
        <f>PSUT_2015!G4</f>
        <v>E. Water supply (WASAC &amp; AquaVirunga)</v>
      </c>
      <c r="Y122" s="1231" t="str">
        <f>PSUT_2015!H4</f>
        <v>F. Construction</v>
      </c>
      <c r="Z122" s="1231" t="str">
        <f>PSUT_2015!I4</f>
        <v>G. Wholesale and retail trade; repair of motor vehicles and motorcycles</v>
      </c>
      <c r="AA122" s="1219"/>
      <c r="AB122" s="1219"/>
      <c r="AC122" s="1219"/>
      <c r="AD122" s="1231" t="str">
        <f>PSUT_2015!J4</f>
        <v>H. Transportation and storage</v>
      </c>
      <c r="AE122" s="1219"/>
      <c r="AF122" s="1231" t="str">
        <f>PSUT_2015!K4</f>
        <v>I. Accommodation and food service activities</v>
      </c>
      <c r="AG122" s="1231" t="str">
        <f>PSUT_2015!L4</f>
        <v>J. Information and communication</v>
      </c>
      <c r="AH122" s="1231" t="str">
        <f>PSUT_2015!M4</f>
        <v>K. Banking and insurance activities</v>
      </c>
      <c r="AI122" s="1231" t="str">
        <f>PSUT_2015!N4</f>
        <v>L. Real estate activities</v>
      </c>
      <c r="AJ122" s="1231" t="str">
        <f>PSUT_2015!O4</f>
        <v>M. Professional, scientific and technical activities</v>
      </c>
      <c r="AK122" s="1231" t="str">
        <f>PSUT_2015!P4</f>
        <v>N. Administrative and support service activities</v>
      </c>
      <c r="AL122" s="1231" t="str">
        <f>PSUT_2015!Q4</f>
        <v>O. Public administration and defence; compulsory social security</v>
      </c>
      <c r="AM122" s="1231" t="str">
        <f>PSUT_2015!R4</f>
        <v>P. Education</v>
      </c>
      <c r="AN122" s="1231" t="str">
        <f>PSUT_2015!S4</f>
        <v xml:space="preserve">Q. Human health and social work activities </v>
      </c>
      <c r="AO122" s="1231" t="str">
        <f>PSUT_2015!T4</f>
        <v>R. Arts, entertainment and recreation</v>
      </c>
      <c r="AP122" s="1231" t="str">
        <f>PSUT_2015!U4</f>
        <v>S. Other service activities (Religious &amp; Burial)</v>
      </c>
      <c r="AQ122" s="1231" t="str">
        <f>PSUT_2015!V4</f>
        <v>T. Activities of households as employers; undifferentiated goods- and services-producing activities of households for own use</v>
      </c>
      <c r="AR122" s="1231" t="str">
        <f>PSUT_2015!W3</f>
        <v xml:space="preserve">Total Production activities </v>
      </c>
      <c r="AS122" s="1231" t="str">
        <f>PSUT_2015!X4</f>
        <v>Households</v>
      </c>
      <c r="AT122" s="1231" t="str">
        <f>PSUT_2015!AA3</f>
        <v xml:space="preserve">Total </v>
      </c>
      <c r="AU122" s="584"/>
      <c r="AV122" s="1274" t="s">
        <v>1419</v>
      </c>
      <c r="AW122" s="584"/>
      <c r="AY122" s="584"/>
      <c r="AZ122" s="584"/>
      <c r="BA122" s="584"/>
      <c r="BB122" s="584"/>
      <c r="BC122" s="584"/>
      <c r="BD122" s="584"/>
      <c r="BE122" s="584"/>
      <c r="BF122" s="584"/>
    </row>
    <row r="123" spans="1:58" x14ac:dyDescent="0.25">
      <c r="A123" s="1805" t="str">
        <f>+(PSUT_2015!A6)</f>
        <v>From the environment</v>
      </c>
      <c r="B123" s="1220" t="str">
        <f>+(PSUT_2015!B9)</f>
        <v>1 - Total abstraction (1.i+1.ii)</v>
      </c>
      <c r="D123" s="1025">
        <f>+(PSUT_2015!AA9)</f>
        <v>14357623.154118931</v>
      </c>
      <c r="F123" s="1025">
        <f>+(PSUT_2015!C9)</f>
        <v>13846587.983314097</v>
      </c>
      <c r="H123" s="1024"/>
      <c r="I123" s="1024"/>
      <c r="J123" s="1024"/>
      <c r="K123" s="1024"/>
      <c r="L123" s="1024"/>
      <c r="M123" s="1025">
        <f>+(PSUT_2015!D9)</f>
        <v>22449.851322900999</v>
      </c>
      <c r="N123" s="1025">
        <f>+(PSUT_2015!E9)</f>
        <v>24551.455500526612</v>
      </c>
      <c r="P123" s="1026"/>
      <c r="Q123" s="1026"/>
      <c r="R123" s="1026"/>
      <c r="S123" s="1026"/>
      <c r="T123" s="1026"/>
      <c r="U123" s="1026"/>
      <c r="V123" s="1026"/>
      <c r="W123" s="1025">
        <f>+(PSUT_2015!F9)</f>
        <v>368457.53750127146</v>
      </c>
      <c r="X123" s="1025">
        <f>+(PSUT_2015!G9)</f>
        <v>53807.900497512448</v>
      </c>
      <c r="Y123" s="1025">
        <f>+(PSUT_2015!H9)</f>
        <v>0</v>
      </c>
      <c r="Z123" s="1025">
        <f>+(PSUT_2015!I9)</f>
        <v>0</v>
      </c>
      <c r="AB123" s="1024"/>
      <c r="AC123" s="1024"/>
      <c r="AD123" s="1025">
        <f>+(PSUT_2015!J9)</f>
        <v>0</v>
      </c>
      <c r="AF123" s="1025">
        <f>+(PSUT_2015!K9)</f>
        <v>0</v>
      </c>
      <c r="AG123" s="1025">
        <f>+(PSUT_2015!L9)</f>
        <v>0</v>
      </c>
      <c r="AH123" s="1269">
        <f>+(PSUT_2015!M9)</f>
        <v>0.06</v>
      </c>
      <c r="AI123" s="1025">
        <f>+(PSUT_2015!N9)</f>
        <v>0</v>
      </c>
      <c r="AJ123" s="1025">
        <f>+(PSUT_2015!O9)</f>
        <v>0</v>
      </c>
      <c r="AK123" s="1025">
        <f>+(PSUT_2015!P9)</f>
        <v>0</v>
      </c>
      <c r="AL123" s="1025">
        <f>+(PSUT_2015!Q9)</f>
        <v>0</v>
      </c>
      <c r="AM123" s="1025">
        <f>+(PSUT_2015!R9)</f>
        <v>133.11539999999999</v>
      </c>
      <c r="AN123" s="1025">
        <f>+(PSUT_2015!S9)</f>
        <v>588.7795155737706</v>
      </c>
      <c r="AO123" s="1025">
        <f>+SUM(PSUT_2015!T9:'PSUT_2015'!V9)</f>
        <v>11.709600000000002</v>
      </c>
      <c r="AP123" s="1025">
        <f>+(PSUT_2015!U9)</f>
        <v>11.709600000000002</v>
      </c>
      <c r="AQ123" s="1025">
        <f>+(PSUT_2015!V9)</f>
        <v>0</v>
      </c>
      <c r="AR123" s="1025">
        <f>+(PSUT_2015!W9)</f>
        <v>14316588.392651882</v>
      </c>
      <c r="AS123" s="1025">
        <f>+(PSUT_2015!X9)</f>
        <v>41034.76146704804</v>
      </c>
      <c r="AT123" s="1025">
        <f>+(PSUT_2015!AA9)</f>
        <v>14357623.154118931</v>
      </c>
      <c r="AU123" s="1025"/>
      <c r="AV123" s="1025">
        <f t="shared" ref="AV123:AV136" si="32">SUM(Z123:AQ123)</f>
        <v>745.37411557377061</v>
      </c>
      <c r="AW123" s="1025"/>
      <c r="AY123" s="584"/>
      <c r="AZ123" s="584"/>
      <c r="BA123" s="584"/>
      <c r="BB123" s="584"/>
      <c r="BC123" s="584"/>
      <c r="BD123" s="584"/>
      <c r="BE123" s="584"/>
      <c r="BF123" s="584"/>
    </row>
    <row r="124" spans="1:58" x14ac:dyDescent="0.25">
      <c r="A124" s="1805"/>
      <c r="B124" s="1220" t="str">
        <f>+B125 &amp; " &amp; "&amp; B126</f>
        <v>1.i.1 Surface water &amp; 1.i.2 Groundwater</v>
      </c>
      <c r="D124" s="1025">
        <f>+SUM(PSUT_2015!AA11,PSUT_2015!AA16)</f>
        <v>716153.65098616108</v>
      </c>
      <c r="F124" s="1025">
        <f>+SUM(PSUT_2015!C11,PSUT_2015!C16)</f>
        <v>227564.16488132768</v>
      </c>
      <c r="H124" s="1024"/>
      <c r="I124" s="1024"/>
      <c r="J124" s="1024"/>
      <c r="K124" s="1024"/>
      <c r="L124" s="1024"/>
      <c r="M124" s="1025">
        <f>+SUM(PSUT_2015!D11,PSUT_2015!D16)</f>
        <v>1090.051322901</v>
      </c>
      <c r="N124" s="1025">
        <f>+SUM(PSUT_2015!E11,PSUT_2015!E16)</f>
        <v>24523.255500526611</v>
      </c>
      <c r="P124" s="1026"/>
      <c r="Q124" s="1026"/>
      <c r="R124" s="1026"/>
      <c r="S124" s="1026"/>
      <c r="T124" s="1026"/>
      <c r="U124" s="1026"/>
      <c r="V124" s="1026"/>
      <c r="W124" s="1025">
        <f>+SUM(PSUT_2015!F11,PSUT_2015!F16)</f>
        <v>368457.53750127146</v>
      </c>
      <c r="X124" s="1025">
        <f>+SUM(PSUT_2015!G11,PSUT_2015!G16)</f>
        <v>53807.900497512448</v>
      </c>
      <c r="Y124" s="1025">
        <f>+SUM(PSUT_2015!H11,PSUT_2015!H16)</f>
        <v>0</v>
      </c>
      <c r="Z124" s="1025">
        <f>+SUM(PSUT_2015!I11,PSUT_2015!I16)</f>
        <v>0</v>
      </c>
      <c r="AB124" s="1024"/>
      <c r="AC124" s="1024"/>
      <c r="AD124" s="1025">
        <f>+SUM(PSUT_2015!J11,PSUT_2015!J16)</f>
        <v>0</v>
      </c>
      <c r="AF124" s="1025">
        <f>+SUM(PSUT_2015!K11,PSUT_2015!K16)</f>
        <v>0</v>
      </c>
      <c r="AG124" s="1025">
        <f>+SUM(PSUT_2015!L11,PSUT_2015!L16)</f>
        <v>0</v>
      </c>
      <c r="AH124" s="1269">
        <f>+SUM(PSUT_2015!M11,PSUT_2015!M16)</f>
        <v>0</v>
      </c>
      <c r="AI124" s="1025">
        <f>+SUM(PSUT_2015!N11,PSUT_2015!N16)</f>
        <v>0</v>
      </c>
      <c r="AJ124" s="1025">
        <f>+SUM(PSUT_2015!O11,PSUT_2015!O16)</f>
        <v>0</v>
      </c>
      <c r="AK124" s="1025">
        <f>+SUM(PSUT_2015!P11,PSUT_2015!P16)</f>
        <v>0</v>
      </c>
      <c r="AL124" s="1025">
        <f>+SUM(PSUT_2015!Q11,PSUT_2015!Q16)</f>
        <v>0</v>
      </c>
      <c r="AM124" s="1025">
        <f>+SUM(PSUT_2015!R11,PSUT_2015!R16)</f>
        <v>133.11539999999999</v>
      </c>
      <c r="AN124" s="1025">
        <f>+SUM(PSUT_2015!S11,PSUT_2015!S16)</f>
        <v>90.790815573770487</v>
      </c>
      <c r="AO124" s="1025">
        <f>+SUM(PSUT_2015!T11,PSUT_2015!T16)</f>
        <v>0</v>
      </c>
      <c r="AP124" s="1025">
        <f>+SUM(PSUT_2015!U11,PSUT_2015!U16)</f>
        <v>2.0736000000000003</v>
      </c>
      <c r="AQ124" s="1025">
        <f>+SUM(PSUT_2015!V11,PSUT_2015!V16)</f>
        <v>0</v>
      </c>
      <c r="AR124" s="1025">
        <f>+SUM(PSUT_2015!W11,PSUT_2015!W16)</f>
        <v>675668.889519113</v>
      </c>
      <c r="AS124" s="1025">
        <f>+SUM(PSUT_2015!X11,PSUT_2015!X16)</f>
        <v>40484.76146704804</v>
      </c>
      <c r="AT124" s="1025">
        <f>+SUM(PSUT_2015!AA11,PSUT_2015!AA16)</f>
        <v>716153.65098616108</v>
      </c>
      <c r="AU124" s="1025"/>
      <c r="AV124" s="1025">
        <f t="shared" si="32"/>
        <v>225.97981557377048</v>
      </c>
      <c r="AW124" s="1025"/>
      <c r="AY124" s="584"/>
      <c r="AZ124" s="584"/>
      <c r="BA124" s="584"/>
      <c r="BB124" s="584"/>
      <c r="BC124" s="584"/>
      <c r="BD124" s="584"/>
      <c r="BE124" s="584"/>
      <c r="BF124" s="584"/>
    </row>
    <row r="125" spans="1:58" x14ac:dyDescent="0.25">
      <c r="A125" s="1805"/>
      <c r="B125" s="1220" t="str">
        <f>+(PSUT_2015!B11)</f>
        <v>1.i.1 Surface water</v>
      </c>
      <c r="D125" s="1025">
        <f>+(PSUT_2015!AA11)</f>
        <v>651418.35844372853</v>
      </c>
      <c r="E125" s="578"/>
      <c r="F125" s="1025">
        <f>+(PSUT_2015!C11)</f>
        <v>213589.91369091149</v>
      </c>
      <c r="H125" s="1024"/>
      <c r="I125" s="1024"/>
      <c r="J125" s="1024"/>
      <c r="K125" s="1024"/>
      <c r="L125" s="1024"/>
      <c r="M125" s="1025">
        <f>+(PSUT_2015!D11)</f>
        <v>1026.2631929010001</v>
      </c>
      <c r="N125" s="1025">
        <f>+(PSUT_2015!E11)</f>
        <v>15398.58474661503</v>
      </c>
      <c r="P125" s="1026"/>
      <c r="Q125" s="1026"/>
      <c r="R125" s="1026"/>
      <c r="S125" s="1026"/>
      <c r="T125" s="1026"/>
      <c r="U125" s="1026"/>
      <c r="V125" s="1026"/>
      <c r="W125" s="1025">
        <f>+(PSUT_2015!F11)</f>
        <v>368457.53750127146</v>
      </c>
      <c r="X125" s="1025">
        <f>+(PSUT_2015!G11)</f>
        <v>41642.371781681206</v>
      </c>
      <c r="Y125" s="1025">
        <f>+(PSUT_2015!H11)</f>
        <v>0</v>
      </c>
      <c r="Z125" s="1025">
        <f>+(PSUT_2015!I11)</f>
        <v>0</v>
      </c>
      <c r="AB125" s="1024"/>
      <c r="AC125" s="1024"/>
      <c r="AD125" s="1025">
        <f>+(PSUT_2015!J11)</f>
        <v>0</v>
      </c>
      <c r="AF125" s="1025">
        <f>+(PSUT_2015!K11)</f>
        <v>0</v>
      </c>
      <c r="AG125" s="1025">
        <f>+(PSUT_2015!L11)</f>
        <v>0</v>
      </c>
      <c r="AH125" s="1269">
        <f>+(PSUT_2015!M11)</f>
        <v>0</v>
      </c>
      <c r="AI125" s="1025">
        <f>+(PSUT_2015!N11)</f>
        <v>0</v>
      </c>
      <c r="AJ125" s="1025">
        <f>+(PSUT_2015!O11)</f>
        <v>0</v>
      </c>
      <c r="AK125" s="1025">
        <f>+(PSUT_2015!P11)</f>
        <v>0</v>
      </c>
      <c r="AL125" s="1025">
        <f>+(PSUT_2015!Q11)</f>
        <v>0</v>
      </c>
      <c r="AM125" s="1025">
        <f>+(PSUT_2015!R11)</f>
        <v>0</v>
      </c>
      <c r="AN125" s="1025">
        <f>+(PSUT_2015!S11)</f>
        <v>0</v>
      </c>
      <c r="AO125" s="1025">
        <f>+SUM(PSUT_2015!T11:'PSUT_2015'!V11)</f>
        <v>2.0736000000000003</v>
      </c>
      <c r="AP125" s="1025">
        <f>+(PSUT_2015!U11)</f>
        <v>2.0736000000000003</v>
      </c>
      <c r="AQ125" s="1025">
        <f>+(PSUT_2015!V11)</f>
        <v>0</v>
      </c>
      <c r="AR125" s="1025">
        <f>+(PSUT_2015!W11)</f>
        <v>640116.74451338022</v>
      </c>
      <c r="AS125" s="1025">
        <f>+(PSUT_2015!X11)</f>
        <v>11301.61393034826</v>
      </c>
      <c r="AT125" s="1025">
        <f>+(PSUT_2015!AA11)</f>
        <v>651418.35844372853</v>
      </c>
      <c r="AU125" s="1025"/>
      <c r="AV125" s="1025">
        <f t="shared" si="32"/>
        <v>4.1472000000000007</v>
      </c>
      <c r="AW125" s="1025"/>
      <c r="AY125" s="584"/>
      <c r="AZ125" s="584"/>
      <c r="BA125" s="584"/>
      <c r="BB125" s="584"/>
      <c r="BC125" s="584"/>
      <c r="BD125" s="584"/>
      <c r="BE125" s="584"/>
      <c r="BF125" s="584"/>
    </row>
    <row r="126" spans="1:58" x14ac:dyDescent="0.25">
      <c r="A126" s="1805"/>
      <c r="B126" s="1220" t="str">
        <f>+(PSUT_2015!B16)</f>
        <v>1.i.2 Groundwater</v>
      </c>
      <c r="D126" s="1025">
        <f>+(PSUT_2015!AA16)</f>
        <v>64735.292542432573</v>
      </c>
      <c r="E126" s="1024"/>
      <c r="F126" s="1025">
        <f>+(PSUT_2015!C16)</f>
        <v>13974.251190416202</v>
      </c>
      <c r="H126" s="1024"/>
      <c r="I126" s="1024"/>
      <c r="J126" s="1024"/>
      <c r="K126" s="1024"/>
      <c r="L126" s="1024"/>
      <c r="M126" s="1025">
        <f>+(PSUT_2015!D16)</f>
        <v>63.788130000000002</v>
      </c>
      <c r="N126" s="1025">
        <f>+(PSUT_2015!E16)</f>
        <v>9124.6707539115796</v>
      </c>
      <c r="P126" s="1024"/>
      <c r="Q126" s="1024"/>
      <c r="R126" s="1024"/>
      <c r="S126" s="1024"/>
      <c r="T126" s="1024"/>
      <c r="U126" s="1024"/>
      <c r="V126" s="1024"/>
      <c r="W126" s="1025">
        <f>+(PSUT_2015!F16)</f>
        <v>0</v>
      </c>
      <c r="X126" s="1025">
        <f>+(PSUT_2015!G16)</f>
        <v>12165.528715831242</v>
      </c>
      <c r="Y126" s="1025">
        <f>+(PSUT_2015!H16)</f>
        <v>0</v>
      </c>
      <c r="Z126" s="1025">
        <f>+(PSUT_2015!I16)</f>
        <v>0</v>
      </c>
      <c r="AB126" s="1024"/>
      <c r="AC126" s="1024"/>
      <c r="AD126" s="1025">
        <f>+(PSUT_2015!J16)</f>
        <v>0</v>
      </c>
      <c r="AF126" s="1025">
        <f>+(PSUT_2015!K16)</f>
        <v>0</v>
      </c>
      <c r="AG126" s="1025">
        <f>+(PSUT_2015!L16)</f>
        <v>0</v>
      </c>
      <c r="AH126" s="1269">
        <f>+(PSUT_2015!M16)</f>
        <v>0</v>
      </c>
      <c r="AI126" s="1025">
        <f>+(PSUT_2015!N16)</f>
        <v>0</v>
      </c>
      <c r="AJ126" s="1025">
        <f>+(PSUT_2015!O16)</f>
        <v>0</v>
      </c>
      <c r="AK126" s="1025">
        <f>+(PSUT_2015!P16)</f>
        <v>0</v>
      </c>
      <c r="AL126" s="1025">
        <f>+(PSUT_2015!Q16)</f>
        <v>0</v>
      </c>
      <c r="AM126" s="1025">
        <f>+(PSUT_2015!R16)</f>
        <v>133.11539999999999</v>
      </c>
      <c r="AN126" s="1025">
        <f>+(PSUT_2015!S16)</f>
        <v>90.790815573770487</v>
      </c>
      <c r="AO126" s="1025">
        <f>+SUM(PSUT_2015!T16:'PSUT_2015'!V16)</f>
        <v>0</v>
      </c>
      <c r="AP126" s="1025">
        <f>+(PSUT_2015!U16)</f>
        <v>0</v>
      </c>
      <c r="AQ126" s="1025">
        <f>+(PSUT_2015!V16)</f>
        <v>0</v>
      </c>
      <c r="AR126" s="1025">
        <f>+(PSUT_2015!W16)</f>
        <v>35552.145005732797</v>
      </c>
      <c r="AS126" s="1025">
        <f>+(PSUT_2015!X16)</f>
        <v>29183.147536699777</v>
      </c>
      <c r="AT126" s="1025">
        <f>+(PSUT_2015!AA16)</f>
        <v>64735.292542432573</v>
      </c>
      <c r="AU126" s="1025"/>
      <c r="AV126" s="1025">
        <f t="shared" si="32"/>
        <v>223.90621557377048</v>
      </c>
      <c r="AW126" s="1025"/>
    </row>
    <row r="127" spans="1:58" x14ac:dyDescent="0.25">
      <c r="A127" s="1805"/>
      <c r="B127" s="1220" t="str">
        <f>+(PSUT_2015!B19)</f>
        <v>1.i.3 Soil water (green water)</v>
      </c>
      <c r="D127" s="1025">
        <f>+(PSUT_2015!AA19)</f>
        <v>13618216.818432769</v>
      </c>
      <c r="E127" s="1024"/>
      <c r="F127" s="1025">
        <f>+(PSUT_2015!C19)</f>
        <v>13618216.818432769</v>
      </c>
      <c r="H127" s="1024"/>
      <c r="I127" s="1024"/>
      <c r="J127" s="1024"/>
      <c r="K127" s="1024"/>
      <c r="L127" s="1024"/>
      <c r="M127" s="1025">
        <f>+(PSUT_2015!D19)</f>
        <v>0</v>
      </c>
      <c r="N127" s="1025">
        <f>+(PSUT_2015!E19)</f>
        <v>0</v>
      </c>
      <c r="P127" s="1024"/>
      <c r="Q127" s="1024"/>
      <c r="R127" s="1024"/>
      <c r="S127" s="1024"/>
      <c r="T127" s="1024"/>
      <c r="U127" s="1024"/>
      <c r="V127" s="1024"/>
      <c r="W127" s="1025">
        <f>+(PSUT_2015!F19)</f>
        <v>0</v>
      </c>
      <c r="X127" s="1025">
        <f>+(PSUT_2015!G19)</f>
        <v>0</v>
      </c>
      <c r="Y127" s="1025">
        <f>+(PSUT_2015!H19)</f>
        <v>0</v>
      </c>
      <c r="Z127" s="1025">
        <f>+(PSUT_2015!I19)</f>
        <v>0</v>
      </c>
      <c r="AB127" s="1024"/>
      <c r="AC127" s="1024"/>
      <c r="AD127" s="1025">
        <f>+(PSUT_2015!J19)</f>
        <v>0</v>
      </c>
      <c r="AF127" s="1025">
        <f>+(PSUT_2015!K19)</f>
        <v>0</v>
      </c>
      <c r="AG127" s="1025">
        <f>+(PSUT_2015!L19)</f>
        <v>0</v>
      </c>
      <c r="AH127" s="1269">
        <f>+(PSUT_2015!M19)</f>
        <v>0</v>
      </c>
      <c r="AI127" s="1025">
        <f>+(PSUT_2015!N19)</f>
        <v>0</v>
      </c>
      <c r="AJ127" s="1025">
        <f>+(PSUT_2015!O19)</f>
        <v>0</v>
      </c>
      <c r="AK127" s="1025">
        <f>+(PSUT_2015!P19)</f>
        <v>0</v>
      </c>
      <c r="AL127" s="1025">
        <f>+(PSUT_2015!Q19)</f>
        <v>0</v>
      </c>
      <c r="AM127" s="1025">
        <f>+(PSUT_2015!R19)</f>
        <v>0</v>
      </c>
      <c r="AN127" s="1025">
        <f>+(PSUT_2015!S19)</f>
        <v>0</v>
      </c>
      <c r="AO127" s="1025">
        <f>+SUM(PSUT_2015!T19:'PSUT_2015'!V19)</f>
        <v>0</v>
      </c>
      <c r="AP127" s="1025">
        <f>+(PSUT_2015!U19)</f>
        <v>0</v>
      </c>
      <c r="AQ127" s="1025">
        <f>+(PSUT_2015!V19)</f>
        <v>0</v>
      </c>
      <c r="AR127" s="1025">
        <f>+(PSUT_2015!W19)</f>
        <v>13618216.818432769</v>
      </c>
      <c r="AS127" s="1025">
        <f>+(PSUT_2015!X19)</f>
        <v>0</v>
      </c>
      <c r="AT127" s="1025">
        <f>+(PSUT_2015!AA19)</f>
        <v>13618216.818432769</v>
      </c>
      <c r="AU127" s="1025"/>
      <c r="AV127" s="1025">
        <f t="shared" si="32"/>
        <v>0</v>
      </c>
      <c r="AW127" s="1025"/>
    </row>
    <row r="128" spans="1:58" x14ac:dyDescent="0.25">
      <c r="A128" s="1805"/>
      <c r="B128" s="1220" t="str">
        <f>+(PSUT_2015!B20)</f>
        <v xml:space="preserve">1.ii From other sources </v>
      </c>
      <c r="D128" s="1025">
        <f>+(PSUT_2015!AA20)</f>
        <v>23252.684700000002</v>
      </c>
      <c r="E128" s="1024"/>
      <c r="F128" s="1025">
        <f>+(PSUT_2015!C20)</f>
        <v>807</v>
      </c>
      <c r="H128" s="1024"/>
      <c r="I128" s="1024"/>
      <c r="J128" s="1024"/>
      <c r="K128" s="1024"/>
      <c r="L128" s="1024"/>
      <c r="M128" s="1025">
        <f>+(PSUT_2015!D20)</f>
        <v>21359.8</v>
      </c>
      <c r="N128" s="1025">
        <f>+(PSUT_2015!E20)</f>
        <v>28.2</v>
      </c>
      <c r="P128" s="1024"/>
      <c r="Q128" s="1024"/>
      <c r="R128" s="1024"/>
      <c r="S128" s="1024"/>
      <c r="T128" s="1024"/>
      <c r="U128" s="1024"/>
      <c r="V128" s="1024"/>
      <c r="W128" s="1025">
        <f>+(PSUT_2015!F20)</f>
        <v>0</v>
      </c>
      <c r="X128" s="1025">
        <f>+(PSUT_2015!G20)</f>
        <v>0</v>
      </c>
      <c r="Y128" s="1025">
        <f>+(PSUT_2015!H20)</f>
        <v>0</v>
      </c>
      <c r="Z128" s="1025">
        <f>+(PSUT_2015!I20)</f>
        <v>0</v>
      </c>
      <c r="AB128" s="1024"/>
      <c r="AC128" s="1024"/>
      <c r="AD128" s="1025">
        <f>+(PSUT_2015!J20)</f>
        <v>0</v>
      </c>
      <c r="AF128" s="1025">
        <f>+(PSUT_2015!K20)</f>
        <v>0</v>
      </c>
      <c r="AG128" s="1025">
        <f>+(PSUT_2015!L20)</f>
        <v>0</v>
      </c>
      <c r="AH128" s="1269">
        <f>+(PSUT_2015!M20)</f>
        <v>0.06</v>
      </c>
      <c r="AI128" s="1025">
        <f>+(PSUT_2015!N20)</f>
        <v>0</v>
      </c>
      <c r="AJ128" s="1025">
        <f>+(PSUT_2015!O20)</f>
        <v>0</v>
      </c>
      <c r="AK128" s="1025">
        <f>+(PSUT_2015!P20)</f>
        <v>0</v>
      </c>
      <c r="AL128" s="1025">
        <f>+(PSUT_2015!Q20)</f>
        <v>0</v>
      </c>
      <c r="AM128" s="1025">
        <f>+(PSUT_2015!R20)</f>
        <v>0</v>
      </c>
      <c r="AN128" s="1025">
        <f>+(PSUT_2015!S20)</f>
        <v>497.98870000000005</v>
      </c>
      <c r="AO128" s="1025">
        <f>+SUM(PSUT_2015!T20:'PSUT_2015'!V20)</f>
        <v>9.636000000000001</v>
      </c>
      <c r="AP128" s="1025">
        <f>+(PSUT_2015!U20)</f>
        <v>9.636000000000001</v>
      </c>
      <c r="AQ128" s="1025">
        <f>+(PSUT_2015!V20)</f>
        <v>0</v>
      </c>
      <c r="AR128" s="1025">
        <f>+(PSUT_2015!W20)</f>
        <v>22702.684700000002</v>
      </c>
      <c r="AS128" s="1025">
        <f>+(PSUT_2015!X20)</f>
        <v>550</v>
      </c>
      <c r="AT128" s="1025">
        <f>+(PSUT_2015!AA20)</f>
        <v>23252.684700000002</v>
      </c>
      <c r="AU128" s="1025"/>
      <c r="AV128" s="1025">
        <f t="shared" si="32"/>
        <v>517.3207000000001</v>
      </c>
      <c r="AW128" s="1025"/>
    </row>
    <row r="129" spans="1:49" x14ac:dyDescent="0.25">
      <c r="A129" s="1805"/>
      <c r="B129" s="1220" t="str">
        <f>+(PSUT_2015!B21)</f>
        <v>1.ii.1 Collection of precipitation (rainwater harvesting; ..)</v>
      </c>
      <c r="D129" s="1025">
        <f>+(PSUT_2015!AA21)</f>
        <v>23252.684700000002</v>
      </c>
      <c r="E129" s="1024"/>
      <c r="F129" s="1025">
        <f>+(PSUT_2015!C21)</f>
        <v>807</v>
      </c>
      <c r="H129" s="1024"/>
      <c r="I129" s="1024"/>
      <c r="J129" s="1024"/>
      <c r="K129" s="1024"/>
      <c r="L129" s="1024"/>
      <c r="M129" s="1025">
        <f>+(PSUT_2015!D21)</f>
        <v>21359.8</v>
      </c>
      <c r="N129" s="1025">
        <f>+(PSUT_2015!E21)</f>
        <v>28.2</v>
      </c>
      <c r="P129" s="1024"/>
      <c r="Q129" s="1024"/>
      <c r="R129" s="1024"/>
      <c r="S129" s="1024"/>
      <c r="T129" s="1024"/>
      <c r="U129" s="1024"/>
      <c r="V129" s="1024"/>
      <c r="W129" s="1025">
        <f>+(PSUT_2015!F21)</f>
        <v>0</v>
      </c>
      <c r="X129" s="1025">
        <f>+(PSUT_2015!G21)</f>
        <v>0</v>
      </c>
      <c r="Y129" s="1025">
        <f>+(PSUT_2015!H21)</f>
        <v>0</v>
      </c>
      <c r="Z129" s="1025">
        <f>+(PSUT_2015!I21)</f>
        <v>0</v>
      </c>
      <c r="AB129" s="1024"/>
      <c r="AC129" s="1024"/>
      <c r="AD129" s="1025">
        <f>+(PSUT_2015!J21)</f>
        <v>0</v>
      </c>
      <c r="AF129" s="1025">
        <f>+(PSUT_2015!K21)</f>
        <v>0</v>
      </c>
      <c r="AG129" s="1025">
        <f>+(PSUT_2015!L21)</f>
        <v>0</v>
      </c>
      <c r="AH129" s="1269">
        <f>+(PSUT_2015!M21)</f>
        <v>0.06</v>
      </c>
      <c r="AI129" s="1025">
        <f>+(PSUT_2015!N21)</f>
        <v>0</v>
      </c>
      <c r="AJ129" s="1025">
        <f>+(PSUT_2015!O21)</f>
        <v>0</v>
      </c>
      <c r="AK129" s="1025">
        <f>+(PSUT_2015!P21)</f>
        <v>0</v>
      </c>
      <c r="AL129" s="1025">
        <f>+(PSUT_2015!Q21)</f>
        <v>0</v>
      </c>
      <c r="AM129" s="1025">
        <f>+(PSUT_2015!R21)</f>
        <v>0</v>
      </c>
      <c r="AN129" s="1025">
        <f>+(PSUT_2015!S21)</f>
        <v>497.98870000000005</v>
      </c>
      <c r="AO129" s="1025">
        <f>+SUM(PSUT_2015!T21:'PSUT_2015'!V21)</f>
        <v>9.636000000000001</v>
      </c>
      <c r="AP129" s="1025">
        <f>+(PSUT_2015!U21)</f>
        <v>9.636000000000001</v>
      </c>
      <c r="AQ129" s="1025">
        <f>+(PSUT_2015!V21)</f>
        <v>0</v>
      </c>
      <c r="AR129" s="1025">
        <f>+(PSUT_2015!W21)</f>
        <v>22702.684700000002</v>
      </c>
      <c r="AS129" s="1025">
        <f>+(PSUT_2015!X21)</f>
        <v>550</v>
      </c>
      <c r="AT129" s="1025">
        <f>+(PSUT_2015!AA21)</f>
        <v>23252.684700000002</v>
      </c>
      <c r="AU129" s="1025"/>
      <c r="AV129" s="1025">
        <f t="shared" si="32"/>
        <v>517.3207000000001</v>
      </c>
      <c r="AW129" s="1025"/>
    </row>
    <row r="130" spans="1:49" x14ac:dyDescent="0.25">
      <c r="A130" s="1221"/>
      <c r="B130" s="1220" t="str">
        <f>+(PSUT_2015!B22)</f>
        <v>1.ii.2 Abstraction from the sea</v>
      </c>
      <c r="D130" s="1025">
        <f>+(PSUT_2015!AA22)</f>
        <v>0</v>
      </c>
      <c r="E130" s="1024"/>
      <c r="F130" s="1025">
        <f>+(PSUT_2015!C22)</f>
        <v>0</v>
      </c>
      <c r="H130" s="1024"/>
      <c r="I130" s="1024"/>
      <c r="J130" s="1024"/>
      <c r="K130" s="1024"/>
      <c r="L130" s="1024"/>
      <c r="M130" s="1025">
        <f>+(PSUT_2015!D22)</f>
        <v>0</v>
      </c>
      <c r="N130" s="1025">
        <f>+(PSUT_2015!E22)</f>
        <v>0</v>
      </c>
      <c r="P130" s="1024"/>
      <c r="Q130" s="1024"/>
      <c r="R130" s="1024"/>
      <c r="S130" s="1024"/>
      <c r="T130" s="1024"/>
      <c r="U130" s="1024"/>
      <c r="V130" s="1024"/>
      <c r="W130" s="1025">
        <f>+(PSUT_2015!F22)</f>
        <v>0</v>
      </c>
      <c r="X130" s="1025">
        <f>+(PSUT_2015!G22)</f>
        <v>0</v>
      </c>
      <c r="Y130" s="1025">
        <f>+(PSUT_2015!H22)</f>
        <v>0</v>
      </c>
      <c r="Z130" s="1025">
        <f>+(PSUT_2015!I22)</f>
        <v>0</v>
      </c>
      <c r="AB130" s="1024"/>
      <c r="AC130" s="1024"/>
      <c r="AD130" s="1025">
        <f>+(PSUT_2015!J22)</f>
        <v>0</v>
      </c>
      <c r="AF130" s="1025">
        <f>+(PSUT_2015!K22)</f>
        <v>0</v>
      </c>
      <c r="AG130" s="1025">
        <f>+(PSUT_2015!L22)</f>
        <v>0</v>
      </c>
      <c r="AH130" s="1269">
        <f>+(PSUT_2015!M22)</f>
        <v>0</v>
      </c>
      <c r="AI130" s="1025">
        <f>+(PSUT_2015!N22)</f>
        <v>0</v>
      </c>
      <c r="AJ130" s="1025">
        <f>+(PSUT_2015!O22)</f>
        <v>0</v>
      </c>
      <c r="AK130" s="1025">
        <f>+(PSUT_2015!P22)</f>
        <v>0</v>
      </c>
      <c r="AL130" s="1025">
        <f>+(PSUT_2015!Q22)</f>
        <v>0</v>
      </c>
      <c r="AM130" s="1025">
        <f>+(PSUT_2015!R22)</f>
        <v>0</v>
      </c>
      <c r="AN130" s="1025">
        <f>+(PSUT_2015!S22)</f>
        <v>0</v>
      </c>
      <c r="AO130" s="1025">
        <f>+SUM(PSUT_2015!T22:'PSUT_2015'!V22)</f>
        <v>0</v>
      </c>
      <c r="AP130" s="1025">
        <f>+(PSUT_2015!U22)</f>
        <v>0</v>
      </c>
      <c r="AQ130" s="1025">
        <f>+(PSUT_2015!V22)</f>
        <v>0</v>
      </c>
      <c r="AR130" s="1025">
        <f>+(PSUT_2015!W22)</f>
        <v>0</v>
      </c>
      <c r="AS130" s="1025">
        <f>+(PSUT_2015!X22)</f>
        <v>0</v>
      </c>
      <c r="AT130" s="1025">
        <f>+(PSUT_2015!AA22)</f>
        <v>0</v>
      </c>
      <c r="AU130" s="1025"/>
      <c r="AV130" s="1025">
        <f t="shared" si="32"/>
        <v>0</v>
      </c>
      <c r="AW130" s="1025"/>
    </row>
    <row r="131" spans="1:49" x14ac:dyDescent="0.25">
      <c r="A131" s="1221"/>
      <c r="B131" s="1220" t="str">
        <f>+(PSUT_2015!B23)</f>
        <v>2. Use of water received from other economic units</v>
      </c>
      <c r="D131" s="1025">
        <f>+(PSUT_2015!AA23)</f>
        <v>1160562.9602874902</v>
      </c>
      <c r="E131" s="1024"/>
      <c r="F131" s="1025">
        <f>+(PSUT_2015!C23)</f>
        <v>90250</v>
      </c>
      <c r="H131" s="1024"/>
      <c r="I131" s="1024"/>
      <c r="J131" s="1024"/>
      <c r="K131" s="1024"/>
      <c r="L131" s="1024"/>
      <c r="M131" s="1025">
        <f>+(PSUT_2015!D23)</f>
        <v>0</v>
      </c>
      <c r="N131" s="1025">
        <f>+(PSUT_2015!E23)</f>
        <v>642763.78523033194</v>
      </c>
      <c r="P131" s="1024"/>
      <c r="Q131" s="1024"/>
      <c r="R131" s="1024"/>
      <c r="S131" s="1024"/>
      <c r="T131" s="1024"/>
      <c r="U131" s="1024"/>
      <c r="V131" s="1024"/>
      <c r="W131" s="1025">
        <f>+(PSUT_2015!F23)</f>
        <v>0</v>
      </c>
      <c r="X131" s="1025">
        <f>+(PSUT_2015!G23)</f>
        <v>0</v>
      </c>
      <c r="Y131" s="1025">
        <f>+(PSUT_2015!H23)</f>
        <v>0</v>
      </c>
      <c r="Z131" s="1025">
        <f>+(PSUT_2015!I23)</f>
        <v>0</v>
      </c>
      <c r="AB131" s="1024"/>
      <c r="AC131" s="1024"/>
      <c r="AD131" s="1025">
        <f>+(PSUT_2015!J23)</f>
        <v>0</v>
      </c>
      <c r="AF131" s="1025">
        <f>+(PSUT_2015!K23)</f>
        <v>16672.61</v>
      </c>
      <c r="AG131" s="1025">
        <f>+(PSUT_2015!L23)</f>
        <v>0</v>
      </c>
      <c r="AH131" s="1269">
        <f>+(PSUT_2015!M23)</f>
        <v>76.030545405347283</v>
      </c>
      <c r="AI131" s="1025">
        <f>+(PSUT_2015!N23)</f>
        <v>0</v>
      </c>
      <c r="AJ131" s="1025">
        <f>+(PSUT_2015!O23)</f>
        <v>0</v>
      </c>
      <c r="AK131" s="1025">
        <f>+(PSUT_2015!P23)</f>
        <v>0</v>
      </c>
      <c r="AL131" s="1025">
        <f>+(PSUT_2015!Q23)</f>
        <v>0</v>
      </c>
      <c r="AM131" s="1025">
        <f>+(PSUT_2015!R23)</f>
        <v>224372.33</v>
      </c>
      <c r="AN131" s="1025">
        <f>+(PSUT_2015!S23)</f>
        <v>3720.9427500000002</v>
      </c>
      <c r="AO131" s="1025">
        <f>+SUM(PSUT_2015!T23:'PSUT_2015'!V23)</f>
        <v>131.69367175295594</v>
      </c>
      <c r="AP131" s="1025">
        <f>+(PSUT_2015!U23)</f>
        <v>131.69367175295594</v>
      </c>
      <c r="AQ131" s="1025">
        <f>+(PSUT_2015!V23)</f>
        <v>0</v>
      </c>
      <c r="AR131" s="1025">
        <f>+(PSUT_2015!W23)</f>
        <v>977987.3921974902</v>
      </c>
      <c r="AS131" s="1025">
        <f>+(PSUT_2015!X23)</f>
        <v>176061</v>
      </c>
      <c r="AT131" s="1025">
        <f>+(PSUT_2015!AA23)</f>
        <v>1160562.9602874902</v>
      </c>
      <c r="AU131" s="1025"/>
      <c r="AV131" s="1025">
        <f t="shared" si="32"/>
        <v>245105.30063891126</v>
      </c>
      <c r="AW131" s="1025"/>
    </row>
    <row r="132" spans="1:49" x14ac:dyDescent="0.25">
      <c r="A132" s="1221"/>
      <c r="B132" s="1220" t="str">
        <f>+(PSUT_2015!A24)</f>
        <v>3. Total use of water (=1+2)</v>
      </c>
      <c r="D132" s="1025">
        <f>+(PSUT_2015!AA24)</f>
        <v>15518186.11440642</v>
      </c>
      <c r="E132" s="1024"/>
      <c r="F132" s="1025">
        <f>+(PSUT_2015!C24)</f>
        <v>13936837.983314097</v>
      </c>
      <c r="H132" s="1024"/>
      <c r="I132" s="1024"/>
      <c r="J132" s="1024"/>
      <c r="K132" s="1024"/>
      <c r="L132" s="1024"/>
      <c r="M132" s="1025">
        <f>+(PSUT_2015!D24)</f>
        <v>22449.851322900999</v>
      </c>
      <c r="N132" s="1025">
        <f>+(PSUT_2015!E24)</f>
        <v>667315.24073085852</v>
      </c>
      <c r="P132" s="1024"/>
      <c r="Q132" s="1024"/>
      <c r="R132" s="1024"/>
      <c r="S132" s="1024"/>
      <c r="T132" s="1024"/>
      <c r="U132" s="1024"/>
      <c r="V132" s="1024"/>
      <c r="W132" s="1025">
        <f>+(PSUT_2015!F24)</f>
        <v>368457.53750127146</v>
      </c>
      <c r="X132" s="1025">
        <f>+(PSUT_2015!G24)</f>
        <v>53807.900497512441</v>
      </c>
      <c r="Y132" s="1025">
        <f>+(PSUT_2015!H24)</f>
        <v>0</v>
      </c>
      <c r="Z132" s="1025">
        <f>+(PSUT_2015!I24)</f>
        <v>0</v>
      </c>
      <c r="AB132" s="1024"/>
      <c r="AC132" s="1024"/>
      <c r="AD132" s="1025">
        <f>+(PSUT_2015!J24)</f>
        <v>0</v>
      </c>
      <c r="AF132" s="1025">
        <f>+(PSUT_2015!K24)</f>
        <v>16672.61</v>
      </c>
      <c r="AG132" s="1025">
        <f>+(PSUT_2015!L24)</f>
        <v>0</v>
      </c>
      <c r="AH132" s="1269">
        <f>+(PSUT_2015!M24)</f>
        <v>76.090545405347285</v>
      </c>
      <c r="AI132" s="1025">
        <f>+(PSUT_2015!N24)</f>
        <v>0</v>
      </c>
      <c r="AJ132" s="1025">
        <f>+(PSUT_2015!O24)</f>
        <v>0</v>
      </c>
      <c r="AK132" s="1025">
        <f>+(PSUT_2015!P24)</f>
        <v>0</v>
      </c>
      <c r="AL132" s="1025">
        <f>+(PSUT_2015!Q24)</f>
        <v>0</v>
      </c>
      <c r="AM132" s="1025">
        <f>+(PSUT_2015!R24)</f>
        <v>224505.4454</v>
      </c>
      <c r="AN132" s="1025">
        <f>+(PSUT_2015!S24)</f>
        <v>4309.7222655737705</v>
      </c>
      <c r="AO132" s="1025">
        <f>+SUM(PSUT_2015!T24:'PSUT_2015'!V24)</f>
        <v>143.40327175295593</v>
      </c>
      <c r="AP132" s="1025">
        <f>+(PSUT_2015!U24)</f>
        <v>143.40327175295593</v>
      </c>
      <c r="AQ132" s="1025">
        <f>+(PSUT_2015!V24)</f>
        <v>0</v>
      </c>
      <c r="AR132" s="1025">
        <f>+(PSUT_2015!W24)</f>
        <v>15294575.784849372</v>
      </c>
      <c r="AS132" s="1025">
        <f>+(PSUT_2015!X24)</f>
        <v>217095.76146704803</v>
      </c>
      <c r="AT132" s="1025">
        <f>+(PSUT_2015!AA24)</f>
        <v>15518186.11440642</v>
      </c>
      <c r="AU132" s="1025"/>
      <c r="AV132" s="1025">
        <f t="shared" si="32"/>
        <v>245850.67475448505</v>
      </c>
      <c r="AW132" s="1025"/>
    </row>
    <row r="133" spans="1:49" x14ac:dyDescent="0.25">
      <c r="A133" s="1221"/>
      <c r="B133" s="1220" t="str">
        <f>+(PSUT_2015!B35)</f>
        <v>4. Supply of water to other economic units</v>
      </c>
      <c r="D133" s="1025">
        <f>+(PSUT_2015!AA35)</f>
        <v>34821.028661106844</v>
      </c>
      <c r="E133" s="1024"/>
      <c r="F133" s="1025">
        <f>+(PSUT_2015!C35)</f>
        <v>0</v>
      </c>
      <c r="H133" s="1024"/>
      <c r="I133" s="1024"/>
      <c r="J133" s="1024"/>
      <c r="K133" s="1024"/>
      <c r="L133" s="1024"/>
      <c r="M133" s="1025">
        <f>+(PSUT_2015!D35)</f>
        <v>21327.358756755948</v>
      </c>
      <c r="N133" s="1025">
        <f>+(PSUT_2015!E35)</f>
        <v>816.87563283886971</v>
      </c>
      <c r="P133" s="1024"/>
      <c r="Q133" s="1024"/>
      <c r="R133" s="1024"/>
      <c r="S133" s="1024"/>
      <c r="T133" s="1024"/>
      <c r="U133" s="1024"/>
      <c r="V133" s="1024"/>
      <c r="W133" s="1025">
        <f>+(PSUT_2015!F35)</f>
        <v>0</v>
      </c>
      <c r="X133" s="1025">
        <f>+(PSUT_2015!G35)</f>
        <v>0</v>
      </c>
      <c r="Y133" s="1025">
        <f>+(PSUT_2015!H35)</f>
        <v>0</v>
      </c>
      <c r="Z133" s="1025">
        <f>+(PSUT_2015!I35)</f>
        <v>0</v>
      </c>
      <c r="AB133" s="1024"/>
      <c r="AC133" s="1024"/>
      <c r="AD133" s="1025">
        <f>+(PSUT_2015!J35)</f>
        <v>0</v>
      </c>
      <c r="AF133" s="1025">
        <f>+(PSUT_2015!K35)</f>
        <v>12671.183667903779</v>
      </c>
      <c r="AG133" s="1025">
        <f>+(PSUT_2015!L35)</f>
        <v>0</v>
      </c>
      <c r="AH133" s="1269">
        <f>+(PSUT_2015!M35)</f>
        <v>5.6106036082474233</v>
      </c>
      <c r="AI133" s="1025">
        <f>+(PSUT_2015!N35)</f>
        <v>0</v>
      </c>
      <c r="AJ133" s="1025">
        <f>+(PSUT_2015!O35)</f>
        <v>0</v>
      </c>
      <c r="AK133" s="1025">
        <f>+(PSUT_2015!P35)</f>
        <v>0</v>
      </c>
      <c r="AL133" s="1025">
        <f>+(PSUT_2015!Q35)</f>
        <v>0</v>
      </c>
      <c r="AM133" s="1025">
        <f>+(PSUT_2015!R35)</f>
        <v>0</v>
      </c>
      <c r="AN133" s="1025">
        <f>+(PSUT_2015!S35)</f>
        <v>0</v>
      </c>
      <c r="AO133" s="1025">
        <f>+SUM(PSUT_2015!T35:'PSUT_2015'!V35)</f>
        <v>0</v>
      </c>
      <c r="AP133" s="1025">
        <f>+(PSUT_2015!U35)</f>
        <v>0</v>
      </c>
      <c r="AQ133" s="1025">
        <f>+(PSUT_2015!V35)</f>
        <v>0</v>
      </c>
      <c r="AR133" s="1025">
        <f>+(PSUT_2015!W35)</f>
        <v>34821.028661106844</v>
      </c>
      <c r="AS133" s="1025">
        <f>+(PSUT_2015!X35)</f>
        <v>0</v>
      </c>
      <c r="AT133" s="1025">
        <f>+(PSUT_2015!AA35)</f>
        <v>34821.028661106844</v>
      </c>
      <c r="AU133" s="1025"/>
      <c r="AV133" s="1025">
        <f t="shared" si="32"/>
        <v>12676.794271512026</v>
      </c>
      <c r="AW133" s="1025"/>
    </row>
    <row r="134" spans="1:49" x14ac:dyDescent="0.25">
      <c r="A134" s="1222"/>
      <c r="B134" s="1220" t="str">
        <f>+(PSUT_2015!B38)</f>
        <v>5. Total returns (= 5.a+5.b)</v>
      </c>
      <c r="D134" s="1025">
        <f>+(PSUT_2015!AA38)</f>
        <v>2696647.8338164063</v>
      </c>
      <c r="F134" s="1025">
        <f>+(PSUT_2015!C38)</f>
        <v>1557982.4711064098</v>
      </c>
      <c r="M134" s="1025">
        <f>+(PSUT_2015!D38)</f>
        <v>54.219910499999997</v>
      </c>
      <c r="N134" s="1025">
        <f>+(PSUT_2015!E38)</f>
        <v>514699.26072578516</v>
      </c>
      <c r="W134" s="1025">
        <f>+(PSUT_2015!F38)</f>
        <v>350034.66062620789</v>
      </c>
      <c r="X134" s="1025">
        <f>+(PSUT_2015!G38)</f>
        <v>2570.3302400000002</v>
      </c>
      <c r="Y134" s="1025">
        <f>+(PSUT_2015!H38)</f>
        <v>0</v>
      </c>
      <c r="Z134" s="1025">
        <f>+(PSUT_2015!I38)</f>
        <v>0</v>
      </c>
      <c r="AD134" s="1025">
        <f>+(PSUT_2015!J38)</f>
        <v>0</v>
      </c>
      <c r="AF134" s="1025">
        <f>+(PSUT_2015!K38)</f>
        <v>301.01142363711335</v>
      </c>
      <c r="AG134" s="1025">
        <f>+(PSUT_2015!L38)</f>
        <v>0</v>
      </c>
      <c r="AH134" s="1269">
        <f>+(PSUT_2015!M38)</f>
        <v>56.868619657611163</v>
      </c>
      <c r="AI134" s="1025">
        <f>+(PSUT_2015!N38)</f>
        <v>0</v>
      </c>
      <c r="AJ134" s="1025">
        <f>+(PSUT_2015!O38)</f>
        <v>0</v>
      </c>
      <c r="AK134" s="1025">
        <f>+(PSUT_2015!P38)</f>
        <v>0</v>
      </c>
      <c r="AL134" s="1025">
        <f>+(PSUT_2015!Q38)</f>
        <v>0</v>
      </c>
      <c r="AM134" s="1025">
        <f>+(PSUT_2015!R38)</f>
        <v>179497.86400000003</v>
      </c>
      <c r="AN134" s="1025">
        <f>+(PSUT_2015!S38)</f>
        <v>3447.7778158871602</v>
      </c>
      <c r="AO134" s="1025">
        <f>+SUM(PSUT_2015!T38:'PSUT_2015'!V38)</f>
        <v>10.714873014735879</v>
      </c>
      <c r="AP134" s="1025">
        <f>+(PSUT_2015!U38)</f>
        <v>10.714873014735879</v>
      </c>
      <c r="AQ134" s="1025">
        <f>+(PSUT_2015!V38)</f>
        <v>0</v>
      </c>
      <c r="AR134" s="1025">
        <f>+(PSUT_2015!W38)</f>
        <v>2608655.1793411002</v>
      </c>
      <c r="AS134" s="1025">
        <f>+(PSUT_2015!X38)</f>
        <v>82781</v>
      </c>
      <c r="AT134" s="1025">
        <f>+(PSUT_2015!AA38)</f>
        <v>2696647.8338164063</v>
      </c>
      <c r="AU134" s="1025"/>
      <c r="AV134" s="1025">
        <f t="shared" si="32"/>
        <v>183324.95160521139</v>
      </c>
      <c r="AW134" s="1025"/>
    </row>
    <row r="135" spans="1:49" x14ac:dyDescent="0.25">
      <c r="A135" s="1222"/>
      <c r="B135" s="1220" t="str">
        <f>+(PSUT_2015!A44)</f>
        <v>6. Total supply of water (= 4+5)</v>
      </c>
      <c r="D135" s="1025">
        <f>+(PSUT_2015!AA44)</f>
        <v>2731468.862477513</v>
      </c>
      <c r="F135" s="1025">
        <f>+(PSUT_2015!C44)</f>
        <v>1557982.4711064098</v>
      </c>
      <c r="M135" s="1025">
        <f>+(PSUT_2015!D44)</f>
        <v>21381.578667255948</v>
      </c>
      <c r="N135" s="1025">
        <f>+(PSUT_2015!E44)</f>
        <v>515516.13635862403</v>
      </c>
      <c r="W135" s="1025">
        <f>+(PSUT_2015!F44)</f>
        <v>350034.66062620789</v>
      </c>
      <c r="X135" s="1025">
        <f>+(PSUT_2015!G44)</f>
        <v>2570.3302400000002</v>
      </c>
      <c r="Y135" s="1025">
        <f>+(PSUT_2015!H44)</f>
        <v>0</v>
      </c>
      <c r="Z135" s="1025">
        <f>+(PSUT_2015!I44)</f>
        <v>0</v>
      </c>
      <c r="AD135" s="1025">
        <f>+(PSUT_2015!J44)</f>
        <v>0</v>
      </c>
      <c r="AF135" s="1025">
        <f>+(PSUT_2015!K44)</f>
        <v>12972.195091540892</v>
      </c>
      <c r="AG135" s="1025">
        <f>+(PSUT_2015!L44)</f>
        <v>0</v>
      </c>
      <c r="AH135" s="1269">
        <f>+(PSUT_2015!M44)</f>
        <v>62.479223265858586</v>
      </c>
      <c r="AI135" s="1025">
        <f>+(PSUT_2015!N44)</f>
        <v>0</v>
      </c>
      <c r="AJ135" s="1025">
        <f>+(PSUT_2015!O44)</f>
        <v>0</v>
      </c>
      <c r="AK135" s="1025">
        <f>+(PSUT_2015!P44)</f>
        <v>0</v>
      </c>
      <c r="AL135" s="1025">
        <f>+(PSUT_2015!Q44)</f>
        <v>0</v>
      </c>
      <c r="AM135" s="1025">
        <f>+(PSUT_2015!R44)</f>
        <v>179497.86400000003</v>
      </c>
      <c r="AN135" s="1025">
        <f>+(PSUT_2015!S44)</f>
        <v>3447.7778158871602</v>
      </c>
      <c r="AO135" s="1025">
        <f>+SUM(PSUT_2015!T44:'PSUT_2015'!V44)</f>
        <v>10.714873014735879</v>
      </c>
      <c r="AP135" s="1025">
        <f>+(PSUT_2015!U44)</f>
        <v>10.714873014735879</v>
      </c>
      <c r="AQ135" s="1025">
        <f>+(PSUT_2015!V44)</f>
        <v>0</v>
      </c>
      <c r="AR135" s="1025">
        <f>+(PSUT_2015!W44)</f>
        <v>2643476.2080022069</v>
      </c>
      <c r="AS135" s="1025">
        <f>+(PSUT_2015!X44)</f>
        <v>82781</v>
      </c>
      <c r="AT135" s="1025">
        <f>+(PSUT_2015!AA44)</f>
        <v>2731468.862477513</v>
      </c>
      <c r="AU135" s="1025"/>
      <c r="AV135" s="1025">
        <f t="shared" si="32"/>
        <v>196001.74587672343</v>
      </c>
      <c r="AW135" s="1025"/>
    </row>
    <row r="136" spans="1:49" x14ac:dyDescent="0.25">
      <c r="A136" s="1223"/>
      <c r="B136" s="1224" t="str">
        <f>+(PSUT_2015!A45)</f>
        <v>7. Consumption (3-6)</v>
      </c>
      <c r="C136" s="295"/>
      <c r="D136" s="1028">
        <f>+(PSUT_2015!AA45)</f>
        <v>12786717.251928911</v>
      </c>
      <c r="E136" s="295"/>
      <c r="F136" s="1028">
        <f>+(PSUT_2015!C45)</f>
        <v>12378855.512207687</v>
      </c>
      <c r="G136" s="295"/>
      <c r="H136" s="295"/>
      <c r="I136" s="295"/>
      <c r="J136" s="295"/>
      <c r="K136" s="295"/>
      <c r="L136" s="295"/>
      <c r="M136" s="1028">
        <f>+(PSUT_2015!D45)</f>
        <v>1068.2726556450507</v>
      </c>
      <c r="N136" s="1028">
        <f>+(PSUT_2015!E45)</f>
        <v>151799.10437223449</v>
      </c>
      <c r="O136" s="295"/>
      <c r="P136" s="295"/>
      <c r="Q136" s="295"/>
      <c r="R136" s="295"/>
      <c r="S136" s="295"/>
      <c r="T136" s="295"/>
      <c r="U136" s="295"/>
      <c r="V136" s="295"/>
      <c r="W136" s="1195">
        <f>+(PSUT_2015!F45)</f>
        <v>18422.876875063579</v>
      </c>
      <c r="X136" s="1028">
        <f>+(PSUT_2015!G45)</f>
        <v>51237.570257512438</v>
      </c>
      <c r="Y136" s="1028">
        <f>+(PSUT_2015!H45)</f>
        <v>0</v>
      </c>
      <c r="Z136" s="1028">
        <f>+(PSUT_2015!I45)</f>
        <v>0</v>
      </c>
      <c r="AA136" s="295"/>
      <c r="AB136" s="295"/>
      <c r="AC136" s="295"/>
      <c r="AD136" s="1028">
        <f>+(PSUT_2015!J45)</f>
        <v>0</v>
      </c>
      <c r="AE136" s="295"/>
      <c r="AF136" s="1028">
        <f>+(PSUT_2015!K45)</f>
        <v>3700.4149084591081</v>
      </c>
      <c r="AG136" s="1028">
        <f>+(PSUT_2015!L45)</f>
        <v>0</v>
      </c>
      <c r="AH136" s="1270">
        <f>+(PSUT_2015!M45)</f>
        <v>13.611322139488699</v>
      </c>
      <c r="AI136" s="1028">
        <f>+(PSUT_2015!N45)</f>
        <v>0</v>
      </c>
      <c r="AJ136" s="1028">
        <f>+(PSUT_2015!O45)</f>
        <v>0</v>
      </c>
      <c r="AK136" s="1028">
        <f>+(PSUT_2015!P45)</f>
        <v>0</v>
      </c>
      <c r="AL136" s="1028">
        <f>+(PSUT_2015!Q45)</f>
        <v>0</v>
      </c>
      <c r="AM136" s="1028">
        <f>+(PSUT_2015!R45)</f>
        <v>45007.581399999966</v>
      </c>
      <c r="AN136" s="1028">
        <f>+(PSUT_2015!S45)</f>
        <v>861.94444968661037</v>
      </c>
      <c r="AO136" s="1028">
        <f>+SUM(PSUT_2015!T45:'PSUT_2015'!V45)</f>
        <v>132.68839873822006</v>
      </c>
      <c r="AP136" s="1028">
        <f>+(PSUT_2015!U45)</f>
        <v>132.68839873822006</v>
      </c>
      <c r="AQ136" s="1028">
        <f>+(PSUT_2015!V45)</f>
        <v>0</v>
      </c>
      <c r="AR136" s="1028">
        <f>+(PSUT_2015!W45)</f>
        <v>12651099.576847168</v>
      </c>
      <c r="AS136" s="1028">
        <f>+(PSUT_2015!X45)</f>
        <v>134314.76146704803</v>
      </c>
      <c r="AT136" s="1028">
        <f>+(PSUT_2015!AA45)</f>
        <v>12786717.251928911</v>
      </c>
      <c r="AU136" s="1025"/>
      <c r="AV136" s="1028">
        <f t="shared" si="32"/>
        <v>49848.928877761609</v>
      </c>
      <c r="AW136" s="1025"/>
    </row>
    <row r="137" spans="1:49" x14ac:dyDescent="0.25">
      <c r="B137" s="1025"/>
      <c r="F137" s="1025"/>
      <c r="M137" s="1025"/>
      <c r="N137" s="1025"/>
      <c r="W137" s="1025"/>
      <c r="X137" s="1025"/>
      <c r="Y137" s="1025"/>
      <c r="Z137" s="1025"/>
      <c r="AD137" s="1025"/>
      <c r="AF137" s="1025"/>
      <c r="AG137" s="1025"/>
      <c r="AH137" s="1025"/>
      <c r="AI137" s="1025"/>
      <c r="AJ137" s="1025"/>
      <c r="AK137" s="1025"/>
      <c r="AL137" s="1025"/>
      <c r="AM137" s="1025"/>
      <c r="AN137" s="1025"/>
      <c r="AO137" s="1025"/>
      <c r="AP137" s="1025"/>
      <c r="AQ137" s="1025"/>
      <c r="AR137" s="1025"/>
      <c r="AS137" s="1025"/>
      <c r="AU137" s="1025"/>
      <c r="AV137" s="1025"/>
      <c r="AW137" s="1025"/>
    </row>
  </sheetData>
  <mergeCells count="4">
    <mergeCell ref="A72:A78"/>
    <mergeCell ref="A89:A95"/>
    <mergeCell ref="A106:A112"/>
    <mergeCell ref="A123:A129"/>
  </mergeCells>
  <conditionalFormatting sqref="AP8:AP20 E8:E20 D8:D25 G8:K25 O8:Y25">
    <cfRule type="cellIs" dxfId="90" priority="11" operator="lessThan">
      <formula>0</formula>
    </cfRule>
  </conditionalFormatting>
  <conditionalFormatting sqref="L8:L25">
    <cfRule type="cellIs" dxfId="89" priority="10" operator="lessThan">
      <formula>0</formula>
    </cfRule>
  </conditionalFormatting>
  <conditionalFormatting sqref="Z8:AA25">
    <cfRule type="cellIs" dxfId="88" priority="9" operator="lessThan">
      <formula>0</formula>
    </cfRule>
  </conditionalFormatting>
  <conditionalFormatting sqref="N8:N25">
    <cfRule type="cellIs" dxfId="87" priority="8" operator="lessThan">
      <formula>0</formula>
    </cfRule>
  </conditionalFormatting>
  <conditionalFormatting sqref="AE8:AE25">
    <cfRule type="cellIs" dxfId="86" priority="7" operator="lessThan">
      <formula>0</formula>
    </cfRule>
  </conditionalFormatting>
  <conditionalFormatting sqref="AQ8:AQ25">
    <cfRule type="cellIs" dxfId="85" priority="6" operator="lessThan">
      <formula>0</formula>
    </cfRule>
  </conditionalFormatting>
  <conditionalFormatting sqref="F8:F25">
    <cfRule type="cellIs" dxfId="84" priority="5" operator="lessThan">
      <formula>0</formula>
    </cfRule>
  </conditionalFormatting>
  <conditionalFormatting sqref="M8:M25">
    <cfRule type="cellIs" dxfId="83" priority="4" operator="lessThan">
      <formula>0</formula>
    </cfRule>
  </conditionalFormatting>
  <conditionalFormatting sqref="AB8:AD25">
    <cfRule type="cellIs" dxfId="82" priority="3" operator="lessThan">
      <formula>0</formula>
    </cfRule>
  </conditionalFormatting>
  <conditionalFormatting sqref="AF8:AO25">
    <cfRule type="cellIs" dxfId="81" priority="2" operator="lessThan">
      <formula>0</formula>
    </cfRule>
  </conditionalFormatting>
  <conditionalFormatting sqref="AV8:AV25">
    <cfRule type="cellIs" dxfId="80" priority="1" operator="lessThan">
      <formula>0</formula>
    </cfRule>
  </conditionalFormatting>
  <pageMargins left="0.51181102362204722" right="0.51181102362204722" top="0.74803149606299213" bottom="0.74803149606299213" header="0.31496062992125984" footer="0.31496062992125984"/>
  <pageSetup paperSize="9" scale="18" orientation="landscape" r:id="rId1"/>
  <headerFooter>
    <oddHeader>&amp;L&amp;F    &amp;&amp;&amp;A&amp;C
&amp;D&amp;RPage &amp;P of &amp;N</oddHeader>
  </headerFooter>
  <drawing r:id="rId2"/>
  <legacyDrawing r:id="rId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BD51"/>
  <sheetViews>
    <sheetView zoomScale="70" zoomScaleNormal="70" workbookViewId="0">
      <pane xSplit="4" ySplit="7" topLeftCell="AT47" activePane="bottomRight" state="frozen"/>
      <selection activeCell="Y26" sqref="Y26"/>
      <selection pane="topRight" activeCell="Y26" sqref="Y26"/>
      <selection pane="bottomLeft" activeCell="Y26" sqref="Y26"/>
      <selection pane="bottomRight" activeCell="A26" sqref="A26"/>
    </sheetView>
  </sheetViews>
  <sheetFormatPr defaultRowHeight="15" x14ac:dyDescent="0.25"/>
  <cols>
    <col min="2" max="2" width="37.7109375" customWidth="1"/>
    <col min="4" max="4" width="10.85546875" customWidth="1"/>
    <col min="6" max="6" width="13.5703125" customWidth="1"/>
    <col min="23" max="23" width="13" bestFit="1" customWidth="1"/>
    <col min="43" max="43" width="17.5703125" customWidth="1"/>
    <col min="44" max="44" width="10" bestFit="1" customWidth="1"/>
    <col min="46" max="46" width="17.42578125" bestFit="1" customWidth="1"/>
  </cols>
  <sheetData>
    <row r="1" spans="1:56" ht="18" x14ac:dyDescent="0.25">
      <c r="A1" s="565"/>
      <c r="B1" s="566" t="s">
        <v>992</v>
      </c>
      <c r="C1" s="565"/>
      <c r="D1" s="565"/>
      <c r="E1" s="565"/>
      <c r="F1" s="565"/>
      <c r="G1" s="573"/>
      <c r="H1" s="573"/>
      <c r="I1" s="573"/>
      <c r="J1" s="573"/>
      <c r="K1" s="573"/>
      <c r="L1" s="565"/>
      <c r="M1" s="573"/>
      <c r="N1" s="565"/>
      <c r="O1" s="590"/>
      <c r="P1" s="590"/>
      <c r="Q1" s="590"/>
      <c r="R1" s="590"/>
      <c r="S1" s="590"/>
      <c r="T1" s="590"/>
      <c r="U1" s="590"/>
      <c r="V1" s="590"/>
      <c r="W1" s="573"/>
      <c r="X1" s="573"/>
      <c r="Y1" s="573"/>
      <c r="Z1" s="565"/>
      <c r="AA1" s="565"/>
      <c r="AB1" s="573"/>
      <c r="AC1" s="573"/>
      <c r="AD1" s="573"/>
      <c r="AE1" s="565"/>
      <c r="AF1" s="573"/>
      <c r="AG1" s="573"/>
      <c r="AH1" s="573"/>
      <c r="AI1" s="573"/>
      <c r="AJ1" s="573"/>
      <c r="AK1" s="573"/>
      <c r="AL1" s="573"/>
      <c r="AM1" s="573"/>
      <c r="AN1" s="573"/>
      <c r="AO1" s="573"/>
      <c r="AP1" s="565"/>
      <c r="AQ1" s="565"/>
      <c r="AR1" s="565"/>
      <c r="AS1" s="598"/>
      <c r="AT1" s="598"/>
      <c r="AU1" s="565"/>
      <c r="AV1" s="565"/>
      <c r="AW1" s="565"/>
      <c r="AX1" s="565"/>
      <c r="AY1" s="565"/>
      <c r="AZ1" s="565"/>
      <c r="BA1" s="565"/>
      <c r="BB1" s="565"/>
      <c r="BC1" s="565"/>
      <c r="BD1" s="565"/>
    </row>
    <row r="2" spans="1:56" ht="18" x14ac:dyDescent="0.25">
      <c r="A2" s="565"/>
      <c r="B2" s="569" t="s">
        <v>744</v>
      </c>
      <c r="C2" s="565"/>
      <c r="D2" s="565"/>
      <c r="E2" s="565"/>
      <c r="F2" s="565"/>
      <c r="G2" s="573"/>
      <c r="H2" s="573"/>
      <c r="I2" s="573"/>
      <c r="J2" s="573"/>
      <c r="K2" s="573"/>
      <c r="L2" s="565"/>
      <c r="M2" s="573"/>
      <c r="N2" s="565"/>
      <c r="O2" s="590"/>
      <c r="P2" s="590"/>
      <c r="Q2" s="590"/>
      <c r="R2" s="590"/>
      <c r="S2" s="590"/>
      <c r="T2" s="590"/>
      <c r="U2" s="590"/>
      <c r="V2" s="590"/>
      <c r="W2" s="573"/>
      <c r="X2" s="573"/>
      <c r="Y2" s="573"/>
      <c r="Z2" s="565"/>
      <c r="AA2" s="565"/>
      <c r="AB2" s="573"/>
      <c r="AC2" s="573"/>
      <c r="AD2" s="573"/>
      <c r="AE2" s="565"/>
      <c r="AF2" s="573"/>
      <c r="AG2" s="573"/>
      <c r="AH2" s="573"/>
      <c r="AI2" s="573"/>
      <c r="AJ2" s="573"/>
      <c r="AK2" s="573"/>
      <c r="AL2" s="573"/>
      <c r="AM2" s="573"/>
      <c r="AN2" s="573"/>
      <c r="AO2" s="573"/>
      <c r="AP2" s="565"/>
      <c r="AQ2" s="565"/>
      <c r="AR2" s="565"/>
      <c r="AS2" s="598"/>
      <c r="AT2" s="598"/>
      <c r="AU2" s="565"/>
      <c r="AV2" s="565"/>
      <c r="AW2" s="565"/>
      <c r="AX2" s="565"/>
      <c r="AY2" s="565"/>
      <c r="AZ2" s="565"/>
      <c r="BA2" s="565"/>
      <c r="BB2" s="565"/>
      <c r="BC2" s="565"/>
      <c r="BD2" s="565"/>
    </row>
    <row r="3" spans="1:56" ht="18" x14ac:dyDescent="0.25">
      <c r="A3" s="565"/>
      <c r="B3" s="566" t="s">
        <v>993</v>
      </c>
      <c r="C3" s="565"/>
      <c r="D3" s="565"/>
      <c r="E3" s="565"/>
      <c r="F3" s="565"/>
      <c r="G3" s="573"/>
      <c r="H3" s="573"/>
      <c r="I3" s="573"/>
      <c r="J3" s="573"/>
      <c r="K3" s="573"/>
      <c r="L3" s="565"/>
      <c r="M3" s="573"/>
      <c r="N3" s="565"/>
      <c r="O3" s="590"/>
      <c r="P3" s="590"/>
      <c r="Q3" s="590"/>
      <c r="R3" s="590"/>
      <c r="S3" s="590"/>
      <c r="T3" s="590"/>
      <c r="U3" s="590"/>
      <c r="V3" s="590"/>
      <c r="W3" s="573"/>
      <c r="X3" s="573"/>
      <c r="Y3" s="573"/>
      <c r="Z3" s="565"/>
      <c r="AA3" s="565"/>
      <c r="AB3" s="573"/>
      <c r="AC3" s="573"/>
      <c r="AD3" s="573"/>
      <c r="AE3" s="565"/>
      <c r="AF3" s="573"/>
      <c r="AG3" s="573"/>
      <c r="AH3" s="573"/>
      <c r="AI3" s="573"/>
      <c r="AJ3" s="573"/>
      <c r="AK3" s="573"/>
      <c r="AL3" s="573"/>
      <c r="AM3" s="573"/>
      <c r="AN3" s="573"/>
      <c r="AO3" s="573"/>
      <c r="AP3" s="565"/>
      <c r="AQ3" s="565"/>
      <c r="AR3" s="565"/>
      <c r="AS3" s="598"/>
      <c r="AT3" s="598"/>
      <c r="AU3" s="565"/>
      <c r="AV3" s="565"/>
      <c r="AW3" s="565"/>
      <c r="AX3" s="565"/>
      <c r="AY3" s="565"/>
      <c r="AZ3" s="565"/>
      <c r="BA3" s="565"/>
      <c r="BB3" s="565"/>
      <c r="BC3" s="565"/>
      <c r="BD3" s="565"/>
    </row>
    <row r="4" spans="1:56" ht="18.75" thickBot="1" x14ac:dyDescent="0.3">
      <c r="A4" s="565"/>
      <c r="B4" s="574" t="s">
        <v>746</v>
      </c>
      <c r="C4" s="565"/>
      <c r="D4" s="565"/>
      <c r="E4" s="565"/>
      <c r="F4" s="565"/>
      <c r="G4" s="573"/>
      <c r="H4" s="573"/>
      <c r="I4" s="573"/>
      <c r="J4" s="573"/>
      <c r="K4" s="573"/>
      <c r="L4" s="565"/>
      <c r="M4" s="573"/>
      <c r="N4" s="565"/>
      <c r="O4" s="590"/>
      <c r="P4" s="590"/>
      <c r="Q4" s="590"/>
      <c r="R4" s="590"/>
      <c r="S4" s="590"/>
      <c r="T4" s="590"/>
      <c r="U4" s="590"/>
      <c r="V4" s="590"/>
      <c r="W4" s="573"/>
      <c r="X4" s="573"/>
      <c r="Y4" s="573"/>
      <c r="Z4" s="565"/>
      <c r="AA4" s="565"/>
      <c r="AB4" s="573"/>
      <c r="AC4" s="573"/>
      <c r="AD4" s="573"/>
      <c r="AE4" s="565"/>
      <c r="AF4" s="573"/>
      <c r="AG4" s="573"/>
      <c r="AH4" s="573"/>
      <c r="AI4" s="573"/>
      <c r="AJ4" s="573"/>
      <c r="AK4" s="573"/>
      <c r="AL4" s="573"/>
      <c r="AM4" s="573"/>
      <c r="AN4" s="573"/>
      <c r="AO4" s="573"/>
      <c r="AP4" s="565"/>
      <c r="AQ4" s="565"/>
      <c r="AR4" s="565"/>
      <c r="AS4" s="598"/>
      <c r="AT4" s="598"/>
      <c r="AU4" s="565"/>
      <c r="AV4" s="565"/>
      <c r="AW4" s="565"/>
      <c r="AX4" s="565"/>
      <c r="AY4" s="565"/>
      <c r="AZ4" s="565"/>
      <c r="BA4" s="565"/>
      <c r="BB4" s="565"/>
      <c r="BC4" s="565"/>
      <c r="BD4" s="565"/>
    </row>
    <row r="5" spans="1:56" ht="91.5" thickTop="1" thickBot="1" x14ac:dyDescent="0.3">
      <c r="B5" s="575" t="s">
        <v>747</v>
      </c>
      <c r="C5" s="579"/>
      <c r="D5" s="738" t="s">
        <v>749</v>
      </c>
      <c r="E5" s="579"/>
      <c r="F5" s="738" t="s">
        <v>750</v>
      </c>
      <c r="G5" s="739" t="s">
        <v>752</v>
      </c>
      <c r="H5" s="739" t="s">
        <v>754</v>
      </c>
      <c r="I5" s="739" t="s">
        <v>756</v>
      </c>
      <c r="J5" s="739" t="s">
        <v>220</v>
      </c>
      <c r="K5" s="739" t="s">
        <v>205</v>
      </c>
      <c r="L5" s="738" t="s">
        <v>760</v>
      </c>
      <c r="M5" s="739" t="s">
        <v>762</v>
      </c>
      <c r="N5" s="740" t="s">
        <v>764</v>
      </c>
      <c r="O5" s="741" t="s">
        <v>766</v>
      </c>
      <c r="P5" s="741" t="s">
        <v>768</v>
      </c>
      <c r="Q5" s="741" t="s">
        <v>770</v>
      </c>
      <c r="R5" s="741" t="s">
        <v>772</v>
      </c>
      <c r="S5" s="741" t="s">
        <v>774</v>
      </c>
      <c r="T5" s="741" t="s">
        <v>776</v>
      </c>
      <c r="U5" s="741" t="s">
        <v>778</v>
      </c>
      <c r="V5" s="741" t="s">
        <v>780</v>
      </c>
      <c r="W5" s="739" t="s">
        <v>698</v>
      </c>
      <c r="X5" s="739" t="s">
        <v>783</v>
      </c>
      <c r="Y5" s="739" t="s">
        <v>785</v>
      </c>
      <c r="Z5" s="738" t="s">
        <v>787</v>
      </c>
      <c r="AA5" s="738" t="s">
        <v>789</v>
      </c>
      <c r="AB5" s="739" t="s">
        <v>791</v>
      </c>
      <c r="AC5" s="739" t="s">
        <v>793</v>
      </c>
      <c r="AD5" s="739" t="s">
        <v>795</v>
      </c>
      <c r="AE5" s="738" t="s">
        <v>797</v>
      </c>
      <c r="AF5" s="739" t="s">
        <v>799</v>
      </c>
      <c r="AG5" s="739" t="s">
        <v>801</v>
      </c>
      <c r="AH5" s="739" t="s">
        <v>803</v>
      </c>
      <c r="AI5" s="739" t="s">
        <v>805</v>
      </c>
      <c r="AJ5" s="739" t="s">
        <v>807</v>
      </c>
      <c r="AK5" s="739" t="s">
        <v>809</v>
      </c>
      <c r="AL5" s="739" t="s">
        <v>811</v>
      </c>
      <c r="AM5" s="739" t="s">
        <v>813</v>
      </c>
      <c r="AN5" s="739" t="s">
        <v>814</v>
      </c>
      <c r="AO5" s="739" t="s">
        <v>816</v>
      </c>
      <c r="AP5" s="742"/>
      <c r="AQ5" s="738" t="s">
        <v>818</v>
      </c>
      <c r="AR5" s="743"/>
      <c r="AS5" s="599" t="s">
        <v>819</v>
      </c>
      <c r="AT5" s="1022">
        <v>42807</v>
      </c>
      <c r="AU5" s="603"/>
      <c r="AV5" s="584"/>
      <c r="AW5" s="584"/>
      <c r="AX5" s="584"/>
      <c r="AY5" s="584"/>
      <c r="AZ5" s="584"/>
      <c r="BA5" s="584"/>
      <c r="BB5" s="584"/>
      <c r="BC5" s="584"/>
      <c r="BD5" s="584"/>
    </row>
    <row r="6" spans="1:56" ht="19.5" thickTop="1" thickBot="1" x14ac:dyDescent="0.3">
      <c r="A6" s="567"/>
      <c r="B6" s="576" t="s">
        <v>748</v>
      </c>
      <c r="C6" s="580"/>
      <c r="D6" s="582"/>
      <c r="E6" s="580"/>
      <c r="F6" s="582" t="s">
        <v>751</v>
      </c>
      <c r="G6" s="567" t="s">
        <v>753</v>
      </c>
      <c r="H6" s="567" t="s">
        <v>755</v>
      </c>
      <c r="I6" s="567" t="s">
        <v>757</v>
      </c>
      <c r="J6" s="567" t="s">
        <v>758</v>
      </c>
      <c r="K6" s="567" t="s">
        <v>759</v>
      </c>
      <c r="L6" s="582" t="s">
        <v>761</v>
      </c>
      <c r="M6" s="567" t="s">
        <v>763</v>
      </c>
      <c r="N6" s="588" t="s">
        <v>765</v>
      </c>
      <c r="O6" s="592" t="s">
        <v>767</v>
      </c>
      <c r="P6" s="592" t="s">
        <v>769</v>
      </c>
      <c r="Q6" s="592" t="s">
        <v>771</v>
      </c>
      <c r="R6" s="592" t="s">
        <v>773</v>
      </c>
      <c r="S6" s="592" t="s">
        <v>775</v>
      </c>
      <c r="T6" s="592" t="s">
        <v>777</v>
      </c>
      <c r="U6" s="592" t="s">
        <v>779</v>
      </c>
      <c r="V6" s="592" t="s">
        <v>781</v>
      </c>
      <c r="W6" s="567" t="s">
        <v>782</v>
      </c>
      <c r="X6" s="567" t="s">
        <v>784</v>
      </c>
      <c r="Y6" s="567" t="s">
        <v>786</v>
      </c>
      <c r="Z6" s="582" t="s">
        <v>788</v>
      </c>
      <c r="AA6" s="582" t="s">
        <v>790</v>
      </c>
      <c r="AB6" s="567" t="s">
        <v>792</v>
      </c>
      <c r="AC6" s="567" t="s">
        <v>794</v>
      </c>
      <c r="AD6" s="567" t="s">
        <v>796</v>
      </c>
      <c r="AE6" s="582" t="s">
        <v>798</v>
      </c>
      <c r="AF6" s="567" t="s">
        <v>800</v>
      </c>
      <c r="AG6" s="567" t="s">
        <v>802</v>
      </c>
      <c r="AH6" s="567" t="s">
        <v>804</v>
      </c>
      <c r="AI6" s="567" t="s">
        <v>806</v>
      </c>
      <c r="AJ6" s="567" t="s">
        <v>808</v>
      </c>
      <c r="AK6" s="567" t="s">
        <v>810</v>
      </c>
      <c r="AL6" s="567" t="s">
        <v>812</v>
      </c>
      <c r="AM6" s="567" t="s">
        <v>385</v>
      </c>
      <c r="AN6" s="567" t="s">
        <v>815</v>
      </c>
      <c r="AO6" s="567" t="s">
        <v>817</v>
      </c>
      <c r="AP6" s="572"/>
      <c r="AQ6" s="582"/>
      <c r="AR6" s="597"/>
      <c r="AS6" s="600"/>
      <c r="AT6" s="600"/>
      <c r="AU6" s="604"/>
      <c r="AV6" s="604"/>
      <c r="AW6" s="604"/>
      <c r="AX6" s="604"/>
      <c r="AY6" s="604"/>
      <c r="AZ6" s="604"/>
      <c r="BA6" s="604"/>
      <c r="BB6" s="604"/>
      <c r="BC6" s="604"/>
      <c r="BD6" s="604"/>
    </row>
    <row r="7" spans="1:56" ht="7.5" customHeight="1" thickTop="1" thickBot="1" x14ac:dyDescent="0.3">
      <c r="A7" s="567"/>
      <c r="B7" s="576"/>
      <c r="C7" s="580"/>
      <c r="D7" s="582"/>
      <c r="E7" s="580"/>
      <c r="F7" s="582"/>
      <c r="G7" s="567"/>
      <c r="H7" s="567"/>
      <c r="I7" s="567"/>
      <c r="J7" s="567"/>
      <c r="K7" s="567"/>
      <c r="L7" s="582"/>
      <c r="M7" s="567"/>
      <c r="N7" s="588"/>
      <c r="O7" s="592"/>
      <c r="P7" s="592"/>
      <c r="Q7" s="592"/>
      <c r="R7" s="592"/>
      <c r="S7" s="592"/>
      <c r="T7" s="592"/>
      <c r="U7" s="592"/>
      <c r="V7" s="592"/>
      <c r="W7" s="567"/>
      <c r="X7" s="567"/>
      <c r="Y7" s="567"/>
      <c r="Z7" s="582"/>
      <c r="AA7" s="582"/>
      <c r="AB7" s="567"/>
      <c r="AC7" s="567"/>
      <c r="AD7" s="567"/>
      <c r="AE7" s="582"/>
      <c r="AF7" s="567"/>
      <c r="AG7" s="567"/>
      <c r="AH7" s="567"/>
      <c r="AI7" s="567"/>
      <c r="AJ7" s="567"/>
      <c r="AK7" s="567"/>
      <c r="AL7" s="567"/>
      <c r="AM7" s="567"/>
      <c r="AN7" s="567"/>
      <c r="AO7" s="567"/>
      <c r="AP7" s="572"/>
      <c r="AQ7" s="582"/>
      <c r="AR7" s="597"/>
      <c r="AS7" s="601"/>
      <c r="AT7" s="601"/>
      <c r="AU7" s="604"/>
      <c r="AV7" s="604"/>
      <c r="AW7" s="604"/>
      <c r="AX7" s="604"/>
      <c r="AY7" s="604"/>
      <c r="AZ7" s="604"/>
      <c r="BA7" s="604"/>
      <c r="BB7" s="604"/>
      <c r="BC7" s="604"/>
      <c r="BD7" s="604"/>
    </row>
    <row r="8" spans="1:56" ht="19.5" thickTop="1" thickBot="1" x14ac:dyDescent="0.3">
      <c r="A8" s="568"/>
      <c r="B8" s="577">
        <v>1999</v>
      </c>
      <c r="C8" s="580"/>
      <c r="D8" s="583">
        <v>607</v>
      </c>
      <c r="E8" s="585"/>
      <c r="F8" s="583">
        <v>227</v>
      </c>
      <c r="G8" s="586">
        <v>194</v>
      </c>
      <c r="H8" s="586">
        <v>6</v>
      </c>
      <c r="I8" s="586">
        <v>16</v>
      </c>
      <c r="J8" s="586">
        <v>8</v>
      </c>
      <c r="K8" s="586">
        <v>3</v>
      </c>
      <c r="L8" s="583">
        <v>86</v>
      </c>
      <c r="M8" s="586">
        <v>1</v>
      </c>
      <c r="N8" s="589">
        <v>49</v>
      </c>
      <c r="O8" s="593">
        <v>7</v>
      </c>
      <c r="P8" s="593">
        <v>19</v>
      </c>
      <c r="Q8" s="593">
        <v>4</v>
      </c>
      <c r="R8" s="593">
        <v>1</v>
      </c>
      <c r="S8" s="593">
        <v>6</v>
      </c>
      <c r="T8" s="593">
        <v>5</v>
      </c>
      <c r="U8" s="593">
        <v>3</v>
      </c>
      <c r="V8" s="593">
        <v>4</v>
      </c>
      <c r="W8" s="586">
        <v>14</v>
      </c>
      <c r="X8" s="586">
        <v>14</v>
      </c>
      <c r="Y8" s="586">
        <v>30</v>
      </c>
      <c r="Z8" s="583">
        <v>274</v>
      </c>
      <c r="AA8" s="583">
        <v>52</v>
      </c>
      <c r="AB8" s="586">
        <v>2</v>
      </c>
      <c r="AC8" s="586">
        <v>36</v>
      </c>
      <c r="AD8" s="586">
        <v>15</v>
      </c>
      <c r="AE8" s="583">
        <v>214</v>
      </c>
      <c r="AF8" s="586">
        <v>6</v>
      </c>
      <c r="AG8" s="586">
        <v>6</v>
      </c>
      <c r="AH8" s="586">
        <v>18</v>
      </c>
      <c r="AI8" s="586">
        <v>87</v>
      </c>
      <c r="AJ8" s="586">
        <v>26</v>
      </c>
      <c r="AK8" s="586">
        <v>29</v>
      </c>
      <c r="AL8" s="586">
        <v>42</v>
      </c>
      <c r="AM8" s="586">
        <v>6</v>
      </c>
      <c r="AN8" s="586">
        <v>16</v>
      </c>
      <c r="AO8" s="586">
        <v>5</v>
      </c>
      <c r="AP8" s="595"/>
      <c r="AQ8" s="583">
        <v>47</v>
      </c>
      <c r="AR8" s="596"/>
      <c r="AS8" s="601"/>
      <c r="AT8" s="601"/>
      <c r="AU8" s="605"/>
      <c r="AV8" s="584"/>
      <c r="AW8" s="584"/>
      <c r="AX8" s="584"/>
      <c r="AY8" s="584"/>
      <c r="AZ8" s="584"/>
      <c r="BA8" s="584"/>
      <c r="BB8" s="584"/>
      <c r="BC8" s="584"/>
      <c r="BD8" s="584"/>
    </row>
    <row r="9" spans="1:56" ht="19.5" thickTop="1" thickBot="1" x14ac:dyDescent="0.3">
      <c r="A9" s="568"/>
      <c r="B9" s="577">
        <v>2000</v>
      </c>
      <c r="C9" s="580"/>
      <c r="D9" s="583">
        <v>676</v>
      </c>
      <c r="E9" s="585"/>
      <c r="F9" s="583">
        <v>251</v>
      </c>
      <c r="G9" s="586">
        <v>217</v>
      </c>
      <c r="H9" s="586">
        <v>7</v>
      </c>
      <c r="I9" s="586">
        <v>16</v>
      </c>
      <c r="J9" s="586">
        <v>8</v>
      </c>
      <c r="K9" s="586">
        <v>3</v>
      </c>
      <c r="L9" s="583">
        <v>90</v>
      </c>
      <c r="M9" s="586">
        <v>1</v>
      </c>
      <c r="N9" s="589">
        <v>50</v>
      </c>
      <c r="O9" s="593">
        <v>8</v>
      </c>
      <c r="P9" s="593">
        <v>18</v>
      </c>
      <c r="Q9" s="593">
        <v>5</v>
      </c>
      <c r="R9" s="593">
        <v>1</v>
      </c>
      <c r="S9" s="593">
        <v>7</v>
      </c>
      <c r="T9" s="593">
        <v>5</v>
      </c>
      <c r="U9" s="593">
        <v>3</v>
      </c>
      <c r="V9" s="593">
        <v>4</v>
      </c>
      <c r="W9" s="586">
        <v>12</v>
      </c>
      <c r="X9" s="586">
        <v>12</v>
      </c>
      <c r="Y9" s="586">
        <v>31</v>
      </c>
      <c r="Z9" s="583">
        <v>317</v>
      </c>
      <c r="AA9" s="583">
        <v>60</v>
      </c>
      <c r="AB9" s="586">
        <v>2</v>
      </c>
      <c r="AC9" s="586">
        <v>39</v>
      </c>
      <c r="AD9" s="586">
        <v>18</v>
      </c>
      <c r="AE9" s="583">
        <v>247</v>
      </c>
      <c r="AF9" s="586">
        <v>7</v>
      </c>
      <c r="AG9" s="586">
        <v>7</v>
      </c>
      <c r="AH9" s="586">
        <v>23</v>
      </c>
      <c r="AI9" s="586">
        <v>92</v>
      </c>
      <c r="AJ9" s="586">
        <v>27</v>
      </c>
      <c r="AK9" s="586">
        <v>31</v>
      </c>
      <c r="AL9" s="586">
        <v>46</v>
      </c>
      <c r="AM9" s="586">
        <v>10</v>
      </c>
      <c r="AN9" s="586">
        <v>17</v>
      </c>
      <c r="AO9" s="586">
        <v>27</v>
      </c>
      <c r="AP9" s="595"/>
      <c r="AQ9" s="583">
        <v>49</v>
      </c>
      <c r="AR9" s="596"/>
      <c r="AS9" s="601"/>
      <c r="AT9" s="601"/>
      <c r="AU9" s="605"/>
      <c r="AV9" s="584"/>
      <c r="AW9" s="584"/>
      <c r="AX9" s="584"/>
      <c r="AY9" s="584"/>
      <c r="AZ9" s="584"/>
      <c r="BA9" s="584"/>
      <c r="BB9" s="584"/>
      <c r="BC9" s="584"/>
      <c r="BD9" s="584"/>
    </row>
    <row r="10" spans="1:56" ht="19.5" thickTop="1" thickBot="1" x14ac:dyDescent="0.3">
      <c r="A10" s="568"/>
      <c r="B10" s="577">
        <v>2001</v>
      </c>
      <c r="C10" s="580"/>
      <c r="D10" s="583">
        <v>742</v>
      </c>
      <c r="E10" s="585"/>
      <c r="F10" s="583">
        <v>277</v>
      </c>
      <c r="G10" s="586">
        <v>238</v>
      </c>
      <c r="H10" s="586">
        <v>8</v>
      </c>
      <c r="I10" s="586">
        <v>18</v>
      </c>
      <c r="J10" s="586">
        <v>10</v>
      </c>
      <c r="K10" s="586">
        <v>3</v>
      </c>
      <c r="L10" s="583">
        <v>103</v>
      </c>
      <c r="M10" s="586">
        <v>6</v>
      </c>
      <c r="N10" s="589">
        <v>52</v>
      </c>
      <c r="O10" s="593">
        <v>9</v>
      </c>
      <c r="P10" s="593">
        <v>18</v>
      </c>
      <c r="Q10" s="593">
        <v>5</v>
      </c>
      <c r="R10" s="593">
        <v>1</v>
      </c>
      <c r="S10" s="593">
        <v>7</v>
      </c>
      <c r="T10" s="593">
        <v>5</v>
      </c>
      <c r="U10" s="593">
        <v>3</v>
      </c>
      <c r="V10" s="593">
        <v>4</v>
      </c>
      <c r="W10" s="586">
        <v>11</v>
      </c>
      <c r="X10" s="586">
        <v>11</v>
      </c>
      <c r="Y10" s="586">
        <v>35</v>
      </c>
      <c r="Z10" s="583">
        <v>338</v>
      </c>
      <c r="AA10" s="583">
        <v>66</v>
      </c>
      <c r="AB10" s="586">
        <v>3</v>
      </c>
      <c r="AC10" s="586">
        <v>43</v>
      </c>
      <c r="AD10" s="586">
        <v>21</v>
      </c>
      <c r="AE10" s="583">
        <v>264</v>
      </c>
      <c r="AF10" s="586">
        <v>7</v>
      </c>
      <c r="AG10" s="586">
        <v>9</v>
      </c>
      <c r="AH10" s="586">
        <v>22</v>
      </c>
      <c r="AI10" s="586">
        <v>96</v>
      </c>
      <c r="AJ10" s="586">
        <v>29</v>
      </c>
      <c r="AK10" s="586">
        <v>32</v>
      </c>
      <c r="AL10" s="586">
        <v>48</v>
      </c>
      <c r="AM10" s="586">
        <v>10</v>
      </c>
      <c r="AN10" s="586">
        <v>19</v>
      </c>
      <c r="AO10" s="586">
        <v>28</v>
      </c>
      <c r="AP10" s="595"/>
      <c r="AQ10" s="583">
        <v>57</v>
      </c>
      <c r="AR10" s="596"/>
      <c r="AS10" s="601"/>
      <c r="AT10" s="601"/>
      <c r="AU10" s="605"/>
      <c r="AV10" s="584"/>
      <c r="AW10" s="584"/>
      <c r="AX10" s="584"/>
      <c r="AY10" s="584"/>
      <c r="AZ10" s="584"/>
      <c r="BA10" s="584"/>
      <c r="BB10" s="584"/>
      <c r="BC10" s="584"/>
      <c r="BD10" s="584"/>
    </row>
    <row r="11" spans="1:56" ht="19.5" thickTop="1" thickBot="1" x14ac:dyDescent="0.3">
      <c r="A11" s="568"/>
      <c r="B11" s="577">
        <v>2002</v>
      </c>
      <c r="C11" s="580"/>
      <c r="D11" s="583">
        <v>797</v>
      </c>
      <c r="E11" s="585"/>
      <c r="F11" s="583">
        <v>282</v>
      </c>
      <c r="G11" s="586">
        <v>238</v>
      </c>
      <c r="H11" s="586">
        <v>7</v>
      </c>
      <c r="I11" s="586">
        <v>21</v>
      </c>
      <c r="J11" s="586">
        <v>13</v>
      </c>
      <c r="K11" s="586">
        <v>3</v>
      </c>
      <c r="L11" s="583">
        <v>109</v>
      </c>
      <c r="M11" s="586">
        <v>2</v>
      </c>
      <c r="N11" s="589">
        <v>60</v>
      </c>
      <c r="O11" s="593">
        <v>10</v>
      </c>
      <c r="P11" s="593">
        <v>23</v>
      </c>
      <c r="Q11" s="593">
        <v>5</v>
      </c>
      <c r="R11" s="593">
        <v>2</v>
      </c>
      <c r="S11" s="593">
        <v>8</v>
      </c>
      <c r="T11" s="593">
        <v>5</v>
      </c>
      <c r="U11" s="593">
        <v>3</v>
      </c>
      <c r="V11" s="593">
        <v>4</v>
      </c>
      <c r="W11" s="586">
        <v>11</v>
      </c>
      <c r="X11" s="586">
        <v>11</v>
      </c>
      <c r="Y11" s="586">
        <v>36</v>
      </c>
      <c r="Z11" s="583">
        <v>374</v>
      </c>
      <c r="AA11" s="583">
        <v>77</v>
      </c>
      <c r="AB11" s="586">
        <v>3</v>
      </c>
      <c r="AC11" s="586">
        <v>48</v>
      </c>
      <c r="AD11" s="586">
        <v>26</v>
      </c>
      <c r="AE11" s="583">
        <v>292</v>
      </c>
      <c r="AF11" s="586">
        <v>10</v>
      </c>
      <c r="AG11" s="586">
        <v>11</v>
      </c>
      <c r="AH11" s="586">
        <v>22</v>
      </c>
      <c r="AI11" s="586">
        <v>100</v>
      </c>
      <c r="AJ11" s="586">
        <v>30</v>
      </c>
      <c r="AK11" s="586">
        <v>33</v>
      </c>
      <c r="AL11" s="586">
        <v>49</v>
      </c>
      <c r="AM11" s="586">
        <v>13</v>
      </c>
      <c r="AN11" s="586">
        <v>21</v>
      </c>
      <c r="AO11" s="586">
        <v>34</v>
      </c>
      <c r="AP11" s="595"/>
      <c r="AQ11" s="583">
        <v>66</v>
      </c>
      <c r="AR11" s="596"/>
      <c r="AS11" s="601"/>
      <c r="AT11" s="601"/>
      <c r="AU11" s="605"/>
      <c r="AV11" s="584"/>
      <c r="AW11" s="584"/>
      <c r="AX11" s="584"/>
      <c r="AY11" s="584"/>
      <c r="AZ11" s="584"/>
      <c r="BA11" s="584"/>
      <c r="BB11" s="584"/>
      <c r="BC11" s="584"/>
      <c r="BD11" s="584"/>
    </row>
    <row r="12" spans="1:56" ht="19.5" thickTop="1" thickBot="1" x14ac:dyDescent="0.3">
      <c r="A12" s="568"/>
      <c r="B12" s="577">
        <v>2003</v>
      </c>
      <c r="C12" s="580"/>
      <c r="D12" s="583">
        <v>993</v>
      </c>
      <c r="E12" s="585"/>
      <c r="F12" s="583">
        <v>380</v>
      </c>
      <c r="G12" s="586">
        <v>332</v>
      </c>
      <c r="H12" s="586">
        <v>7</v>
      </c>
      <c r="I12" s="586">
        <v>22</v>
      </c>
      <c r="J12" s="586">
        <v>15</v>
      </c>
      <c r="K12" s="586">
        <v>4</v>
      </c>
      <c r="L12" s="583">
        <v>125</v>
      </c>
      <c r="M12" s="586">
        <v>3</v>
      </c>
      <c r="N12" s="589">
        <v>67</v>
      </c>
      <c r="O12" s="593">
        <v>13</v>
      </c>
      <c r="P12" s="593">
        <v>22</v>
      </c>
      <c r="Q12" s="593">
        <v>6</v>
      </c>
      <c r="R12" s="593">
        <v>3</v>
      </c>
      <c r="S12" s="593">
        <v>10</v>
      </c>
      <c r="T12" s="593">
        <v>5</v>
      </c>
      <c r="U12" s="593">
        <v>3</v>
      </c>
      <c r="V12" s="593">
        <v>4</v>
      </c>
      <c r="W12" s="586">
        <v>7</v>
      </c>
      <c r="X12" s="586">
        <v>7</v>
      </c>
      <c r="Y12" s="586">
        <v>43</v>
      </c>
      <c r="Z12" s="583">
        <v>448</v>
      </c>
      <c r="AA12" s="583">
        <v>91</v>
      </c>
      <c r="AB12" s="586">
        <v>4</v>
      </c>
      <c r="AC12" s="586">
        <v>58</v>
      </c>
      <c r="AD12" s="586">
        <v>29</v>
      </c>
      <c r="AE12" s="583">
        <v>350</v>
      </c>
      <c r="AF12" s="586">
        <v>15</v>
      </c>
      <c r="AG12" s="586">
        <v>12</v>
      </c>
      <c r="AH12" s="586">
        <v>30</v>
      </c>
      <c r="AI12" s="586">
        <v>117</v>
      </c>
      <c r="AJ12" s="586">
        <v>35</v>
      </c>
      <c r="AK12" s="586">
        <v>39</v>
      </c>
      <c r="AL12" s="586">
        <v>56</v>
      </c>
      <c r="AM12" s="586">
        <v>14</v>
      </c>
      <c r="AN12" s="586">
        <v>28</v>
      </c>
      <c r="AO12" s="586">
        <v>47</v>
      </c>
      <c r="AP12" s="595"/>
      <c r="AQ12" s="583">
        <v>81</v>
      </c>
      <c r="AR12" s="596"/>
      <c r="AS12" s="601"/>
      <c r="AT12" s="601"/>
      <c r="AU12" s="605"/>
      <c r="AV12" s="584"/>
      <c r="AW12" s="584"/>
      <c r="AX12" s="584"/>
      <c r="AY12" s="584"/>
      <c r="AZ12" s="584"/>
      <c r="BA12" s="584"/>
      <c r="BB12" s="584"/>
      <c r="BC12" s="584"/>
      <c r="BD12" s="584"/>
    </row>
    <row r="13" spans="1:56" ht="19.5" thickTop="1" thickBot="1" x14ac:dyDescent="0.3">
      <c r="A13" s="568"/>
      <c r="B13" s="577">
        <v>2004</v>
      </c>
      <c r="C13" s="580"/>
      <c r="D13" s="583">
        <v>1206</v>
      </c>
      <c r="E13" s="585"/>
      <c r="F13" s="583">
        <v>465</v>
      </c>
      <c r="G13" s="586">
        <v>396</v>
      </c>
      <c r="H13" s="586">
        <v>13</v>
      </c>
      <c r="I13" s="586">
        <v>26</v>
      </c>
      <c r="J13" s="586">
        <v>26</v>
      </c>
      <c r="K13" s="586">
        <v>5</v>
      </c>
      <c r="L13" s="583">
        <v>164</v>
      </c>
      <c r="M13" s="586">
        <v>8</v>
      </c>
      <c r="N13" s="589">
        <v>80</v>
      </c>
      <c r="O13" s="593">
        <v>21</v>
      </c>
      <c r="P13" s="593">
        <v>23</v>
      </c>
      <c r="Q13" s="593">
        <v>8</v>
      </c>
      <c r="R13" s="593">
        <v>3</v>
      </c>
      <c r="S13" s="593">
        <v>12</v>
      </c>
      <c r="T13" s="593">
        <v>6</v>
      </c>
      <c r="U13" s="593">
        <v>4</v>
      </c>
      <c r="V13" s="593">
        <v>4</v>
      </c>
      <c r="W13" s="586">
        <v>5</v>
      </c>
      <c r="X13" s="586">
        <v>5</v>
      </c>
      <c r="Y13" s="586">
        <v>58</v>
      </c>
      <c r="Z13" s="583">
        <v>529</v>
      </c>
      <c r="AA13" s="583">
        <v>113</v>
      </c>
      <c r="AB13" s="586">
        <v>4</v>
      </c>
      <c r="AC13" s="586">
        <v>73</v>
      </c>
      <c r="AD13" s="586">
        <v>36</v>
      </c>
      <c r="AE13" s="583">
        <v>412</v>
      </c>
      <c r="AF13" s="586">
        <v>20</v>
      </c>
      <c r="AG13" s="586">
        <v>15</v>
      </c>
      <c r="AH13" s="586">
        <v>37</v>
      </c>
      <c r="AI13" s="586">
        <v>125</v>
      </c>
      <c r="AJ13" s="586">
        <v>37</v>
      </c>
      <c r="AK13" s="586">
        <v>42</v>
      </c>
      <c r="AL13" s="586">
        <v>60</v>
      </c>
      <c r="AM13" s="586">
        <v>17</v>
      </c>
      <c r="AN13" s="586">
        <v>31</v>
      </c>
      <c r="AO13" s="586">
        <v>58</v>
      </c>
      <c r="AP13" s="595"/>
      <c r="AQ13" s="583">
        <v>98</v>
      </c>
      <c r="AR13" s="596"/>
      <c r="AS13" s="601"/>
      <c r="AT13" s="601"/>
      <c r="AU13" s="605"/>
      <c r="AV13" s="584"/>
      <c r="AW13" s="584"/>
      <c r="AX13" s="584"/>
      <c r="AY13" s="584"/>
      <c r="AZ13" s="584"/>
      <c r="BA13" s="584"/>
      <c r="BB13" s="584"/>
      <c r="BC13" s="584"/>
      <c r="BD13" s="584"/>
    </row>
    <row r="14" spans="1:56" ht="19.5" thickTop="1" thickBot="1" x14ac:dyDescent="0.3">
      <c r="A14" s="568"/>
      <c r="B14" s="577">
        <v>2005</v>
      </c>
      <c r="C14" s="580"/>
      <c r="D14" s="583">
        <v>1440</v>
      </c>
      <c r="E14" s="585"/>
      <c r="F14" s="583">
        <v>553</v>
      </c>
      <c r="G14" s="586">
        <v>467</v>
      </c>
      <c r="H14" s="586">
        <v>18</v>
      </c>
      <c r="I14" s="586">
        <v>27</v>
      </c>
      <c r="J14" s="586">
        <v>35</v>
      </c>
      <c r="K14" s="586">
        <v>5</v>
      </c>
      <c r="L14" s="583">
        <v>199</v>
      </c>
      <c r="M14" s="586">
        <v>10</v>
      </c>
      <c r="N14" s="589">
        <v>95</v>
      </c>
      <c r="O14" s="593">
        <v>28</v>
      </c>
      <c r="P14" s="593">
        <v>27</v>
      </c>
      <c r="Q14" s="593">
        <v>9</v>
      </c>
      <c r="R14" s="593">
        <v>5</v>
      </c>
      <c r="S14" s="593">
        <v>14</v>
      </c>
      <c r="T14" s="593">
        <v>5</v>
      </c>
      <c r="U14" s="593">
        <v>3</v>
      </c>
      <c r="V14" s="593">
        <v>4</v>
      </c>
      <c r="W14" s="586">
        <v>10</v>
      </c>
      <c r="X14" s="586">
        <v>10</v>
      </c>
      <c r="Y14" s="586">
        <v>70</v>
      </c>
      <c r="Z14" s="583">
        <v>634</v>
      </c>
      <c r="AA14" s="583">
        <v>140</v>
      </c>
      <c r="AB14" s="586">
        <v>6</v>
      </c>
      <c r="AC14" s="586">
        <v>90</v>
      </c>
      <c r="AD14" s="586">
        <v>44</v>
      </c>
      <c r="AE14" s="583">
        <v>495</v>
      </c>
      <c r="AF14" s="586">
        <v>31</v>
      </c>
      <c r="AG14" s="586">
        <v>18</v>
      </c>
      <c r="AH14" s="586">
        <v>41</v>
      </c>
      <c r="AI14" s="586">
        <v>139</v>
      </c>
      <c r="AJ14" s="586">
        <v>41</v>
      </c>
      <c r="AK14" s="586">
        <v>47</v>
      </c>
      <c r="AL14" s="586">
        <v>66</v>
      </c>
      <c r="AM14" s="586">
        <v>23</v>
      </c>
      <c r="AN14" s="586">
        <v>31</v>
      </c>
      <c r="AO14" s="586">
        <v>83</v>
      </c>
      <c r="AP14" s="595"/>
      <c r="AQ14" s="583">
        <v>112</v>
      </c>
      <c r="AR14" s="596"/>
      <c r="AS14" s="601"/>
      <c r="AT14" s="601"/>
      <c r="AU14" s="605"/>
      <c r="AV14" s="584"/>
      <c r="AW14" s="584"/>
      <c r="AX14" s="584"/>
      <c r="AY14" s="584"/>
      <c r="AZ14" s="584"/>
      <c r="BA14" s="584"/>
      <c r="BB14" s="584"/>
      <c r="BC14" s="584"/>
      <c r="BD14" s="584"/>
    </row>
    <row r="15" spans="1:56" ht="19.5" thickTop="1" thickBot="1" x14ac:dyDescent="0.3">
      <c r="A15" s="568"/>
      <c r="B15" s="577">
        <v>2006</v>
      </c>
      <c r="C15" s="580"/>
      <c r="D15" s="583">
        <v>1739</v>
      </c>
      <c r="E15" s="585"/>
      <c r="F15" s="583">
        <v>592</v>
      </c>
      <c r="G15" s="586">
        <v>309</v>
      </c>
      <c r="H15" s="586">
        <v>70</v>
      </c>
      <c r="I15" s="586">
        <v>68</v>
      </c>
      <c r="J15" s="586">
        <v>169</v>
      </c>
      <c r="K15" s="586">
        <v>6</v>
      </c>
      <c r="L15" s="583">
        <v>232</v>
      </c>
      <c r="M15" s="586">
        <v>23</v>
      </c>
      <c r="N15" s="589">
        <v>105</v>
      </c>
      <c r="O15" s="593">
        <v>34</v>
      </c>
      <c r="P15" s="593">
        <v>28</v>
      </c>
      <c r="Q15" s="593">
        <v>10</v>
      </c>
      <c r="R15" s="593">
        <v>6</v>
      </c>
      <c r="S15" s="593">
        <v>17</v>
      </c>
      <c r="T15" s="593">
        <v>6</v>
      </c>
      <c r="U15" s="593">
        <v>4</v>
      </c>
      <c r="V15" s="593">
        <v>5</v>
      </c>
      <c r="W15" s="586">
        <v>11</v>
      </c>
      <c r="X15" s="586">
        <v>10</v>
      </c>
      <c r="Y15" s="586">
        <v>83</v>
      </c>
      <c r="Z15" s="583">
        <v>767</v>
      </c>
      <c r="AA15" s="583">
        <v>177</v>
      </c>
      <c r="AB15" s="586">
        <v>7</v>
      </c>
      <c r="AC15" s="586">
        <v>111</v>
      </c>
      <c r="AD15" s="586">
        <v>57</v>
      </c>
      <c r="AE15" s="583">
        <v>598</v>
      </c>
      <c r="AF15" s="586">
        <v>39</v>
      </c>
      <c r="AG15" s="586">
        <v>23</v>
      </c>
      <c r="AH15" s="586">
        <v>49</v>
      </c>
      <c r="AI15" s="586">
        <v>151</v>
      </c>
      <c r="AJ15" s="586">
        <v>45</v>
      </c>
      <c r="AK15" s="586">
        <v>51</v>
      </c>
      <c r="AL15" s="586">
        <v>76</v>
      </c>
      <c r="AM15" s="586">
        <v>30</v>
      </c>
      <c r="AN15" s="586">
        <v>33</v>
      </c>
      <c r="AO15" s="586">
        <v>105</v>
      </c>
      <c r="AP15" s="595">
        <v>0</v>
      </c>
      <c r="AQ15" s="583">
        <v>129</v>
      </c>
      <c r="AR15" s="596"/>
      <c r="AS15" s="601"/>
      <c r="AT15" s="601"/>
      <c r="AU15" s="605"/>
      <c r="AV15" s="584"/>
      <c r="AW15" s="584"/>
      <c r="AX15" s="584"/>
      <c r="AY15" s="584"/>
      <c r="AZ15" s="584"/>
      <c r="BA15" s="584"/>
      <c r="BB15" s="584"/>
      <c r="BC15" s="584"/>
      <c r="BD15" s="584"/>
    </row>
    <row r="16" spans="1:56" ht="19.5" thickTop="1" thickBot="1" x14ac:dyDescent="0.3">
      <c r="A16" s="568"/>
      <c r="B16" s="577">
        <v>2007</v>
      </c>
      <c r="C16" s="580"/>
      <c r="D16" s="583">
        <v>2092</v>
      </c>
      <c r="E16" s="585"/>
      <c r="F16" s="583">
        <v>636</v>
      </c>
      <c r="G16" s="586">
        <v>353</v>
      </c>
      <c r="H16" s="586">
        <v>50</v>
      </c>
      <c r="I16" s="586">
        <v>71</v>
      </c>
      <c r="J16" s="586">
        <v>174</v>
      </c>
      <c r="K16" s="586">
        <v>7</v>
      </c>
      <c r="L16" s="583">
        <v>300</v>
      </c>
      <c r="M16" s="586">
        <v>43</v>
      </c>
      <c r="N16" s="589">
        <v>115</v>
      </c>
      <c r="O16" s="593">
        <v>35</v>
      </c>
      <c r="P16" s="593">
        <v>31</v>
      </c>
      <c r="Q16" s="593">
        <v>12</v>
      </c>
      <c r="R16" s="593">
        <v>7</v>
      </c>
      <c r="S16" s="593">
        <v>18</v>
      </c>
      <c r="T16" s="593">
        <v>7</v>
      </c>
      <c r="U16" s="593">
        <v>5</v>
      </c>
      <c r="V16" s="593">
        <v>6</v>
      </c>
      <c r="W16" s="586">
        <v>27</v>
      </c>
      <c r="X16" s="586">
        <v>24</v>
      </c>
      <c r="Y16" s="586">
        <v>105</v>
      </c>
      <c r="Z16" s="583">
        <v>992</v>
      </c>
      <c r="AA16" s="583">
        <v>222</v>
      </c>
      <c r="AB16" s="586">
        <v>9</v>
      </c>
      <c r="AC16" s="586">
        <v>140</v>
      </c>
      <c r="AD16" s="586">
        <v>72</v>
      </c>
      <c r="AE16" s="583">
        <v>784</v>
      </c>
      <c r="AF16" s="586">
        <v>47</v>
      </c>
      <c r="AG16" s="586">
        <v>29</v>
      </c>
      <c r="AH16" s="586">
        <v>59</v>
      </c>
      <c r="AI16" s="586">
        <v>230</v>
      </c>
      <c r="AJ16" s="586">
        <v>68</v>
      </c>
      <c r="AK16" s="586">
        <v>77</v>
      </c>
      <c r="AL16" s="586">
        <v>86</v>
      </c>
      <c r="AM16" s="586">
        <v>38</v>
      </c>
      <c r="AN16" s="586">
        <v>44</v>
      </c>
      <c r="AO16" s="586">
        <v>123</v>
      </c>
      <c r="AP16" s="595">
        <v>0</v>
      </c>
      <c r="AQ16" s="583">
        <v>157</v>
      </c>
      <c r="AR16" s="596"/>
      <c r="AS16" s="601"/>
      <c r="AT16" s="601"/>
      <c r="AU16" s="605"/>
      <c r="AV16" s="584"/>
      <c r="AW16" s="584"/>
      <c r="AX16" s="584"/>
      <c r="AY16" s="584"/>
      <c r="AZ16" s="584"/>
      <c r="BA16" s="584"/>
      <c r="BB16" s="584"/>
      <c r="BC16" s="584"/>
      <c r="BD16" s="584"/>
    </row>
    <row r="17" spans="1:56" ht="19.5" thickTop="1" thickBot="1" x14ac:dyDescent="0.3">
      <c r="A17" s="568"/>
      <c r="B17" s="577">
        <v>2008</v>
      </c>
      <c r="C17" s="580"/>
      <c r="D17" s="583">
        <v>2658</v>
      </c>
      <c r="E17" s="585"/>
      <c r="F17" s="583">
        <v>753</v>
      </c>
      <c r="G17" s="586">
        <v>397</v>
      </c>
      <c r="H17" s="586">
        <v>67</v>
      </c>
      <c r="I17" s="586">
        <v>91</v>
      </c>
      <c r="J17" s="586">
        <v>227</v>
      </c>
      <c r="K17" s="586">
        <v>9</v>
      </c>
      <c r="L17" s="583">
        <v>388</v>
      </c>
      <c r="M17" s="586">
        <v>51</v>
      </c>
      <c r="N17" s="589">
        <v>148</v>
      </c>
      <c r="O17" s="593">
        <v>46</v>
      </c>
      <c r="P17" s="593">
        <v>41</v>
      </c>
      <c r="Q17" s="593">
        <v>13</v>
      </c>
      <c r="R17" s="593">
        <v>8</v>
      </c>
      <c r="S17" s="593">
        <v>21</v>
      </c>
      <c r="T17" s="593">
        <v>8</v>
      </c>
      <c r="U17" s="593">
        <v>6</v>
      </c>
      <c r="V17" s="593">
        <v>8</v>
      </c>
      <c r="W17" s="586">
        <v>18</v>
      </c>
      <c r="X17" s="586">
        <v>16</v>
      </c>
      <c r="Y17" s="586">
        <v>155</v>
      </c>
      <c r="Z17" s="583">
        <v>1307</v>
      </c>
      <c r="AA17" s="583">
        <v>326</v>
      </c>
      <c r="AB17" s="586">
        <v>13</v>
      </c>
      <c r="AC17" s="586">
        <v>208</v>
      </c>
      <c r="AD17" s="586">
        <v>98</v>
      </c>
      <c r="AE17" s="583">
        <v>983</v>
      </c>
      <c r="AF17" s="586">
        <v>57</v>
      </c>
      <c r="AG17" s="586">
        <v>40</v>
      </c>
      <c r="AH17" s="586">
        <v>65</v>
      </c>
      <c r="AI17" s="586">
        <v>316</v>
      </c>
      <c r="AJ17" s="586">
        <v>94</v>
      </c>
      <c r="AK17" s="586">
        <v>106</v>
      </c>
      <c r="AL17" s="586">
        <v>100</v>
      </c>
      <c r="AM17" s="586">
        <v>44</v>
      </c>
      <c r="AN17" s="586">
        <v>54</v>
      </c>
      <c r="AO17" s="586">
        <v>138</v>
      </c>
      <c r="AP17" s="595">
        <v>0</v>
      </c>
      <c r="AQ17" s="583">
        <v>215</v>
      </c>
      <c r="AR17" s="596"/>
      <c r="AS17" s="601"/>
      <c r="AT17" s="601"/>
      <c r="AU17" s="605"/>
      <c r="AV17" s="584"/>
      <c r="AW17" s="584"/>
      <c r="AX17" s="584"/>
      <c r="AY17" s="584"/>
      <c r="AZ17" s="584"/>
      <c r="BA17" s="584"/>
      <c r="BB17" s="584"/>
      <c r="BC17" s="584"/>
      <c r="BD17" s="584"/>
    </row>
    <row r="18" spans="1:56" ht="19.5" thickTop="1" thickBot="1" x14ac:dyDescent="0.3">
      <c r="A18" s="568"/>
      <c r="B18" s="577">
        <v>2009</v>
      </c>
      <c r="C18" s="580"/>
      <c r="D18" s="583">
        <v>3057</v>
      </c>
      <c r="E18" s="585"/>
      <c r="F18" s="583">
        <v>896</v>
      </c>
      <c r="G18" s="586">
        <v>496</v>
      </c>
      <c r="H18" s="586">
        <v>64</v>
      </c>
      <c r="I18" s="586">
        <v>108</v>
      </c>
      <c r="J18" s="586">
        <v>244</v>
      </c>
      <c r="K18" s="586">
        <v>10</v>
      </c>
      <c r="L18" s="583">
        <v>436</v>
      </c>
      <c r="M18" s="586">
        <v>33</v>
      </c>
      <c r="N18" s="589">
        <v>184</v>
      </c>
      <c r="O18" s="593">
        <v>57</v>
      </c>
      <c r="P18" s="593">
        <v>56</v>
      </c>
      <c r="Q18" s="593">
        <v>13</v>
      </c>
      <c r="R18" s="593">
        <v>9</v>
      </c>
      <c r="S18" s="593">
        <v>21</v>
      </c>
      <c r="T18" s="593">
        <v>9</v>
      </c>
      <c r="U18" s="593">
        <v>7</v>
      </c>
      <c r="V18" s="593">
        <v>8</v>
      </c>
      <c r="W18" s="586">
        <v>21</v>
      </c>
      <c r="X18" s="586">
        <v>19</v>
      </c>
      <c r="Y18" s="586">
        <v>176</v>
      </c>
      <c r="Z18" s="583">
        <v>1483</v>
      </c>
      <c r="AA18" s="583">
        <v>358</v>
      </c>
      <c r="AB18" s="586">
        <v>14</v>
      </c>
      <c r="AC18" s="586">
        <v>227</v>
      </c>
      <c r="AD18" s="586">
        <v>112</v>
      </c>
      <c r="AE18" s="583">
        <v>1132</v>
      </c>
      <c r="AF18" s="586">
        <v>60</v>
      </c>
      <c r="AG18" s="586">
        <v>46</v>
      </c>
      <c r="AH18" s="586">
        <v>65</v>
      </c>
      <c r="AI18" s="586">
        <v>384</v>
      </c>
      <c r="AJ18" s="586">
        <v>114</v>
      </c>
      <c r="AK18" s="586">
        <v>129</v>
      </c>
      <c r="AL18" s="586">
        <v>116</v>
      </c>
      <c r="AM18" s="586">
        <v>56</v>
      </c>
      <c r="AN18" s="586">
        <v>66</v>
      </c>
      <c r="AO18" s="586">
        <v>141</v>
      </c>
      <c r="AP18" s="595">
        <v>0</v>
      </c>
      <c r="AQ18" s="583">
        <v>239</v>
      </c>
      <c r="AR18" s="596"/>
      <c r="AS18" s="601"/>
      <c r="AT18" s="601"/>
      <c r="AU18" s="605"/>
      <c r="AV18" s="584"/>
      <c r="AW18" s="584"/>
      <c r="AX18" s="584"/>
      <c r="AY18" s="584"/>
      <c r="AZ18" s="584"/>
      <c r="BA18" s="584"/>
      <c r="BB18" s="584"/>
      <c r="BC18" s="584"/>
      <c r="BD18" s="584"/>
    </row>
    <row r="19" spans="1:56" ht="19.5" thickTop="1" thickBot="1" x14ac:dyDescent="0.3">
      <c r="A19" s="568"/>
      <c r="B19" s="577">
        <v>2010</v>
      </c>
      <c r="C19" s="580"/>
      <c r="D19" s="583">
        <v>3367</v>
      </c>
      <c r="E19" s="585"/>
      <c r="F19" s="583">
        <v>949</v>
      </c>
      <c r="G19" s="586">
        <v>519</v>
      </c>
      <c r="H19" s="586">
        <v>79</v>
      </c>
      <c r="I19" s="586">
        <v>113</v>
      </c>
      <c r="J19" s="586">
        <v>258</v>
      </c>
      <c r="K19" s="586">
        <v>12</v>
      </c>
      <c r="L19" s="583">
        <v>500</v>
      </c>
      <c r="M19" s="586">
        <v>45</v>
      </c>
      <c r="N19" s="589">
        <v>208</v>
      </c>
      <c r="O19" s="593">
        <v>66</v>
      </c>
      <c r="P19" s="593">
        <v>61</v>
      </c>
      <c r="Q19" s="593">
        <v>14</v>
      </c>
      <c r="R19" s="593">
        <v>10</v>
      </c>
      <c r="S19" s="593">
        <v>24</v>
      </c>
      <c r="T19" s="593">
        <v>10</v>
      </c>
      <c r="U19" s="593">
        <v>9</v>
      </c>
      <c r="V19" s="593">
        <v>11</v>
      </c>
      <c r="W19" s="586">
        <v>25</v>
      </c>
      <c r="X19" s="586">
        <v>22</v>
      </c>
      <c r="Y19" s="586">
        <v>198</v>
      </c>
      <c r="Z19" s="583">
        <v>1657</v>
      </c>
      <c r="AA19" s="583">
        <v>407</v>
      </c>
      <c r="AB19" s="586">
        <v>16</v>
      </c>
      <c r="AC19" s="586">
        <v>257</v>
      </c>
      <c r="AD19" s="586">
        <v>130</v>
      </c>
      <c r="AE19" s="583">
        <v>1256</v>
      </c>
      <c r="AF19" s="586">
        <v>68</v>
      </c>
      <c r="AG19" s="586">
        <v>52</v>
      </c>
      <c r="AH19" s="586">
        <v>82</v>
      </c>
      <c r="AI19" s="586">
        <v>401</v>
      </c>
      <c r="AJ19" s="586">
        <v>119</v>
      </c>
      <c r="AK19" s="586">
        <v>134</v>
      </c>
      <c r="AL19" s="586">
        <v>137</v>
      </c>
      <c r="AM19" s="586">
        <v>68</v>
      </c>
      <c r="AN19" s="586">
        <v>78</v>
      </c>
      <c r="AO19" s="586">
        <v>153</v>
      </c>
      <c r="AP19" s="595">
        <v>0</v>
      </c>
      <c r="AQ19" s="583">
        <v>266</v>
      </c>
      <c r="AR19" s="596"/>
      <c r="AS19" s="601"/>
      <c r="AT19" s="601"/>
      <c r="AU19" s="605"/>
      <c r="AV19" s="584"/>
      <c r="AW19" s="584"/>
      <c r="AX19" s="584"/>
      <c r="AY19" s="584"/>
      <c r="AZ19" s="584"/>
      <c r="BA19" s="584"/>
      <c r="BB19" s="584"/>
      <c r="BC19" s="584"/>
      <c r="BD19" s="584"/>
    </row>
    <row r="20" spans="1:56" ht="19.5" thickTop="1" thickBot="1" x14ac:dyDescent="0.3">
      <c r="A20" s="568"/>
      <c r="B20" s="577">
        <v>2011</v>
      </c>
      <c r="C20" s="580"/>
      <c r="D20" s="583">
        <v>3897</v>
      </c>
      <c r="E20" s="585"/>
      <c r="F20" s="583">
        <v>1091</v>
      </c>
      <c r="G20" s="586">
        <v>610</v>
      </c>
      <c r="H20" s="586">
        <v>82</v>
      </c>
      <c r="I20" s="586">
        <v>127</v>
      </c>
      <c r="J20" s="586">
        <v>283</v>
      </c>
      <c r="K20" s="586">
        <v>14</v>
      </c>
      <c r="L20" s="583">
        <v>649</v>
      </c>
      <c r="M20" s="586">
        <v>102</v>
      </c>
      <c r="N20" s="589">
        <v>235</v>
      </c>
      <c r="O20" s="593">
        <v>79</v>
      </c>
      <c r="P20" s="593">
        <v>66</v>
      </c>
      <c r="Q20" s="593">
        <v>17</v>
      </c>
      <c r="R20" s="593">
        <v>10</v>
      </c>
      <c r="S20" s="593">
        <v>29</v>
      </c>
      <c r="T20" s="593">
        <v>12</v>
      </c>
      <c r="U20" s="593">
        <v>13</v>
      </c>
      <c r="V20" s="593">
        <v>16</v>
      </c>
      <c r="W20" s="586">
        <v>29</v>
      </c>
      <c r="X20" s="586">
        <v>26</v>
      </c>
      <c r="Y20" s="586">
        <v>259</v>
      </c>
      <c r="Z20" s="583">
        <v>1849</v>
      </c>
      <c r="AA20" s="583">
        <v>463</v>
      </c>
      <c r="AB20" s="586">
        <v>18</v>
      </c>
      <c r="AC20" s="586">
        <v>293</v>
      </c>
      <c r="AD20" s="586">
        <v>147</v>
      </c>
      <c r="AE20" s="583">
        <v>1388</v>
      </c>
      <c r="AF20" s="586">
        <v>73</v>
      </c>
      <c r="AG20" s="586">
        <v>58</v>
      </c>
      <c r="AH20" s="586">
        <v>103</v>
      </c>
      <c r="AI20" s="586">
        <v>422</v>
      </c>
      <c r="AJ20" s="586">
        <v>126</v>
      </c>
      <c r="AK20" s="586">
        <v>142</v>
      </c>
      <c r="AL20" s="586">
        <v>165</v>
      </c>
      <c r="AM20" s="586">
        <v>85</v>
      </c>
      <c r="AN20" s="586">
        <v>80</v>
      </c>
      <c r="AO20" s="586">
        <v>161</v>
      </c>
      <c r="AP20" s="595">
        <v>0</v>
      </c>
      <c r="AQ20" s="583">
        <v>328</v>
      </c>
      <c r="AR20" s="596"/>
      <c r="AS20" s="601"/>
      <c r="AT20" s="601"/>
      <c r="AU20" s="605"/>
      <c r="AV20" s="584"/>
      <c r="AW20" s="584"/>
      <c r="AX20" s="584"/>
      <c r="AY20" s="584"/>
      <c r="AZ20" s="584"/>
      <c r="BA20" s="584"/>
      <c r="BB20" s="584"/>
      <c r="BC20" s="584"/>
      <c r="BD20" s="584"/>
    </row>
    <row r="21" spans="1:56" ht="16.5" thickTop="1" thickBot="1" x14ac:dyDescent="0.3">
      <c r="A21" s="568"/>
      <c r="B21" s="697">
        <v>2012</v>
      </c>
      <c r="C21" s="578"/>
      <c r="D21" s="583">
        <v>4494</v>
      </c>
      <c r="E21" s="578"/>
      <c r="F21" s="583">
        <v>1300</v>
      </c>
      <c r="G21" s="586">
        <v>740</v>
      </c>
      <c r="H21" s="586">
        <v>106</v>
      </c>
      <c r="I21" s="586">
        <v>143</v>
      </c>
      <c r="J21" s="586">
        <v>313</v>
      </c>
      <c r="K21" s="586">
        <v>16</v>
      </c>
      <c r="L21" s="583">
        <v>746</v>
      </c>
      <c r="M21" s="586">
        <v>97</v>
      </c>
      <c r="N21" s="589">
        <v>270</v>
      </c>
      <c r="O21" s="593">
        <v>87</v>
      </c>
      <c r="P21" s="593">
        <v>76</v>
      </c>
      <c r="Q21" s="593">
        <v>18</v>
      </c>
      <c r="R21" s="593">
        <v>11</v>
      </c>
      <c r="S21" s="593">
        <v>32</v>
      </c>
      <c r="T21" s="593">
        <v>14</v>
      </c>
      <c r="U21" s="593">
        <v>16</v>
      </c>
      <c r="V21" s="593">
        <v>18</v>
      </c>
      <c r="W21" s="586">
        <v>37</v>
      </c>
      <c r="X21" s="586">
        <v>28</v>
      </c>
      <c r="Y21" s="586">
        <v>313</v>
      </c>
      <c r="Z21" s="583">
        <v>2147</v>
      </c>
      <c r="AA21" s="583">
        <v>553</v>
      </c>
      <c r="AB21" s="586">
        <v>20</v>
      </c>
      <c r="AC21" s="586">
        <v>348</v>
      </c>
      <c r="AD21" s="586">
        <v>182</v>
      </c>
      <c r="AE21" s="583">
        <v>1588</v>
      </c>
      <c r="AF21" s="586">
        <v>77</v>
      </c>
      <c r="AG21" s="586">
        <v>73</v>
      </c>
      <c r="AH21" s="586">
        <v>132</v>
      </c>
      <c r="AI21" s="586">
        <v>418</v>
      </c>
      <c r="AJ21" s="586">
        <v>141</v>
      </c>
      <c r="AK21" s="586">
        <v>160</v>
      </c>
      <c r="AL21" s="586">
        <v>210</v>
      </c>
      <c r="AM21" s="586">
        <v>104</v>
      </c>
      <c r="AN21" s="586">
        <v>102</v>
      </c>
      <c r="AO21" s="586">
        <v>185</v>
      </c>
      <c r="AP21" s="584">
        <v>0</v>
      </c>
      <c r="AQ21" s="583">
        <v>301</v>
      </c>
      <c r="AR21" s="596"/>
      <c r="AS21" s="601"/>
      <c r="AT21" s="601"/>
      <c r="AU21" s="584"/>
      <c r="AV21" s="584"/>
      <c r="AW21" s="584"/>
      <c r="AX21" s="584"/>
      <c r="AY21" s="584"/>
      <c r="AZ21" s="584"/>
      <c r="BA21" s="584"/>
      <c r="BB21" s="584"/>
      <c r="BC21" s="584"/>
      <c r="BD21" s="584"/>
    </row>
    <row r="22" spans="1:56" ht="16.5" thickTop="1" thickBot="1" x14ac:dyDescent="0.3">
      <c r="A22" s="568"/>
      <c r="B22" s="697">
        <v>2013</v>
      </c>
      <c r="C22" s="578"/>
      <c r="D22" s="583">
        <v>4929</v>
      </c>
      <c r="E22" s="578"/>
      <c r="F22" s="583">
        <v>1424</v>
      </c>
      <c r="G22" s="586">
        <v>839</v>
      </c>
      <c r="H22" s="586">
        <v>83</v>
      </c>
      <c r="I22" s="586">
        <v>158</v>
      </c>
      <c r="J22" s="586">
        <v>325</v>
      </c>
      <c r="K22" s="586">
        <v>19</v>
      </c>
      <c r="L22" s="583">
        <v>848</v>
      </c>
      <c r="M22" s="586">
        <v>124</v>
      </c>
      <c r="N22" s="589">
        <v>291</v>
      </c>
      <c r="O22" s="593">
        <v>92</v>
      </c>
      <c r="P22" s="593">
        <v>85</v>
      </c>
      <c r="Q22" s="593">
        <v>19</v>
      </c>
      <c r="R22" s="593">
        <v>13</v>
      </c>
      <c r="S22" s="593">
        <v>33</v>
      </c>
      <c r="T22" s="593">
        <v>16</v>
      </c>
      <c r="U22" s="593">
        <v>14</v>
      </c>
      <c r="V22" s="593">
        <v>20</v>
      </c>
      <c r="W22" s="586">
        <v>43</v>
      </c>
      <c r="X22" s="586">
        <v>30</v>
      </c>
      <c r="Y22" s="586">
        <v>359</v>
      </c>
      <c r="Z22" s="583">
        <v>2353</v>
      </c>
      <c r="AA22" s="583">
        <v>593</v>
      </c>
      <c r="AB22" s="586">
        <v>22</v>
      </c>
      <c r="AC22" s="586">
        <v>370</v>
      </c>
      <c r="AD22" s="586">
        <v>201</v>
      </c>
      <c r="AE22" s="583">
        <v>1760</v>
      </c>
      <c r="AF22" s="586">
        <v>80</v>
      </c>
      <c r="AG22" s="586">
        <v>72</v>
      </c>
      <c r="AH22" s="586">
        <v>157</v>
      </c>
      <c r="AI22" s="586">
        <v>415</v>
      </c>
      <c r="AJ22" s="586">
        <v>153</v>
      </c>
      <c r="AK22" s="586">
        <v>173</v>
      </c>
      <c r="AL22" s="586">
        <v>238</v>
      </c>
      <c r="AM22" s="586">
        <v>140</v>
      </c>
      <c r="AN22" s="586">
        <v>117</v>
      </c>
      <c r="AO22" s="586">
        <v>214</v>
      </c>
      <c r="AP22" s="584">
        <v>0</v>
      </c>
      <c r="AQ22" s="583">
        <v>304</v>
      </c>
      <c r="AR22" s="596"/>
      <c r="AS22" s="601"/>
      <c r="AT22" s="601"/>
      <c r="AU22" s="584"/>
      <c r="AV22" s="584"/>
      <c r="AW22" s="584"/>
      <c r="AX22" s="584"/>
      <c r="AY22" s="584"/>
      <c r="AZ22" s="584"/>
      <c r="BA22" s="584"/>
      <c r="BB22" s="584"/>
      <c r="BC22" s="584"/>
      <c r="BD22" s="584"/>
    </row>
    <row r="23" spans="1:56" ht="16.5" thickTop="1" thickBot="1" x14ac:dyDescent="0.3">
      <c r="A23" s="568"/>
      <c r="B23" s="697">
        <v>2014</v>
      </c>
      <c r="C23" s="578"/>
      <c r="D23" s="583">
        <v>5466</v>
      </c>
      <c r="E23" s="578"/>
      <c r="F23" s="583">
        <v>1572</v>
      </c>
      <c r="G23" s="586">
        <v>934</v>
      </c>
      <c r="H23" s="586">
        <v>107</v>
      </c>
      <c r="I23" s="586">
        <v>174</v>
      </c>
      <c r="J23" s="586">
        <v>337</v>
      </c>
      <c r="K23" s="586">
        <v>20</v>
      </c>
      <c r="L23" s="583">
        <v>939</v>
      </c>
      <c r="M23" s="586">
        <v>147</v>
      </c>
      <c r="N23" s="589">
        <v>322</v>
      </c>
      <c r="O23" s="593">
        <v>101</v>
      </c>
      <c r="P23" s="593">
        <v>95</v>
      </c>
      <c r="Q23" s="593">
        <v>20</v>
      </c>
      <c r="R23" s="593">
        <v>14</v>
      </c>
      <c r="S23" s="593">
        <v>32</v>
      </c>
      <c r="T23" s="593">
        <v>18</v>
      </c>
      <c r="U23" s="593">
        <v>18</v>
      </c>
      <c r="V23" s="593">
        <v>22</v>
      </c>
      <c r="W23" s="586">
        <v>47</v>
      </c>
      <c r="X23" s="586">
        <v>31</v>
      </c>
      <c r="Y23" s="586">
        <v>392</v>
      </c>
      <c r="Z23" s="583">
        <v>2578</v>
      </c>
      <c r="AA23" s="583">
        <v>640</v>
      </c>
      <c r="AB23" s="586">
        <v>23</v>
      </c>
      <c r="AC23" s="586">
        <v>410</v>
      </c>
      <c r="AD23" s="586">
        <v>207</v>
      </c>
      <c r="AE23" s="583">
        <v>1938</v>
      </c>
      <c r="AF23" s="586">
        <v>96</v>
      </c>
      <c r="AG23" s="586">
        <v>80</v>
      </c>
      <c r="AH23" s="586">
        <v>159</v>
      </c>
      <c r="AI23" s="586">
        <v>452</v>
      </c>
      <c r="AJ23" s="586">
        <v>144</v>
      </c>
      <c r="AK23" s="586">
        <v>202</v>
      </c>
      <c r="AL23" s="586">
        <v>260</v>
      </c>
      <c r="AM23" s="586">
        <v>154</v>
      </c>
      <c r="AN23" s="586">
        <v>133</v>
      </c>
      <c r="AO23" s="586">
        <v>257</v>
      </c>
      <c r="AP23" s="584">
        <v>0</v>
      </c>
      <c r="AQ23" s="583">
        <v>377</v>
      </c>
      <c r="AR23" s="596"/>
      <c r="AS23" s="601"/>
      <c r="AT23" s="601"/>
      <c r="AU23" s="584"/>
      <c r="AV23" s="584"/>
      <c r="AW23" s="584"/>
      <c r="AX23" s="584"/>
      <c r="AY23" s="584"/>
      <c r="AZ23" s="584"/>
      <c r="BA23" s="584"/>
      <c r="BB23" s="584"/>
      <c r="BC23" s="584"/>
      <c r="BD23" s="584"/>
    </row>
    <row r="24" spans="1:56" ht="16.5" thickTop="1" thickBot="1" x14ac:dyDescent="0.3">
      <c r="A24" s="568"/>
      <c r="B24" s="697">
        <v>2015</v>
      </c>
      <c r="C24" s="578"/>
      <c r="D24" s="583">
        <v>5956</v>
      </c>
      <c r="E24" s="578"/>
      <c r="F24" s="583">
        <v>1672</v>
      </c>
      <c r="G24" s="586">
        <v>992</v>
      </c>
      <c r="H24" s="586">
        <v>109</v>
      </c>
      <c r="I24" s="586">
        <v>195</v>
      </c>
      <c r="J24" s="586">
        <v>354</v>
      </c>
      <c r="K24" s="586">
        <v>22</v>
      </c>
      <c r="L24" s="583">
        <v>1013</v>
      </c>
      <c r="M24" s="586">
        <v>132</v>
      </c>
      <c r="N24" s="589">
        <v>352</v>
      </c>
      <c r="O24" s="593">
        <v>104</v>
      </c>
      <c r="P24" s="593">
        <v>102</v>
      </c>
      <c r="Q24" s="593">
        <v>21</v>
      </c>
      <c r="R24" s="593">
        <v>16</v>
      </c>
      <c r="S24" s="593">
        <v>36</v>
      </c>
      <c r="T24" s="593">
        <v>21</v>
      </c>
      <c r="U24" s="593">
        <v>25</v>
      </c>
      <c r="V24" s="593">
        <v>26</v>
      </c>
      <c r="W24" s="586">
        <v>58</v>
      </c>
      <c r="X24" s="586">
        <v>32</v>
      </c>
      <c r="Y24" s="586">
        <v>440</v>
      </c>
      <c r="Z24" s="583">
        <v>2857</v>
      </c>
      <c r="AA24" s="583">
        <v>699</v>
      </c>
      <c r="AB24" s="586">
        <v>24</v>
      </c>
      <c r="AC24" s="586">
        <v>450</v>
      </c>
      <c r="AD24" s="586">
        <v>225</v>
      </c>
      <c r="AE24" s="583">
        <v>2158</v>
      </c>
      <c r="AF24" s="586">
        <v>107</v>
      </c>
      <c r="AG24" s="586">
        <v>92</v>
      </c>
      <c r="AH24" s="586">
        <v>175</v>
      </c>
      <c r="AI24" s="586">
        <v>486</v>
      </c>
      <c r="AJ24" s="586">
        <v>169</v>
      </c>
      <c r="AK24" s="586">
        <v>241</v>
      </c>
      <c r="AL24" s="586">
        <v>282</v>
      </c>
      <c r="AM24" s="586">
        <v>157</v>
      </c>
      <c r="AN24" s="586">
        <v>137</v>
      </c>
      <c r="AO24" s="586">
        <v>313</v>
      </c>
      <c r="AP24" s="584">
        <v>0</v>
      </c>
      <c r="AQ24" s="583">
        <v>414</v>
      </c>
      <c r="AR24" s="596"/>
      <c r="AS24" s="601"/>
      <c r="AT24" s="601"/>
      <c r="AU24" s="584"/>
      <c r="AV24" s="584"/>
      <c r="AW24" s="584"/>
      <c r="AX24" s="584"/>
      <c r="AY24" s="584"/>
      <c r="AZ24" s="584"/>
      <c r="BA24" s="584"/>
      <c r="BB24" s="584"/>
      <c r="BC24" s="584"/>
      <c r="BD24" s="584"/>
    </row>
    <row r="25" spans="1:56" ht="16.5" thickTop="1" thickBot="1" x14ac:dyDescent="0.3">
      <c r="A25" s="568"/>
      <c r="B25" s="577">
        <v>2016</v>
      </c>
      <c r="C25" s="578"/>
      <c r="D25" s="583">
        <v>6618</v>
      </c>
      <c r="E25" s="578"/>
      <c r="F25" s="583">
        <v>1954</v>
      </c>
      <c r="G25" s="586">
        <v>1206</v>
      </c>
      <c r="H25" s="586">
        <v>129</v>
      </c>
      <c r="I25" s="586">
        <v>223</v>
      </c>
      <c r="J25" s="586">
        <v>372</v>
      </c>
      <c r="K25" s="586">
        <v>23</v>
      </c>
      <c r="L25" s="583">
        <v>1094</v>
      </c>
      <c r="M25" s="586">
        <v>137</v>
      </c>
      <c r="N25" s="589">
        <v>388</v>
      </c>
      <c r="O25" s="593">
        <v>119</v>
      </c>
      <c r="P25" s="593">
        <v>109</v>
      </c>
      <c r="Q25" s="593">
        <v>23</v>
      </c>
      <c r="R25" s="593">
        <v>18</v>
      </c>
      <c r="S25" s="593">
        <v>38</v>
      </c>
      <c r="T25" s="593">
        <v>25</v>
      </c>
      <c r="U25" s="593">
        <v>30</v>
      </c>
      <c r="V25" s="593">
        <v>25</v>
      </c>
      <c r="W25" s="586">
        <v>83</v>
      </c>
      <c r="X25" s="586">
        <v>37</v>
      </c>
      <c r="Y25" s="586">
        <v>449</v>
      </c>
      <c r="Z25" s="583">
        <v>3153</v>
      </c>
      <c r="AA25" s="583">
        <v>761</v>
      </c>
      <c r="AB25" s="586">
        <v>28</v>
      </c>
      <c r="AC25" s="586">
        <v>476</v>
      </c>
      <c r="AD25" s="586">
        <v>257</v>
      </c>
      <c r="AE25" s="583">
        <v>2392</v>
      </c>
      <c r="AF25" s="586">
        <v>124</v>
      </c>
      <c r="AG25" s="586">
        <v>93</v>
      </c>
      <c r="AH25" s="586">
        <v>180</v>
      </c>
      <c r="AI25" s="586">
        <v>551</v>
      </c>
      <c r="AJ25" s="586">
        <v>190</v>
      </c>
      <c r="AK25" s="586">
        <v>279</v>
      </c>
      <c r="AL25" s="586">
        <v>329</v>
      </c>
      <c r="AM25" s="586">
        <v>163</v>
      </c>
      <c r="AN25" s="586">
        <v>140</v>
      </c>
      <c r="AO25" s="586">
        <v>342</v>
      </c>
      <c r="AP25" s="584">
        <v>0</v>
      </c>
      <c r="AQ25" s="583">
        <v>417</v>
      </c>
      <c r="AR25" s="596"/>
      <c r="AS25" s="601"/>
      <c r="AT25" s="601"/>
      <c r="AU25" s="584"/>
      <c r="AV25" s="584"/>
      <c r="AW25" s="584"/>
      <c r="AX25" s="584"/>
      <c r="AY25" s="584"/>
      <c r="AZ25" s="584"/>
      <c r="BA25" s="584"/>
      <c r="BB25" s="584"/>
      <c r="BC25" s="584"/>
      <c r="BD25" s="584"/>
    </row>
    <row r="26" spans="1:56" ht="15.75" thickTop="1" x14ac:dyDescent="0.25">
      <c r="A26" s="568"/>
      <c r="B26" s="578"/>
      <c r="C26" s="578"/>
      <c r="D26" s="584"/>
      <c r="E26" s="578"/>
      <c r="F26" s="584"/>
      <c r="G26" s="584"/>
      <c r="H26" s="584"/>
      <c r="I26" s="584"/>
      <c r="J26" s="584"/>
      <c r="K26" s="584"/>
      <c r="L26" s="584"/>
      <c r="M26" s="584"/>
      <c r="N26" s="584"/>
      <c r="O26" s="594"/>
      <c r="P26" s="594"/>
      <c r="Q26" s="594"/>
      <c r="R26" s="594"/>
      <c r="S26" s="594"/>
      <c r="T26" s="594"/>
      <c r="U26" s="594"/>
      <c r="V26" s="59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601"/>
      <c r="AT26" s="601"/>
      <c r="AU26" s="584"/>
      <c r="AV26" s="584"/>
      <c r="AW26" s="584"/>
      <c r="AX26" s="584"/>
      <c r="AY26" s="584"/>
      <c r="AZ26" s="584"/>
      <c r="BA26" s="584"/>
      <c r="BB26" s="584"/>
      <c r="BC26" s="584"/>
      <c r="BD26" s="584"/>
    </row>
    <row r="27" spans="1:56" x14ac:dyDescent="0.25">
      <c r="A27" s="568"/>
      <c r="B27" s="578"/>
      <c r="C27" s="578"/>
      <c r="D27" s="584"/>
      <c r="E27" s="578"/>
      <c r="F27" s="584"/>
      <c r="G27" s="584"/>
      <c r="H27" s="584"/>
      <c r="I27" s="584"/>
      <c r="J27" s="584"/>
      <c r="K27" s="584"/>
      <c r="L27" s="584"/>
      <c r="M27" s="584"/>
      <c r="N27" s="584"/>
      <c r="O27" s="594"/>
      <c r="P27" s="594"/>
      <c r="Q27" s="594"/>
      <c r="R27" s="594"/>
      <c r="S27" s="594"/>
      <c r="T27" s="594"/>
      <c r="U27" s="594"/>
      <c r="V27" s="59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601"/>
      <c r="AT27" s="601"/>
      <c r="AU27" s="584"/>
      <c r="AV27" s="584"/>
      <c r="AW27" s="584"/>
      <c r="AX27" s="584"/>
      <c r="AY27" s="584"/>
      <c r="AZ27" s="584"/>
      <c r="BA27" s="584"/>
      <c r="BB27" s="584"/>
      <c r="BC27" s="584"/>
      <c r="BD27" s="584"/>
    </row>
    <row r="28" spans="1:56" ht="165" x14ac:dyDescent="0.25">
      <c r="A28" s="1027"/>
      <c r="B28" s="297" t="s">
        <v>1326</v>
      </c>
      <c r="C28" s="297" t="s">
        <v>1050</v>
      </c>
      <c r="D28" s="717" t="str">
        <f>PSUT_2012!AA3</f>
        <v xml:space="preserve">Total </v>
      </c>
      <c r="E28" s="297"/>
      <c r="F28" s="717" t="str">
        <f>PSUT_2012!C4</f>
        <v xml:space="preserve">A. Agriculture, forestry and fishing </v>
      </c>
      <c r="G28" s="297"/>
      <c r="H28" s="297"/>
      <c r="I28" s="297"/>
      <c r="J28" s="297"/>
      <c r="K28" s="297"/>
      <c r="L28" s="297"/>
      <c r="M28" s="717" t="str">
        <f>PSUT_2012!D4</f>
        <v xml:space="preserve">B. Mining and Quarrying </v>
      </c>
      <c r="N28" s="717" t="str">
        <f>PSUT_2012!E4</f>
        <v>C. Manufacturing</v>
      </c>
      <c r="O28" s="297"/>
      <c r="P28" s="297"/>
      <c r="Q28" s="297"/>
      <c r="R28" s="297"/>
      <c r="S28" s="297"/>
      <c r="T28" s="297"/>
      <c r="U28" s="297"/>
      <c r="V28" s="297"/>
      <c r="W28" s="717" t="str">
        <f>PSUT_2012!F4</f>
        <v>D. Electricity, gas, steam and air conditioning supply</v>
      </c>
      <c r="X28" s="717" t="str">
        <f>PSUT_2012!G4</f>
        <v>E. Water supply (WASAC &amp; AquaVirunga)</v>
      </c>
      <c r="Y28" s="717" t="str">
        <f>PSUT_2012!H4</f>
        <v>F. Construction</v>
      </c>
      <c r="Z28" s="717" t="str">
        <f>PSUT_2012!I4</f>
        <v>G. Wholesale and retail trade; repair of motor vehicles and motorcycles</v>
      </c>
      <c r="AA28" s="297"/>
      <c r="AB28" s="297"/>
      <c r="AC28" s="297"/>
      <c r="AD28" s="717" t="str">
        <f>PSUT_2012!J4</f>
        <v>H. Transportation and storage</v>
      </c>
      <c r="AE28" s="297"/>
      <c r="AF28" s="717" t="str">
        <f>PSUT_2012!K4</f>
        <v>I. Accommodation and food service activities</v>
      </c>
      <c r="AG28" s="717" t="str">
        <f>PSUT_2012!L4</f>
        <v>J. Information and communication</v>
      </c>
      <c r="AH28" s="717" t="str">
        <f>PSUT_2012!M4</f>
        <v>K. Banking and insurance activities</v>
      </c>
      <c r="AI28" s="717" t="str">
        <f>PSUT_2012!N4</f>
        <v>L. Real estate activities</v>
      </c>
      <c r="AJ28" s="717" t="str">
        <f>PSUT_2012!O4</f>
        <v>M. Professional, scientific and technical activities</v>
      </c>
      <c r="AK28" s="717" t="str">
        <f>PSUT_2012!P4</f>
        <v>N. Administrative and support service activities</v>
      </c>
      <c r="AL28" s="717" t="str">
        <f>PSUT_2012!Q4</f>
        <v>O. Public administration and defence; compulsory social security</v>
      </c>
      <c r="AM28" s="717" t="str">
        <f>PSUT_2012!R4</f>
        <v>P. Education</v>
      </c>
      <c r="AN28" s="717" t="str">
        <f>PSUT_2012!S4</f>
        <v xml:space="preserve">Q. Human health and social work activities </v>
      </c>
      <c r="AO28" s="717" t="str">
        <f>PSUT_2012!T4</f>
        <v>R. Arts, entertainment and recreation</v>
      </c>
      <c r="AP28" s="717" t="str">
        <f>PSUT_2012!U4</f>
        <v>S. Other service activities (Religious &amp; Burial)</v>
      </c>
      <c r="AQ28" s="717" t="str">
        <f>PSUT_2012!V4</f>
        <v>T. Activities of households as employers; undifferentiated goods- and services-producing activities of households for own use</v>
      </c>
      <c r="AR28" s="717">
        <f>PSUT_2012!W4</f>
        <v>0</v>
      </c>
      <c r="AS28" s="717" t="str">
        <f>PSUT_2012!X4</f>
        <v>Households</v>
      </c>
      <c r="AT28" s="717" t="str">
        <f>PSUT_2012!AA3</f>
        <v xml:space="preserve">Total </v>
      </c>
      <c r="AU28" s="584"/>
      <c r="AV28" s="584"/>
      <c r="AW28" s="584"/>
      <c r="AX28" s="584"/>
      <c r="AY28" s="584"/>
      <c r="AZ28" s="584"/>
      <c r="BA28" s="584"/>
      <c r="BB28" s="584"/>
      <c r="BC28" s="584"/>
      <c r="BD28" s="584"/>
    </row>
    <row r="29" spans="1:56" x14ac:dyDescent="0.25">
      <c r="A29" s="1806" t="str">
        <f>+(PSUT_2012!A6)</f>
        <v>From the environment</v>
      </c>
      <c r="B29" s="1025" t="str">
        <f>+(PSUT_2012!B9)</f>
        <v>1 - Total abstraction (1.i+1.ii)</v>
      </c>
      <c r="D29" s="1025">
        <f>+(PSUT_2012!AA9)</f>
        <v>14038856.805080475</v>
      </c>
      <c r="F29" s="1025">
        <f>+(PSUT_2012!C9)</f>
        <v>13563380.505039312</v>
      </c>
      <c r="H29" s="1024"/>
      <c r="I29" s="1024"/>
      <c r="J29" s="1024"/>
      <c r="K29" s="1024"/>
      <c r="L29" s="1024"/>
      <c r="M29" s="1025">
        <f>+(PSUT_2012!D9)</f>
        <v>22390.658857794173</v>
      </c>
      <c r="N29" s="1025">
        <f>+(PSUT_2012!E9)</f>
        <v>23638.124916130942</v>
      </c>
      <c r="P29" s="1026"/>
      <c r="Q29" s="1026"/>
      <c r="R29" s="1026"/>
      <c r="S29" s="1026"/>
      <c r="T29" s="1026"/>
      <c r="U29" s="1026"/>
      <c r="V29" s="1026"/>
      <c r="W29" s="1025">
        <f>+(PSUT_2012!F9)</f>
        <v>335270.16889591428</v>
      </c>
      <c r="X29" s="1025">
        <f>+(PSUT_2012!G9)</f>
        <v>53008.786416190094</v>
      </c>
      <c r="Y29" s="1025">
        <f>+(PSUT_2012!H9)</f>
        <v>0</v>
      </c>
      <c r="Z29" s="1025">
        <f>+(PSUT_2012!I9)</f>
        <v>0</v>
      </c>
      <c r="AB29" s="1024"/>
      <c r="AC29" s="1024"/>
      <c r="AD29" s="1025">
        <f>+(PSUT_2012!J9)</f>
        <v>0</v>
      </c>
      <c r="AF29" s="1025">
        <f>+(PSUT_2012!K9)</f>
        <v>0</v>
      </c>
      <c r="AG29" s="1025">
        <f>+(PSUT_2012!L9)</f>
        <v>0</v>
      </c>
      <c r="AH29" s="1025">
        <f>+(PSUT_2012!M9)</f>
        <v>0.06</v>
      </c>
      <c r="AI29" s="1025">
        <f>+(PSUT_2012!N9)</f>
        <v>0</v>
      </c>
      <c r="AJ29" s="1025">
        <f>+(PSUT_2012!O9)</f>
        <v>0</v>
      </c>
      <c r="AK29" s="1025">
        <f>+(PSUT_2012!P9)</f>
        <v>0</v>
      </c>
      <c r="AL29" s="1025">
        <f>+(PSUT_2012!Q9)</f>
        <v>0</v>
      </c>
      <c r="AM29" s="1025">
        <f>+(PSUT_2012!R9)</f>
        <v>133.11539999999999</v>
      </c>
      <c r="AN29" s="1025">
        <f>+(PSUT_2012!S9)</f>
        <v>588.7795155737706</v>
      </c>
      <c r="AO29" s="1025">
        <f>+SUM(PSUT_2012!T9:'PSUT_2012'!V9)</f>
        <v>11.709600000000002</v>
      </c>
      <c r="AP29" s="1025">
        <f>+(PSUT_2012!U9)</f>
        <v>11.709600000000002</v>
      </c>
      <c r="AQ29" s="1025">
        <f>+(PSUT_2012!V9)</f>
        <v>0</v>
      </c>
      <c r="AR29" s="1025">
        <f>+(PSUT_2012!W9)</f>
        <v>13998421.908640916</v>
      </c>
      <c r="AS29" s="1025">
        <f>+(PSUT_2012!X9)</f>
        <v>40434.896439560478</v>
      </c>
      <c r="AT29" s="1025">
        <f>+(PSUT_2012!AA9)</f>
        <v>14038856.805080475</v>
      </c>
      <c r="AU29" s="584"/>
      <c r="AV29" s="584"/>
      <c r="AW29" s="584"/>
      <c r="AX29" s="584"/>
      <c r="AY29" s="584"/>
      <c r="AZ29" s="584"/>
      <c r="BA29" s="584"/>
      <c r="BB29" s="584"/>
      <c r="BC29" s="584"/>
      <c r="BD29" s="584"/>
    </row>
    <row r="30" spans="1:56" x14ac:dyDescent="0.25">
      <c r="A30" s="1806"/>
      <c r="B30" s="1025" t="str">
        <f>+B31 &amp; " &amp; "&amp; B32</f>
        <v>1.i.1 Surface water &amp; 1.i.2 Groundwater</v>
      </c>
      <c r="D30" s="1025">
        <f>+SUM(PSUT_2012!AA11,PSUT_2012!AA16)</f>
        <v>656196.04472715571</v>
      </c>
      <c r="F30" s="1025">
        <f>+SUM(PSUT_2012!C11,PSUT_2012!C16)</f>
        <v>203165.42938599197</v>
      </c>
      <c r="H30" s="1024"/>
      <c r="I30" s="1024"/>
      <c r="J30" s="1024"/>
      <c r="K30" s="1024"/>
      <c r="L30" s="1024"/>
      <c r="M30" s="1025">
        <f>+SUM(PSUT_2012!D11,PSUT_2012!D16)</f>
        <v>1030.8588577941744</v>
      </c>
      <c r="N30" s="1025">
        <f>+SUM(PSUT_2012!E11,PSUT_2012!E16)</f>
        <v>23609.924916130942</v>
      </c>
      <c r="P30" s="1026"/>
      <c r="Q30" s="1026"/>
      <c r="R30" s="1026"/>
      <c r="S30" s="1026"/>
      <c r="T30" s="1026"/>
      <c r="U30" s="1026"/>
      <c r="V30" s="1026"/>
      <c r="W30" s="1025">
        <f>+SUM(PSUT_2012!F11,PSUT_2012!F16)</f>
        <v>335270.16889591428</v>
      </c>
      <c r="X30" s="1025">
        <f>+SUM(PSUT_2012!G11,PSUT_2012!G16)</f>
        <v>53008.786416190094</v>
      </c>
      <c r="Y30" s="1025">
        <f>+SUM(PSUT_2012!H11,PSUT_2012!H16)</f>
        <v>0</v>
      </c>
      <c r="Z30" s="1025">
        <f>+SUM(PSUT_2012!I11,PSUT_2012!I16)</f>
        <v>0</v>
      </c>
      <c r="AB30" s="1024"/>
      <c r="AC30" s="1024"/>
      <c r="AD30" s="1025">
        <f>+SUM(PSUT_2012!J11,PSUT_2012!J16)</f>
        <v>0</v>
      </c>
      <c r="AF30" s="1025">
        <f>+SUM(PSUT_2012!K11,PSUT_2012!K16)</f>
        <v>0</v>
      </c>
      <c r="AG30" s="1025">
        <f>+SUM(PSUT_2012!L11,PSUT_2012!L16)</f>
        <v>0</v>
      </c>
      <c r="AH30" s="1025">
        <f>+SUM(PSUT_2012!M11,PSUT_2012!M16)</f>
        <v>0</v>
      </c>
      <c r="AI30" s="1025">
        <f>+SUM(PSUT_2012!N11,PSUT_2012!N16)</f>
        <v>0</v>
      </c>
      <c r="AJ30" s="1025">
        <f>+SUM(PSUT_2012!O11,PSUT_2012!O16)</f>
        <v>0</v>
      </c>
      <c r="AK30" s="1025">
        <f>+SUM(PSUT_2012!P11,PSUT_2012!P16)</f>
        <v>0</v>
      </c>
      <c r="AL30" s="1025">
        <f>+SUM(PSUT_2012!Q11,PSUT_2012!Q16)</f>
        <v>0</v>
      </c>
      <c r="AM30" s="1025">
        <f>+SUM(PSUT_2012!R11,PSUT_2012!R16)</f>
        <v>133.11539999999999</v>
      </c>
      <c r="AN30" s="1025">
        <f>+SUM(PSUT_2012!S11,PSUT_2012!S16)</f>
        <v>90.790815573770487</v>
      </c>
      <c r="AO30" s="1025">
        <f>+SUM(PSUT_2012!T11,PSUT_2012!T16)</f>
        <v>0</v>
      </c>
      <c r="AP30" s="1025">
        <f>+SUM(PSUT_2012!U11,PSUT_2012!U16)</f>
        <v>2.0736000000000003</v>
      </c>
      <c r="AQ30" s="1025">
        <f>+SUM(PSUT_2012!V11,PSUT_2012!V16)</f>
        <v>0</v>
      </c>
      <c r="AR30" s="1025">
        <f>+SUM(PSUT_2012!W11,PSUT_2012!W16)</f>
        <v>616311.14828759525</v>
      </c>
      <c r="AS30" s="1025">
        <f>+SUM(PSUT_2012!X11,PSUT_2012!X16)</f>
        <v>39884.896439560478</v>
      </c>
      <c r="AT30" s="1025">
        <f>+SUM(PSUT_2012!AA11,PSUT_2012!AA16)</f>
        <v>656196.04472715571</v>
      </c>
      <c r="AU30" s="584"/>
      <c r="AV30" s="584"/>
      <c r="AW30" s="584"/>
      <c r="AX30" s="584"/>
      <c r="AY30" s="584"/>
      <c r="AZ30" s="584"/>
      <c r="BA30" s="584"/>
      <c r="BB30" s="584"/>
      <c r="BC30" s="584"/>
      <c r="BD30" s="584"/>
    </row>
    <row r="31" spans="1:56" x14ac:dyDescent="0.25">
      <c r="A31" s="1806"/>
      <c r="B31" s="1025" t="str">
        <f>+(PSUT_2012!B11)</f>
        <v>1.i.1 Surface water</v>
      </c>
      <c r="D31" s="1025">
        <f>+(PSUT_2012!AA11)</f>
        <v>592745.22770505876</v>
      </c>
      <c r="E31" s="578"/>
      <c r="F31" s="1025">
        <f>+(PSUT_2012!C11)</f>
        <v>189335.69415585385</v>
      </c>
      <c r="H31" s="1024"/>
      <c r="I31" s="1024"/>
      <c r="J31" s="1024"/>
      <c r="K31" s="1024"/>
      <c r="L31" s="1024"/>
      <c r="M31" s="1025">
        <f>+(PSUT_2012!D11)</f>
        <v>967.07072779417433</v>
      </c>
      <c r="N31" s="1025">
        <f>+(PSUT_2012!E11)</f>
        <v>14844.847980982084</v>
      </c>
      <c r="P31" s="1026"/>
      <c r="Q31" s="1026"/>
      <c r="R31" s="1026"/>
      <c r="S31" s="1026"/>
      <c r="T31" s="1026"/>
      <c r="U31" s="1026"/>
      <c r="V31" s="1026"/>
      <c r="W31" s="1025">
        <f>+(PSUT_2012!F11)</f>
        <v>335270.16889591428</v>
      </c>
      <c r="X31" s="1025">
        <f>+(PSUT_2012!G11)</f>
        <v>41023.930895441081</v>
      </c>
      <c r="Y31" s="1025">
        <f>+(PSUT_2012!H11)</f>
        <v>0</v>
      </c>
      <c r="Z31" s="1025">
        <f>+(PSUT_2012!I11)</f>
        <v>0</v>
      </c>
      <c r="AB31" s="1024"/>
      <c r="AC31" s="1024"/>
      <c r="AD31" s="1025">
        <f>+(PSUT_2012!J11)</f>
        <v>0</v>
      </c>
      <c r="AF31" s="1025">
        <f>+(PSUT_2012!K11)</f>
        <v>0</v>
      </c>
      <c r="AG31" s="1025">
        <f>+(PSUT_2012!L11)</f>
        <v>0</v>
      </c>
      <c r="AH31" s="1025">
        <f>+(PSUT_2012!M11)</f>
        <v>0</v>
      </c>
      <c r="AI31" s="1025">
        <f>+(PSUT_2012!N11)</f>
        <v>0</v>
      </c>
      <c r="AJ31" s="1025">
        <f>+(PSUT_2012!O11)</f>
        <v>0</v>
      </c>
      <c r="AK31" s="1025">
        <f>+(PSUT_2012!P11)</f>
        <v>0</v>
      </c>
      <c r="AL31" s="1025">
        <f>+(PSUT_2012!Q11)</f>
        <v>0</v>
      </c>
      <c r="AM31" s="1025">
        <f>+(PSUT_2012!R11)</f>
        <v>0</v>
      </c>
      <c r="AN31" s="1025">
        <f>+(PSUT_2012!S11)</f>
        <v>0</v>
      </c>
      <c r="AO31" s="1025">
        <f>+SUM(PSUT_2012!T11:'PSUT_2012'!V11)</f>
        <v>2.0736000000000003</v>
      </c>
      <c r="AP31" s="1025">
        <f>+(PSUT_2012!U11)</f>
        <v>2.0736000000000003</v>
      </c>
      <c r="AQ31" s="1025">
        <f>+(PSUT_2012!V11)</f>
        <v>0</v>
      </c>
      <c r="AR31" s="1025">
        <f>+(PSUT_2012!W11)</f>
        <v>581443.7862559855</v>
      </c>
      <c r="AS31" s="1025">
        <f>+(PSUT_2012!X11)</f>
        <v>11301.441449073298</v>
      </c>
      <c r="AT31" s="1025">
        <f>+(PSUT_2012!AA11)</f>
        <v>592745.22770505876</v>
      </c>
      <c r="AU31" s="584"/>
      <c r="AV31" s="584"/>
      <c r="AW31" s="584"/>
      <c r="AX31" s="584"/>
      <c r="AY31" s="584"/>
      <c r="AZ31" s="584"/>
      <c r="BA31" s="584"/>
      <c r="BB31" s="584"/>
      <c r="BC31" s="584"/>
      <c r="BD31" s="584"/>
    </row>
    <row r="32" spans="1:56" x14ac:dyDescent="0.25">
      <c r="A32" s="1806"/>
      <c r="B32" s="1025" t="str">
        <f>+(PSUT_2012!B16)</f>
        <v>1.i.2 Groundwater</v>
      </c>
      <c r="D32" s="1025">
        <f>+(PSUT_2012!AA16)</f>
        <v>63450.817022096933</v>
      </c>
      <c r="E32" s="1024"/>
      <c r="F32" s="1025">
        <f>+(PSUT_2012!C16)</f>
        <v>13829.735230138118</v>
      </c>
      <c r="H32" s="1024"/>
      <c r="I32" s="1024"/>
      <c r="J32" s="1024"/>
      <c r="K32" s="1024"/>
      <c r="L32" s="1024"/>
      <c r="M32" s="1025">
        <f>+(PSUT_2012!D16)</f>
        <v>63.788130000000002</v>
      </c>
      <c r="N32" s="1025">
        <f>+(PSUT_2012!E16)</f>
        <v>8765.0769351488561</v>
      </c>
      <c r="P32" s="1024"/>
      <c r="Q32" s="1024"/>
      <c r="R32" s="1024"/>
      <c r="S32" s="1024"/>
      <c r="T32" s="1024"/>
      <c r="U32" s="1024"/>
      <c r="V32" s="1024"/>
      <c r="W32" s="1025">
        <f>+(PSUT_2012!F16)</f>
        <v>0</v>
      </c>
      <c r="X32" s="1025">
        <f>+(PSUT_2012!G16)</f>
        <v>11984.855520749015</v>
      </c>
      <c r="Y32" s="1025">
        <f>+(PSUT_2012!H16)</f>
        <v>0</v>
      </c>
      <c r="Z32" s="1025">
        <f>+(PSUT_2012!I16)</f>
        <v>0</v>
      </c>
      <c r="AB32" s="1024"/>
      <c r="AC32" s="1024"/>
      <c r="AD32" s="1025">
        <f>+(PSUT_2012!J16)</f>
        <v>0</v>
      </c>
      <c r="AF32" s="1025">
        <f>+(PSUT_2012!K16)</f>
        <v>0</v>
      </c>
      <c r="AG32" s="1025">
        <f>+(PSUT_2012!L16)</f>
        <v>0</v>
      </c>
      <c r="AH32" s="1025">
        <f>+(PSUT_2012!M16)</f>
        <v>0</v>
      </c>
      <c r="AI32" s="1025">
        <f>+(PSUT_2012!N16)</f>
        <v>0</v>
      </c>
      <c r="AJ32" s="1025">
        <f>+(PSUT_2012!O16)</f>
        <v>0</v>
      </c>
      <c r="AK32" s="1025">
        <f>+(PSUT_2012!P16)</f>
        <v>0</v>
      </c>
      <c r="AL32" s="1025">
        <f>+(PSUT_2012!Q16)</f>
        <v>0</v>
      </c>
      <c r="AM32" s="1025">
        <f>+(PSUT_2012!R16)</f>
        <v>133.11539999999999</v>
      </c>
      <c r="AN32" s="1025">
        <f>+(PSUT_2012!S16)</f>
        <v>90.790815573770487</v>
      </c>
      <c r="AO32" s="1025">
        <f>+SUM(PSUT_2012!T16:'PSUT_2012'!V16)</f>
        <v>0</v>
      </c>
      <c r="AP32" s="1025">
        <f>+(PSUT_2012!U16)</f>
        <v>0</v>
      </c>
      <c r="AQ32" s="1025">
        <f>+(PSUT_2012!V16)</f>
        <v>0</v>
      </c>
      <c r="AR32" s="1025">
        <f>+(PSUT_2012!W16)</f>
        <v>34867.362031609759</v>
      </c>
      <c r="AS32" s="1025">
        <f>+(PSUT_2012!X16)</f>
        <v>28583.454990487178</v>
      </c>
      <c r="AT32" s="1025">
        <f>+(PSUT_2012!AA16)</f>
        <v>63450.817022096933</v>
      </c>
    </row>
    <row r="33" spans="1:46" x14ac:dyDescent="0.25">
      <c r="A33" s="1806"/>
      <c r="B33" s="1025" t="str">
        <f>+(PSUT_2012!B19)</f>
        <v>1.i.3 Soil water (green water)</v>
      </c>
      <c r="D33" s="1025">
        <f>+(PSUT_2012!AA19)</f>
        <v>13359408.07565332</v>
      </c>
      <c r="E33" s="1024"/>
      <c r="F33" s="1025">
        <f>+(PSUT_2012!C19)</f>
        <v>13359408.07565332</v>
      </c>
      <c r="H33" s="1024"/>
      <c r="I33" s="1024"/>
      <c r="J33" s="1024"/>
      <c r="K33" s="1024"/>
      <c r="L33" s="1024"/>
      <c r="M33" s="1025">
        <f>+(PSUT_2012!D19)</f>
        <v>0</v>
      </c>
      <c r="N33" s="1025">
        <f>+(PSUT_2012!E19)</f>
        <v>0</v>
      </c>
      <c r="P33" s="1024"/>
      <c r="Q33" s="1024"/>
      <c r="R33" s="1024"/>
      <c r="S33" s="1024"/>
      <c r="T33" s="1024"/>
      <c r="U33" s="1024"/>
      <c r="V33" s="1024"/>
      <c r="W33" s="1025">
        <f>+(PSUT_2012!F19)</f>
        <v>0</v>
      </c>
      <c r="X33" s="1025">
        <f>+(PSUT_2012!G19)</f>
        <v>0</v>
      </c>
      <c r="Y33" s="1025">
        <f>+(PSUT_2012!H19)</f>
        <v>0</v>
      </c>
      <c r="Z33" s="1025">
        <f>+(PSUT_2012!I19)</f>
        <v>0</v>
      </c>
      <c r="AB33" s="1024"/>
      <c r="AC33" s="1024"/>
      <c r="AD33" s="1025">
        <f>+(PSUT_2012!J19)</f>
        <v>0</v>
      </c>
      <c r="AF33" s="1025">
        <f>+(PSUT_2012!K19)</f>
        <v>0</v>
      </c>
      <c r="AG33" s="1025">
        <f>+(PSUT_2012!L19)</f>
        <v>0</v>
      </c>
      <c r="AH33" s="1025">
        <f>+(PSUT_2012!M19)</f>
        <v>0</v>
      </c>
      <c r="AI33" s="1025">
        <f>+(PSUT_2012!N19)</f>
        <v>0</v>
      </c>
      <c r="AJ33" s="1025">
        <f>+(PSUT_2012!O19)</f>
        <v>0</v>
      </c>
      <c r="AK33" s="1025">
        <f>+(PSUT_2012!P19)</f>
        <v>0</v>
      </c>
      <c r="AL33" s="1025">
        <f>+(PSUT_2012!Q19)</f>
        <v>0</v>
      </c>
      <c r="AM33" s="1025">
        <f>+(PSUT_2012!R19)</f>
        <v>0</v>
      </c>
      <c r="AN33" s="1025">
        <f>+(PSUT_2012!S19)</f>
        <v>0</v>
      </c>
      <c r="AO33" s="1025">
        <f>+SUM(PSUT_2012!T19:'PSUT_2012'!V19)</f>
        <v>0</v>
      </c>
      <c r="AP33" s="1025">
        <f>+(PSUT_2012!U19)</f>
        <v>0</v>
      </c>
      <c r="AQ33" s="1025">
        <f>+(PSUT_2012!V19)</f>
        <v>0</v>
      </c>
      <c r="AR33" s="1025">
        <f>+(PSUT_2012!W19)</f>
        <v>13359408.07565332</v>
      </c>
      <c r="AS33" s="1025">
        <f>+(PSUT_2012!X19)</f>
        <v>0</v>
      </c>
      <c r="AT33" s="1025">
        <f>+(PSUT_2012!AA19)</f>
        <v>13359408.07565332</v>
      </c>
    </row>
    <row r="34" spans="1:46" x14ac:dyDescent="0.25">
      <c r="A34" s="1806"/>
      <c r="B34" s="1025" t="str">
        <f>+(PSUT_2012!B20)</f>
        <v xml:space="preserve">1.ii From other sources </v>
      </c>
      <c r="D34" s="1025">
        <f>+(PSUT_2012!AA20)</f>
        <v>23252.684700000002</v>
      </c>
      <c r="E34" s="1024"/>
      <c r="F34" s="1025">
        <f>+(PSUT_2012!C20)</f>
        <v>807</v>
      </c>
      <c r="H34" s="1024"/>
      <c r="I34" s="1024"/>
      <c r="J34" s="1024"/>
      <c r="K34" s="1024"/>
      <c r="L34" s="1024"/>
      <c r="M34" s="1025">
        <f>+(PSUT_2012!D20)</f>
        <v>21359.8</v>
      </c>
      <c r="N34" s="1025">
        <f>+(PSUT_2012!E20)</f>
        <v>28.2</v>
      </c>
      <c r="P34" s="1024"/>
      <c r="Q34" s="1024"/>
      <c r="R34" s="1024"/>
      <c r="S34" s="1024"/>
      <c r="T34" s="1024"/>
      <c r="U34" s="1024"/>
      <c r="V34" s="1024"/>
      <c r="W34" s="1025">
        <f>+(PSUT_2012!F20)</f>
        <v>0</v>
      </c>
      <c r="X34" s="1025">
        <f>+(PSUT_2012!G20)</f>
        <v>0</v>
      </c>
      <c r="Y34" s="1025">
        <f>+(PSUT_2012!H20)</f>
        <v>0</v>
      </c>
      <c r="Z34" s="1025">
        <f>+(PSUT_2012!I20)</f>
        <v>0</v>
      </c>
      <c r="AB34" s="1024"/>
      <c r="AC34" s="1024"/>
      <c r="AD34" s="1025">
        <f>+(PSUT_2012!J20)</f>
        <v>0</v>
      </c>
      <c r="AF34" s="1025">
        <f>+(PSUT_2012!K20)</f>
        <v>0</v>
      </c>
      <c r="AG34" s="1025">
        <f>+(PSUT_2012!L20)</f>
        <v>0</v>
      </c>
      <c r="AH34" s="1025">
        <f>+(PSUT_2012!M20)</f>
        <v>0.06</v>
      </c>
      <c r="AI34" s="1025">
        <f>+(PSUT_2012!N20)</f>
        <v>0</v>
      </c>
      <c r="AJ34" s="1025">
        <f>+(PSUT_2012!O20)</f>
        <v>0</v>
      </c>
      <c r="AK34" s="1025">
        <f>+(PSUT_2012!P20)</f>
        <v>0</v>
      </c>
      <c r="AL34" s="1025">
        <f>+(PSUT_2012!Q20)</f>
        <v>0</v>
      </c>
      <c r="AM34" s="1025">
        <f>+(PSUT_2012!R20)</f>
        <v>0</v>
      </c>
      <c r="AN34" s="1025">
        <f>+(PSUT_2012!S20)</f>
        <v>497.98870000000005</v>
      </c>
      <c r="AO34" s="1025">
        <f>+SUM(PSUT_2012!T20:'PSUT_2012'!V20)</f>
        <v>9.636000000000001</v>
      </c>
      <c r="AP34" s="1025">
        <f>+(PSUT_2012!U20)</f>
        <v>9.636000000000001</v>
      </c>
      <c r="AQ34" s="1025">
        <f>+(PSUT_2012!V20)</f>
        <v>0</v>
      </c>
      <c r="AR34" s="1025">
        <f>+(PSUT_2012!W20)</f>
        <v>22702.684700000002</v>
      </c>
      <c r="AS34" s="1025">
        <f>+(PSUT_2012!X20)</f>
        <v>550</v>
      </c>
      <c r="AT34" s="1025">
        <f>+(PSUT_2012!AA20)</f>
        <v>23252.684700000002</v>
      </c>
    </row>
    <row r="35" spans="1:46" x14ac:dyDescent="0.25">
      <c r="A35" s="1806"/>
      <c r="B35" s="1025" t="str">
        <f>+(PSUT_2012!B21)</f>
        <v>1.ii.1 Collection of precipitation (rainwater harvesting; ..)</v>
      </c>
      <c r="D35" s="1025">
        <f>+(PSUT_2012!AA21)</f>
        <v>23252.684700000002</v>
      </c>
      <c r="E35" s="1024"/>
      <c r="F35" s="1025">
        <f>+(PSUT_2012!C21)</f>
        <v>807</v>
      </c>
      <c r="H35" s="1024"/>
      <c r="I35" s="1024"/>
      <c r="J35" s="1024"/>
      <c r="K35" s="1024"/>
      <c r="L35" s="1024"/>
      <c r="M35" s="1025">
        <f>+(PSUT_2012!D21)</f>
        <v>21359.8</v>
      </c>
      <c r="N35" s="1025">
        <f>+(PSUT_2012!E21)</f>
        <v>28.2</v>
      </c>
      <c r="P35" s="1024"/>
      <c r="Q35" s="1024"/>
      <c r="R35" s="1024"/>
      <c r="S35" s="1024"/>
      <c r="T35" s="1024"/>
      <c r="U35" s="1024"/>
      <c r="V35" s="1024"/>
      <c r="W35" s="1025">
        <f>+(PSUT_2012!F21)</f>
        <v>0</v>
      </c>
      <c r="X35" s="1025">
        <f>+(PSUT_2012!G21)</f>
        <v>0</v>
      </c>
      <c r="Y35" s="1025">
        <f>+(PSUT_2012!H21)</f>
        <v>0</v>
      </c>
      <c r="Z35" s="1025">
        <f>+(PSUT_2012!I21)</f>
        <v>0</v>
      </c>
      <c r="AB35" s="1024"/>
      <c r="AC35" s="1024"/>
      <c r="AD35" s="1025">
        <f>+(PSUT_2012!J21)</f>
        <v>0</v>
      </c>
      <c r="AF35" s="1025">
        <f>+(PSUT_2012!K21)</f>
        <v>0</v>
      </c>
      <c r="AG35" s="1025">
        <f>+(PSUT_2012!L21)</f>
        <v>0</v>
      </c>
      <c r="AH35" s="1025">
        <f>+(PSUT_2012!M21)</f>
        <v>0.06</v>
      </c>
      <c r="AI35" s="1025">
        <f>+(PSUT_2012!N21)</f>
        <v>0</v>
      </c>
      <c r="AJ35" s="1025">
        <f>+(PSUT_2012!O21)</f>
        <v>0</v>
      </c>
      <c r="AK35" s="1025">
        <f>+(PSUT_2012!P21)</f>
        <v>0</v>
      </c>
      <c r="AL35" s="1025">
        <f>+(PSUT_2012!Q21)</f>
        <v>0</v>
      </c>
      <c r="AM35" s="1025">
        <f>+(PSUT_2012!R21)</f>
        <v>0</v>
      </c>
      <c r="AN35" s="1025">
        <f>+(PSUT_2012!S21)</f>
        <v>497.98870000000005</v>
      </c>
      <c r="AO35" s="1025">
        <f>+SUM(PSUT_2012!T21:'PSUT_2012'!V21)</f>
        <v>9.636000000000001</v>
      </c>
      <c r="AP35" s="1025">
        <f>+(PSUT_2012!U21)</f>
        <v>9.636000000000001</v>
      </c>
      <c r="AQ35" s="1025">
        <f>+(PSUT_2012!V21)</f>
        <v>0</v>
      </c>
      <c r="AR35" s="1025">
        <f>+(PSUT_2012!W21)</f>
        <v>22702.684700000002</v>
      </c>
      <c r="AS35" s="1025">
        <f>+(PSUT_2012!X21)</f>
        <v>550</v>
      </c>
      <c r="AT35" s="1025">
        <f>+(PSUT_2012!AA21)</f>
        <v>23252.684700000002</v>
      </c>
    </row>
    <row r="36" spans="1:46" x14ac:dyDescent="0.25">
      <c r="A36" s="1024"/>
      <c r="B36" s="1025" t="str">
        <f>+(PSUT_2012!B22)</f>
        <v>1.ii.2 Abstraction from the sea</v>
      </c>
      <c r="D36" s="1025">
        <f>+(PSUT_2012!AA22)</f>
        <v>0</v>
      </c>
      <c r="E36" s="1024"/>
      <c r="F36" s="1025">
        <f>+(PSUT_2012!C22)</f>
        <v>0</v>
      </c>
      <c r="H36" s="1024"/>
      <c r="I36" s="1024"/>
      <c r="J36" s="1024"/>
      <c r="K36" s="1024"/>
      <c r="L36" s="1024"/>
      <c r="M36" s="1025">
        <f>+(PSUT_2012!D22)</f>
        <v>0</v>
      </c>
      <c r="N36" s="1025">
        <f>+(PSUT_2012!E22)</f>
        <v>0</v>
      </c>
      <c r="P36" s="1024"/>
      <c r="Q36" s="1024"/>
      <c r="R36" s="1024"/>
      <c r="S36" s="1024"/>
      <c r="T36" s="1024"/>
      <c r="U36" s="1024"/>
      <c r="V36" s="1024"/>
      <c r="W36" s="1025">
        <f>+(PSUT_2012!F22)</f>
        <v>0</v>
      </c>
      <c r="X36" s="1025">
        <f>+(PSUT_2012!G22)</f>
        <v>0</v>
      </c>
      <c r="Y36" s="1025">
        <f>+(PSUT_2012!H22)</f>
        <v>0</v>
      </c>
      <c r="Z36" s="1025">
        <f>+(PSUT_2012!I22)</f>
        <v>0</v>
      </c>
      <c r="AB36" s="1024"/>
      <c r="AC36" s="1024"/>
      <c r="AD36" s="1025">
        <f>+(PSUT_2012!J22)</f>
        <v>0</v>
      </c>
      <c r="AF36" s="1025">
        <f>+(PSUT_2012!K22)</f>
        <v>0</v>
      </c>
      <c r="AG36" s="1025">
        <f>+(PSUT_2012!L22)</f>
        <v>0</v>
      </c>
      <c r="AH36" s="1025">
        <f>+(PSUT_2012!M22)</f>
        <v>0</v>
      </c>
      <c r="AI36" s="1025">
        <f>+(PSUT_2012!N22)</f>
        <v>0</v>
      </c>
      <c r="AJ36" s="1025">
        <f>+(PSUT_2012!O22)</f>
        <v>0</v>
      </c>
      <c r="AK36" s="1025">
        <f>+(PSUT_2012!P22)</f>
        <v>0</v>
      </c>
      <c r="AL36" s="1025">
        <f>+(PSUT_2012!Q22)</f>
        <v>0</v>
      </c>
      <c r="AM36" s="1025">
        <f>+(PSUT_2012!R22)</f>
        <v>0</v>
      </c>
      <c r="AN36" s="1025">
        <f>+(PSUT_2012!S22)</f>
        <v>0</v>
      </c>
      <c r="AO36" s="1025">
        <f>+SUM(PSUT_2012!T22:'PSUT_2012'!V22)</f>
        <v>0</v>
      </c>
      <c r="AP36" s="1025">
        <f>+(PSUT_2012!U22)</f>
        <v>0</v>
      </c>
      <c r="AQ36" s="1025">
        <f>+(PSUT_2012!V22)</f>
        <v>0</v>
      </c>
      <c r="AR36" s="1025">
        <f>+(PSUT_2012!W22)</f>
        <v>0</v>
      </c>
      <c r="AS36" s="1025">
        <f>+(PSUT_2012!X22)</f>
        <v>0</v>
      </c>
      <c r="AT36" s="1025">
        <f>+(PSUT_2012!AA22)</f>
        <v>0</v>
      </c>
    </row>
    <row r="37" spans="1:46" x14ac:dyDescent="0.25">
      <c r="A37" s="1024"/>
      <c r="B37" s="1025" t="str">
        <f>+(PSUT_2012!B23)</f>
        <v>2. Use of water received from other economic units</v>
      </c>
      <c r="D37" s="1025">
        <f>+(PSUT_2012!AA23)</f>
        <v>1160562.9602874902</v>
      </c>
      <c r="E37" s="1024"/>
      <c r="F37" s="1025">
        <f>+(PSUT_2012!C23)</f>
        <v>90250</v>
      </c>
      <c r="H37" s="1024"/>
      <c r="I37" s="1024"/>
      <c r="J37" s="1024"/>
      <c r="K37" s="1024"/>
      <c r="L37" s="1024"/>
      <c r="M37" s="1025">
        <f>+(PSUT_2012!D23)</f>
        <v>0</v>
      </c>
      <c r="N37" s="1025">
        <f>+(PSUT_2012!E23)</f>
        <v>642763.78523033194</v>
      </c>
      <c r="P37" s="1024"/>
      <c r="Q37" s="1024"/>
      <c r="R37" s="1024"/>
      <c r="S37" s="1024"/>
      <c r="T37" s="1024"/>
      <c r="U37" s="1024"/>
      <c r="V37" s="1024"/>
      <c r="W37" s="1025">
        <f>+(PSUT_2012!F23)</f>
        <v>0</v>
      </c>
      <c r="X37" s="1025">
        <f>+(PSUT_2012!G23)</f>
        <v>0</v>
      </c>
      <c r="Y37" s="1025">
        <f>+(PSUT_2012!H23)</f>
        <v>0</v>
      </c>
      <c r="Z37" s="1025">
        <f>+(PSUT_2012!I23)</f>
        <v>0</v>
      </c>
      <c r="AB37" s="1024"/>
      <c r="AC37" s="1024"/>
      <c r="AD37" s="1025">
        <f>+(PSUT_2012!J23)</f>
        <v>0</v>
      </c>
      <c r="AF37" s="1025">
        <f>+(PSUT_2012!K23)</f>
        <v>16672.61</v>
      </c>
      <c r="AG37" s="1025">
        <f>+(PSUT_2012!L23)</f>
        <v>0</v>
      </c>
      <c r="AH37" s="1025">
        <f>+(PSUT_2012!M23)</f>
        <v>76.030545405347283</v>
      </c>
      <c r="AI37" s="1025">
        <f>+(PSUT_2012!N23)</f>
        <v>0</v>
      </c>
      <c r="AJ37" s="1025">
        <f>+(PSUT_2012!O23)</f>
        <v>0</v>
      </c>
      <c r="AK37" s="1025">
        <f>+(PSUT_2012!P23)</f>
        <v>0</v>
      </c>
      <c r="AL37" s="1025">
        <f>+(PSUT_2012!Q23)</f>
        <v>0</v>
      </c>
      <c r="AM37" s="1025">
        <f>+(PSUT_2012!R23)</f>
        <v>224372.33</v>
      </c>
      <c r="AN37" s="1025">
        <f>+(PSUT_2012!S23)</f>
        <v>3720.9427500000002</v>
      </c>
      <c r="AO37" s="1025">
        <f>+SUM(PSUT_2012!T23:'PSUT_2012'!V23)</f>
        <v>131.69367175295594</v>
      </c>
      <c r="AP37" s="1025">
        <f>+(PSUT_2012!U23)</f>
        <v>131.69367175295594</v>
      </c>
      <c r="AQ37" s="1025">
        <f>+(PSUT_2012!V23)</f>
        <v>0</v>
      </c>
      <c r="AR37" s="1025">
        <f>+(PSUT_2012!W23)</f>
        <v>977987.3921974902</v>
      </c>
      <c r="AS37" s="1025">
        <f>+(PSUT_2012!X23)</f>
        <v>176061</v>
      </c>
      <c r="AT37" s="1025">
        <f>+(PSUT_2012!AA23)</f>
        <v>1160562.9602874902</v>
      </c>
    </row>
    <row r="38" spans="1:46" x14ac:dyDescent="0.25">
      <c r="A38" s="1024"/>
      <c r="B38" s="1025" t="str">
        <f>+(PSUT_2012!A24)</f>
        <v>3. Total use of water (=1+2)</v>
      </c>
      <c r="D38" s="1025">
        <f>+(PSUT_2012!AA24)</f>
        <v>15199419.765367964</v>
      </c>
      <c r="E38" s="1024"/>
      <c r="F38" s="1025">
        <f>+(PSUT_2012!C24)</f>
        <v>13653630.505039312</v>
      </c>
      <c r="H38" s="1024"/>
      <c r="I38" s="1024"/>
      <c r="J38" s="1024"/>
      <c r="K38" s="1024"/>
      <c r="L38" s="1024"/>
      <c r="M38" s="1025">
        <f>+(PSUT_2012!D24)</f>
        <v>22390.658857794173</v>
      </c>
      <c r="N38" s="1025">
        <f>+(PSUT_2012!E24)</f>
        <v>666401.91014646285</v>
      </c>
      <c r="P38" s="1024"/>
      <c r="Q38" s="1024"/>
      <c r="R38" s="1024"/>
      <c r="S38" s="1024"/>
      <c r="T38" s="1024"/>
      <c r="U38" s="1024"/>
      <c r="V38" s="1024"/>
      <c r="W38" s="1025">
        <f>+(PSUT_2012!F24)</f>
        <v>335270.16889591428</v>
      </c>
      <c r="X38" s="1025">
        <f>+(PSUT_2012!G24)</f>
        <v>53008.786416190094</v>
      </c>
      <c r="Y38" s="1025">
        <f>+(PSUT_2012!H24)</f>
        <v>0</v>
      </c>
      <c r="Z38" s="1025">
        <f>+(PSUT_2012!I24)</f>
        <v>0</v>
      </c>
      <c r="AB38" s="1024"/>
      <c r="AC38" s="1024"/>
      <c r="AD38" s="1025">
        <f>+(PSUT_2012!J24)</f>
        <v>0</v>
      </c>
      <c r="AF38" s="1025">
        <f>+(PSUT_2012!K24)</f>
        <v>16672.61</v>
      </c>
      <c r="AG38" s="1025">
        <f>+(PSUT_2012!L24)</f>
        <v>0</v>
      </c>
      <c r="AH38" s="1025">
        <f>+(PSUT_2012!M24)</f>
        <v>76.090545405347285</v>
      </c>
      <c r="AI38" s="1025">
        <f>+(PSUT_2012!N24)</f>
        <v>0</v>
      </c>
      <c r="AJ38" s="1025">
        <f>+(PSUT_2012!O24)</f>
        <v>0</v>
      </c>
      <c r="AK38" s="1025">
        <f>+(PSUT_2012!P24)</f>
        <v>0</v>
      </c>
      <c r="AL38" s="1025">
        <f>+(PSUT_2012!Q24)</f>
        <v>0</v>
      </c>
      <c r="AM38" s="1025">
        <f>+(PSUT_2012!R24)</f>
        <v>224505.4454</v>
      </c>
      <c r="AN38" s="1025">
        <f>+(PSUT_2012!S24)</f>
        <v>4309.7222655737705</v>
      </c>
      <c r="AO38" s="1025">
        <f>+SUM(PSUT_2012!T24:'PSUT_2012'!V24)</f>
        <v>143.40327175295593</v>
      </c>
      <c r="AP38" s="1025">
        <f>+(PSUT_2012!U24)</f>
        <v>143.40327175295593</v>
      </c>
      <c r="AQ38" s="1025">
        <f>+(PSUT_2012!V24)</f>
        <v>0</v>
      </c>
      <c r="AR38" s="1025">
        <f>+(PSUT_2012!W24)</f>
        <v>14976409.300838405</v>
      </c>
      <c r="AS38" s="1025">
        <f>+(PSUT_2012!X24)</f>
        <v>216495.89643956049</v>
      </c>
      <c r="AT38" s="1025">
        <f>+(PSUT_2012!AA24)</f>
        <v>15199419.765367964</v>
      </c>
    </row>
    <row r="39" spans="1:46" x14ac:dyDescent="0.25">
      <c r="A39" s="1024"/>
      <c r="B39" s="1025" t="str">
        <f>+(PSUT_2012!B35)</f>
        <v>4. Supply of water to other economic units</v>
      </c>
      <c r="D39" s="1025">
        <f>+(PSUT_2012!AA35)</f>
        <v>34764.795819255363</v>
      </c>
      <c r="E39" s="1024"/>
      <c r="F39" s="1025">
        <f>+(PSUT_2012!C35)</f>
        <v>0</v>
      </c>
      <c r="H39" s="1024"/>
      <c r="I39" s="1024"/>
      <c r="J39" s="1024"/>
      <c r="K39" s="1024"/>
      <c r="L39" s="1024"/>
      <c r="M39" s="1025">
        <f>+(PSUT_2012!D35)</f>
        <v>21271.125914904464</v>
      </c>
      <c r="N39" s="1025">
        <f>+(PSUT_2012!E35)</f>
        <v>816.87563283886971</v>
      </c>
      <c r="P39" s="1024"/>
      <c r="Q39" s="1024"/>
      <c r="R39" s="1024"/>
      <c r="S39" s="1024"/>
      <c r="T39" s="1024"/>
      <c r="U39" s="1024"/>
      <c r="V39" s="1024"/>
      <c r="W39" s="1025">
        <f>+(PSUT_2012!F35)</f>
        <v>0</v>
      </c>
      <c r="X39" s="1025">
        <f>+(PSUT_2012!G35)</f>
        <v>0</v>
      </c>
      <c r="Y39" s="1025">
        <f>+(PSUT_2012!H35)</f>
        <v>0</v>
      </c>
      <c r="Z39" s="1025">
        <f>+(PSUT_2012!I35)</f>
        <v>0</v>
      </c>
      <c r="AB39" s="1024"/>
      <c r="AC39" s="1024"/>
      <c r="AD39" s="1025">
        <f>+(PSUT_2012!J35)</f>
        <v>0</v>
      </c>
      <c r="AF39" s="1025">
        <f>+(PSUT_2012!K35)</f>
        <v>12671.183667903779</v>
      </c>
      <c r="AG39" s="1025">
        <f>+(PSUT_2012!L35)</f>
        <v>0</v>
      </c>
      <c r="AH39" s="1025">
        <f>+(PSUT_2012!M35)</f>
        <v>5.6106036082474233</v>
      </c>
      <c r="AI39" s="1025">
        <f>+(PSUT_2012!N35)</f>
        <v>0</v>
      </c>
      <c r="AJ39" s="1025">
        <f>+(PSUT_2012!O35)</f>
        <v>0</v>
      </c>
      <c r="AK39" s="1025">
        <f>+(PSUT_2012!P35)</f>
        <v>0</v>
      </c>
      <c r="AL39" s="1025">
        <f>+(PSUT_2012!Q35)</f>
        <v>0</v>
      </c>
      <c r="AM39" s="1025">
        <f>+(PSUT_2012!R35)</f>
        <v>0</v>
      </c>
      <c r="AN39" s="1025">
        <f>+(PSUT_2012!S35)</f>
        <v>0</v>
      </c>
      <c r="AO39" s="1025">
        <f>+SUM(PSUT_2012!T35:'PSUT_2012'!V35)</f>
        <v>0</v>
      </c>
      <c r="AP39" s="1025">
        <f>+(PSUT_2012!U35)</f>
        <v>0</v>
      </c>
      <c r="AQ39" s="1025">
        <f>+(PSUT_2012!V35)</f>
        <v>0</v>
      </c>
      <c r="AR39" s="1025">
        <f>+(PSUT_2012!W35)</f>
        <v>34764.795819255363</v>
      </c>
      <c r="AS39" s="1025">
        <f>+(PSUT_2012!X35)</f>
        <v>0</v>
      </c>
      <c r="AT39" s="1025">
        <f>+(PSUT_2012!AA35)</f>
        <v>34764.795819255363</v>
      </c>
    </row>
    <row r="40" spans="1:46" x14ac:dyDescent="0.25">
      <c r="B40" s="1025" t="str">
        <f>+(PSUT_2012!B38)</f>
        <v>5. Total returns (= 5.a+5.b)</v>
      </c>
      <c r="D40" s="1025">
        <f>+(PSUT_2012!AA38)</f>
        <v>2636799.0858138381</v>
      </c>
      <c r="F40" s="1025">
        <f>+(PSUT_2012!C38)</f>
        <v>1529661.7232789313</v>
      </c>
      <c r="M40" s="1025">
        <f>+(PSUT_2012!D38)</f>
        <v>54.219910499999997</v>
      </c>
      <c r="N40" s="1025">
        <f>+(PSUT_2012!E38)</f>
        <v>514699.26072578493</v>
      </c>
      <c r="W40" s="1025">
        <f>+(PSUT_2012!F38)</f>
        <v>318506.66045111854</v>
      </c>
      <c r="X40" s="1025">
        <f>+(PSUT_2012!G38)</f>
        <v>2570.3302400000002</v>
      </c>
      <c r="Y40" s="1025">
        <f>+(PSUT_2012!H38)</f>
        <v>0</v>
      </c>
      <c r="Z40" s="1025">
        <f>+(PSUT_2012!I38)</f>
        <v>0</v>
      </c>
      <c r="AD40" s="1025">
        <f>+(PSUT_2012!J38)</f>
        <v>0</v>
      </c>
      <c r="AF40" s="1025">
        <f>+(PSUT_2012!K38)</f>
        <v>301.01142363711335</v>
      </c>
      <c r="AG40" s="1025">
        <f>+(PSUT_2012!L38)</f>
        <v>0</v>
      </c>
      <c r="AH40" s="1025">
        <f>+(PSUT_2012!M38)</f>
        <v>56.868619657611163</v>
      </c>
      <c r="AI40" s="1025">
        <f>+(PSUT_2012!N38)</f>
        <v>0</v>
      </c>
      <c r="AJ40" s="1025">
        <f>+(PSUT_2012!O38)</f>
        <v>0</v>
      </c>
      <c r="AK40" s="1025">
        <f>+(PSUT_2012!P38)</f>
        <v>0</v>
      </c>
      <c r="AL40" s="1025">
        <f>+(PSUT_2012!Q38)</f>
        <v>0</v>
      </c>
      <c r="AM40" s="1025">
        <f>+(PSUT_2012!R38)</f>
        <v>179497.86400000003</v>
      </c>
      <c r="AN40" s="1025">
        <f>+(PSUT_2012!S38)</f>
        <v>3447.7778158871602</v>
      </c>
      <c r="AO40" s="1025">
        <f>+SUM(PSUT_2012!T38:'PSUT_2012'!V38)</f>
        <v>10.714873014735879</v>
      </c>
      <c r="AP40" s="1025">
        <f>+(PSUT_2012!U38)</f>
        <v>10.714873014735879</v>
      </c>
      <c r="AQ40" s="1025">
        <f>+(PSUT_2012!V38)</f>
        <v>0</v>
      </c>
      <c r="AR40" s="1025">
        <f>+(PSUT_2012!W38)</f>
        <v>2548806.4313385319</v>
      </c>
      <c r="AS40" s="1025">
        <f>+(PSUT_2012!X38)</f>
        <v>82781</v>
      </c>
      <c r="AT40" s="1025">
        <f>+(PSUT_2012!AA38)</f>
        <v>2636799.0858138381</v>
      </c>
    </row>
    <row r="41" spans="1:46" x14ac:dyDescent="0.25">
      <c r="B41" s="1025" t="str">
        <f>+(PSUT_2012!A44)</f>
        <v>6. Total supply of water (= 4+5)</v>
      </c>
      <c r="D41" s="1025">
        <f>+(PSUT_2012!AA44)</f>
        <v>2671563.8816330931</v>
      </c>
      <c r="F41" s="1025">
        <f>+(PSUT_2012!C44)</f>
        <v>1529661.7232789313</v>
      </c>
      <c r="M41" s="1025">
        <f>+(PSUT_2012!D44)</f>
        <v>21325.345825404464</v>
      </c>
      <c r="N41" s="1025">
        <f>+(PSUT_2012!E44)</f>
        <v>515516.1363586238</v>
      </c>
      <c r="W41" s="1025">
        <f>+(PSUT_2012!F44)</f>
        <v>318506.66045111854</v>
      </c>
      <c r="X41" s="1025">
        <f>+(PSUT_2012!G44)</f>
        <v>2570.3302400000002</v>
      </c>
      <c r="Y41" s="1025">
        <f>+(PSUT_2012!H44)</f>
        <v>0</v>
      </c>
      <c r="Z41" s="1025">
        <f>+(PSUT_2012!I44)</f>
        <v>0</v>
      </c>
      <c r="AD41" s="1025">
        <f>+(PSUT_2012!J44)</f>
        <v>0</v>
      </c>
      <c r="AF41" s="1025">
        <f>+(PSUT_2012!K44)</f>
        <v>12972.195091540892</v>
      </c>
      <c r="AG41" s="1025">
        <f>+(PSUT_2012!L44)</f>
        <v>0</v>
      </c>
      <c r="AH41" s="1025">
        <f>+(PSUT_2012!M44)</f>
        <v>62.479223265858586</v>
      </c>
      <c r="AI41" s="1025">
        <f>+(PSUT_2012!N44)</f>
        <v>0</v>
      </c>
      <c r="AJ41" s="1025">
        <f>+(PSUT_2012!O44)</f>
        <v>0</v>
      </c>
      <c r="AK41" s="1025">
        <f>+(PSUT_2012!P44)</f>
        <v>0</v>
      </c>
      <c r="AL41" s="1025">
        <f>+(PSUT_2012!Q44)</f>
        <v>0</v>
      </c>
      <c r="AM41" s="1025">
        <f>+(PSUT_2012!R44)</f>
        <v>179497.86400000003</v>
      </c>
      <c r="AN41" s="1025">
        <f>+(PSUT_2012!S44)</f>
        <v>3447.7778158871602</v>
      </c>
      <c r="AO41" s="1025">
        <f>+SUM(PSUT_2012!T44:'PSUT_2012'!V44)</f>
        <v>10.714873014735879</v>
      </c>
      <c r="AP41" s="1025">
        <f>+(PSUT_2012!U44)</f>
        <v>10.714873014735879</v>
      </c>
      <c r="AQ41" s="1025">
        <f>+(PSUT_2012!V44)</f>
        <v>0</v>
      </c>
      <c r="AR41" s="1025">
        <f>+(PSUT_2012!W44)</f>
        <v>2583571.227157787</v>
      </c>
      <c r="AS41" s="1025">
        <f>+(PSUT_2012!X44)</f>
        <v>82781</v>
      </c>
      <c r="AT41" s="1025">
        <f>+(PSUT_2012!AA44)</f>
        <v>2671563.8816330931</v>
      </c>
    </row>
    <row r="42" spans="1:46" x14ac:dyDescent="0.25">
      <c r="A42" s="295"/>
      <c r="B42" s="1028" t="str">
        <f>+(PSUT_2012!A45)</f>
        <v>7. Consumption (3-6)</v>
      </c>
      <c r="C42" s="295"/>
      <c r="D42" s="1028">
        <f>+(PSUT_2012!AA45)</f>
        <v>12527855.883734873</v>
      </c>
      <c r="E42" s="295"/>
      <c r="F42" s="1028">
        <f>+(PSUT_2012!C45)</f>
        <v>12123968.78176038</v>
      </c>
      <c r="G42" s="295"/>
      <c r="H42" s="295"/>
      <c r="I42" s="295"/>
      <c r="J42" s="295"/>
      <c r="K42" s="295"/>
      <c r="L42" s="295"/>
      <c r="M42" s="1028">
        <f>+(PSUT_2012!D45)</f>
        <v>1065.3130323897094</v>
      </c>
      <c r="N42" s="1028">
        <f>+(PSUT_2012!E45)</f>
        <v>150885.77378783905</v>
      </c>
      <c r="O42" s="295"/>
      <c r="P42" s="295"/>
      <c r="Q42" s="295"/>
      <c r="R42" s="295"/>
      <c r="S42" s="295"/>
      <c r="T42" s="295"/>
      <c r="U42" s="295"/>
      <c r="V42" s="295"/>
      <c r="W42" s="1028">
        <f>+(PSUT_2012!F45)</f>
        <v>16763.508444795734</v>
      </c>
      <c r="X42" s="1028">
        <f>+(PSUT_2012!G45)</f>
        <v>50438.456176190091</v>
      </c>
      <c r="Y42" s="1028">
        <f>+(PSUT_2012!H45)</f>
        <v>0</v>
      </c>
      <c r="Z42" s="1028">
        <f>+(PSUT_2012!I45)</f>
        <v>0</v>
      </c>
      <c r="AA42" s="295"/>
      <c r="AB42" s="295"/>
      <c r="AC42" s="295"/>
      <c r="AD42" s="1028">
        <f>+(PSUT_2012!J45)</f>
        <v>0</v>
      </c>
      <c r="AE42" s="295"/>
      <c r="AF42" s="1028">
        <f>+(PSUT_2012!K45)</f>
        <v>3700.4149084591081</v>
      </c>
      <c r="AG42" s="1028">
        <f>+(PSUT_2012!L45)</f>
        <v>0</v>
      </c>
      <c r="AH42" s="1028">
        <f>+(PSUT_2012!M45)</f>
        <v>13.611322139488699</v>
      </c>
      <c r="AI42" s="1028">
        <f>+(PSUT_2012!N45)</f>
        <v>0</v>
      </c>
      <c r="AJ42" s="1028">
        <f>+(PSUT_2012!O45)</f>
        <v>0</v>
      </c>
      <c r="AK42" s="1028">
        <f>+(PSUT_2012!P45)</f>
        <v>0</v>
      </c>
      <c r="AL42" s="1028">
        <f>+(PSUT_2012!Q45)</f>
        <v>0</v>
      </c>
      <c r="AM42" s="1028">
        <f>+(PSUT_2012!R45)</f>
        <v>45007.581399999966</v>
      </c>
      <c r="AN42" s="1028">
        <f>+(PSUT_2012!S45)</f>
        <v>861.94444968661037</v>
      </c>
      <c r="AO42" s="1028">
        <f>+SUM(PSUT_2012!T45:'PSUT_2012'!V45)</f>
        <v>132.68839873822006</v>
      </c>
      <c r="AP42" s="1028">
        <f>+(PSUT_2012!U45)</f>
        <v>132.68839873822006</v>
      </c>
      <c r="AQ42" s="1028">
        <f>+(PSUT_2012!V45)</f>
        <v>0</v>
      </c>
      <c r="AR42" s="1028">
        <f>+(PSUT_2012!W45)</f>
        <v>12392838.073680619</v>
      </c>
      <c r="AS42" s="1028">
        <f>+(PSUT_2012!X45)</f>
        <v>133714.89643956049</v>
      </c>
      <c r="AT42" s="1028">
        <f>+(PSUT_2012!AA45)</f>
        <v>12527855.883734873</v>
      </c>
    </row>
    <row r="43" spans="1:46" x14ac:dyDescent="0.25">
      <c r="B43" s="1025"/>
    </row>
    <row r="44" spans="1:46" x14ac:dyDescent="0.25">
      <c r="A44" s="1032">
        <v>2012</v>
      </c>
      <c r="B44" s="1031" t="s">
        <v>1283</v>
      </c>
      <c r="C44" s="297"/>
      <c r="D44" s="297"/>
      <c r="E44" s="297"/>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row>
    <row r="45" spans="1:46" x14ac:dyDescent="0.25">
      <c r="A45" s="1029"/>
      <c r="B45" s="1030" t="s">
        <v>1280</v>
      </c>
      <c r="C45" s="1030"/>
      <c r="D45" s="1030"/>
      <c r="E45" s="1030"/>
      <c r="F45" s="1030"/>
      <c r="G45" s="1030"/>
      <c r="H45" s="1030"/>
      <c r="I45" s="1030"/>
      <c r="J45" s="1030"/>
      <c r="K45" s="1030"/>
      <c r="L45" s="1030"/>
      <c r="M45" s="1030"/>
      <c r="N45" s="1030"/>
      <c r="O45" s="1030"/>
      <c r="P45" s="1030"/>
      <c r="Q45" s="1030"/>
      <c r="R45" s="1030"/>
      <c r="S45" s="1030"/>
      <c r="T45" s="1030"/>
      <c r="U45" s="1030"/>
      <c r="V45" s="1030"/>
      <c r="W45" s="1030"/>
      <c r="X45" s="1030"/>
      <c r="Y45" s="1030"/>
      <c r="Z45" s="1030"/>
      <c r="AA45" s="1030"/>
      <c r="AB45" s="1030"/>
      <c r="AC45" s="1030"/>
      <c r="AD45" s="1030"/>
      <c r="AE45" s="1030"/>
      <c r="AF45" s="1030"/>
      <c r="AG45" s="1030"/>
      <c r="AH45" s="1030"/>
      <c r="AI45" s="1030"/>
      <c r="AJ45" s="1030"/>
      <c r="AK45" s="1030"/>
      <c r="AL45" s="1030"/>
      <c r="AM45" s="1030"/>
      <c r="AN45" s="1030"/>
      <c r="AO45" s="1030"/>
      <c r="AP45" s="1030"/>
      <c r="AQ45" s="1030"/>
      <c r="AR45" s="1030"/>
      <c r="AS45" s="1030"/>
      <c r="AT45" s="1030"/>
    </row>
    <row r="46" spans="1:46" x14ac:dyDescent="0.25">
      <c r="B46" s="1054" t="s">
        <v>1324</v>
      </c>
      <c r="C46" s="1025"/>
      <c r="D46" s="1025"/>
      <c r="E46" s="1025"/>
      <c r="F46" s="1025"/>
      <c r="G46" s="1025"/>
      <c r="H46" s="1025"/>
      <c r="I46" s="1025"/>
      <c r="J46" s="1025"/>
      <c r="K46" s="1025"/>
      <c r="L46" s="1025"/>
      <c r="M46" s="1025"/>
      <c r="N46" s="1025"/>
      <c r="O46" s="1025"/>
      <c r="P46" s="1025"/>
      <c r="Q46" s="1025"/>
      <c r="R46" s="1025"/>
      <c r="S46" s="1025"/>
      <c r="T46" s="1025"/>
      <c r="U46" s="1025"/>
      <c r="V46" s="1025"/>
      <c r="W46" s="1025"/>
      <c r="X46" s="1025"/>
      <c r="Y46" s="1025"/>
      <c r="Z46" s="1025"/>
      <c r="AA46" s="1025"/>
      <c r="AB46" s="1025"/>
      <c r="AC46" s="1025"/>
      <c r="AD46" s="1025"/>
      <c r="AE46" s="1025"/>
      <c r="AF46" s="1025"/>
      <c r="AG46" s="1025"/>
      <c r="AH46" s="1025"/>
      <c r="AI46" s="1025"/>
      <c r="AJ46" s="1025"/>
      <c r="AK46" s="1025"/>
      <c r="AL46" s="1025"/>
      <c r="AM46" s="1025"/>
      <c r="AN46" s="1025"/>
      <c r="AO46" s="1025"/>
      <c r="AP46" s="1025"/>
      <c r="AQ46" s="1025"/>
      <c r="AR46" s="1025"/>
      <c r="AS46" s="1025"/>
      <c r="AT46" s="1025"/>
    </row>
    <row r="47" spans="1:46" x14ac:dyDescent="0.25">
      <c r="B47" s="1025" t="s">
        <v>1279</v>
      </c>
      <c r="C47" s="1025"/>
      <c r="D47" s="1025"/>
      <c r="E47" s="1025"/>
      <c r="F47" s="1025"/>
      <c r="G47" s="1025"/>
      <c r="H47" s="1025"/>
      <c r="I47" s="1025"/>
      <c r="J47" s="1025"/>
      <c r="K47" s="1025"/>
      <c r="L47" s="1025"/>
      <c r="M47" s="1025"/>
      <c r="N47" s="1025"/>
      <c r="O47" s="1025"/>
      <c r="P47" s="1025"/>
      <c r="Q47" s="1025"/>
      <c r="R47" s="1025"/>
      <c r="S47" s="1025"/>
      <c r="T47" s="1025"/>
      <c r="U47" s="1025"/>
      <c r="V47" s="1025"/>
      <c r="W47" s="1025"/>
      <c r="X47" s="1025"/>
      <c r="Y47" s="1025"/>
      <c r="Z47" s="1025"/>
      <c r="AA47" s="1025"/>
      <c r="AB47" s="1025"/>
      <c r="AC47" s="1025"/>
      <c r="AD47" s="1025"/>
      <c r="AE47" s="1025"/>
      <c r="AF47" s="1025"/>
      <c r="AG47" s="1025"/>
      <c r="AH47" s="1025"/>
      <c r="AI47" s="1025"/>
      <c r="AJ47" s="1025"/>
      <c r="AK47" s="1025"/>
      <c r="AL47" s="1025"/>
      <c r="AM47" s="1025"/>
      <c r="AN47" s="1025"/>
      <c r="AO47" s="1025"/>
      <c r="AP47" s="1025"/>
      <c r="AQ47" s="1025"/>
      <c r="AR47" s="1025"/>
      <c r="AS47" s="1025"/>
      <c r="AT47" s="1025"/>
    </row>
    <row r="48" spans="1:46" x14ac:dyDescent="0.25">
      <c r="B48" s="1025" t="s">
        <v>1278</v>
      </c>
      <c r="C48" s="1025"/>
      <c r="D48" s="1025"/>
      <c r="E48" s="1025"/>
      <c r="F48" s="1025"/>
      <c r="G48" s="1025"/>
      <c r="H48" s="1025"/>
      <c r="I48" s="1025"/>
      <c r="J48" s="1025"/>
      <c r="K48" s="1025"/>
      <c r="L48" s="1025"/>
      <c r="M48" s="1025"/>
      <c r="N48" s="1025"/>
      <c r="O48" s="1025"/>
      <c r="P48" s="1025"/>
      <c r="Q48" s="1025"/>
      <c r="R48" s="1025"/>
      <c r="S48" s="1025"/>
      <c r="T48" s="1025"/>
      <c r="U48" s="1025"/>
      <c r="V48" s="1025"/>
      <c r="W48" s="1025"/>
      <c r="X48" s="1025"/>
      <c r="Y48" s="1025"/>
      <c r="Z48" s="1025"/>
      <c r="AA48" s="1025"/>
      <c r="AB48" s="1025"/>
      <c r="AC48" s="1025"/>
      <c r="AD48" s="1025"/>
      <c r="AE48" s="1025"/>
      <c r="AF48" s="1025"/>
      <c r="AG48" s="1025"/>
      <c r="AH48" s="1025"/>
      <c r="AI48" s="1025"/>
      <c r="AJ48" s="1025"/>
      <c r="AK48" s="1025"/>
      <c r="AL48" s="1025"/>
      <c r="AM48" s="1025"/>
      <c r="AN48" s="1025"/>
      <c r="AO48" s="1025"/>
      <c r="AP48" s="1025"/>
      <c r="AQ48" s="1025"/>
      <c r="AR48" s="1025"/>
      <c r="AS48" s="1025"/>
      <c r="AT48" s="1025"/>
    </row>
    <row r="49" spans="1:46" x14ac:dyDescent="0.25">
      <c r="B49" s="1025" t="s">
        <v>1277</v>
      </c>
      <c r="C49" s="1025"/>
      <c r="D49" s="1025"/>
      <c r="E49" s="1025"/>
      <c r="F49" s="1025"/>
      <c r="G49" s="1025"/>
      <c r="H49" s="1025"/>
      <c r="I49" s="1025"/>
      <c r="J49" s="1025"/>
      <c r="K49" s="1025"/>
      <c r="L49" s="1025"/>
      <c r="M49" s="1025"/>
      <c r="N49" s="1025"/>
      <c r="O49" s="1025"/>
      <c r="P49" s="1025"/>
      <c r="Q49" s="1025"/>
      <c r="R49" s="1025"/>
      <c r="S49" s="1025"/>
      <c r="T49" s="1025"/>
      <c r="U49" s="1025"/>
      <c r="V49" s="1025"/>
      <c r="W49" s="1025"/>
      <c r="X49" s="1025"/>
      <c r="Y49" s="1025"/>
      <c r="Z49" s="1025"/>
      <c r="AA49" s="1025"/>
      <c r="AB49" s="1025"/>
      <c r="AC49" s="1025"/>
      <c r="AD49" s="1025"/>
      <c r="AE49" s="1025"/>
      <c r="AF49" s="1025"/>
      <c r="AG49" s="1025"/>
      <c r="AH49" s="1025"/>
      <c r="AI49" s="1025"/>
      <c r="AJ49" s="1025"/>
      <c r="AK49" s="1025"/>
      <c r="AL49" s="1025"/>
      <c r="AM49" s="1025"/>
      <c r="AN49" s="1025"/>
      <c r="AO49" s="1025"/>
      <c r="AP49" s="1025"/>
      <c r="AQ49" s="1025"/>
      <c r="AR49" s="1025"/>
      <c r="AS49" s="1025"/>
      <c r="AT49" s="1025"/>
    </row>
    <row r="50" spans="1:46" x14ac:dyDescent="0.25">
      <c r="B50" s="1025" t="s">
        <v>1281</v>
      </c>
      <c r="C50" s="1025"/>
      <c r="D50" s="1025"/>
      <c r="E50" s="1025"/>
      <c r="F50" s="1025"/>
      <c r="G50" s="1025"/>
      <c r="H50" s="1025"/>
      <c r="I50" s="1025"/>
      <c r="J50" s="1025"/>
      <c r="K50" s="1025"/>
      <c r="L50" s="1025"/>
      <c r="M50" s="1025"/>
      <c r="N50" s="1025"/>
      <c r="O50" s="1025"/>
      <c r="P50" s="1025"/>
      <c r="Q50" s="1025"/>
      <c r="R50" s="1025"/>
      <c r="S50" s="1025"/>
      <c r="T50" s="1025"/>
      <c r="U50" s="1025"/>
      <c r="V50" s="1025"/>
      <c r="W50" s="1025"/>
      <c r="X50" s="1025"/>
      <c r="Y50" s="1025"/>
      <c r="Z50" s="1025"/>
      <c r="AA50" s="1025"/>
      <c r="AB50" s="1025"/>
      <c r="AC50" s="1025"/>
      <c r="AD50" s="1025"/>
      <c r="AE50" s="1025"/>
      <c r="AF50" s="1025"/>
      <c r="AG50" s="1025"/>
      <c r="AH50" s="1025"/>
      <c r="AI50" s="1025"/>
      <c r="AJ50" s="1025"/>
      <c r="AK50" s="1025"/>
      <c r="AL50" s="1025"/>
      <c r="AM50" s="1025"/>
      <c r="AN50" s="1025"/>
      <c r="AO50" s="1025"/>
      <c r="AP50" s="1025"/>
      <c r="AQ50" s="1025"/>
      <c r="AR50" s="1025"/>
      <c r="AS50" s="1025"/>
      <c r="AT50" s="1025"/>
    </row>
    <row r="51" spans="1:46" x14ac:dyDescent="0.25">
      <c r="A51" s="295"/>
      <c r="B51" s="1028" t="s">
        <v>1282</v>
      </c>
      <c r="C51" s="1028"/>
      <c r="D51" s="1028"/>
      <c r="E51" s="1028"/>
      <c r="F51" s="1028"/>
      <c r="G51" s="1028"/>
      <c r="H51" s="1028"/>
      <c r="I51" s="1028"/>
      <c r="J51" s="1028"/>
      <c r="K51" s="1028"/>
      <c r="L51" s="1028"/>
      <c r="M51" s="1028"/>
      <c r="N51" s="1028"/>
      <c r="O51" s="1028"/>
      <c r="P51" s="1028"/>
      <c r="Q51" s="1028"/>
      <c r="R51" s="1028"/>
      <c r="S51" s="1028"/>
      <c r="T51" s="1028"/>
      <c r="U51" s="1028"/>
      <c r="V51" s="1028"/>
      <c r="W51" s="1028"/>
      <c r="X51" s="1028"/>
      <c r="Y51" s="1028"/>
      <c r="Z51" s="1028"/>
      <c r="AA51" s="1028"/>
      <c r="AB51" s="1028"/>
      <c r="AC51" s="1028"/>
      <c r="AD51" s="1028"/>
      <c r="AE51" s="1028"/>
      <c r="AF51" s="1028"/>
      <c r="AG51" s="1028"/>
      <c r="AH51" s="1028"/>
      <c r="AI51" s="1028"/>
      <c r="AJ51" s="1028"/>
      <c r="AK51" s="1028"/>
      <c r="AL51" s="1028"/>
      <c r="AM51" s="1028"/>
      <c r="AN51" s="1028"/>
      <c r="AO51" s="1028"/>
      <c r="AP51" s="1028"/>
      <c r="AQ51" s="1028"/>
      <c r="AR51" s="1028"/>
      <c r="AS51" s="1028"/>
      <c r="AT51" s="1028"/>
    </row>
  </sheetData>
  <mergeCells count="1">
    <mergeCell ref="A29:A35"/>
  </mergeCells>
  <conditionalFormatting sqref="AP8:AP20 E8:E20 D8:D25 G8:K25 O8:Y25">
    <cfRule type="cellIs" dxfId="79" priority="10" operator="lessThan">
      <formula>0</formula>
    </cfRule>
  </conditionalFormatting>
  <conditionalFormatting sqref="L8:L25">
    <cfRule type="cellIs" dxfId="78" priority="9" operator="lessThan">
      <formula>0</formula>
    </cfRule>
  </conditionalFormatting>
  <conditionalFormatting sqref="Z8:AA25">
    <cfRule type="cellIs" dxfId="77" priority="8" operator="lessThan">
      <formula>0</formula>
    </cfRule>
  </conditionalFormatting>
  <conditionalFormatting sqref="N8:N25">
    <cfRule type="cellIs" dxfId="76" priority="7" operator="lessThan">
      <formula>0</formula>
    </cfRule>
  </conditionalFormatting>
  <conditionalFormatting sqref="AE8:AE25">
    <cfRule type="cellIs" dxfId="75" priority="6" operator="lessThan">
      <formula>0</formula>
    </cfRule>
  </conditionalFormatting>
  <conditionalFormatting sqref="AQ8:AQ25">
    <cfRule type="cellIs" dxfId="74" priority="5" operator="lessThan">
      <formula>0</formula>
    </cfRule>
  </conditionalFormatting>
  <conditionalFormatting sqref="F8:F25">
    <cfRule type="cellIs" dxfId="73" priority="4" operator="lessThan">
      <formula>0</formula>
    </cfRule>
  </conditionalFormatting>
  <conditionalFormatting sqref="M8:M25">
    <cfRule type="cellIs" dxfId="72" priority="3" operator="lessThan">
      <formula>0</formula>
    </cfRule>
  </conditionalFormatting>
  <conditionalFormatting sqref="AB8:AD25">
    <cfRule type="cellIs" dxfId="71" priority="2" operator="lessThan">
      <formula>0</formula>
    </cfRule>
  </conditionalFormatting>
  <conditionalFormatting sqref="AF8:AO25">
    <cfRule type="cellIs" dxfId="70" priority="1" operator="lessThan">
      <formula>0</formula>
    </cfRule>
  </conditionalFormatting>
  <pageMargins left="0.51181102362204722" right="0.51181102362204722" top="0.74803149606299213" bottom="0.74803149606299213" header="0.31496062992125984" footer="0.31496062992125984"/>
  <pageSetup paperSize="9" scale="28" orientation="landscape" r:id="rId1"/>
  <headerFooter>
    <oddHeader>&amp;L&amp;F    &amp;&amp;&amp;A&amp;C
&amp;D&amp;RPage &amp;P of &amp;N</oddHeader>
  </headerFooter>
  <legacy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V63"/>
  <sheetViews>
    <sheetView showZeros="0" zoomScale="85" zoomScaleNormal="85" workbookViewId="0">
      <pane xSplit="4" ySplit="6" topLeftCell="E7" activePane="bottomRight" state="frozen"/>
      <selection activeCell="Y26" sqref="Y26"/>
      <selection pane="topRight" activeCell="Y26" sqref="Y26"/>
      <selection pane="bottomLeft" activeCell="Y26" sqref="Y26"/>
      <selection pane="bottomRight" activeCell="A37" sqref="A37"/>
    </sheetView>
  </sheetViews>
  <sheetFormatPr defaultRowHeight="14.25" x14ac:dyDescent="0.2"/>
  <cols>
    <col min="1" max="1" width="1.42578125" style="584" customWidth="1"/>
    <col min="2" max="2" width="50.7109375" style="584" customWidth="1"/>
    <col min="3" max="3" width="6.42578125" style="604" bestFit="1" customWidth="1"/>
    <col min="4" max="4" width="0.85546875" style="604" customWidth="1"/>
    <col min="5" max="22" width="8.140625" style="604" customWidth="1"/>
    <col min="23" max="16384" width="9.140625" style="584"/>
  </cols>
  <sheetData>
    <row r="1" spans="1:22" s="568" customFormat="1" ht="15" customHeight="1" x14ac:dyDescent="0.25">
      <c r="A1" s="565"/>
      <c r="B1" s="566" t="s">
        <v>992</v>
      </c>
      <c r="C1" s="567"/>
      <c r="D1" s="567"/>
      <c r="E1" s="567"/>
      <c r="F1" s="567"/>
      <c r="G1" s="567"/>
      <c r="H1" s="567"/>
      <c r="I1" s="567"/>
      <c r="J1" s="567"/>
      <c r="K1" s="567"/>
      <c r="L1" s="567"/>
      <c r="M1" s="567"/>
      <c r="N1" s="567"/>
      <c r="O1" s="567"/>
      <c r="P1" s="567"/>
      <c r="Q1" s="567"/>
      <c r="R1" s="567"/>
      <c r="S1" s="567"/>
      <c r="T1" s="567"/>
      <c r="U1" s="567"/>
      <c r="V1" s="567"/>
    </row>
    <row r="2" spans="1:22" s="571" customFormat="1" ht="15" customHeight="1" x14ac:dyDescent="0.25">
      <c r="A2" s="569"/>
      <c r="B2" s="569" t="s">
        <v>744</v>
      </c>
      <c r="C2" s="570"/>
      <c r="D2" s="570"/>
      <c r="E2" s="570"/>
      <c r="F2" s="570"/>
      <c r="G2" s="570"/>
      <c r="H2" s="570"/>
      <c r="I2" s="570"/>
      <c r="J2" s="570"/>
      <c r="K2" s="570"/>
      <c r="L2" s="570"/>
      <c r="M2" s="570"/>
      <c r="N2" s="570"/>
      <c r="O2" s="570"/>
      <c r="P2" s="570"/>
      <c r="Q2" s="570"/>
      <c r="R2" s="570"/>
      <c r="S2" s="570"/>
      <c r="T2" s="570"/>
      <c r="U2" s="570"/>
      <c r="V2" s="570"/>
    </row>
    <row r="3" spans="1:22" s="573" customFormat="1" ht="15" customHeight="1" x14ac:dyDescent="0.25">
      <c r="A3" s="565"/>
      <c r="B3" s="566" t="s">
        <v>993</v>
      </c>
      <c r="C3" s="572"/>
      <c r="D3" s="572"/>
      <c r="E3" s="572"/>
      <c r="F3" s="572"/>
      <c r="G3" s="572"/>
      <c r="H3" s="572"/>
      <c r="I3" s="572"/>
      <c r="J3" s="572"/>
      <c r="K3" s="572"/>
      <c r="L3" s="572"/>
      <c r="M3" s="572"/>
      <c r="N3" s="572"/>
      <c r="O3" s="572"/>
      <c r="P3" s="572"/>
      <c r="Q3" s="572"/>
      <c r="R3" s="572"/>
      <c r="S3" s="572"/>
      <c r="T3" s="572"/>
      <c r="U3" s="572"/>
      <c r="V3" s="572"/>
    </row>
    <row r="4" spans="1:22" s="573" customFormat="1" ht="15" customHeight="1" thickBot="1" x14ac:dyDescent="0.3">
      <c r="A4" s="565"/>
      <c r="B4" s="574" t="s">
        <v>746</v>
      </c>
      <c r="C4" s="572"/>
      <c r="D4" s="572"/>
      <c r="E4" s="572"/>
      <c r="F4" s="572"/>
      <c r="G4" s="572"/>
      <c r="H4" s="572"/>
      <c r="I4" s="572"/>
      <c r="J4" s="572"/>
      <c r="K4" s="572"/>
      <c r="L4" s="572"/>
      <c r="M4" s="572"/>
      <c r="N4" s="572"/>
      <c r="O4" s="572"/>
      <c r="P4" s="572"/>
      <c r="Q4" s="572"/>
      <c r="R4" s="572"/>
      <c r="S4" s="572"/>
      <c r="T4" s="572"/>
      <c r="U4" s="572"/>
      <c r="V4" s="572"/>
    </row>
    <row r="5" spans="1:22" s="578" customFormat="1" ht="17.25" customHeight="1" thickTop="1" thickBot="1" x14ac:dyDescent="0.3">
      <c r="A5" s="565"/>
      <c r="B5" s="575" t="s">
        <v>747</v>
      </c>
      <c r="C5" s="576" t="s">
        <v>748</v>
      </c>
      <c r="D5" s="576"/>
      <c r="E5" s="577">
        <v>1999</v>
      </c>
      <c r="F5" s="577">
        <v>2000</v>
      </c>
      <c r="G5" s="577">
        <v>2001</v>
      </c>
      <c r="H5" s="577">
        <v>2002</v>
      </c>
      <c r="I5" s="577">
        <v>2003</v>
      </c>
      <c r="J5" s="577">
        <v>2004</v>
      </c>
      <c r="K5" s="577">
        <v>2005</v>
      </c>
      <c r="L5" s="577">
        <v>2006</v>
      </c>
      <c r="M5" s="577">
        <v>2007</v>
      </c>
      <c r="N5" s="577">
        <v>2008</v>
      </c>
      <c r="O5" s="577">
        <v>2009</v>
      </c>
      <c r="P5" s="577">
        <v>2010</v>
      </c>
      <c r="Q5" s="577">
        <v>2011</v>
      </c>
      <c r="R5" s="577">
        <v>2012</v>
      </c>
      <c r="S5" s="577">
        <v>2013</v>
      </c>
      <c r="T5" s="577">
        <v>2014</v>
      </c>
      <c r="U5" s="577">
        <v>2015</v>
      </c>
      <c r="V5" s="577">
        <v>2016</v>
      </c>
    </row>
    <row r="6" spans="1:22" s="578" customFormat="1" ht="7.5" customHeight="1" thickTop="1" x14ac:dyDescent="0.25">
      <c r="A6" s="565"/>
      <c r="B6" s="579"/>
      <c r="C6" s="580"/>
      <c r="D6" s="580"/>
      <c r="E6" s="580"/>
      <c r="F6" s="580"/>
      <c r="G6" s="580"/>
      <c r="H6" s="580"/>
      <c r="I6" s="580"/>
      <c r="J6" s="580"/>
      <c r="K6" s="580"/>
      <c r="L6" s="580"/>
      <c r="M6" s="580"/>
      <c r="N6" s="580"/>
      <c r="O6" s="580"/>
      <c r="P6" s="580"/>
      <c r="Q6" s="580"/>
      <c r="R6" s="580"/>
      <c r="S6" s="580"/>
      <c r="T6" s="580"/>
      <c r="U6" s="580"/>
      <c r="V6" s="580"/>
    </row>
    <row r="7" spans="1:22" ht="14.25" customHeight="1" x14ac:dyDescent="0.25">
      <c r="A7" s="565"/>
      <c r="B7" s="581" t="s">
        <v>749</v>
      </c>
      <c r="C7" s="582"/>
      <c r="D7" s="582"/>
      <c r="E7" s="692">
        <v>607</v>
      </c>
      <c r="F7" s="692">
        <v>676</v>
      </c>
      <c r="G7" s="692">
        <v>742</v>
      </c>
      <c r="H7" s="692">
        <v>797</v>
      </c>
      <c r="I7" s="692">
        <v>993</v>
      </c>
      <c r="J7" s="692">
        <v>1206</v>
      </c>
      <c r="K7" s="693">
        <v>1440</v>
      </c>
      <c r="L7" s="693">
        <v>1739</v>
      </c>
      <c r="M7" s="693">
        <v>2092</v>
      </c>
      <c r="N7" s="693">
        <v>2658</v>
      </c>
      <c r="O7" s="693">
        <v>3057</v>
      </c>
      <c r="P7" s="693">
        <v>3367</v>
      </c>
      <c r="Q7" s="693">
        <v>3897</v>
      </c>
      <c r="R7" s="693">
        <v>4494</v>
      </c>
      <c r="S7" s="693">
        <v>4929</v>
      </c>
      <c r="T7" s="693">
        <v>5466</v>
      </c>
      <c r="U7" s="693">
        <v>5956</v>
      </c>
      <c r="V7" s="693">
        <v>6618</v>
      </c>
    </row>
    <row r="8" spans="1:22" s="578" customFormat="1" ht="7.5" customHeight="1" x14ac:dyDescent="0.25">
      <c r="A8" s="565"/>
      <c r="B8" s="579"/>
      <c r="C8" s="580"/>
      <c r="D8" s="580"/>
      <c r="E8" s="585"/>
      <c r="F8" s="585"/>
      <c r="G8" s="585"/>
      <c r="H8" s="585"/>
      <c r="I8" s="585"/>
      <c r="J8" s="585"/>
      <c r="K8" s="585"/>
      <c r="L8" s="585">
        <v>0</v>
      </c>
      <c r="M8" s="585">
        <v>0</v>
      </c>
      <c r="N8" s="585">
        <v>0</v>
      </c>
      <c r="O8" s="585">
        <v>0</v>
      </c>
      <c r="P8" s="585">
        <v>0</v>
      </c>
      <c r="Q8" s="585">
        <v>0</v>
      </c>
      <c r="R8" s="585">
        <v>0</v>
      </c>
      <c r="S8" s="585">
        <v>0</v>
      </c>
      <c r="T8" s="585">
        <v>0</v>
      </c>
      <c r="U8" s="585">
        <v>0</v>
      </c>
      <c r="V8" s="585">
        <v>0</v>
      </c>
    </row>
    <row r="9" spans="1:22" ht="14.25" customHeight="1" x14ac:dyDescent="0.25">
      <c r="A9" s="565"/>
      <c r="B9" s="581" t="s">
        <v>750</v>
      </c>
      <c r="C9" s="582" t="s">
        <v>751</v>
      </c>
      <c r="D9" s="582"/>
      <c r="E9" s="692">
        <v>227</v>
      </c>
      <c r="F9" s="692">
        <v>251</v>
      </c>
      <c r="G9" s="692">
        <v>277</v>
      </c>
      <c r="H9" s="692">
        <v>282</v>
      </c>
      <c r="I9" s="692">
        <v>380</v>
      </c>
      <c r="J9" s="692">
        <v>465</v>
      </c>
      <c r="K9" s="693">
        <v>553</v>
      </c>
      <c r="L9" s="693">
        <v>592</v>
      </c>
      <c r="M9" s="693">
        <v>636</v>
      </c>
      <c r="N9" s="693">
        <v>753</v>
      </c>
      <c r="O9" s="693">
        <v>896</v>
      </c>
      <c r="P9" s="693">
        <v>949</v>
      </c>
      <c r="Q9" s="693">
        <v>1091</v>
      </c>
      <c r="R9" s="693">
        <v>1300</v>
      </c>
      <c r="S9" s="693">
        <v>1424</v>
      </c>
      <c r="T9" s="693">
        <v>1572</v>
      </c>
      <c r="U9" s="693">
        <v>1672</v>
      </c>
      <c r="V9" s="693">
        <v>1954</v>
      </c>
    </row>
    <row r="10" spans="1:22" ht="13.5" customHeight="1" x14ac:dyDescent="0.25">
      <c r="A10" s="573"/>
      <c r="B10" s="568" t="s">
        <v>752</v>
      </c>
      <c r="C10" s="567" t="s">
        <v>753</v>
      </c>
      <c r="D10" s="567"/>
      <c r="E10" s="586">
        <v>194</v>
      </c>
      <c r="F10" s="586">
        <v>217</v>
      </c>
      <c r="G10" s="586">
        <v>238</v>
      </c>
      <c r="H10" s="586">
        <v>238</v>
      </c>
      <c r="I10" s="586">
        <v>332</v>
      </c>
      <c r="J10" s="586">
        <v>396</v>
      </c>
      <c r="K10" s="586">
        <v>467</v>
      </c>
      <c r="L10" s="586">
        <v>309</v>
      </c>
      <c r="M10" s="586">
        <v>353</v>
      </c>
      <c r="N10" s="586">
        <v>397</v>
      </c>
      <c r="O10" s="586">
        <v>496</v>
      </c>
      <c r="P10" s="586">
        <v>519</v>
      </c>
      <c r="Q10" s="586">
        <v>610</v>
      </c>
      <c r="R10" s="586">
        <v>740</v>
      </c>
      <c r="S10" s="586">
        <v>839</v>
      </c>
      <c r="T10" s="586">
        <v>934</v>
      </c>
      <c r="U10" s="586">
        <v>992</v>
      </c>
      <c r="V10" s="586">
        <v>1206</v>
      </c>
    </row>
    <row r="11" spans="1:22" ht="13.5" customHeight="1" x14ac:dyDescent="0.25">
      <c r="A11" s="573"/>
      <c r="B11" s="568" t="s">
        <v>754</v>
      </c>
      <c r="C11" s="567" t="s">
        <v>755</v>
      </c>
      <c r="D11" s="567"/>
      <c r="E11" s="586">
        <v>6</v>
      </c>
      <c r="F11" s="586">
        <v>7</v>
      </c>
      <c r="G11" s="586">
        <v>8</v>
      </c>
      <c r="H11" s="586">
        <v>7</v>
      </c>
      <c r="I11" s="586">
        <v>7</v>
      </c>
      <c r="J11" s="586">
        <v>13</v>
      </c>
      <c r="K11" s="586">
        <v>18</v>
      </c>
      <c r="L11" s="586">
        <v>70</v>
      </c>
      <c r="M11" s="586">
        <v>50</v>
      </c>
      <c r="N11" s="586">
        <v>67</v>
      </c>
      <c r="O11" s="586">
        <v>64</v>
      </c>
      <c r="P11" s="586">
        <v>79</v>
      </c>
      <c r="Q11" s="586">
        <v>82</v>
      </c>
      <c r="R11" s="586">
        <v>106</v>
      </c>
      <c r="S11" s="586">
        <v>83</v>
      </c>
      <c r="T11" s="586">
        <v>107</v>
      </c>
      <c r="U11" s="586">
        <v>109</v>
      </c>
      <c r="V11" s="586">
        <v>129</v>
      </c>
    </row>
    <row r="12" spans="1:22" ht="13.5" customHeight="1" x14ac:dyDescent="0.25">
      <c r="A12" s="573"/>
      <c r="B12" s="568" t="s">
        <v>756</v>
      </c>
      <c r="C12" s="567" t="s">
        <v>757</v>
      </c>
      <c r="D12" s="567"/>
      <c r="E12" s="586">
        <v>16</v>
      </c>
      <c r="F12" s="586">
        <v>16</v>
      </c>
      <c r="G12" s="586">
        <v>18</v>
      </c>
      <c r="H12" s="586">
        <v>21</v>
      </c>
      <c r="I12" s="586">
        <v>22</v>
      </c>
      <c r="J12" s="586">
        <v>26</v>
      </c>
      <c r="K12" s="586">
        <v>27</v>
      </c>
      <c r="L12" s="586">
        <v>68</v>
      </c>
      <c r="M12" s="586">
        <v>71</v>
      </c>
      <c r="N12" s="586">
        <v>91</v>
      </c>
      <c r="O12" s="586">
        <v>108</v>
      </c>
      <c r="P12" s="586">
        <v>113</v>
      </c>
      <c r="Q12" s="586">
        <v>127</v>
      </c>
      <c r="R12" s="586">
        <v>143</v>
      </c>
      <c r="S12" s="586">
        <v>158</v>
      </c>
      <c r="T12" s="586">
        <v>174</v>
      </c>
      <c r="U12" s="586">
        <v>195</v>
      </c>
      <c r="V12" s="586">
        <v>223</v>
      </c>
    </row>
    <row r="13" spans="1:22" ht="13.5" customHeight="1" x14ac:dyDescent="0.25">
      <c r="A13" s="573"/>
      <c r="B13" s="568" t="s">
        <v>220</v>
      </c>
      <c r="C13" s="567" t="s">
        <v>758</v>
      </c>
      <c r="D13" s="567"/>
      <c r="E13" s="586">
        <v>8</v>
      </c>
      <c r="F13" s="586">
        <v>8</v>
      </c>
      <c r="G13" s="586">
        <v>10</v>
      </c>
      <c r="H13" s="586">
        <v>13</v>
      </c>
      <c r="I13" s="586">
        <v>15</v>
      </c>
      <c r="J13" s="586">
        <v>26</v>
      </c>
      <c r="K13" s="586">
        <v>35</v>
      </c>
      <c r="L13" s="586">
        <v>169</v>
      </c>
      <c r="M13" s="586">
        <v>174</v>
      </c>
      <c r="N13" s="586">
        <v>227</v>
      </c>
      <c r="O13" s="586">
        <v>244</v>
      </c>
      <c r="P13" s="586">
        <v>258</v>
      </c>
      <c r="Q13" s="586">
        <v>283</v>
      </c>
      <c r="R13" s="586">
        <v>313</v>
      </c>
      <c r="S13" s="586">
        <v>325</v>
      </c>
      <c r="T13" s="586">
        <v>337</v>
      </c>
      <c r="U13" s="586">
        <v>354</v>
      </c>
      <c r="V13" s="586">
        <v>372</v>
      </c>
    </row>
    <row r="14" spans="1:22" ht="13.5" customHeight="1" x14ac:dyDescent="0.25">
      <c r="A14" s="573"/>
      <c r="B14" s="568" t="s">
        <v>205</v>
      </c>
      <c r="C14" s="567" t="s">
        <v>759</v>
      </c>
      <c r="D14" s="567"/>
      <c r="E14" s="586">
        <v>3</v>
      </c>
      <c r="F14" s="586">
        <v>3</v>
      </c>
      <c r="G14" s="586">
        <v>3</v>
      </c>
      <c r="H14" s="586">
        <v>3</v>
      </c>
      <c r="I14" s="586">
        <v>4</v>
      </c>
      <c r="J14" s="586">
        <v>5</v>
      </c>
      <c r="K14" s="586">
        <v>5</v>
      </c>
      <c r="L14" s="586">
        <v>6</v>
      </c>
      <c r="M14" s="586">
        <v>7</v>
      </c>
      <c r="N14" s="586">
        <v>9</v>
      </c>
      <c r="O14" s="586">
        <v>10</v>
      </c>
      <c r="P14" s="586">
        <v>12</v>
      </c>
      <c r="Q14" s="586">
        <v>14</v>
      </c>
      <c r="R14" s="586">
        <v>16</v>
      </c>
      <c r="S14" s="586">
        <v>19</v>
      </c>
      <c r="T14" s="586">
        <v>20</v>
      </c>
      <c r="U14" s="586">
        <v>22</v>
      </c>
      <c r="V14" s="586">
        <v>23</v>
      </c>
    </row>
    <row r="15" spans="1:22" ht="14.25" customHeight="1" x14ac:dyDescent="0.25">
      <c r="A15" s="565"/>
      <c r="B15" s="581" t="s">
        <v>760</v>
      </c>
      <c r="C15" s="582" t="s">
        <v>761</v>
      </c>
      <c r="D15" s="582"/>
      <c r="E15" s="692">
        <v>86</v>
      </c>
      <c r="F15" s="692">
        <v>90</v>
      </c>
      <c r="G15" s="692">
        <v>103</v>
      </c>
      <c r="H15" s="692">
        <v>109</v>
      </c>
      <c r="I15" s="692">
        <v>125</v>
      </c>
      <c r="J15" s="692">
        <v>164</v>
      </c>
      <c r="K15" s="693">
        <v>199</v>
      </c>
      <c r="L15" s="693">
        <v>232</v>
      </c>
      <c r="M15" s="693">
        <v>300</v>
      </c>
      <c r="N15" s="693">
        <v>388</v>
      </c>
      <c r="O15" s="693">
        <v>436</v>
      </c>
      <c r="P15" s="693">
        <v>500</v>
      </c>
      <c r="Q15" s="693">
        <v>649</v>
      </c>
      <c r="R15" s="693">
        <v>746</v>
      </c>
      <c r="S15" s="693">
        <v>848</v>
      </c>
      <c r="T15" s="693">
        <v>939</v>
      </c>
      <c r="U15" s="693">
        <v>1013</v>
      </c>
      <c r="V15" s="693">
        <v>1094</v>
      </c>
    </row>
    <row r="16" spans="1:22" ht="13.5" customHeight="1" x14ac:dyDescent="0.25">
      <c r="A16" s="573"/>
      <c r="B16" s="568" t="s">
        <v>762</v>
      </c>
      <c r="C16" s="567" t="s">
        <v>763</v>
      </c>
      <c r="D16" s="567"/>
      <c r="E16" s="586">
        <v>1</v>
      </c>
      <c r="F16" s="586">
        <v>1</v>
      </c>
      <c r="G16" s="586">
        <v>6</v>
      </c>
      <c r="H16" s="586">
        <v>2</v>
      </c>
      <c r="I16" s="586">
        <v>3</v>
      </c>
      <c r="J16" s="586">
        <v>8</v>
      </c>
      <c r="K16" s="586">
        <v>10</v>
      </c>
      <c r="L16" s="586">
        <v>23</v>
      </c>
      <c r="M16" s="586">
        <v>43</v>
      </c>
      <c r="N16" s="586">
        <v>51</v>
      </c>
      <c r="O16" s="586">
        <v>33</v>
      </c>
      <c r="P16" s="586">
        <v>45</v>
      </c>
      <c r="Q16" s="586">
        <v>102</v>
      </c>
      <c r="R16" s="586">
        <v>97</v>
      </c>
      <c r="S16" s="586">
        <v>124</v>
      </c>
      <c r="T16" s="586">
        <v>147</v>
      </c>
      <c r="U16" s="586">
        <v>132</v>
      </c>
      <c r="V16" s="586">
        <v>137</v>
      </c>
    </row>
    <row r="17" spans="1:22" ht="14.25" customHeight="1" x14ac:dyDescent="0.25">
      <c r="A17" s="565"/>
      <c r="B17" s="587" t="s">
        <v>764</v>
      </c>
      <c r="C17" s="588" t="s">
        <v>765</v>
      </c>
      <c r="D17" s="588"/>
      <c r="E17" s="694">
        <v>49</v>
      </c>
      <c r="F17" s="694">
        <v>50</v>
      </c>
      <c r="G17" s="694">
        <v>52</v>
      </c>
      <c r="H17" s="694">
        <v>60</v>
      </c>
      <c r="I17" s="694">
        <v>67</v>
      </c>
      <c r="J17" s="694">
        <v>80</v>
      </c>
      <c r="K17" s="695">
        <v>95</v>
      </c>
      <c r="L17" s="695">
        <v>105</v>
      </c>
      <c r="M17" s="695">
        <v>115</v>
      </c>
      <c r="N17" s="695">
        <v>148</v>
      </c>
      <c r="O17" s="695">
        <v>184</v>
      </c>
      <c r="P17" s="695">
        <v>208</v>
      </c>
      <c r="Q17" s="695">
        <v>235</v>
      </c>
      <c r="R17" s="695">
        <v>270</v>
      </c>
      <c r="S17" s="695">
        <v>291</v>
      </c>
      <c r="T17" s="695">
        <v>322</v>
      </c>
      <c r="U17" s="695">
        <v>352</v>
      </c>
      <c r="V17" s="695">
        <v>388</v>
      </c>
    </row>
    <row r="18" spans="1:22" s="691" customFormat="1" ht="13.5" customHeight="1" x14ac:dyDescent="0.25">
      <c r="A18" s="690"/>
      <c r="B18" s="591" t="s">
        <v>766</v>
      </c>
      <c r="C18" s="592" t="s">
        <v>767</v>
      </c>
      <c r="D18" s="592"/>
      <c r="E18" s="593">
        <v>7</v>
      </c>
      <c r="F18" s="593">
        <v>8</v>
      </c>
      <c r="G18" s="593">
        <v>9</v>
      </c>
      <c r="H18" s="593">
        <v>10</v>
      </c>
      <c r="I18" s="593">
        <v>13</v>
      </c>
      <c r="J18" s="593">
        <v>21</v>
      </c>
      <c r="K18" s="593">
        <v>28</v>
      </c>
      <c r="L18" s="593">
        <v>34</v>
      </c>
      <c r="M18" s="593">
        <v>35</v>
      </c>
      <c r="N18" s="593">
        <v>46</v>
      </c>
      <c r="O18" s="593">
        <v>57</v>
      </c>
      <c r="P18" s="593">
        <v>66</v>
      </c>
      <c r="Q18" s="593">
        <v>79</v>
      </c>
      <c r="R18" s="593">
        <v>87</v>
      </c>
      <c r="S18" s="593">
        <v>92</v>
      </c>
      <c r="T18" s="593">
        <v>101</v>
      </c>
      <c r="U18" s="593">
        <v>104</v>
      </c>
      <c r="V18" s="593">
        <v>119</v>
      </c>
    </row>
    <row r="19" spans="1:22" s="691" customFormat="1" ht="13.5" customHeight="1" x14ac:dyDescent="0.25">
      <c r="A19" s="690"/>
      <c r="B19" s="591" t="s">
        <v>768</v>
      </c>
      <c r="C19" s="592" t="s">
        <v>769</v>
      </c>
      <c r="D19" s="592"/>
      <c r="E19" s="593">
        <v>19</v>
      </c>
      <c r="F19" s="593">
        <v>18</v>
      </c>
      <c r="G19" s="593">
        <v>18</v>
      </c>
      <c r="H19" s="593">
        <v>23</v>
      </c>
      <c r="I19" s="593">
        <v>22</v>
      </c>
      <c r="J19" s="593">
        <v>23</v>
      </c>
      <c r="K19" s="593">
        <v>27</v>
      </c>
      <c r="L19" s="593">
        <v>28</v>
      </c>
      <c r="M19" s="593">
        <v>31</v>
      </c>
      <c r="N19" s="593">
        <v>41</v>
      </c>
      <c r="O19" s="593">
        <v>56</v>
      </c>
      <c r="P19" s="593">
        <v>61</v>
      </c>
      <c r="Q19" s="593">
        <v>66</v>
      </c>
      <c r="R19" s="593">
        <v>76</v>
      </c>
      <c r="S19" s="593">
        <v>85</v>
      </c>
      <c r="T19" s="593">
        <v>95</v>
      </c>
      <c r="U19" s="593">
        <v>102</v>
      </c>
      <c r="V19" s="593">
        <v>109</v>
      </c>
    </row>
    <row r="20" spans="1:22" s="691" customFormat="1" ht="13.5" customHeight="1" x14ac:dyDescent="0.25">
      <c r="A20" s="690"/>
      <c r="B20" s="591" t="s">
        <v>770</v>
      </c>
      <c r="C20" s="592" t="s">
        <v>771</v>
      </c>
      <c r="D20" s="592"/>
      <c r="E20" s="593">
        <v>4</v>
      </c>
      <c r="F20" s="593">
        <v>5</v>
      </c>
      <c r="G20" s="593">
        <v>5</v>
      </c>
      <c r="H20" s="593">
        <v>5</v>
      </c>
      <c r="I20" s="593">
        <v>6</v>
      </c>
      <c r="J20" s="593">
        <v>8</v>
      </c>
      <c r="K20" s="593">
        <v>9</v>
      </c>
      <c r="L20" s="593">
        <v>10</v>
      </c>
      <c r="M20" s="593">
        <v>12</v>
      </c>
      <c r="N20" s="593">
        <v>13</v>
      </c>
      <c r="O20" s="593">
        <v>13</v>
      </c>
      <c r="P20" s="593">
        <v>14</v>
      </c>
      <c r="Q20" s="593">
        <v>17</v>
      </c>
      <c r="R20" s="593">
        <v>18</v>
      </c>
      <c r="S20" s="593">
        <v>19</v>
      </c>
      <c r="T20" s="593">
        <v>20</v>
      </c>
      <c r="U20" s="593">
        <v>21</v>
      </c>
      <c r="V20" s="593">
        <v>23</v>
      </c>
    </row>
    <row r="21" spans="1:22" s="691" customFormat="1" ht="13.5" customHeight="1" x14ac:dyDescent="0.25">
      <c r="A21" s="690"/>
      <c r="B21" s="591" t="s">
        <v>772</v>
      </c>
      <c r="C21" s="592" t="s">
        <v>773</v>
      </c>
      <c r="D21" s="592"/>
      <c r="E21" s="593">
        <v>1</v>
      </c>
      <c r="F21" s="593">
        <v>1</v>
      </c>
      <c r="G21" s="593">
        <v>1</v>
      </c>
      <c r="H21" s="593">
        <v>2</v>
      </c>
      <c r="I21" s="593">
        <v>3</v>
      </c>
      <c r="J21" s="593">
        <v>3</v>
      </c>
      <c r="K21" s="593">
        <v>5</v>
      </c>
      <c r="L21" s="593">
        <v>6</v>
      </c>
      <c r="M21" s="593">
        <v>7</v>
      </c>
      <c r="N21" s="593">
        <v>8</v>
      </c>
      <c r="O21" s="593">
        <v>9</v>
      </c>
      <c r="P21" s="593">
        <v>10</v>
      </c>
      <c r="Q21" s="593">
        <v>10</v>
      </c>
      <c r="R21" s="593">
        <v>11</v>
      </c>
      <c r="S21" s="593">
        <v>13</v>
      </c>
      <c r="T21" s="593">
        <v>14</v>
      </c>
      <c r="U21" s="593">
        <v>16</v>
      </c>
      <c r="V21" s="593">
        <v>18</v>
      </c>
    </row>
    <row r="22" spans="1:22" s="691" customFormat="1" ht="13.5" customHeight="1" x14ac:dyDescent="0.25">
      <c r="A22" s="690"/>
      <c r="B22" s="591" t="s">
        <v>774</v>
      </c>
      <c r="C22" s="592" t="s">
        <v>775</v>
      </c>
      <c r="D22" s="592"/>
      <c r="E22" s="593">
        <v>6</v>
      </c>
      <c r="F22" s="593">
        <v>7</v>
      </c>
      <c r="G22" s="593">
        <v>7</v>
      </c>
      <c r="H22" s="593">
        <v>8</v>
      </c>
      <c r="I22" s="593">
        <v>10</v>
      </c>
      <c r="J22" s="593">
        <v>12</v>
      </c>
      <c r="K22" s="593">
        <v>14</v>
      </c>
      <c r="L22" s="593">
        <v>17</v>
      </c>
      <c r="M22" s="593">
        <v>18</v>
      </c>
      <c r="N22" s="593">
        <v>21</v>
      </c>
      <c r="O22" s="593">
        <v>21</v>
      </c>
      <c r="P22" s="593">
        <v>24</v>
      </c>
      <c r="Q22" s="593">
        <v>29</v>
      </c>
      <c r="R22" s="593">
        <v>32</v>
      </c>
      <c r="S22" s="593">
        <v>33</v>
      </c>
      <c r="T22" s="593">
        <v>32</v>
      </c>
      <c r="U22" s="593">
        <v>36</v>
      </c>
      <c r="V22" s="593">
        <v>38</v>
      </c>
    </row>
    <row r="23" spans="1:22" s="691" customFormat="1" ht="13.5" customHeight="1" x14ac:dyDescent="0.25">
      <c r="A23" s="690"/>
      <c r="B23" s="591" t="s">
        <v>776</v>
      </c>
      <c r="C23" s="592" t="s">
        <v>777</v>
      </c>
      <c r="D23" s="592"/>
      <c r="E23" s="593">
        <v>5</v>
      </c>
      <c r="F23" s="593">
        <v>5</v>
      </c>
      <c r="G23" s="593">
        <v>5</v>
      </c>
      <c r="H23" s="593">
        <v>5</v>
      </c>
      <c r="I23" s="593">
        <v>5</v>
      </c>
      <c r="J23" s="593">
        <v>6</v>
      </c>
      <c r="K23" s="593">
        <v>5</v>
      </c>
      <c r="L23" s="593">
        <v>6</v>
      </c>
      <c r="M23" s="593">
        <v>7</v>
      </c>
      <c r="N23" s="593">
        <v>8</v>
      </c>
      <c r="O23" s="593">
        <v>9</v>
      </c>
      <c r="P23" s="593">
        <v>10</v>
      </c>
      <c r="Q23" s="593">
        <v>12</v>
      </c>
      <c r="R23" s="593">
        <v>14</v>
      </c>
      <c r="S23" s="593">
        <v>16</v>
      </c>
      <c r="T23" s="593">
        <v>18</v>
      </c>
      <c r="U23" s="593">
        <v>21</v>
      </c>
      <c r="V23" s="593">
        <v>25</v>
      </c>
    </row>
    <row r="24" spans="1:22" s="691" customFormat="1" ht="13.5" customHeight="1" x14ac:dyDescent="0.25">
      <c r="A24" s="690"/>
      <c r="B24" s="591" t="s">
        <v>778</v>
      </c>
      <c r="C24" s="592" t="s">
        <v>779</v>
      </c>
      <c r="D24" s="592"/>
      <c r="E24" s="593">
        <v>3</v>
      </c>
      <c r="F24" s="593">
        <v>3</v>
      </c>
      <c r="G24" s="593">
        <v>3</v>
      </c>
      <c r="H24" s="593">
        <v>3</v>
      </c>
      <c r="I24" s="593">
        <v>3</v>
      </c>
      <c r="J24" s="593">
        <v>4</v>
      </c>
      <c r="K24" s="593">
        <v>3</v>
      </c>
      <c r="L24" s="593">
        <v>4</v>
      </c>
      <c r="M24" s="593">
        <v>5</v>
      </c>
      <c r="N24" s="593">
        <v>6</v>
      </c>
      <c r="O24" s="593">
        <v>7</v>
      </c>
      <c r="P24" s="593">
        <v>9</v>
      </c>
      <c r="Q24" s="593">
        <v>13</v>
      </c>
      <c r="R24" s="593">
        <v>16</v>
      </c>
      <c r="S24" s="593">
        <v>14</v>
      </c>
      <c r="T24" s="593">
        <v>18</v>
      </c>
      <c r="U24" s="593">
        <v>25</v>
      </c>
      <c r="V24" s="593">
        <v>30</v>
      </c>
    </row>
    <row r="25" spans="1:22" s="691" customFormat="1" ht="13.5" customHeight="1" x14ac:dyDescent="0.25">
      <c r="A25" s="690"/>
      <c r="B25" s="591" t="s">
        <v>780</v>
      </c>
      <c r="C25" s="592" t="s">
        <v>781</v>
      </c>
      <c r="D25" s="592"/>
      <c r="E25" s="593">
        <v>4</v>
      </c>
      <c r="F25" s="593">
        <v>4</v>
      </c>
      <c r="G25" s="593">
        <v>4</v>
      </c>
      <c r="H25" s="593">
        <v>4</v>
      </c>
      <c r="I25" s="593">
        <v>4</v>
      </c>
      <c r="J25" s="593">
        <v>4</v>
      </c>
      <c r="K25" s="593">
        <v>4</v>
      </c>
      <c r="L25" s="593">
        <v>5</v>
      </c>
      <c r="M25" s="593">
        <v>6</v>
      </c>
      <c r="N25" s="593">
        <v>8</v>
      </c>
      <c r="O25" s="593">
        <v>8</v>
      </c>
      <c r="P25" s="593">
        <v>11</v>
      </c>
      <c r="Q25" s="593">
        <v>16</v>
      </c>
      <c r="R25" s="593">
        <v>18</v>
      </c>
      <c r="S25" s="593">
        <v>20</v>
      </c>
      <c r="T25" s="593">
        <v>22</v>
      </c>
      <c r="U25" s="593">
        <v>26</v>
      </c>
      <c r="V25" s="593">
        <v>25</v>
      </c>
    </row>
    <row r="26" spans="1:22" ht="13.5" customHeight="1" x14ac:dyDescent="0.25">
      <c r="A26" s="573"/>
      <c r="B26" s="568" t="s">
        <v>698</v>
      </c>
      <c r="C26" s="567" t="s">
        <v>782</v>
      </c>
      <c r="D26" s="567"/>
      <c r="E26" s="586">
        <v>14</v>
      </c>
      <c r="F26" s="586">
        <v>12</v>
      </c>
      <c r="G26" s="586">
        <v>11</v>
      </c>
      <c r="H26" s="586">
        <v>11</v>
      </c>
      <c r="I26" s="586">
        <v>7</v>
      </c>
      <c r="J26" s="586">
        <v>5</v>
      </c>
      <c r="K26" s="586">
        <v>10</v>
      </c>
      <c r="L26" s="586">
        <v>11</v>
      </c>
      <c r="M26" s="586">
        <v>27</v>
      </c>
      <c r="N26" s="586">
        <v>18</v>
      </c>
      <c r="O26" s="586">
        <v>21</v>
      </c>
      <c r="P26" s="586">
        <v>25</v>
      </c>
      <c r="Q26" s="586">
        <v>29</v>
      </c>
      <c r="R26" s="586">
        <v>37</v>
      </c>
      <c r="S26" s="586">
        <v>43</v>
      </c>
      <c r="T26" s="586">
        <v>47</v>
      </c>
      <c r="U26" s="586">
        <v>58</v>
      </c>
      <c r="V26" s="586">
        <v>83</v>
      </c>
    </row>
    <row r="27" spans="1:22" ht="13.5" customHeight="1" x14ac:dyDescent="0.25">
      <c r="A27" s="573"/>
      <c r="B27" s="568" t="s">
        <v>783</v>
      </c>
      <c r="C27" s="567" t="s">
        <v>784</v>
      </c>
      <c r="D27" s="567"/>
      <c r="E27" s="586">
        <v>14</v>
      </c>
      <c r="F27" s="586">
        <v>12</v>
      </c>
      <c r="G27" s="586">
        <v>11</v>
      </c>
      <c r="H27" s="586">
        <v>11</v>
      </c>
      <c r="I27" s="586">
        <v>7</v>
      </c>
      <c r="J27" s="586">
        <v>5</v>
      </c>
      <c r="K27" s="586">
        <v>10</v>
      </c>
      <c r="L27" s="586">
        <v>10</v>
      </c>
      <c r="M27" s="586">
        <v>24</v>
      </c>
      <c r="N27" s="586">
        <v>16</v>
      </c>
      <c r="O27" s="586">
        <v>19</v>
      </c>
      <c r="P27" s="586">
        <v>22</v>
      </c>
      <c r="Q27" s="586">
        <v>26</v>
      </c>
      <c r="R27" s="586">
        <v>28</v>
      </c>
      <c r="S27" s="586">
        <v>30</v>
      </c>
      <c r="T27" s="586">
        <v>31</v>
      </c>
      <c r="U27" s="586">
        <v>32</v>
      </c>
      <c r="V27" s="586">
        <v>37</v>
      </c>
    </row>
    <row r="28" spans="1:22" ht="13.5" customHeight="1" x14ac:dyDescent="0.25">
      <c r="A28" s="573"/>
      <c r="B28" s="568" t="s">
        <v>785</v>
      </c>
      <c r="C28" s="567" t="s">
        <v>786</v>
      </c>
      <c r="D28" s="567"/>
      <c r="E28" s="586">
        <v>30</v>
      </c>
      <c r="F28" s="586">
        <v>31</v>
      </c>
      <c r="G28" s="586">
        <v>35</v>
      </c>
      <c r="H28" s="586">
        <v>36</v>
      </c>
      <c r="I28" s="586">
        <v>43</v>
      </c>
      <c r="J28" s="586">
        <v>58</v>
      </c>
      <c r="K28" s="586">
        <v>70</v>
      </c>
      <c r="L28" s="586">
        <v>83</v>
      </c>
      <c r="M28" s="586">
        <v>105</v>
      </c>
      <c r="N28" s="586">
        <v>155</v>
      </c>
      <c r="O28" s="586">
        <v>176</v>
      </c>
      <c r="P28" s="586">
        <v>198</v>
      </c>
      <c r="Q28" s="586">
        <v>259</v>
      </c>
      <c r="R28" s="586">
        <v>313</v>
      </c>
      <c r="S28" s="586">
        <v>359</v>
      </c>
      <c r="T28" s="586">
        <v>392</v>
      </c>
      <c r="U28" s="586">
        <v>440</v>
      </c>
      <c r="V28" s="586">
        <v>449</v>
      </c>
    </row>
    <row r="29" spans="1:22" ht="14.25" customHeight="1" x14ac:dyDescent="0.25">
      <c r="A29" s="565"/>
      <c r="B29" s="581" t="s">
        <v>787</v>
      </c>
      <c r="C29" s="582" t="s">
        <v>788</v>
      </c>
      <c r="D29" s="582"/>
      <c r="E29" s="692">
        <v>274</v>
      </c>
      <c r="F29" s="692">
        <v>317</v>
      </c>
      <c r="G29" s="692">
        <v>338</v>
      </c>
      <c r="H29" s="692">
        <v>374</v>
      </c>
      <c r="I29" s="692">
        <v>448</v>
      </c>
      <c r="J29" s="692">
        <v>529</v>
      </c>
      <c r="K29" s="693">
        <v>634</v>
      </c>
      <c r="L29" s="693">
        <v>767</v>
      </c>
      <c r="M29" s="693">
        <v>992</v>
      </c>
      <c r="N29" s="693">
        <v>1307</v>
      </c>
      <c r="O29" s="693">
        <v>1483</v>
      </c>
      <c r="P29" s="693">
        <v>1657</v>
      </c>
      <c r="Q29" s="693">
        <v>1849</v>
      </c>
      <c r="R29" s="693">
        <v>2147</v>
      </c>
      <c r="S29" s="693">
        <v>2353</v>
      </c>
      <c r="T29" s="693">
        <v>2578</v>
      </c>
      <c r="U29" s="693">
        <v>2857</v>
      </c>
      <c r="V29" s="693">
        <v>3153</v>
      </c>
    </row>
    <row r="30" spans="1:22" ht="14.25" customHeight="1" x14ac:dyDescent="0.25">
      <c r="A30" s="565"/>
      <c r="B30" s="581" t="s">
        <v>789</v>
      </c>
      <c r="C30" s="582" t="s">
        <v>790</v>
      </c>
      <c r="D30" s="582"/>
      <c r="E30" s="692">
        <v>52</v>
      </c>
      <c r="F30" s="692">
        <v>60</v>
      </c>
      <c r="G30" s="692">
        <v>66</v>
      </c>
      <c r="H30" s="692">
        <v>77</v>
      </c>
      <c r="I30" s="692">
        <v>91</v>
      </c>
      <c r="J30" s="692">
        <v>113</v>
      </c>
      <c r="K30" s="693">
        <v>140</v>
      </c>
      <c r="L30" s="693">
        <v>177</v>
      </c>
      <c r="M30" s="693">
        <v>222</v>
      </c>
      <c r="N30" s="693">
        <v>326</v>
      </c>
      <c r="O30" s="693">
        <v>358</v>
      </c>
      <c r="P30" s="693">
        <v>407</v>
      </c>
      <c r="Q30" s="693">
        <v>463</v>
      </c>
      <c r="R30" s="693">
        <v>553</v>
      </c>
      <c r="S30" s="693">
        <v>593</v>
      </c>
      <c r="T30" s="693">
        <v>640</v>
      </c>
      <c r="U30" s="693">
        <v>699</v>
      </c>
      <c r="V30" s="693">
        <v>761</v>
      </c>
    </row>
    <row r="31" spans="1:22" ht="13.5" customHeight="1" x14ac:dyDescent="0.25">
      <c r="A31" s="573"/>
      <c r="B31" s="568" t="s">
        <v>791</v>
      </c>
      <c r="C31" s="567" t="s">
        <v>792</v>
      </c>
      <c r="D31" s="567"/>
      <c r="E31" s="586">
        <v>2</v>
      </c>
      <c r="F31" s="586">
        <v>2</v>
      </c>
      <c r="G31" s="586">
        <v>3</v>
      </c>
      <c r="H31" s="586">
        <v>3</v>
      </c>
      <c r="I31" s="586">
        <v>4</v>
      </c>
      <c r="J31" s="586">
        <v>4</v>
      </c>
      <c r="K31" s="586">
        <v>6</v>
      </c>
      <c r="L31" s="586">
        <v>7</v>
      </c>
      <c r="M31" s="586">
        <v>9</v>
      </c>
      <c r="N31" s="586">
        <v>13</v>
      </c>
      <c r="O31" s="586">
        <v>14</v>
      </c>
      <c r="P31" s="586">
        <v>16</v>
      </c>
      <c r="Q31" s="586">
        <v>18</v>
      </c>
      <c r="R31" s="586">
        <v>20</v>
      </c>
      <c r="S31" s="586">
        <v>22</v>
      </c>
      <c r="T31" s="586">
        <v>23</v>
      </c>
      <c r="U31" s="586">
        <v>24</v>
      </c>
      <c r="V31" s="586">
        <v>28</v>
      </c>
    </row>
    <row r="32" spans="1:22" ht="13.5" customHeight="1" x14ac:dyDescent="0.25">
      <c r="A32" s="573"/>
      <c r="B32" s="568" t="s">
        <v>793</v>
      </c>
      <c r="C32" s="567" t="s">
        <v>794</v>
      </c>
      <c r="D32" s="567"/>
      <c r="E32" s="586">
        <v>36</v>
      </c>
      <c r="F32" s="586">
        <v>39</v>
      </c>
      <c r="G32" s="586">
        <v>43</v>
      </c>
      <c r="H32" s="586">
        <v>48</v>
      </c>
      <c r="I32" s="586">
        <v>58</v>
      </c>
      <c r="J32" s="586">
        <v>73</v>
      </c>
      <c r="K32" s="586">
        <v>90</v>
      </c>
      <c r="L32" s="586">
        <v>111</v>
      </c>
      <c r="M32" s="586">
        <v>140</v>
      </c>
      <c r="N32" s="586">
        <v>208</v>
      </c>
      <c r="O32" s="586">
        <v>227</v>
      </c>
      <c r="P32" s="586">
        <v>257</v>
      </c>
      <c r="Q32" s="586">
        <v>293</v>
      </c>
      <c r="R32" s="586">
        <v>348</v>
      </c>
      <c r="S32" s="586">
        <v>370</v>
      </c>
      <c r="T32" s="586">
        <v>410</v>
      </c>
      <c r="U32" s="586">
        <v>450</v>
      </c>
      <c r="V32" s="586">
        <v>476</v>
      </c>
    </row>
    <row r="33" spans="1:22" ht="13.5" customHeight="1" x14ac:dyDescent="0.25">
      <c r="A33" s="573"/>
      <c r="B33" s="568" t="s">
        <v>795</v>
      </c>
      <c r="C33" s="567" t="s">
        <v>796</v>
      </c>
      <c r="D33" s="567"/>
      <c r="E33" s="586">
        <v>15</v>
      </c>
      <c r="F33" s="586">
        <v>18</v>
      </c>
      <c r="G33" s="586">
        <v>21</v>
      </c>
      <c r="H33" s="586">
        <v>26</v>
      </c>
      <c r="I33" s="586">
        <v>29</v>
      </c>
      <c r="J33" s="586">
        <v>36</v>
      </c>
      <c r="K33" s="586">
        <v>44</v>
      </c>
      <c r="L33" s="586">
        <v>57</v>
      </c>
      <c r="M33" s="586">
        <v>72</v>
      </c>
      <c r="N33" s="586">
        <v>98</v>
      </c>
      <c r="O33" s="586">
        <v>112</v>
      </c>
      <c r="P33" s="586">
        <v>130</v>
      </c>
      <c r="Q33" s="586">
        <v>147</v>
      </c>
      <c r="R33" s="586">
        <v>182</v>
      </c>
      <c r="S33" s="586">
        <v>201</v>
      </c>
      <c r="T33" s="586">
        <v>207</v>
      </c>
      <c r="U33" s="586">
        <v>225</v>
      </c>
      <c r="V33" s="586">
        <v>257</v>
      </c>
    </row>
    <row r="34" spans="1:22" ht="14.25" customHeight="1" x14ac:dyDescent="0.25">
      <c r="A34" s="565"/>
      <c r="B34" s="581" t="s">
        <v>797</v>
      </c>
      <c r="C34" s="582" t="s">
        <v>798</v>
      </c>
      <c r="D34" s="582"/>
      <c r="E34" s="692">
        <v>214</v>
      </c>
      <c r="F34" s="692">
        <v>247</v>
      </c>
      <c r="G34" s="692">
        <v>264</v>
      </c>
      <c r="H34" s="692">
        <v>292</v>
      </c>
      <c r="I34" s="692">
        <v>350</v>
      </c>
      <c r="J34" s="692">
        <v>412</v>
      </c>
      <c r="K34" s="693">
        <v>495</v>
      </c>
      <c r="L34" s="693">
        <v>598</v>
      </c>
      <c r="M34" s="693">
        <v>784</v>
      </c>
      <c r="N34" s="693">
        <v>983</v>
      </c>
      <c r="O34" s="693">
        <v>1132</v>
      </c>
      <c r="P34" s="693">
        <v>1256</v>
      </c>
      <c r="Q34" s="693">
        <v>1388</v>
      </c>
      <c r="R34" s="693">
        <v>1588</v>
      </c>
      <c r="S34" s="693">
        <v>1760</v>
      </c>
      <c r="T34" s="693">
        <v>1938</v>
      </c>
      <c r="U34" s="693">
        <v>2158</v>
      </c>
      <c r="V34" s="693">
        <v>2392</v>
      </c>
    </row>
    <row r="35" spans="1:22" ht="13.5" customHeight="1" x14ac:dyDescent="0.25">
      <c r="A35" s="573"/>
      <c r="B35" s="568" t="s">
        <v>799</v>
      </c>
      <c r="C35" s="567" t="s">
        <v>800</v>
      </c>
      <c r="D35" s="567"/>
      <c r="E35" s="586">
        <v>6</v>
      </c>
      <c r="F35" s="586">
        <v>7</v>
      </c>
      <c r="G35" s="586">
        <v>7</v>
      </c>
      <c r="H35" s="586">
        <v>10</v>
      </c>
      <c r="I35" s="586">
        <v>15</v>
      </c>
      <c r="J35" s="586">
        <v>20</v>
      </c>
      <c r="K35" s="586">
        <v>31</v>
      </c>
      <c r="L35" s="586">
        <v>39</v>
      </c>
      <c r="M35" s="586">
        <v>47</v>
      </c>
      <c r="N35" s="586">
        <v>57</v>
      </c>
      <c r="O35" s="586">
        <v>60</v>
      </c>
      <c r="P35" s="586">
        <v>68</v>
      </c>
      <c r="Q35" s="586">
        <v>73</v>
      </c>
      <c r="R35" s="586">
        <v>77</v>
      </c>
      <c r="S35" s="586">
        <v>80</v>
      </c>
      <c r="T35" s="586">
        <v>96</v>
      </c>
      <c r="U35" s="586">
        <v>107</v>
      </c>
      <c r="V35" s="586">
        <v>124</v>
      </c>
    </row>
    <row r="36" spans="1:22" ht="13.5" customHeight="1" x14ac:dyDescent="0.25">
      <c r="A36" s="573"/>
      <c r="B36" s="568" t="s">
        <v>801</v>
      </c>
      <c r="C36" s="567" t="s">
        <v>802</v>
      </c>
      <c r="D36" s="567"/>
      <c r="E36" s="586">
        <v>6</v>
      </c>
      <c r="F36" s="586">
        <v>7</v>
      </c>
      <c r="G36" s="586">
        <v>9</v>
      </c>
      <c r="H36" s="586">
        <v>11</v>
      </c>
      <c r="I36" s="586">
        <v>12</v>
      </c>
      <c r="J36" s="586">
        <v>15</v>
      </c>
      <c r="K36" s="586">
        <v>18</v>
      </c>
      <c r="L36" s="586">
        <v>23</v>
      </c>
      <c r="M36" s="586">
        <v>29</v>
      </c>
      <c r="N36" s="586">
        <v>40</v>
      </c>
      <c r="O36" s="586">
        <v>46</v>
      </c>
      <c r="P36" s="586">
        <v>52</v>
      </c>
      <c r="Q36" s="586">
        <v>58</v>
      </c>
      <c r="R36" s="586">
        <v>73</v>
      </c>
      <c r="S36" s="586">
        <v>72</v>
      </c>
      <c r="T36" s="586">
        <v>80</v>
      </c>
      <c r="U36" s="586">
        <v>92</v>
      </c>
      <c r="V36" s="586">
        <v>93</v>
      </c>
    </row>
    <row r="37" spans="1:22" ht="13.5" customHeight="1" x14ac:dyDescent="0.25">
      <c r="A37" s="573"/>
      <c r="B37" s="568" t="s">
        <v>803</v>
      </c>
      <c r="C37" s="567" t="s">
        <v>804</v>
      </c>
      <c r="D37" s="567"/>
      <c r="E37" s="586">
        <v>18</v>
      </c>
      <c r="F37" s="586">
        <v>23</v>
      </c>
      <c r="G37" s="586">
        <v>22</v>
      </c>
      <c r="H37" s="586">
        <v>22</v>
      </c>
      <c r="I37" s="586">
        <v>30</v>
      </c>
      <c r="J37" s="586">
        <v>37</v>
      </c>
      <c r="K37" s="586">
        <v>41</v>
      </c>
      <c r="L37" s="586">
        <v>49</v>
      </c>
      <c r="M37" s="586">
        <v>59</v>
      </c>
      <c r="N37" s="586">
        <v>65</v>
      </c>
      <c r="O37" s="586">
        <v>65</v>
      </c>
      <c r="P37" s="586">
        <v>82</v>
      </c>
      <c r="Q37" s="586">
        <v>103</v>
      </c>
      <c r="R37" s="586">
        <v>132</v>
      </c>
      <c r="S37" s="586">
        <v>157</v>
      </c>
      <c r="T37" s="586">
        <v>159</v>
      </c>
      <c r="U37" s="586">
        <v>175</v>
      </c>
      <c r="V37" s="586">
        <v>180</v>
      </c>
    </row>
    <row r="38" spans="1:22" ht="13.5" customHeight="1" x14ac:dyDescent="0.25">
      <c r="A38" s="573"/>
      <c r="B38" s="568" t="s">
        <v>805</v>
      </c>
      <c r="C38" s="567" t="s">
        <v>806</v>
      </c>
      <c r="D38" s="567"/>
      <c r="E38" s="586">
        <v>87</v>
      </c>
      <c r="F38" s="586">
        <v>92</v>
      </c>
      <c r="G38" s="586">
        <v>96</v>
      </c>
      <c r="H38" s="586">
        <v>100</v>
      </c>
      <c r="I38" s="586">
        <v>117</v>
      </c>
      <c r="J38" s="586">
        <v>125</v>
      </c>
      <c r="K38" s="586">
        <v>139</v>
      </c>
      <c r="L38" s="586">
        <v>151</v>
      </c>
      <c r="M38" s="586">
        <v>230</v>
      </c>
      <c r="N38" s="586">
        <v>316</v>
      </c>
      <c r="O38" s="586">
        <v>384</v>
      </c>
      <c r="P38" s="586">
        <v>401</v>
      </c>
      <c r="Q38" s="586">
        <v>422</v>
      </c>
      <c r="R38" s="586">
        <v>418</v>
      </c>
      <c r="S38" s="586">
        <v>415</v>
      </c>
      <c r="T38" s="586">
        <v>452</v>
      </c>
      <c r="U38" s="586">
        <v>486</v>
      </c>
      <c r="V38" s="586">
        <v>551</v>
      </c>
    </row>
    <row r="39" spans="1:22" ht="13.5" customHeight="1" x14ac:dyDescent="0.25">
      <c r="A39" s="573"/>
      <c r="B39" s="568" t="s">
        <v>807</v>
      </c>
      <c r="C39" s="567" t="s">
        <v>808</v>
      </c>
      <c r="D39" s="567"/>
      <c r="E39" s="586">
        <v>26</v>
      </c>
      <c r="F39" s="586">
        <v>27</v>
      </c>
      <c r="G39" s="586">
        <v>29</v>
      </c>
      <c r="H39" s="586">
        <v>30</v>
      </c>
      <c r="I39" s="586">
        <v>35</v>
      </c>
      <c r="J39" s="586">
        <v>37</v>
      </c>
      <c r="K39" s="586">
        <v>41</v>
      </c>
      <c r="L39" s="586">
        <v>45</v>
      </c>
      <c r="M39" s="586">
        <v>68</v>
      </c>
      <c r="N39" s="586">
        <v>94</v>
      </c>
      <c r="O39" s="586">
        <v>114</v>
      </c>
      <c r="P39" s="586">
        <v>119</v>
      </c>
      <c r="Q39" s="586">
        <v>126</v>
      </c>
      <c r="R39" s="586">
        <v>141</v>
      </c>
      <c r="S39" s="586">
        <v>153</v>
      </c>
      <c r="T39" s="586">
        <v>144</v>
      </c>
      <c r="U39" s="586">
        <v>169</v>
      </c>
      <c r="V39" s="586">
        <v>190</v>
      </c>
    </row>
    <row r="40" spans="1:22" ht="13.5" customHeight="1" x14ac:dyDescent="0.25">
      <c r="A40" s="573"/>
      <c r="B40" s="568" t="s">
        <v>809</v>
      </c>
      <c r="C40" s="567" t="s">
        <v>810</v>
      </c>
      <c r="D40" s="567"/>
      <c r="E40" s="586">
        <v>29</v>
      </c>
      <c r="F40" s="586">
        <v>31</v>
      </c>
      <c r="G40" s="586">
        <v>32</v>
      </c>
      <c r="H40" s="586">
        <v>33</v>
      </c>
      <c r="I40" s="586">
        <v>39</v>
      </c>
      <c r="J40" s="586">
        <v>42</v>
      </c>
      <c r="K40" s="586">
        <v>47</v>
      </c>
      <c r="L40" s="586">
        <v>51</v>
      </c>
      <c r="M40" s="586">
        <v>77</v>
      </c>
      <c r="N40" s="586">
        <v>106</v>
      </c>
      <c r="O40" s="586">
        <v>129</v>
      </c>
      <c r="P40" s="586">
        <v>134</v>
      </c>
      <c r="Q40" s="586">
        <v>142</v>
      </c>
      <c r="R40" s="586">
        <v>160</v>
      </c>
      <c r="S40" s="586">
        <v>173</v>
      </c>
      <c r="T40" s="586">
        <v>202</v>
      </c>
      <c r="U40" s="586">
        <v>241</v>
      </c>
      <c r="V40" s="586">
        <v>279</v>
      </c>
    </row>
    <row r="41" spans="1:22" ht="13.5" customHeight="1" x14ac:dyDescent="0.25">
      <c r="A41" s="573"/>
      <c r="B41" s="568" t="s">
        <v>811</v>
      </c>
      <c r="C41" s="567" t="s">
        <v>812</v>
      </c>
      <c r="D41" s="567"/>
      <c r="E41" s="586">
        <v>42</v>
      </c>
      <c r="F41" s="586">
        <v>46</v>
      </c>
      <c r="G41" s="586">
        <v>48</v>
      </c>
      <c r="H41" s="586">
        <v>49</v>
      </c>
      <c r="I41" s="586">
        <v>56</v>
      </c>
      <c r="J41" s="586">
        <v>60</v>
      </c>
      <c r="K41" s="586">
        <v>66</v>
      </c>
      <c r="L41" s="586">
        <v>76</v>
      </c>
      <c r="M41" s="586">
        <v>86</v>
      </c>
      <c r="N41" s="586">
        <v>100</v>
      </c>
      <c r="O41" s="586">
        <v>116</v>
      </c>
      <c r="P41" s="586">
        <v>137</v>
      </c>
      <c r="Q41" s="586">
        <v>165</v>
      </c>
      <c r="R41" s="586">
        <v>210</v>
      </c>
      <c r="S41" s="586">
        <v>238</v>
      </c>
      <c r="T41" s="586">
        <v>260</v>
      </c>
      <c r="U41" s="586">
        <v>282</v>
      </c>
      <c r="V41" s="586">
        <v>329</v>
      </c>
    </row>
    <row r="42" spans="1:22" ht="13.5" customHeight="1" x14ac:dyDescent="0.25">
      <c r="A42" s="573"/>
      <c r="B42" s="568" t="s">
        <v>813</v>
      </c>
      <c r="C42" s="567" t="s">
        <v>385</v>
      </c>
      <c r="D42" s="567"/>
      <c r="E42" s="586">
        <v>6</v>
      </c>
      <c r="F42" s="586">
        <v>10</v>
      </c>
      <c r="G42" s="586">
        <v>10</v>
      </c>
      <c r="H42" s="586">
        <v>13</v>
      </c>
      <c r="I42" s="586">
        <v>14</v>
      </c>
      <c r="J42" s="586">
        <v>17</v>
      </c>
      <c r="K42" s="586">
        <v>23</v>
      </c>
      <c r="L42" s="586">
        <v>30</v>
      </c>
      <c r="M42" s="586">
        <v>38</v>
      </c>
      <c r="N42" s="586">
        <v>44</v>
      </c>
      <c r="O42" s="586">
        <v>56</v>
      </c>
      <c r="P42" s="586">
        <v>68</v>
      </c>
      <c r="Q42" s="586">
        <v>85</v>
      </c>
      <c r="R42" s="586">
        <v>104</v>
      </c>
      <c r="S42" s="586">
        <v>140</v>
      </c>
      <c r="T42" s="586">
        <v>154</v>
      </c>
      <c r="U42" s="586">
        <v>157</v>
      </c>
      <c r="V42" s="586">
        <v>163</v>
      </c>
    </row>
    <row r="43" spans="1:22" ht="13.5" customHeight="1" x14ac:dyDescent="0.25">
      <c r="A43" s="573"/>
      <c r="B43" s="568" t="s">
        <v>814</v>
      </c>
      <c r="C43" s="567" t="s">
        <v>815</v>
      </c>
      <c r="D43" s="567"/>
      <c r="E43" s="586">
        <v>16</v>
      </c>
      <c r="F43" s="586">
        <v>17</v>
      </c>
      <c r="G43" s="586">
        <v>19</v>
      </c>
      <c r="H43" s="586">
        <v>21</v>
      </c>
      <c r="I43" s="586">
        <v>28</v>
      </c>
      <c r="J43" s="586">
        <v>31</v>
      </c>
      <c r="K43" s="586">
        <v>31</v>
      </c>
      <c r="L43" s="586">
        <v>33</v>
      </c>
      <c r="M43" s="586">
        <v>44</v>
      </c>
      <c r="N43" s="586">
        <v>54</v>
      </c>
      <c r="O43" s="586">
        <v>66</v>
      </c>
      <c r="P43" s="586">
        <v>78</v>
      </c>
      <c r="Q43" s="586">
        <v>80</v>
      </c>
      <c r="R43" s="586">
        <v>102</v>
      </c>
      <c r="S43" s="586">
        <v>117</v>
      </c>
      <c r="T43" s="586">
        <v>133</v>
      </c>
      <c r="U43" s="586">
        <v>137</v>
      </c>
      <c r="V43" s="586">
        <v>140</v>
      </c>
    </row>
    <row r="44" spans="1:22" ht="13.5" customHeight="1" x14ac:dyDescent="0.25">
      <c r="A44" s="573"/>
      <c r="B44" s="568" t="s">
        <v>816</v>
      </c>
      <c r="C44" s="567" t="s">
        <v>817</v>
      </c>
      <c r="D44" s="567"/>
      <c r="E44" s="586">
        <v>5</v>
      </c>
      <c r="F44" s="586">
        <v>27</v>
      </c>
      <c r="G44" s="586">
        <v>28</v>
      </c>
      <c r="H44" s="586">
        <v>34</v>
      </c>
      <c r="I44" s="586">
        <v>47</v>
      </c>
      <c r="J44" s="586">
        <v>58</v>
      </c>
      <c r="K44" s="586">
        <v>83</v>
      </c>
      <c r="L44" s="586">
        <v>105</v>
      </c>
      <c r="M44" s="586">
        <v>123</v>
      </c>
      <c r="N44" s="586">
        <v>138</v>
      </c>
      <c r="O44" s="586">
        <v>141</v>
      </c>
      <c r="P44" s="586">
        <v>153</v>
      </c>
      <c r="Q44" s="586">
        <v>161</v>
      </c>
      <c r="R44" s="586">
        <v>185</v>
      </c>
      <c r="S44" s="586">
        <v>214</v>
      </c>
      <c r="T44" s="586">
        <v>257</v>
      </c>
      <c r="U44" s="586">
        <v>313</v>
      </c>
      <c r="V44" s="586">
        <v>342</v>
      </c>
    </row>
    <row r="45" spans="1:22" ht="6.75" customHeight="1" x14ac:dyDescent="0.25">
      <c r="A45" s="565"/>
      <c r="B45" s="565"/>
      <c r="C45" s="572"/>
      <c r="D45" s="572"/>
      <c r="E45" s="696"/>
      <c r="F45" s="696"/>
      <c r="G45" s="696"/>
      <c r="H45" s="696"/>
      <c r="I45" s="696"/>
      <c r="J45" s="696"/>
      <c r="K45" s="696"/>
      <c r="L45" s="696">
        <v>0</v>
      </c>
      <c r="M45" s="696">
        <v>0</v>
      </c>
      <c r="N45" s="696">
        <v>0</v>
      </c>
      <c r="O45" s="696">
        <v>0</v>
      </c>
      <c r="P45" s="696">
        <v>0</v>
      </c>
      <c r="Q45" s="696">
        <v>0</v>
      </c>
      <c r="R45" s="696">
        <v>0</v>
      </c>
      <c r="S45" s="696">
        <v>0</v>
      </c>
      <c r="T45" s="696">
        <v>0</v>
      </c>
      <c r="U45" s="696">
        <v>0</v>
      </c>
      <c r="V45" s="696">
        <v>0</v>
      </c>
    </row>
    <row r="46" spans="1:22" ht="14.25" customHeight="1" x14ac:dyDescent="0.25">
      <c r="A46" s="565"/>
      <c r="B46" s="581" t="s">
        <v>818</v>
      </c>
      <c r="C46" s="582"/>
      <c r="D46" s="582"/>
      <c r="E46" s="692">
        <v>47</v>
      </c>
      <c r="F46" s="692">
        <v>49</v>
      </c>
      <c r="G46" s="692">
        <v>57</v>
      </c>
      <c r="H46" s="692">
        <v>66</v>
      </c>
      <c r="I46" s="692">
        <v>81</v>
      </c>
      <c r="J46" s="692">
        <v>98</v>
      </c>
      <c r="K46" s="693">
        <v>112</v>
      </c>
      <c r="L46" s="693">
        <v>129</v>
      </c>
      <c r="M46" s="693">
        <v>157</v>
      </c>
      <c r="N46" s="693">
        <v>215</v>
      </c>
      <c r="O46" s="693">
        <v>239</v>
      </c>
      <c r="P46" s="693">
        <v>266</v>
      </c>
      <c r="Q46" s="693">
        <v>328</v>
      </c>
      <c r="R46" s="693">
        <v>301</v>
      </c>
      <c r="S46" s="693">
        <v>304</v>
      </c>
      <c r="T46" s="693">
        <v>377</v>
      </c>
      <c r="U46" s="693">
        <v>414</v>
      </c>
      <c r="V46" s="693">
        <v>417</v>
      </c>
    </row>
    <row r="47" spans="1:22" ht="7.5" customHeight="1" thickBot="1" x14ac:dyDescent="0.3">
      <c r="A47" s="565"/>
      <c r="B47" s="596"/>
      <c r="C47" s="597"/>
      <c r="D47" s="597"/>
      <c r="E47" s="597"/>
      <c r="F47" s="597"/>
      <c r="G47" s="597"/>
      <c r="H47" s="597"/>
      <c r="I47" s="597"/>
      <c r="J47" s="597"/>
      <c r="K47" s="597"/>
      <c r="L47" s="597"/>
      <c r="M47" s="597"/>
      <c r="N47" s="597"/>
      <c r="O47" s="597"/>
      <c r="P47" s="597"/>
      <c r="Q47" s="597"/>
      <c r="R47" s="597"/>
      <c r="S47" s="597"/>
      <c r="T47" s="597"/>
      <c r="U47" s="597"/>
      <c r="V47" s="597"/>
    </row>
    <row r="48" spans="1:22" s="601" customFormat="1" ht="12.75" customHeight="1" thickTop="1" x14ac:dyDescent="0.2">
      <c r="A48" s="598"/>
      <c r="B48" s="599" t="s">
        <v>819</v>
      </c>
      <c r="C48" s="600"/>
    </row>
    <row r="49" spans="1:3" s="601" customFormat="1" ht="12.75" customHeight="1" x14ac:dyDescent="0.2">
      <c r="A49" s="598"/>
      <c r="B49" s="602">
        <v>42807</v>
      </c>
      <c r="C49" s="600"/>
    </row>
    <row r="50" spans="1:3" s="604" customFormat="1" ht="18" x14ac:dyDescent="0.25">
      <c r="A50" s="565"/>
      <c r="B50" s="603"/>
    </row>
    <row r="51" spans="1:3" s="604" customFormat="1" ht="18" x14ac:dyDescent="0.25">
      <c r="A51" s="565"/>
      <c r="B51" s="584"/>
    </row>
    <row r="52" spans="1:3" s="604" customFormat="1" ht="18" x14ac:dyDescent="0.25">
      <c r="A52" s="565"/>
      <c r="B52" s="584"/>
    </row>
    <row r="53" spans="1:3" s="604" customFormat="1" ht="18" x14ac:dyDescent="0.25">
      <c r="A53" s="565"/>
      <c r="B53" s="584"/>
    </row>
    <row r="54" spans="1:3" s="604" customFormat="1" ht="18" x14ac:dyDescent="0.25">
      <c r="A54" s="565"/>
      <c r="B54" s="584"/>
    </row>
    <row r="55" spans="1:3" s="604" customFormat="1" ht="18" x14ac:dyDescent="0.25">
      <c r="A55" s="565"/>
      <c r="B55" s="584"/>
    </row>
    <row r="56" spans="1:3" s="604" customFormat="1" ht="18" x14ac:dyDescent="0.25">
      <c r="A56" s="565"/>
      <c r="B56" s="584"/>
    </row>
    <row r="57" spans="1:3" s="604" customFormat="1" ht="18" x14ac:dyDescent="0.25">
      <c r="A57" s="565"/>
      <c r="B57" s="584"/>
    </row>
    <row r="58" spans="1:3" s="604" customFormat="1" ht="18" x14ac:dyDescent="0.25">
      <c r="A58" s="565"/>
      <c r="B58" s="584"/>
    </row>
    <row r="59" spans="1:3" s="604" customFormat="1" ht="18" x14ac:dyDescent="0.25">
      <c r="A59" s="565"/>
      <c r="B59" s="584"/>
    </row>
    <row r="60" spans="1:3" s="604" customFormat="1" ht="18" x14ac:dyDescent="0.25">
      <c r="A60" s="565"/>
      <c r="B60" s="584"/>
    </row>
    <row r="61" spans="1:3" s="604" customFormat="1" ht="18" x14ac:dyDescent="0.25">
      <c r="A61" s="565"/>
      <c r="B61" s="584"/>
    </row>
    <row r="62" spans="1:3" s="604" customFormat="1" ht="18" x14ac:dyDescent="0.25">
      <c r="A62" s="565"/>
      <c r="B62" s="584"/>
    </row>
    <row r="63" spans="1:3" s="604" customFormat="1" ht="18" x14ac:dyDescent="0.25">
      <c r="A63" s="565"/>
      <c r="B63" s="584"/>
    </row>
  </sheetData>
  <conditionalFormatting sqref="L7:V8 L10:V14 L45:V45">
    <cfRule type="cellIs" dxfId="69" priority="30" operator="lessThan">
      <formula>0</formula>
    </cfRule>
  </conditionalFormatting>
  <conditionalFormatting sqref="K7:K8 E10:K14">
    <cfRule type="cellIs" dxfId="68" priority="29" operator="lessThan">
      <formula>0</formula>
    </cfRule>
  </conditionalFormatting>
  <conditionalFormatting sqref="L7:V8 L10:V14">
    <cfRule type="cellIs" dxfId="67" priority="28" operator="lessThan">
      <formula>0</formula>
    </cfRule>
  </conditionalFormatting>
  <conditionalFormatting sqref="L16:V16 L18:V28">
    <cfRule type="cellIs" dxfId="66" priority="27" operator="lessThan">
      <formula>0</formula>
    </cfRule>
  </conditionalFormatting>
  <conditionalFormatting sqref="E16:K16 E18:K28">
    <cfRule type="cellIs" dxfId="65" priority="26" operator="lessThan">
      <formula>0</formula>
    </cfRule>
  </conditionalFormatting>
  <conditionalFormatting sqref="L16:V16 L18:V28">
    <cfRule type="cellIs" dxfId="64" priority="25" operator="lessThan">
      <formula>0</formula>
    </cfRule>
  </conditionalFormatting>
  <conditionalFormatting sqref="L9:V9">
    <cfRule type="cellIs" dxfId="63" priority="24" operator="lessThan">
      <formula>0</formula>
    </cfRule>
  </conditionalFormatting>
  <conditionalFormatting sqref="K9">
    <cfRule type="cellIs" dxfId="62" priority="23" operator="lessThan">
      <formula>0</formula>
    </cfRule>
  </conditionalFormatting>
  <conditionalFormatting sqref="L9:V9">
    <cfRule type="cellIs" dxfId="61" priority="22" operator="lessThan">
      <formula>0</formula>
    </cfRule>
  </conditionalFormatting>
  <conditionalFormatting sqref="L15:V15">
    <cfRule type="cellIs" dxfId="60" priority="21" operator="lessThan">
      <formula>0</formula>
    </cfRule>
  </conditionalFormatting>
  <conditionalFormatting sqref="K15">
    <cfRule type="cellIs" dxfId="59" priority="20" operator="lessThan">
      <formula>0</formula>
    </cfRule>
  </conditionalFormatting>
  <conditionalFormatting sqref="L15:V15">
    <cfRule type="cellIs" dxfId="58" priority="19" operator="lessThan">
      <formula>0</formula>
    </cfRule>
  </conditionalFormatting>
  <conditionalFormatting sqref="L17:V17">
    <cfRule type="cellIs" dxfId="57" priority="18" operator="lessThan">
      <formula>0</formula>
    </cfRule>
  </conditionalFormatting>
  <conditionalFormatting sqref="K17">
    <cfRule type="cellIs" dxfId="56" priority="17" operator="lessThan">
      <formula>0</formula>
    </cfRule>
  </conditionalFormatting>
  <conditionalFormatting sqref="L17:V17">
    <cfRule type="cellIs" dxfId="55" priority="16" operator="lessThan">
      <formula>0</formula>
    </cfRule>
  </conditionalFormatting>
  <conditionalFormatting sqref="L29:V30">
    <cfRule type="cellIs" dxfId="54" priority="15" operator="lessThan">
      <formula>0</formula>
    </cfRule>
  </conditionalFormatting>
  <conditionalFormatting sqref="K29:K30">
    <cfRule type="cellIs" dxfId="53" priority="14" operator="lessThan">
      <formula>0</formula>
    </cfRule>
  </conditionalFormatting>
  <conditionalFormatting sqref="L29:V30">
    <cfRule type="cellIs" dxfId="52" priority="13" operator="lessThan">
      <formula>0</formula>
    </cfRule>
  </conditionalFormatting>
  <conditionalFormatting sqref="L34:V34">
    <cfRule type="cellIs" dxfId="51" priority="12" operator="lessThan">
      <formula>0</formula>
    </cfRule>
  </conditionalFormatting>
  <conditionalFormatting sqref="K34">
    <cfRule type="cellIs" dxfId="50" priority="11" operator="lessThan">
      <formula>0</formula>
    </cfRule>
  </conditionalFormatting>
  <conditionalFormatting sqref="L34:V34">
    <cfRule type="cellIs" dxfId="49" priority="10" operator="lessThan">
      <formula>0</formula>
    </cfRule>
  </conditionalFormatting>
  <conditionalFormatting sqref="L31:V33">
    <cfRule type="cellIs" dxfId="48" priority="9" operator="lessThan">
      <formula>0</formula>
    </cfRule>
  </conditionalFormatting>
  <conditionalFormatting sqref="E31:K33">
    <cfRule type="cellIs" dxfId="47" priority="8" operator="lessThan">
      <formula>0</formula>
    </cfRule>
  </conditionalFormatting>
  <conditionalFormatting sqref="L31:V33">
    <cfRule type="cellIs" dxfId="46" priority="7" operator="lessThan">
      <formula>0</formula>
    </cfRule>
  </conditionalFormatting>
  <conditionalFormatting sqref="L35:V44">
    <cfRule type="cellIs" dxfId="45" priority="6" operator="lessThan">
      <formula>0</formula>
    </cfRule>
  </conditionalFormatting>
  <conditionalFormatting sqref="E35:K44">
    <cfRule type="cellIs" dxfId="44" priority="5" operator="lessThan">
      <formula>0</formula>
    </cfRule>
  </conditionalFormatting>
  <conditionalFormatting sqref="L35:V44">
    <cfRule type="cellIs" dxfId="43" priority="4" operator="lessThan">
      <formula>0</formula>
    </cfRule>
  </conditionalFormatting>
  <conditionalFormatting sqref="L46:V46">
    <cfRule type="cellIs" dxfId="42" priority="3" operator="lessThan">
      <formula>0</formula>
    </cfRule>
  </conditionalFormatting>
  <conditionalFormatting sqref="K46">
    <cfRule type="cellIs" dxfId="41" priority="2" operator="lessThan">
      <formula>0</formula>
    </cfRule>
  </conditionalFormatting>
  <conditionalFormatting sqref="L46:V46">
    <cfRule type="cellIs" dxfId="40" priority="1" operator="lessThan">
      <formula>0</formula>
    </cfRule>
  </conditionalFormatting>
  <pageMargins left="0.51181102362204722" right="0.51181102362204722" top="0.74803149606299213" bottom="0.74803149606299213" header="0.31496062992125984" footer="0.31496062992125984"/>
  <pageSetup paperSize="9" scale="66" orientation="landscape" r:id="rId1"/>
  <headerFooter>
    <oddHeader>&amp;L&amp;F    &amp;&amp;&amp;A&amp;C
&amp;D&amp;RPage &amp;P of &amp;N</oddHead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V63"/>
  <sheetViews>
    <sheetView showZeros="0" zoomScale="85" zoomScaleNormal="85" workbookViewId="0">
      <pane xSplit="4" ySplit="6" topLeftCell="E7" activePane="bottomRight" state="frozen"/>
      <selection activeCell="Y26" sqref="Y26"/>
      <selection pane="topRight" activeCell="Y26" sqref="Y26"/>
      <selection pane="bottomLeft" activeCell="Y26" sqref="Y26"/>
      <selection pane="bottomRight" activeCell="A50" sqref="A50"/>
    </sheetView>
  </sheetViews>
  <sheetFormatPr defaultRowHeight="14.25" x14ac:dyDescent="0.2"/>
  <cols>
    <col min="1" max="1" width="1.42578125" style="584" customWidth="1"/>
    <col min="2" max="2" width="50.7109375" style="584" customWidth="1"/>
    <col min="3" max="3" width="6.42578125" style="604" bestFit="1" customWidth="1"/>
    <col min="4" max="4" width="0.85546875" style="604" customWidth="1"/>
    <col min="5" max="22" width="8.140625" style="584" customWidth="1"/>
    <col min="23" max="16384" width="9.140625" style="584"/>
  </cols>
  <sheetData>
    <row r="1" spans="1:22" s="568" customFormat="1" ht="15" customHeight="1" x14ac:dyDescent="0.25">
      <c r="A1" s="565"/>
      <c r="B1" s="566" t="s">
        <v>743</v>
      </c>
      <c r="C1" s="567"/>
      <c r="D1" s="567"/>
    </row>
    <row r="2" spans="1:22" s="571" customFormat="1" ht="15" customHeight="1" x14ac:dyDescent="0.25">
      <c r="A2" s="569"/>
      <c r="B2" s="569" t="s">
        <v>744</v>
      </c>
      <c r="C2" s="570"/>
      <c r="D2" s="570"/>
    </row>
    <row r="3" spans="1:22" s="573" customFormat="1" ht="15" customHeight="1" x14ac:dyDescent="0.25">
      <c r="A3" s="565"/>
      <c r="B3" s="566" t="s">
        <v>745</v>
      </c>
      <c r="C3" s="572"/>
      <c r="D3" s="572"/>
    </row>
    <row r="4" spans="1:22" s="573" customFormat="1" ht="15" customHeight="1" thickBot="1" x14ac:dyDescent="0.3">
      <c r="A4" s="565"/>
      <c r="B4" s="574" t="s">
        <v>746</v>
      </c>
      <c r="C4" s="572"/>
      <c r="D4" s="572"/>
    </row>
    <row r="5" spans="1:22" s="578" customFormat="1" ht="17.25" customHeight="1" thickTop="1" thickBot="1" x14ac:dyDescent="0.3">
      <c r="A5" s="565"/>
      <c r="B5" s="575" t="s">
        <v>747</v>
      </c>
      <c r="C5" s="576" t="s">
        <v>748</v>
      </c>
      <c r="D5" s="576"/>
      <c r="E5" s="577">
        <v>1999</v>
      </c>
      <c r="F5" s="577">
        <v>2000</v>
      </c>
      <c r="G5" s="577">
        <v>2001</v>
      </c>
      <c r="H5" s="577">
        <v>2002</v>
      </c>
      <c r="I5" s="577">
        <v>2003</v>
      </c>
      <c r="J5" s="577">
        <v>2004</v>
      </c>
      <c r="K5" s="577">
        <v>2005</v>
      </c>
      <c r="L5" s="577">
        <v>2006</v>
      </c>
      <c r="M5" s="577">
        <v>2007</v>
      </c>
      <c r="N5" s="577">
        <v>2008</v>
      </c>
      <c r="O5" s="577">
        <v>2009</v>
      </c>
      <c r="P5" s="577">
        <v>2010</v>
      </c>
      <c r="Q5" s="577">
        <v>2011</v>
      </c>
      <c r="R5" s="577">
        <v>2012</v>
      </c>
      <c r="S5" s="577">
        <v>2013</v>
      </c>
      <c r="T5" s="577">
        <v>2014</v>
      </c>
      <c r="U5" s="577">
        <v>2015</v>
      </c>
      <c r="V5" s="577">
        <v>2016</v>
      </c>
    </row>
    <row r="6" spans="1:22" s="578" customFormat="1" ht="7.5" customHeight="1" thickTop="1" x14ac:dyDescent="0.25">
      <c r="A6" s="565"/>
      <c r="B6" s="579"/>
      <c r="C6" s="580"/>
      <c r="D6" s="580"/>
      <c r="E6" s="580"/>
      <c r="F6" s="580"/>
      <c r="G6" s="580"/>
      <c r="H6" s="580"/>
      <c r="I6" s="580"/>
      <c r="J6" s="580"/>
      <c r="K6" s="580"/>
      <c r="L6" s="580"/>
      <c r="M6" s="580"/>
      <c r="N6" s="580"/>
      <c r="O6" s="580"/>
      <c r="P6" s="580"/>
      <c r="Q6" s="580"/>
    </row>
    <row r="7" spans="1:22" ht="14.25" customHeight="1" x14ac:dyDescent="0.25">
      <c r="A7" s="565"/>
      <c r="B7" s="581" t="s">
        <v>749</v>
      </c>
      <c r="C7" s="582"/>
      <c r="D7" s="582"/>
      <c r="E7" s="583">
        <v>1736</v>
      </c>
      <c r="F7" s="583">
        <v>1881</v>
      </c>
      <c r="G7" s="583">
        <v>2041</v>
      </c>
      <c r="H7" s="583">
        <v>2310</v>
      </c>
      <c r="I7" s="583">
        <v>2361</v>
      </c>
      <c r="J7" s="583">
        <v>2537</v>
      </c>
      <c r="K7" s="583">
        <v>2775</v>
      </c>
      <c r="L7" s="583">
        <v>3031</v>
      </c>
      <c r="M7" s="583">
        <v>3262</v>
      </c>
      <c r="N7" s="583">
        <v>3626</v>
      </c>
      <c r="O7" s="583">
        <v>3853</v>
      </c>
      <c r="P7" s="583">
        <v>4135</v>
      </c>
      <c r="Q7" s="583">
        <v>4459</v>
      </c>
      <c r="R7" s="583">
        <v>4852</v>
      </c>
      <c r="S7" s="583">
        <v>5079</v>
      </c>
      <c r="T7" s="583">
        <v>5466</v>
      </c>
      <c r="U7" s="583">
        <v>5951</v>
      </c>
      <c r="V7" s="583">
        <v>6304</v>
      </c>
    </row>
    <row r="8" spans="1:22" s="578" customFormat="1" ht="7.5" customHeight="1" x14ac:dyDescent="0.25">
      <c r="A8" s="565"/>
      <c r="B8" s="579"/>
      <c r="C8" s="580"/>
      <c r="D8" s="580"/>
      <c r="E8" s="585"/>
      <c r="F8" s="585"/>
      <c r="G8" s="585"/>
      <c r="H8" s="585"/>
      <c r="I8" s="585"/>
      <c r="J8" s="585"/>
      <c r="K8" s="585"/>
      <c r="L8" s="585">
        <v>0</v>
      </c>
      <c r="M8" s="585">
        <v>0</v>
      </c>
      <c r="N8" s="585">
        <v>0</v>
      </c>
      <c r="O8" s="585">
        <v>0</v>
      </c>
      <c r="P8" s="585">
        <v>0</v>
      </c>
      <c r="Q8" s="585">
        <v>0</v>
      </c>
      <c r="R8" s="578">
        <v>0</v>
      </c>
      <c r="S8" s="578">
        <v>0</v>
      </c>
      <c r="T8" s="578">
        <v>0</v>
      </c>
      <c r="U8" s="578">
        <v>0</v>
      </c>
      <c r="V8" s="578">
        <v>0</v>
      </c>
    </row>
    <row r="9" spans="1:22" ht="14.25" customHeight="1" x14ac:dyDescent="0.25">
      <c r="A9" s="565"/>
      <c r="B9" s="581" t="s">
        <v>750</v>
      </c>
      <c r="C9" s="582" t="s">
        <v>751</v>
      </c>
      <c r="D9" s="582"/>
      <c r="E9" s="583">
        <v>702</v>
      </c>
      <c r="F9" s="583">
        <v>754</v>
      </c>
      <c r="G9" s="583">
        <v>821</v>
      </c>
      <c r="H9" s="583">
        <v>960</v>
      </c>
      <c r="I9" s="583">
        <v>930</v>
      </c>
      <c r="J9" s="583">
        <v>947</v>
      </c>
      <c r="K9" s="583">
        <v>1009</v>
      </c>
      <c r="L9" s="583">
        <v>1036</v>
      </c>
      <c r="M9" s="583">
        <v>1063</v>
      </c>
      <c r="N9" s="583">
        <v>1132</v>
      </c>
      <c r="O9" s="583">
        <v>1219</v>
      </c>
      <c r="P9" s="583">
        <v>1280</v>
      </c>
      <c r="Q9" s="583">
        <v>1340</v>
      </c>
      <c r="R9" s="583">
        <v>1427</v>
      </c>
      <c r="S9" s="583">
        <v>1474</v>
      </c>
      <c r="T9" s="583">
        <v>1572</v>
      </c>
      <c r="U9" s="583">
        <v>1650</v>
      </c>
      <c r="V9" s="583">
        <v>1714</v>
      </c>
    </row>
    <row r="10" spans="1:22" ht="13.5" customHeight="1" x14ac:dyDescent="0.25">
      <c r="A10" s="573"/>
      <c r="B10" s="568" t="s">
        <v>752</v>
      </c>
      <c r="C10" s="567" t="s">
        <v>753</v>
      </c>
      <c r="D10" s="567"/>
      <c r="E10" s="586">
        <v>398</v>
      </c>
      <c r="F10" s="586">
        <v>428</v>
      </c>
      <c r="G10" s="586">
        <v>466</v>
      </c>
      <c r="H10" s="586">
        <v>553</v>
      </c>
      <c r="I10" s="586">
        <v>533</v>
      </c>
      <c r="J10" s="586">
        <v>531</v>
      </c>
      <c r="K10" s="586">
        <v>573</v>
      </c>
      <c r="L10" s="586">
        <v>581</v>
      </c>
      <c r="M10" s="586">
        <v>604</v>
      </c>
      <c r="N10" s="586">
        <v>642</v>
      </c>
      <c r="O10" s="586">
        <v>702</v>
      </c>
      <c r="P10" s="586">
        <v>737</v>
      </c>
      <c r="Q10" s="586">
        <v>774</v>
      </c>
      <c r="R10" s="586">
        <v>829</v>
      </c>
      <c r="S10" s="586">
        <v>859</v>
      </c>
      <c r="T10" s="586">
        <v>934</v>
      </c>
      <c r="U10" s="586">
        <v>968</v>
      </c>
      <c r="V10" s="586">
        <v>997</v>
      </c>
    </row>
    <row r="11" spans="1:22" ht="13.5" customHeight="1" x14ac:dyDescent="0.25">
      <c r="A11" s="573"/>
      <c r="B11" s="568" t="s">
        <v>754</v>
      </c>
      <c r="C11" s="567" t="s">
        <v>755</v>
      </c>
      <c r="D11" s="567"/>
      <c r="E11" s="586">
        <v>60</v>
      </c>
      <c r="F11" s="586">
        <v>69</v>
      </c>
      <c r="G11" s="586">
        <v>79</v>
      </c>
      <c r="H11" s="586">
        <v>83</v>
      </c>
      <c r="I11" s="586">
        <v>69</v>
      </c>
      <c r="J11" s="586">
        <v>112</v>
      </c>
      <c r="K11" s="586">
        <v>87</v>
      </c>
      <c r="L11" s="586">
        <v>115</v>
      </c>
      <c r="M11" s="586">
        <v>82</v>
      </c>
      <c r="N11" s="586">
        <v>106</v>
      </c>
      <c r="O11" s="586">
        <v>90</v>
      </c>
      <c r="P11" s="586">
        <v>102</v>
      </c>
      <c r="Q11" s="586">
        <v>105</v>
      </c>
      <c r="R11" s="586">
        <v>114</v>
      </c>
      <c r="S11" s="586">
        <v>109</v>
      </c>
      <c r="T11" s="586">
        <v>107</v>
      </c>
      <c r="U11" s="586">
        <v>122</v>
      </c>
      <c r="V11" s="586">
        <v>125</v>
      </c>
    </row>
    <row r="12" spans="1:22" ht="13.5" customHeight="1" x14ac:dyDescent="0.25">
      <c r="A12" s="573"/>
      <c r="B12" s="568" t="s">
        <v>756</v>
      </c>
      <c r="C12" s="567" t="s">
        <v>757</v>
      </c>
      <c r="D12" s="567"/>
      <c r="E12" s="586">
        <v>88</v>
      </c>
      <c r="F12" s="586">
        <v>92</v>
      </c>
      <c r="G12" s="586">
        <v>98</v>
      </c>
      <c r="H12" s="586">
        <v>102</v>
      </c>
      <c r="I12" s="586">
        <v>107</v>
      </c>
      <c r="J12" s="586">
        <v>111</v>
      </c>
      <c r="K12" s="586">
        <v>116</v>
      </c>
      <c r="L12" s="586">
        <v>121</v>
      </c>
      <c r="M12" s="586">
        <v>124</v>
      </c>
      <c r="N12" s="586">
        <v>128</v>
      </c>
      <c r="O12" s="586">
        <v>132</v>
      </c>
      <c r="P12" s="586">
        <v>138</v>
      </c>
      <c r="Q12" s="586">
        <v>142</v>
      </c>
      <c r="R12" s="586">
        <v>151</v>
      </c>
      <c r="S12" s="586">
        <v>160</v>
      </c>
      <c r="T12" s="586">
        <v>174</v>
      </c>
      <c r="U12" s="586">
        <v>189</v>
      </c>
      <c r="V12" s="586">
        <v>208</v>
      </c>
    </row>
    <row r="13" spans="1:22" ht="13.5" customHeight="1" x14ac:dyDescent="0.25">
      <c r="A13" s="573"/>
      <c r="B13" s="568" t="s">
        <v>220</v>
      </c>
      <c r="C13" s="567" t="s">
        <v>758</v>
      </c>
      <c r="D13" s="567"/>
      <c r="E13" s="586">
        <v>153</v>
      </c>
      <c r="F13" s="586">
        <v>161</v>
      </c>
      <c r="G13" s="586">
        <v>174</v>
      </c>
      <c r="H13" s="586">
        <v>190</v>
      </c>
      <c r="I13" s="586">
        <v>207</v>
      </c>
      <c r="J13" s="586">
        <v>225</v>
      </c>
      <c r="K13" s="586">
        <v>244</v>
      </c>
      <c r="L13" s="586">
        <v>264</v>
      </c>
      <c r="M13" s="586">
        <v>272</v>
      </c>
      <c r="N13" s="586">
        <v>283</v>
      </c>
      <c r="O13" s="586">
        <v>289</v>
      </c>
      <c r="P13" s="586">
        <v>299</v>
      </c>
      <c r="Q13" s="586">
        <v>306</v>
      </c>
      <c r="R13" s="586">
        <v>317</v>
      </c>
      <c r="S13" s="586">
        <v>326</v>
      </c>
      <c r="T13" s="586">
        <v>337</v>
      </c>
      <c r="U13" s="586">
        <v>350</v>
      </c>
      <c r="V13" s="586">
        <v>363</v>
      </c>
    </row>
    <row r="14" spans="1:22" ht="13.5" customHeight="1" x14ac:dyDescent="0.25">
      <c r="A14" s="573"/>
      <c r="B14" s="568" t="s">
        <v>205</v>
      </c>
      <c r="C14" s="567" t="s">
        <v>759</v>
      </c>
      <c r="D14" s="567"/>
      <c r="E14" s="586">
        <v>13</v>
      </c>
      <c r="F14" s="586">
        <v>13</v>
      </c>
      <c r="G14" s="586">
        <v>14</v>
      </c>
      <c r="H14" s="586">
        <v>15</v>
      </c>
      <c r="I14" s="586">
        <v>15</v>
      </c>
      <c r="J14" s="586">
        <v>16</v>
      </c>
      <c r="K14" s="586">
        <v>16</v>
      </c>
      <c r="L14" s="586">
        <v>16</v>
      </c>
      <c r="M14" s="586">
        <v>17</v>
      </c>
      <c r="N14" s="586">
        <v>17</v>
      </c>
      <c r="O14" s="586">
        <v>18</v>
      </c>
      <c r="P14" s="586">
        <v>18</v>
      </c>
      <c r="Q14" s="586">
        <v>19</v>
      </c>
      <c r="R14" s="586">
        <v>18</v>
      </c>
      <c r="S14" s="586">
        <v>19</v>
      </c>
      <c r="T14" s="586">
        <v>20</v>
      </c>
      <c r="U14" s="586">
        <v>21</v>
      </c>
      <c r="V14" s="586">
        <v>21</v>
      </c>
    </row>
    <row r="15" spans="1:22" ht="14.25" customHeight="1" x14ac:dyDescent="0.25">
      <c r="A15" s="565"/>
      <c r="B15" s="581" t="s">
        <v>760</v>
      </c>
      <c r="C15" s="582" t="s">
        <v>761</v>
      </c>
      <c r="D15" s="582"/>
      <c r="E15" s="583">
        <v>243</v>
      </c>
      <c r="F15" s="583">
        <v>246</v>
      </c>
      <c r="G15" s="583">
        <v>278</v>
      </c>
      <c r="H15" s="583">
        <v>298</v>
      </c>
      <c r="I15" s="583">
        <v>312</v>
      </c>
      <c r="J15" s="583">
        <v>360</v>
      </c>
      <c r="K15" s="583">
        <v>394</v>
      </c>
      <c r="L15" s="583">
        <v>440</v>
      </c>
      <c r="M15" s="583">
        <v>480</v>
      </c>
      <c r="N15" s="583">
        <v>552</v>
      </c>
      <c r="O15" s="583">
        <v>559</v>
      </c>
      <c r="P15" s="583">
        <v>606</v>
      </c>
      <c r="Q15" s="583">
        <v>714</v>
      </c>
      <c r="R15" s="583">
        <v>774</v>
      </c>
      <c r="S15" s="583">
        <v>846</v>
      </c>
      <c r="T15" s="583">
        <v>939</v>
      </c>
      <c r="U15" s="583">
        <v>1023</v>
      </c>
      <c r="V15" s="583">
        <v>1093</v>
      </c>
    </row>
    <row r="16" spans="1:22" ht="13.5" customHeight="1" x14ac:dyDescent="0.25">
      <c r="A16" s="573"/>
      <c r="B16" s="568" t="s">
        <v>762</v>
      </c>
      <c r="C16" s="567" t="s">
        <v>763</v>
      </c>
      <c r="D16" s="567"/>
      <c r="E16" s="586">
        <v>21</v>
      </c>
      <c r="F16" s="586">
        <v>29</v>
      </c>
      <c r="G16" s="586">
        <v>79</v>
      </c>
      <c r="H16" s="586">
        <v>60</v>
      </c>
      <c r="I16" s="586">
        <v>48</v>
      </c>
      <c r="J16" s="586">
        <v>71</v>
      </c>
      <c r="K16" s="586">
        <v>93</v>
      </c>
      <c r="L16" s="586">
        <v>80</v>
      </c>
      <c r="M16" s="586">
        <v>114</v>
      </c>
      <c r="N16" s="586">
        <v>96</v>
      </c>
      <c r="O16" s="586">
        <v>79</v>
      </c>
      <c r="P16" s="586">
        <v>71</v>
      </c>
      <c r="Q16" s="586">
        <v>106</v>
      </c>
      <c r="R16" s="586">
        <v>98</v>
      </c>
      <c r="S16" s="586">
        <v>118</v>
      </c>
      <c r="T16" s="586">
        <v>147</v>
      </c>
      <c r="U16" s="586">
        <v>140</v>
      </c>
      <c r="V16" s="586">
        <v>154</v>
      </c>
    </row>
    <row r="17" spans="1:22" ht="14.25" customHeight="1" x14ac:dyDescent="0.25">
      <c r="A17" s="565"/>
      <c r="B17" s="587" t="s">
        <v>764</v>
      </c>
      <c r="C17" s="588" t="s">
        <v>765</v>
      </c>
      <c r="D17" s="588"/>
      <c r="E17" s="589">
        <v>114</v>
      </c>
      <c r="F17" s="589">
        <v>114</v>
      </c>
      <c r="G17" s="589">
        <v>125</v>
      </c>
      <c r="H17" s="589">
        <v>144</v>
      </c>
      <c r="I17" s="589">
        <v>151</v>
      </c>
      <c r="J17" s="589">
        <v>170</v>
      </c>
      <c r="K17" s="589">
        <v>184</v>
      </c>
      <c r="L17" s="589">
        <v>208</v>
      </c>
      <c r="M17" s="589">
        <v>210</v>
      </c>
      <c r="N17" s="589">
        <v>221</v>
      </c>
      <c r="O17" s="589">
        <v>228</v>
      </c>
      <c r="P17" s="589">
        <v>249</v>
      </c>
      <c r="Q17" s="589">
        <v>270</v>
      </c>
      <c r="R17" s="589">
        <v>285</v>
      </c>
      <c r="S17" s="589">
        <v>299</v>
      </c>
      <c r="T17" s="589">
        <v>322</v>
      </c>
      <c r="U17" s="589">
        <v>349</v>
      </c>
      <c r="V17" s="589">
        <v>372</v>
      </c>
    </row>
    <row r="18" spans="1:22" s="594" customFormat="1" ht="13.5" customHeight="1" x14ac:dyDescent="0.2">
      <c r="A18" s="590"/>
      <c r="B18" s="591" t="s">
        <v>766</v>
      </c>
      <c r="C18" s="592" t="s">
        <v>767</v>
      </c>
      <c r="D18" s="592"/>
      <c r="E18" s="593">
        <v>25</v>
      </c>
      <c r="F18" s="593">
        <v>26</v>
      </c>
      <c r="G18" s="593">
        <v>32</v>
      </c>
      <c r="H18" s="593">
        <v>36</v>
      </c>
      <c r="I18" s="593">
        <v>40</v>
      </c>
      <c r="J18" s="593">
        <v>54</v>
      </c>
      <c r="K18" s="593">
        <v>61</v>
      </c>
      <c r="L18" s="593">
        <v>71</v>
      </c>
      <c r="M18" s="593">
        <v>67</v>
      </c>
      <c r="N18" s="593">
        <v>73</v>
      </c>
      <c r="O18" s="593">
        <v>77</v>
      </c>
      <c r="P18" s="593">
        <v>84</v>
      </c>
      <c r="Q18" s="593">
        <v>88</v>
      </c>
      <c r="R18" s="593">
        <v>89</v>
      </c>
      <c r="S18" s="593">
        <v>96</v>
      </c>
      <c r="T18" s="593">
        <v>101</v>
      </c>
      <c r="U18" s="593">
        <v>102</v>
      </c>
      <c r="V18" s="593">
        <v>110</v>
      </c>
    </row>
    <row r="19" spans="1:22" s="594" customFormat="1" ht="13.5" customHeight="1" x14ac:dyDescent="0.2">
      <c r="A19" s="590"/>
      <c r="B19" s="591" t="s">
        <v>768</v>
      </c>
      <c r="C19" s="592" t="s">
        <v>769</v>
      </c>
      <c r="D19" s="592"/>
      <c r="E19" s="593">
        <v>58</v>
      </c>
      <c r="F19" s="593">
        <v>53</v>
      </c>
      <c r="G19" s="593">
        <v>53</v>
      </c>
      <c r="H19" s="593">
        <v>64</v>
      </c>
      <c r="I19" s="593">
        <v>58</v>
      </c>
      <c r="J19" s="593">
        <v>59</v>
      </c>
      <c r="K19" s="593">
        <v>66</v>
      </c>
      <c r="L19" s="593">
        <v>71</v>
      </c>
      <c r="M19" s="593">
        <v>70</v>
      </c>
      <c r="N19" s="593">
        <v>72</v>
      </c>
      <c r="O19" s="593">
        <v>75</v>
      </c>
      <c r="P19" s="593">
        <v>76</v>
      </c>
      <c r="Q19" s="593">
        <v>82</v>
      </c>
      <c r="R19" s="593">
        <v>86</v>
      </c>
      <c r="S19" s="593">
        <v>89</v>
      </c>
      <c r="T19" s="593">
        <v>95</v>
      </c>
      <c r="U19" s="593">
        <v>101</v>
      </c>
      <c r="V19" s="593">
        <v>104</v>
      </c>
    </row>
    <row r="20" spans="1:22" s="594" customFormat="1" ht="13.5" customHeight="1" x14ac:dyDescent="0.2">
      <c r="A20" s="590"/>
      <c r="B20" s="591" t="s">
        <v>770</v>
      </c>
      <c r="C20" s="592" t="s">
        <v>771</v>
      </c>
      <c r="D20" s="592"/>
      <c r="E20" s="593">
        <v>7</v>
      </c>
      <c r="F20" s="593">
        <v>8</v>
      </c>
      <c r="G20" s="593">
        <v>8</v>
      </c>
      <c r="H20" s="593">
        <v>10</v>
      </c>
      <c r="I20" s="593">
        <v>11</v>
      </c>
      <c r="J20" s="593">
        <v>13</v>
      </c>
      <c r="K20" s="593">
        <v>14</v>
      </c>
      <c r="L20" s="593">
        <v>16</v>
      </c>
      <c r="M20" s="593">
        <v>17</v>
      </c>
      <c r="N20" s="593">
        <v>17</v>
      </c>
      <c r="O20" s="593">
        <v>17</v>
      </c>
      <c r="P20" s="593">
        <v>17</v>
      </c>
      <c r="Q20" s="593">
        <v>17</v>
      </c>
      <c r="R20" s="593">
        <v>18</v>
      </c>
      <c r="S20" s="593">
        <v>19</v>
      </c>
      <c r="T20" s="593">
        <v>20</v>
      </c>
      <c r="U20" s="593">
        <v>21</v>
      </c>
      <c r="V20" s="593">
        <v>23</v>
      </c>
    </row>
    <row r="21" spans="1:22" s="594" customFormat="1" ht="13.5" customHeight="1" x14ac:dyDescent="0.2">
      <c r="A21" s="590"/>
      <c r="B21" s="591" t="s">
        <v>772</v>
      </c>
      <c r="C21" s="592" t="s">
        <v>773</v>
      </c>
      <c r="D21" s="592"/>
      <c r="E21" s="593">
        <v>2</v>
      </c>
      <c r="F21" s="593">
        <v>2</v>
      </c>
      <c r="G21" s="593">
        <v>2</v>
      </c>
      <c r="H21" s="593">
        <v>3</v>
      </c>
      <c r="I21" s="593">
        <v>4</v>
      </c>
      <c r="J21" s="593">
        <v>5</v>
      </c>
      <c r="K21" s="593">
        <v>6</v>
      </c>
      <c r="L21" s="593">
        <v>8</v>
      </c>
      <c r="M21" s="593">
        <v>9</v>
      </c>
      <c r="N21" s="593">
        <v>10</v>
      </c>
      <c r="O21" s="593">
        <v>10</v>
      </c>
      <c r="P21" s="593">
        <v>11</v>
      </c>
      <c r="Q21" s="593">
        <v>10</v>
      </c>
      <c r="R21" s="593">
        <v>11</v>
      </c>
      <c r="S21" s="593">
        <v>12</v>
      </c>
      <c r="T21" s="593">
        <v>14</v>
      </c>
      <c r="U21" s="593">
        <v>15</v>
      </c>
      <c r="V21" s="593">
        <v>17</v>
      </c>
    </row>
    <row r="22" spans="1:22" s="594" customFormat="1" ht="13.5" customHeight="1" x14ac:dyDescent="0.2">
      <c r="A22" s="590"/>
      <c r="B22" s="591" t="s">
        <v>774</v>
      </c>
      <c r="C22" s="592" t="s">
        <v>775</v>
      </c>
      <c r="D22" s="592"/>
      <c r="E22" s="593">
        <v>13</v>
      </c>
      <c r="F22" s="593">
        <v>13</v>
      </c>
      <c r="G22" s="593">
        <v>14</v>
      </c>
      <c r="H22" s="593">
        <v>16</v>
      </c>
      <c r="I22" s="593">
        <v>19</v>
      </c>
      <c r="J22" s="593">
        <v>21</v>
      </c>
      <c r="K22" s="593">
        <v>23</v>
      </c>
      <c r="L22" s="593">
        <v>27</v>
      </c>
      <c r="M22" s="593">
        <v>27</v>
      </c>
      <c r="N22" s="593">
        <v>28</v>
      </c>
      <c r="O22" s="593">
        <v>28</v>
      </c>
      <c r="P22" s="593">
        <v>29</v>
      </c>
      <c r="Q22" s="593">
        <v>34</v>
      </c>
      <c r="R22" s="593">
        <v>34</v>
      </c>
      <c r="S22" s="593">
        <v>33</v>
      </c>
      <c r="T22" s="593">
        <v>32</v>
      </c>
      <c r="U22" s="593">
        <v>37</v>
      </c>
      <c r="V22" s="593">
        <v>39</v>
      </c>
    </row>
    <row r="23" spans="1:22" s="594" customFormat="1" ht="13.5" customHeight="1" x14ac:dyDescent="0.2">
      <c r="A23" s="590"/>
      <c r="B23" s="591" t="s">
        <v>776</v>
      </c>
      <c r="C23" s="592" t="s">
        <v>777</v>
      </c>
      <c r="D23" s="592"/>
      <c r="E23" s="593">
        <v>5</v>
      </c>
      <c r="F23" s="593">
        <v>6</v>
      </c>
      <c r="G23" s="593">
        <v>7</v>
      </c>
      <c r="H23" s="593">
        <v>8</v>
      </c>
      <c r="I23" s="593">
        <v>9</v>
      </c>
      <c r="J23" s="593">
        <v>9</v>
      </c>
      <c r="K23" s="593">
        <v>9</v>
      </c>
      <c r="L23" s="593">
        <v>10</v>
      </c>
      <c r="M23" s="593">
        <v>10</v>
      </c>
      <c r="N23" s="593">
        <v>10</v>
      </c>
      <c r="O23" s="593">
        <v>10</v>
      </c>
      <c r="P23" s="593">
        <v>11</v>
      </c>
      <c r="Q23" s="593">
        <v>13</v>
      </c>
      <c r="R23" s="593">
        <v>15</v>
      </c>
      <c r="S23" s="593">
        <v>16</v>
      </c>
      <c r="T23" s="593">
        <v>18</v>
      </c>
      <c r="U23" s="593">
        <v>22</v>
      </c>
      <c r="V23" s="593">
        <v>26</v>
      </c>
    </row>
    <row r="24" spans="1:22" s="594" customFormat="1" ht="13.5" customHeight="1" x14ac:dyDescent="0.2">
      <c r="A24" s="590"/>
      <c r="B24" s="591" t="s">
        <v>778</v>
      </c>
      <c r="C24" s="592" t="s">
        <v>779</v>
      </c>
      <c r="D24" s="592"/>
      <c r="E24" s="593">
        <v>4</v>
      </c>
      <c r="F24" s="593">
        <v>5</v>
      </c>
      <c r="G24" s="593">
        <v>5</v>
      </c>
      <c r="H24" s="593">
        <v>5</v>
      </c>
      <c r="I24" s="593">
        <v>6</v>
      </c>
      <c r="J24" s="593">
        <v>5</v>
      </c>
      <c r="K24" s="593">
        <v>4</v>
      </c>
      <c r="L24" s="593">
        <v>5</v>
      </c>
      <c r="M24" s="593">
        <v>6</v>
      </c>
      <c r="N24" s="593">
        <v>7</v>
      </c>
      <c r="O24" s="593">
        <v>7</v>
      </c>
      <c r="P24" s="593">
        <v>10</v>
      </c>
      <c r="Q24" s="593">
        <v>13</v>
      </c>
      <c r="R24" s="593">
        <v>16</v>
      </c>
      <c r="S24" s="593">
        <v>14</v>
      </c>
      <c r="T24" s="593">
        <v>18</v>
      </c>
      <c r="U24" s="593">
        <v>25</v>
      </c>
      <c r="V24" s="593">
        <v>29</v>
      </c>
    </row>
    <row r="25" spans="1:22" s="594" customFormat="1" ht="13.5" customHeight="1" x14ac:dyDescent="0.2">
      <c r="A25" s="590"/>
      <c r="B25" s="591" t="s">
        <v>780</v>
      </c>
      <c r="C25" s="592" t="s">
        <v>781</v>
      </c>
      <c r="D25" s="592"/>
      <c r="E25" s="593">
        <v>6</v>
      </c>
      <c r="F25" s="593">
        <v>6</v>
      </c>
      <c r="G25" s="593">
        <v>6</v>
      </c>
      <c r="H25" s="593">
        <v>6</v>
      </c>
      <c r="I25" s="593">
        <v>7</v>
      </c>
      <c r="J25" s="593">
        <v>7</v>
      </c>
      <c r="K25" s="593">
        <v>5</v>
      </c>
      <c r="L25" s="593">
        <v>7</v>
      </c>
      <c r="M25" s="593">
        <v>8</v>
      </c>
      <c r="N25" s="593">
        <v>9</v>
      </c>
      <c r="O25" s="593">
        <v>8</v>
      </c>
      <c r="P25" s="593">
        <v>12</v>
      </c>
      <c r="Q25" s="593">
        <v>16</v>
      </c>
      <c r="R25" s="593">
        <v>18</v>
      </c>
      <c r="S25" s="593">
        <v>20</v>
      </c>
      <c r="T25" s="593">
        <v>22</v>
      </c>
      <c r="U25" s="593">
        <v>26</v>
      </c>
      <c r="V25" s="593">
        <v>24</v>
      </c>
    </row>
    <row r="26" spans="1:22" ht="13.5" customHeight="1" x14ac:dyDescent="0.25">
      <c r="A26" s="573"/>
      <c r="B26" s="568" t="s">
        <v>698</v>
      </c>
      <c r="C26" s="567" t="s">
        <v>782</v>
      </c>
      <c r="D26" s="567"/>
      <c r="E26" s="586">
        <v>49</v>
      </c>
      <c r="F26" s="586">
        <v>43</v>
      </c>
      <c r="G26" s="586">
        <v>39</v>
      </c>
      <c r="H26" s="586">
        <v>39</v>
      </c>
      <c r="I26" s="586">
        <v>35</v>
      </c>
      <c r="J26" s="586">
        <v>24</v>
      </c>
      <c r="K26" s="586">
        <v>21</v>
      </c>
      <c r="L26" s="586">
        <v>18</v>
      </c>
      <c r="M26" s="586">
        <v>19</v>
      </c>
      <c r="N26" s="586">
        <v>23</v>
      </c>
      <c r="O26" s="586">
        <v>26</v>
      </c>
      <c r="P26" s="586">
        <v>30</v>
      </c>
      <c r="Q26" s="586">
        <v>34</v>
      </c>
      <c r="R26" s="586">
        <v>40</v>
      </c>
      <c r="S26" s="586">
        <v>43</v>
      </c>
      <c r="T26" s="586">
        <v>47</v>
      </c>
      <c r="U26" s="586">
        <v>51</v>
      </c>
      <c r="V26" s="586">
        <v>59</v>
      </c>
    </row>
    <row r="27" spans="1:22" ht="13.5" customHeight="1" x14ac:dyDescent="0.25">
      <c r="A27" s="573"/>
      <c r="B27" s="568" t="s">
        <v>783</v>
      </c>
      <c r="C27" s="567" t="s">
        <v>784</v>
      </c>
      <c r="D27" s="567"/>
      <c r="E27" s="586">
        <v>37</v>
      </c>
      <c r="F27" s="586">
        <v>33</v>
      </c>
      <c r="G27" s="586">
        <v>30</v>
      </c>
      <c r="H27" s="586">
        <v>29</v>
      </c>
      <c r="I27" s="586">
        <v>27</v>
      </c>
      <c r="J27" s="586">
        <v>18</v>
      </c>
      <c r="K27" s="586">
        <v>16</v>
      </c>
      <c r="L27" s="586">
        <v>14</v>
      </c>
      <c r="M27" s="586">
        <v>15</v>
      </c>
      <c r="N27" s="586">
        <v>17</v>
      </c>
      <c r="O27" s="586">
        <v>20</v>
      </c>
      <c r="P27" s="586">
        <v>23</v>
      </c>
      <c r="Q27" s="586">
        <v>26</v>
      </c>
      <c r="R27" s="586">
        <v>28</v>
      </c>
      <c r="S27" s="586">
        <v>30</v>
      </c>
      <c r="T27" s="586">
        <v>31</v>
      </c>
      <c r="U27" s="586">
        <v>31</v>
      </c>
      <c r="V27" s="586">
        <v>33</v>
      </c>
    </row>
    <row r="28" spans="1:22" ht="13.5" customHeight="1" x14ac:dyDescent="0.25">
      <c r="A28" s="573"/>
      <c r="B28" s="568" t="s">
        <v>785</v>
      </c>
      <c r="C28" s="567" t="s">
        <v>786</v>
      </c>
      <c r="D28" s="567"/>
      <c r="E28" s="586">
        <v>75</v>
      </c>
      <c r="F28" s="586">
        <v>77</v>
      </c>
      <c r="G28" s="586">
        <v>85</v>
      </c>
      <c r="H28" s="586">
        <v>87</v>
      </c>
      <c r="I28" s="586">
        <v>95</v>
      </c>
      <c r="J28" s="586">
        <v>114</v>
      </c>
      <c r="K28" s="586">
        <v>124</v>
      </c>
      <c r="L28" s="586">
        <v>140</v>
      </c>
      <c r="M28" s="586">
        <v>161</v>
      </c>
      <c r="N28" s="586">
        <v>206</v>
      </c>
      <c r="O28" s="586">
        <v>209</v>
      </c>
      <c r="P28" s="586">
        <v>228</v>
      </c>
      <c r="Q28" s="586">
        <v>281</v>
      </c>
      <c r="R28" s="586">
        <v>322</v>
      </c>
      <c r="S28" s="586">
        <v>357</v>
      </c>
      <c r="T28" s="586">
        <v>392</v>
      </c>
      <c r="U28" s="586">
        <v>453</v>
      </c>
      <c r="V28" s="586">
        <v>475</v>
      </c>
    </row>
    <row r="29" spans="1:22" ht="14.25" customHeight="1" x14ac:dyDescent="0.25">
      <c r="A29" s="565"/>
      <c r="B29" s="581" t="s">
        <v>787</v>
      </c>
      <c r="C29" s="582" t="s">
        <v>788</v>
      </c>
      <c r="D29" s="582"/>
      <c r="E29" s="583">
        <v>646</v>
      </c>
      <c r="F29" s="583">
        <v>720</v>
      </c>
      <c r="G29" s="583">
        <v>769</v>
      </c>
      <c r="H29" s="583">
        <v>858</v>
      </c>
      <c r="I29" s="583">
        <v>918</v>
      </c>
      <c r="J29" s="583">
        <v>1012</v>
      </c>
      <c r="K29" s="583">
        <v>1132</v>
      </c>
      <c r="L29" s="583">
        <v>1282</v>
      </c>
      <c r="M29" s="583">
        <v>1439</v>
      </c>
      <c r="N29" s="583">
        <v>1638</v>
      </c>
      <c r="O29" s="583">
        <v>1740</v>
      </c>
      <c r="P29" s="583">
        <v>1900</v>
      </c>
      <c r="Q29" s="583">
        <v>2052</v>
      </c>
      <c r="R29" s="583">
        <v>2290</v>
      </c>
      <c r="S29" s="583">
        <v>2410</v>
      </c>
      <c r="T29" s="583">
        <v>2578</v>
      </c>
      <c r="U29" s="583">
        <v>2847</v>
      </c>
      <c r="V29" s="583">
        <v>3049</v>
      </c>
    </row>
    <row r="30" spans="1:22" ht="14.25" customHeight="1" x14ac:dyDescent="0.25">
      <c r="A30" s="565"/>
      <c r="B30" s="581" t="s">
        <v>789</v>
      </c>
      <c r="C30" s="582" t="s">
        <v>790</v>
      </c>
      <c r="D30" s="582"/>
      <c r="E30" s="583">
        <v>126</v>
      </c>
      <c r="F30" s="583">
        <v>144</v>
      </c>
      <c r="G30" s="583">
        <v>156</v>
      </c>
      <c r="H30" s="583">
        <v>179</v>
      </c>
      <c r="I30" s="583">
        <v>184</v>
      </c>
      <c r="J30" s="583">
        <v>210</v>
      </c>
      <c r="K30" s="583">
        <v>240</v>
      </c>
      <c r="L30" s="583">
        <v>290</v>
      </c>
      <c r="M30" s="583">
        <v>333</v>
      </c>
      <c r="N30" s="583">
        <v>401</v>
      </c>
      <c r="O30" s="583">
        <v>423</v>
      </c>
      <c r="P30" s="583">
        <v>461</v>
      </c>
      <c r="Q30" s="583">
        <v>493</v>
      </c>
      <c r="R30" s="583">
        <v>566</v>
      </c>
      <c r="S30" s="583">
        <v>599</v>
      </c>
      <c r="T30" s="583">
        <v>640</v>
      </c>
      <c r="U30" s="583">
        <v>714</v>
      </c>
      <c r="V30" s="583">
        <v>762</v>
      </c>
    </row>
    <row r="31" spans="1:22" ht="13.5" customHeight="1" x14ac:dyDescent="0.25">
      <c r="A31" s="573"/>
      <c r="B31" s="568" t="s">
        <v>791</v>
      </c>
      <c r="C31" s="567" t="s">
        <v>792</v>
      </c>
      <c r="D31" s="567"/>
      <c r="E31" s="586">
        <v>5</v>
      </c>
      <c r="F31" s="586">
        <v>6</v>
      </c>
      <c r="G31" s="586">
        <v>7</v>
      </c>
      <c r="H31" s="586">
        <v>8</v>
      </c>
      <c r="I31" s="586">
        <v>8</v>
      </c>
      <c r="J31" s="586">
        <v>9</v>
      </c>
      <c r="K31" s="586">
        <v>10</v>
      </c>
      <c r="L31" s="586">
        <v>12</v>
      </c>
      <c r="M31" s="586">
        <v>13</v>
      </c>
      <c r="N31" s="586">
        <v>16</v>
      </c>
      <c r="O31" s="586">
        <v>16</v>
      </c>
      <c r="P31" s="586">
        <v>18</v>
      </c>
      <c r="Q31" s="586">
        <v>19</v>
      </c>
      <c r="R31" s="586">
        <v>21</v>
      </c>
      <c r="S31" s="586">
        <v>22</v>
      </c>
      <c r="T31" s="586">
        <v>23</v>
      </c>
      <c r="U31" s="586">
        <v>24</v>
      </c>
      <c r="V31" s="586">
        <v>26</v>
      </c>
    </row>
    <row r="32" spans="1:22" ht="13.5" customHeight="1" x14ac:dyDescent="0.25">
      <c r="A32" s="573"/>
      <c r="B32" s="568" t="s">
        <v>793</v>
      </c>
      <c r="C32" s="567" t="s">
        <v>794</v>
      </c>
      <c r="D32" s="567"/>
      <c r="E32" s="586">
        <v>89</v>
      </c>
      <c r="F32" s="586">
        <v>101</v>
      </c>
      <c r="G32" s="586">
        <v>107</v>
      </c>
      <c r="H32" s="586">
        <v>122</v>
      </c>
      <c r="I32" s="586">
        <v>124</v>
      </c>
      <c r="J32" s="586">
        <v>140</v>
      </c>
      <c r="K32" s="586">
        <v>158</v>
      </c>
      <c r="L32" s="586">
        <v>187</v>
      </c>
      <c r="M32" s="586">
        <v>215</v>
      </c>
      <c r="N32" s="586">
        <v>256</v>
      </c>
      <c r="O32" s="586">
        <v>267</v>
      </c>
      <c r="P32" s="586">
        <v>291</v>
      </c>
      <c r="Q32" s="586">
        <v>314</v>
      </c>
      <c r="R32" s="586">
        <v>358</v>
      </c>
      <c r="S32" s="586">
        <v>378</v>
      </c>
      <c r="T32" s="586">
        <v>410</v>
      </c>
      <c r="U32" s="586">
        <v>462</v>
      </c>
      <c r="V32" s="586">
        <v>491</v>
      </c>
    </row>
    <row r="33" spans="1:22" ht="13.5" customHeight="1" x14ac:dyDescent="0.25">
      <c r="A33" s="573"/>
      <c r="B33" s="568" t="s">
        <v>795</v>
      </c>
      <c r="C33" s="567" t="s">
        <v>796</v>
      </c>
      <c r="D33" s="567"/>
      <c r="E33" s="586">
        <v>32</v>
      </c>
      <c r="F33" s="586">
        <v>37</v>
      </c>
      <c r="G33" s="586">
        <v>42</v>
      </c>
      <c r="H33" s="586">
        <v>49</v>
      </c>
      <c r="I33" s="586">
        <v>52</v>
      </c>
      <c r="J33" s="586">
        <v>62</v>
      </c>
      <c r="K33" s="586">
        <v>72</v>
      </c>
      <c r="L33" s="586">
        <v>89</v>
      </c>
      <c r="M33" s="586">
        <v>102</v>
      </c>
      <c r="N33" s="586">
        <v>126</v>
      </c>
      <c r="O33" s="586">
        <v>138</v>
      </c>
      <c r="P33" s="586">
        <v>150</v>
      </c>
      <c r="Q33" s="586">
        <v>157</v>
      </c>
      <c r="R33" s="586">
        <v>186</v>
      </c>
      <c r="S33" s="586">
        <v>199</v>
      </c>
      <c r="T33" s="586">
        <v>207</v>
      </c>
      <c r="U33" s="586">
        <v>227</v>
      </c>
      <c r="V33" s="586">
        <v>245</v>
      </c>
    </row>
    <row r="34" spans="1:22" ht="14.25" customHeight="1" x14ac:dyDescent="0.25">
      <c r="A34" s="565"/>
      <c r="B34" s="581" t="s">
        <v>797</v>
      </c>
      <c r="C34" s="582" t="s">
        <v>798</v>
      </c>
      <c r="D34" s="582"/>
      <c r="E34" s="583">
        <v>607</v>
      </c>
      <c r="F34" s="583">
        <v>681</v>
      </c>
      <c r="G34" s="583">
        <v>714</v>
      </c>
      <c r="H34" s="583">
        <v>773</v>
      </c>
      <c r="I34" s="583">
        <v>847</v>
      </c>
      <c r="J34" s="583">
        <v>904</v>
      </c>
      <c r="K34" s="583">
        <v>1005</v>
      </c>
      <c r="L34" s="583">
        <v>1016</v>
      </c>
      <c r="M34" s="583">
        <v>1126</v>
      </c>
      <c r="N34" s="583">
        <v>1237</v>
      </c>
      <c r="O34" s="583">
        <v>1321</v>
      </c>
      <c r="P34" s="583">
        <v>1443</v>
      </c>
      <c r="Q34" s="583">
        <v>1569</v>
      </c>
      <c r="R34" s="583">
        <v>1725</v>
      </c>
      <c r="S34" s="583">
        <v>1811</v>
      </c>
      <c r="T34" s="583">
        <v>1938</v>
      </c>
      <c r="U34" s="583">
        <v>2134</v>
      </c>
      <c r="V34" s="583">
        <v>2287</v>
      </c>
    </row>
    <row r="35" spans="1:22" ht="13.5" customHeight="1" x14ac:dyDescent="0.25">
      <c r="A35" s="573"/>
      <c r="B35" s="568" t="s">
        <v>799</v>
      </c>
      <c r="C35" s="567" t="s">
        <v>800</v>
      </c>
      <c r="D35" s="567"/>
      <c r="E35" s="586">
        <v>14</v>
      </c>
      <c r="F35" s="586">
        <v>14</v>
      </c>
      <c r="G35" s="586">
        <v>15</v>
      </c>
      <c r="H35" s="586">
        <v>21</v>
      </c>
      <c r="I35" s="586">
        <v>32</v>
      </c>
      <c r="J35" s="586">
        <v>40</v>
      </c>
      <c r="K35" s="586">
        <v>55</v>
      </c>
      <c r="L35" s="586">
        <v>68</v>
      </c>
      <c r="M35" s="586">
        <v>70</v>
      </c>
      <c r="N35" s="586">
        <v>74</v>
      </c>
      <c r="O35" s="586">
        <v>70</v>
      </c>
      <c r="P35" s="586">
        <v>75</v>
      </c>
      <c r="Q35" s="586">
        <v>78</v>
      </c>
      <c r="R35" s="586">
        <v>82</v>
      </c>
      <c r="S35" s="586">
        <v>85</v>
      </c>
      <c r="T35" s="586">
        <v>96</v>
      </c>
      <c r="U35" s="586">
        <v>105</v>
      </c>
      <c r="V35" s="586">
        <v>116</v>
      </c>
    </row>
    <row r="36" spans="1:22" ht="13.5" customHeight="1" x14ac:dyDescent="0.25">
      <c r="A36" s="573"/>
      <c r="B36" s="568" t="s">
        <v>801</v>
      </c>
      <c r="C36" s="567" t="s">
        <v>802</v>
      </c>
      <c r="D36" s="567"/>
      <c r="E36" s="586">
        <v>12</v>
      </c>
      <c r="F36" s="586">
        <v>13</v>
      </c>
      <c r="G36" s="586">
        <v>15</v>
      </c>
      <c r="H36" s="586">
        <v>18</v>
      </c>
      <c r="I36" s="586">
        <v>19</v>
      </c>
      <c r="J36" s="586">
        <v>23</v>
      </c>
      <c r="K36" s="586">
        <v>27</v>
      </c>
      <c r="L36" s="586">
        <v>33</v>
      </c>
      <c r="M36" s="586">
        <v>37</v>
      </c>
      <c r="N36" s="586">
        <v>46</v>
      </c>
      <c r="O36" s="586">
        <v>50</v>
      </c>
      <c r="P36" s="586">
        <v>55</v>
      </c>
      <c r="Q36" s="586">
        <v>57</v>
      </c>
      <c r="R36" s="586">
        <v>75</v>
      </c>
      <c r="S36" s="586">
        <v>75</v>
      </c>
      <c r="T36" s="586">
        <v>80</v>
      </c>
      <c r="U36" s="586">
        <v>94</v>
      </c>
      <c r="V36" s="586">
        <v>102</v>
      </c>
    </row>
    <row r="37" spans="1:22" ht="13.5" customHeight="1" x14ac:dyDescent="0.25">
      <c r="A37" s="573"/>
      <c r="B37" s="568" t="s">
        <v>803</v>
      </c>
      <c r="C37" s="567" t="s">
        <v>804</v>
      </c>
      <c r="D37" s="567"/>
      <c r="E37" s="586">
        <v>43</v>
      </c>
      <c r="F37" s="586">
        <v>52</v>
      </c>
      <c r="G37" s="586">
        <v>54</v>
      </c>
      <c r="H37" s="586">
        <v>53</v>
      </c>
      <c r="I37" s="586">
        <v>64</v>
      </c>
      <c r="J37" s="586">
        <v>69</v>
      </c>
      <c r="K37" s="586">
        <v>70</v>
      </c>
      <c r="L37" s="586">
        <v>77</v>
      </c>
      <c r="M37" s="586">
        <v>86</v>
      </c>
      <c r="N37" s="586">
        <v>87</v>
      </c>
      <c r="O37" s="586">
        <v>84</v>
      </c>
      <c r="P37" s="586">
        <v>103</v>
      </c>
      <c r="Q37" s="586">
        <v>124</v>
      </c>
      <c r="R37" s="586">
        <v>140</v>
      </c>
      <c r="S37" s="586">
        <v>154</v>
      </c>
      <c r="T37" s="586">
        <v>159</v>
      </c>
      <c r="U37" s="586">
        <v>179</v>
      </c>
      <c r="V37" s="586">
        <v>185</v>
      </c>
    </row>
    <row r="38" spans="1:22" ht="13.5" customHeight="1" x14ac:dyDescent="0.25">
      <c r="A38" s="573"/>
      <c r="B38" s="568" t="s">
        <v>805</v>
      </c>
      <c r="C38" s="567" t="s">
        <v>806</v>
      </c>
      <c r="D38" s="567"/>
      <c r="E38" s="586">
        <v>224</v>
      </c>
      <c r="F38" s="586">
        <v>231</v>
      </c>
      <c r="G38" s="586">
        <v>239</v>
      </c>
      <c r="H38" s="586">
        <v>250</v>
      </c>
      <c r="I38" s="586">
        <v>264</v>
      </c>
      <c r="J38" s="586">
        <v>271</v>
      </c>
      <c r="K38" s="586">
        <v>293</v>
      </c>
      <c r="L38" s="586">
        <v>305</v>
      </c>
      <c r="M38" s="586">
        <v>338</v>
      </c>
      <c r="N38" s="586">
        <v>390</v>
      </c>
      <c r="O38" s="586">
        <v>422</v>
      </c>
      <c r="P38" s="586">
        <v>427</v>
      </c>
      <c r="Q38" s="586">
        <v>426</v>
      </c>
      <c r="R38" s="586">
        <v>425</v>
      </c>
      <c r="S38" s="586">
        <v>428</v>
      </c>
      <c r="T38" s="586">
        <v>452</v>
      </c>
      <c r="U38" s="586">
        <v>472</v>
      </c>
      <c r="V38" s="586">
        <v>501</v>
      </c>
    </row>
    <row r="39" spans="1:22" ht="13.5" customHeight="1" x14ac:dyDescent="0.25">
      <c r="A39" s="573"/>
      <c r="B39" s="568" t="s">
        <v>807</v>
      </c>
      <c r="C39" s="567" t="s">
        <v>808</v>
      </c>
      <c r="D39" s="567"/>
      <c r="E39" s="586">
        <v>74</v>
      </c>
      <c r="F39" s="586">
        <v>77</v>
      </c>
      <c r="G39" s="586">
        <v>79</v>
      </c>
      <c r="H39" s="586">
        <v>83</v>
      </c>
      <c r="I39" s="586">
        <v>88</v>
      </c>
      <c r="J39" s="586">
        <v>90</v>
      </c>
      <c r="K39" s="586">
        <v>97</v>
      </c>
      <c r="L39" s="586">
        <v>101</v>
      </c>
      <c r="M39" s="586">
        <v>112</v>
      </c>
      <c r="N39" s="586">
        <v>130</v>
      </c>
      <c r="O39" s="586">
        <v>140</v>
      </c>
      <c r="P39" s="586">
        <v>142</v>
      </c>
      <c r="Q39" s="586">
        <v>141</v>
      </c>
      <c r="R39" s="586">
        <v>150</v>
      </c>
      <c r="S39" s="586">
        <v>156</v>
      </c>
      <c r="T39" s="586">
        <v>144</v>
      </c>
      <c r="U39" s="586">
        <v>165</v>
      </c>
      <c r="V39" s="586">
        <v>175</v>
      </c>
    </row>
    <row r="40" spans="1:22" ht="13.5" customHeight="1" x14ac:dyDescent="0.25">
      <c r="A40" s="573"/>
      <c r="B40" s="568" t="s">
        <v>809</v>
      </c>
      <c r="C40" s="567" t="s">
        <v>810</v>
      </c>
      <c r="D40" s="567"/>
      <c r="E40" s="586">
        <v>84</v>
      </c>
      <c r="F40" s="586">
        <v>87</v>
      </c>
      <c r="G40" s="586">
        <v>90</v>
      </c>
      <c r="H40" s="586">
        <v>94</v>
      </c>
      <c r="I40" s="586">
        <v>99</v>
      </c>
      <c r="J40" s="586">
        <v>102</v>
      </c>
      <c r="K40" s="586">
        <v>110</v>
      </c>
      <c r="L40" s="586">
        <v>114</v>
      </c>
      <c r="M40" s="586">
        <v>127</v>
      </c>
      <c r="N40" s="586">
        <v>146</v>
      </c>
      <c r="O40" s="586">
        <v>158</v>
      </c>
      <c r="P40" s="586">
        <v>160</v>
      </c>
      <c r="Q40" s="586">
        <v>160</v>
      </c>
      <c r="R40" s="586">
        <v>170</v>
      </c>
      <c r="S40" s="586">
        <v>176</v>
      </c>
      <c r="T40" s="586">
        <v>202</v>
      </c>
      <c r="U40" s="586">
        <v>235</v>
      </c>
      <c r="V40" s="586">
        <v>258</v>
      </c>
    </row>
    <row r="41" spans="1:22" ht="13.5" customHeight="1" x14ac:dyDescent="0.25">
      <c r="A41" s="573"/>
      <c r="B41" s="568" t="s">
        <v>811</v>
      </c>
      <c r="C41" s="567" t="s">
        <v>812</v>
      </c>
      <c r="D41" s="567"/>
      <c r="E41" s="586">
        <v>89</v>
      </c>
      <c r="F41" s="586">
        <v>94</v>
      </c>
      <c r="G41" s="586">
        <v>98</v>
      </c>
      <c r="H41" s="586">
        <v>98</v>
      </c>
      <c r="I41" s="586">
        <v>104</v>
      </c>
      <c r="J41" s="586">
        <v>104</v>
      </c>
      <c r="K41" s="586">
        <v>107</v>
      </c>
      <c r="L41" s="586">
        <v>117</v>
      </c>
      <c r="M41" s="586">
        <v>124</v>
      </c>
      <c r="N41" s="586">
        <v>130</v>
      </c>
      <c r="O41" s="586">
        <v>140</v>
      </c>
      <c r="P41" s="586">
        <v>160</v>
      </c>
      <c r="Q41" s="586">
        <v>183</v>
      </c>
      <c r="R41" s="586">
        <v>223</v>
      </c>
      <c r="S41" s="586">
        <v>244</v>
      </c>
      <c r="T41" s="586">
        <v>260</v>
      </c>
      <c r="U41" s="586">
        <v>275</v>
      </c>
      <c r="V41" s="586">
        <v>307</v>
      </c>
    </row>
    <row r="42" spans="1:22" ht="13.5" customHeight="1" x14ac:dyDescent="0.25">
      <c r="A42" s="573"/>
      <c r="B42" s="568" t="s">
        <v>813</v>
      </c>
      <c r="C42" s="567" t="s">
        <v>385</v>
      </c>
      <c r="D42" s="567"/>
      <c r="E42" s="586">
        <v>28</v>
      </c>
      <c r="F42" s="586">
        <v>33</v>
      </c>
      <c r="G42" s="586">
        <v>37</v>
      </c>
      <c r="H42" s="586">
        <v>51</v>
      </c>
      <c r="I42" s="586">
        <v>49</v>
      </c>
      <c r="J42" s="586">
        <v>58</v>
      </c>
      <c r="K42" s="586">
        <v>69</v>
      </c>
      <c r="L42" s="586">
        <v>74</v>
      </c>
      <c r="M42" s="586">
        <v>84</v>
      </c>
      <c r="N42" s="586">
        <v>90</v>
      </c>
      <c r="O42" s="586">
        <v>104</v>
      </c>
      <c r="P42" s="586">
        <v>113</v>
      </c>
      <c r="Q42" s="586">
        <v>134</v>
      </c>
      <c r="R42" s="586">
        <v>143</v>
      </c>
      <c r="S42" s="586">
        <v>149</v>
      </c>
      <c r="T42" s="586">
        <v>154</v>
      </c>
      <c r="U42" s="586">
        <v>157</v>
      </c>
      <c r="V42" s="586">
        <v>160</v>
      </c>
    </row>
    <row r="43" spans="1:22" ht="13.5" customHeight="1" x14ac:dyDescent="0.25">
      <c r="A43" s="573"/>
      <c r="B43" s="568" t="s">
        <v>814</v>
      </c>
      <c r="C43" s="567" t="s">
        <v>815</v>
      </c>
      <c r="D43" s="567"/>
      <c r="E43" s="586">
        <v>31</v>
      </c>
      <c r="F43" s="586">
        <v>32</v>
      </c>
      <c r="G43" s="586">
        <v>37</v>
      </c>
      <c r="H43" s="586">
        <v>40</v>
      </c>
      <c r="I43" s="586">
        <v>48</v>
      </c>
      <c r="J43" s="586">
        <v>52</v>
      </c>
      <c r="K43" s="586">
        <v>50</v>
      </c>
      <c r="L43" s="586">
        <v>54</v>
      </c>
      <c r="M43" s="586">
        <v>62</v>
      </c>
      <c r="N43" s="586">
        <v>69</v>
      </c>
      <c r="O43" s="586">
        <v>80</v>
      </c>
      <c r="P43" s="586">
        <v>92</v>
      </c>
      <c r="Q43" s="586">
        <v>94</v>
      </c>
      <c r="R43" s="586">
        <v>116</v>
      </c>
      <c r="S43" s="586">
        <v>123</v>
      </c>
      <c r="T43" s="586">
        <v>133</v>
      </c>
      <c r="U43" s="586">
        <v>146</v>
      </c>
      <c r="V43" s="586">
        <v>155</v>
      </c>
    </row>
    <row r="44" spans="1:22" ht="13.5" customHeight="1" x14ac:dyDescent="0.25">
      <c r="A44" s="573"/>
      <c r="B44" s="568" t="s">
        <v>816</v>
      </c>
      <c r="C44" s="567" t="s">
        <v>817</v>
      </c>
      <c r="D44" s="567"/>
      <c r="E44" s="586">
        <v>9</v>
      </c>
      <c r="F44" s="586">
        <v>48</v>
      </c>
      <c r="G44" s="586">
        <v>51</v>
      </c>
      <c r="H44" s="586">
        <v>64</v>
      </c>
      <c r="I44" s="586">
        <v>82</v>
      </c>
      <c r="J44" s="586">
        <v>95</v>
      </c>
      <c r="K44" s="586">
        <v>127</v>
      </c>
      <c r="L44" s="586">
        <v>152</v>
      </c>
      <c r="M44" s="586">
        <v>173</v>
      </c>
      <c r="N44" s="586">
        <v>177</v>
      </c>
      <c r="O44" s="586">
        <v>167</v>
      </c>
      <c r="P44" s="586">
        <v>179</v>
      </c>
      <c r="Q44" s="586">
        <v>178</v>
      </c>
      <c r="R44" s="586">
        <v>197</v>
      </c>
      <c r="S44" s="586">
        <v>221</v>
      </c>
      <c r="T44" s="586">
        <v>257</v>
      </c>
      <c r="U44" s="586">
        <v>306</v>
      </c>
      <c r="V44" s="586">
        <v>328</v>
      </c>
    </row>
    <row r="45" spans="1:22" ht="6.75" customHeight="1" x14ac:dyDescent="0.25">
      <c r="A45" s="565"/>
      <c r="B45" s="565"/>
      <c r="C45" s="572"/>
      <c r="D45" s="572"/>
      <c r="E45" s="595"/>
      <c r="F45" s="595"/>
      <c r="G45" s="595"/>
      <c r="H45" s="595"/>
      <c r="I45" s="595"/>
      <c r="J45" s="595"/>
      <c r="K45" s="595"/>
      <c r="L45" s="595">
        <v>0</v>
      </c>
      <c r="M45" s="595">
        <v>0</v>
      </c>
      <c r="N45" s="595">
        <v>0</v>
      </c>
      <c r="O45" s="595">
        <v>0</v>
      </c>
      <c r="P45" s="595">
        <v>0</v>
      </c>
      <c r="Q45" s="595">
        <v>0</v>
      </c>
      <c r="R45" s="584">
        <v>0</v>
      </c>
      <c r="S45" s="584">
        <v>0</v>
      </c>
      <c r="T45" s="584">
        <v>0</v>
      </c>
      <c r="U45" s="584">
        <v>0</v>
      </c>
      <c r="V45" s="584">
        <v>0</v>
      </c>
    </row>
    <row r="46" spans="1:22" ht="14.25" customHeight="1" x14ac:dyDescent="0.25">
      <c r="A46" s="565"/>
      <c r="B46" s="581" t="s">
        <v>818</v>
      </c>
      <c r="C46" s="582"/>
      <c r="D46" s="582"/>
      <c r="E46" s="583">
        <v>168</v>
      </c>
      <c r="F46" s="583">
        <v>182</v>
      </c>
      <c r="G46" s="583">
        <v>197</v>
      </c>
      <c r="H46" s="583">
        <v>217</v>
      </c>
      <c r="I46" s="583">
        <v>216</v>
      </c>
      <c r="J46" s="583">
        <v>226</v>
      </c>
      <c r="K46" s="583">
        <v>240</v>
      </c>
      <c r="L46" s="583">
        <v>261</v>
      </c>
      <c r="M46" s="583">
        <v>272</v>
      </c>
      <c r="N46" s="583">
        <v>304</v>
      </c>
      <c r="O46" s="583">
        <v>333</v>
      </c>
      <c r="P46" s="583">
        <v>349</v>
      </c>
      <c r="Q46" s="583">
        <v>354</v>
      </c>
      <c r="R46" s="583">
        <v>361</v>
      </c>
      <c r="S46" s="583">
        <v>349</v>
      </c>
      <c r="T46" s="583">
        <v>377</v>
      </c>
      <c r="U46" s="583">
        <v>430</v>
      </c>
      <c r="V46" s="583">
        <v>449</v>
      </c>
    </row>
    <row r="47" spans="1:22" ht="7.5" customHeight="1" thickBot="1" x14ac:dyDescent="0.3">
      <c r="A47" s="565"/>
      <c r="B47" s="596"/>
      <c r="C47" s="597"/>
      <c r="D47" s="597"/>
      <c r="E47" s="596"/>
      <c r="F47" s="596"/>
      <c r="G47" s="596"/>
      <c r="H47" s="596"/>
      <c r="I47" s="596"/>
      <c r="J47" s="596"/>
      <c r="K47" s="596"/>
      <c r="L47" s="596"/>
      <c r="M47" s="596"/>
      <c r="N47" s="596"/>
      <c r="O47" s="596"/>
      <c r="P47" s="596"/>
      <c r="Q47" s="596"/>
      <c r="R47" s="596"/>
      <c r="S47" s="596"/>
      <c r="T47" s="596"/>
      <c r="U47" s="596"/>
      <c r="V47" s="596"/>
    </row>
    <row r="48" spans="1:22" s="601" customFormat="1" ht="12.75" customHeight="1" thickTop="1" x14ac:dyDescent="0.2">
      <c r="A48" s="598"/>
      <c r="B48" s="599" t="s">
        <v>819</v>
      </c>
      <c r="C48" s="600"/>
    </row>
    <row r="49" spans="1:17" s="601" customFormat="1" ht="12.75" customHeight="1" x14ac:dyDescent="0.2">
      <c r="A49" s="598"/>
      <c r="B49" s="602">
        <v>42807</v>
      </c>
      <c r="C49" s="600"/>
    </row>
    <row r="50" spans="1:17" ht="18" x14ac:dyDescent="0.25">
      <c r="A50" s="565"/>
      <c r="B50" s="603"/>
      <c r="E50" s="605"/>
      <c r="F50" s="605"/>
      <c r="G50" s="605"/>
      <c r="H50" s="605"/>
      <c r="I50" s="605"/>
      <c r="J50" s="605"/>
      <c r="K50" s="605"/>
      <c r="L50" s="605"/>
      <c r="M50" s="605"/>
      <c r="N50" s="605"/>
      <c r="O50" s="605"/>
      <c r="P50" s="605"/>
      <c r="Q50" s="605"/>
    </row>
    <row r="51" spans="1:17" ht="18" x14ac:dyDescent="0.25">
      <c r="A51" s="565"/>
    </row>
    <row r="52" spans="1:17" ht="18" x14ac:dyDescent="0.25">
      <c r="A52" s="565"/>
    </row>
    <row r="53" spans="1:17" ht="18" x14ac:dyDescent="0.25">
      <c r="A53" s="565"/>
    </row>
    <row r="54" spans="1:17" ht="18" x14ac:dyDescent="0.25">
      <c r="A54" s="565"/>
    </row>
    <row r="55" spans="1:17" ht="18" x14ac:dyDescent="0.25">
      <c r="A55" s="565"/>
    </row>
    <row r="56" spans="1:17" ht="18" x14ac:dyDescent="0.25">
      <c r="A56" s="565"/>
    </row>
    <row r="57" spans="1:17" ht="18" x14ac:dyDescent="0.25">
      <c r="A57" s="565"/>
    </row>
    <row r="58" spans="1:17" ht="18" x14ac:dyDescent="0.25">
      <c r="A58" s="565"/>
    </row>
    <row r="59" spans="1:17" ht="18" x14ac:dyDescent="0.25">
      <c r="A59" s="565"/>
    </row>
    <row r="60" spans="1:17" ht="18" x14ac:dyDescent="0.25">
      <c r="A60" s="565"/>
    </row>
    <row r="61" spans="1:17" ht="18" x14ac:dyDescent="0.25">
      <c r="A61" s="565"/>
    </row>
    <row r="62" spans="1:17" ht="18" x14ac:dyDescent="0.25">
      <c r="A62" s="565"/>
    </row>
    <row r="63" spans="1:17" ht="18" x14ac:dyDescent="0.25">
      <c r="A63" s="565"/>
    </row>
  </sheetData>
  <conditionalFormatting sqref="E45:Q45 E8:Q8 E7:V7 E10:V14 E18:V28">
    <cfRule type="cellIs" dxfId="39" priority="10" operator="lessThan">
      <formula>0</formula>
    </cfRule>
  </conditionalFormatting>
  <conditionalFormatting sqref="E15:V15">
    <cfRule type="cellIs" dxfId="38" priority="9" operator="lessThan">
      <formula>0</formula>
    </cfRule>
  </conditionalFormatting>
  <conditionalFormatting sqref="E29:V30">
    <cfRule type="cellIs" dxfId="37" priority="8" operator="lessThan">
      <formula>0</formula>
    </cfRule>
  </conditionalFormatting>
  <conditionalFormatting sqref="E17:V17">
    <cfRule type="cellIs" dxfId="36" priority="7" operator="lessThan">
      <formula>0</formula>
    </cfRule>
  </conditionalFormatting>
  <conditionalFormatting sqref="E34:V34">
    <cfRule type="cellIs" dxfId="35" priority="6" operator="lessThan">
      <formula>0</formula>
    </cfRule>
  </conditionalFormatting>
  <conditionalFormatting sqref="E46:V46">
    <cfRule type="cellIs" dxfId="34" priority="5" operator="lessThan">
      <formula>0</formula>
    </cfRule>
  </conditionalFormatting>
  <conditionalFormatting sqref="E9:V9">
    <cfRule type="cellIs" dxfId="33" priority="4" operator="lessThan">
      <formula>0</formula>
    </cfRule>
  </conditionalFormatting>
  <conditionalFormatting sqref="E16:V16">
    <cfRule type="cellIs" dxfId="32" priority="3" operator="lessThan">
      <formula>0</formula>
    </cfRule>
  </conditionalFormatting>
  <conditionalFormatting sqref="E31:V33">
    <cfRule type="cellIs" dxfId="31" priority="2" operator="lessThan">
      <formula>0</formula>
    </cfRule>
  </conditionalFormatting>
  <conditionalFormatting sqref="E35:V44">
    <cfRule type="cellIs" dxfId="30" priority="1" operator="lessThan">
      <formula>0</formula>
    </cfRule>
  </conditionalFormatting>
  <pageMargins left="0.51181102362204722" right="0.51181102362204722" top="0.74803149606299213" bottom="0.74803149606299213" header="0.31496062992125984" footer="0.31496062992125984"/>
  <pageSetup paperSize="9" scale="66" orientation="landscape" r:id="rId1"/>
  <headerFooter>
    <oddHeader>&amp;L&amp;F    &amp;&amp;&amp;A&amp;C
&amp;D&amp;RPage &amp;P of &amp;N</oddHeader>
  </headerFooter>
  <legacy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A17"/>
  <sheetViews>
    <sheetView zoomScale="80" zoomScaleNormal="80" workbookViewId="0">
      <pane xSplit="4" ySplit="2" topLeftCell="X3" activePane="bottomRight" state="frozen"/>
      <selection activeCell="Y26" sqref="Y26"/>
      <selection pane="topRight" activeCell="Y26" sqref="Y26"/>
      <selection pane="bottomLeft" activeCell="Y26" sqref="Y26"/>
      <selection pane="bottomRight" activeCell="AG22" sqref="AG22"/>
    </sheetView>
  </sheetViews>
  <sheetFormatPr defaultRowHeight="15" x14ac:dyDescent="0.25"/>
  <cols>
    <col min="2" max="2" width="12" customWidth="1"/>
    <col min="3" max="3" width="12.42578125" bestFit="1" customWidth="1"/>
    <col min="4" max="4" width="8.28515625" bestFit="1" customWidth="1"/>
    <col min="5" max="5" width="12.140625" bestFit="1" customWidth="1"/>
    <col min="6" max="6" width="9.85546875" bestFit="1" customWidth="1"/>
    <col min="7" max="7" width="10.5703125" bestFit="1" customWidth="1"/>
    <col min="8" max="8" width="9.42578125" bestFit="1" customWidth="1"/>
    <col min="10" max="11" width="10.5703125" bestFit="1" customWidth="1"/>
    <col min="12" max="13" width="9.85546875" bestFit="1" customWidth="1"/>
    <col min="14" max="14" width="8.85546875" bestFit="1" customWidth="1"/>
    <col min="15" max="15" width="9.140625" bestFit="1" customWidth="1"/>
    <col min="16" max="17" width="9" bestFit="1" customWidth="1"/>
    <col min="18" max="21" width="9.85546875" bestFit="1" customWidth="1"/>
    <col min="22" max="22" width="9" bestFit="1" customWidth="1"/>
    <col min="23" max="23" width="9.85546875" bestFit="1" customWidth="1"/>
    <col min="24" max="24" width="10.5703125" bestFit="1" customWidth="1"/>
  </cols>
  <sheetData>
    <row r="1" spans="1:27" ht="15.75" x14ac:dyDescent="0.25">
      <c r="A1" s="707" t="s">
        <v>1020</v>
      </c>
    </row>
    <row r="2" spans="1:27" ht="120" x14ac:dyDescent="0.25">
      <c r="A2" s="716"/>
      <c r="B2" s="716"/>
      <c r="C2" s="717" t="s">
        <v>1004</v>
      </c>
      <c r="D2" s="717"/>
      <c r="E2" s="717" t="s">
        <v>1005</v>
      </c>
      <c r="F2" s="717" t="s">
        <v>1006</v>
      </c>
      <c r="G2" s="717" t="s">
        <v>982</v>
      </c>
      <c r="H2" s="717" t="s">
        <v>1007</v>
      </c>
      <c r="I2" s="717" t="s">
        <v>1008</v>
      </c>
      <c r="J2" s="717" t="s">
        <v>785</v>
      </c>
      <c r="K2" s="717" t="s">
        <v>1009</v>
      </c>
      <c r="L2" s="717" t="s">
        <v>1010</v>
      </c>
      <c r="M2" s="717" t="s">
        <v>1011</v>
      </c>
      <c r="N2" s="717" t="s">
        <v>1012</v>
      </c>
      <c r="O2" s="717" t="s">
        <v>1013</v>
      </c>
      <c r="P2" s="717" t="s">
        <v>805</v>
      </c>
      <c r="Q2" s="717" t="s">
        <v>807</v>
      </c>
      <c r="R2" s="717" t="s">
        <v>809</v>
      </c>
      <c r="S2" s="717" t="s">
        <v>1014</v>
      </c>
      <c r="T2" s="717" t="s">
        <v>813</v>
      </c>
      <c r="U2" s="717" t="s">
        <v>814</v>
      </c>
      <c r="V2" s="717" t="s">
        <v>1015</v>
      </c>
      <c r="W2" s="717" t="s">
        <v>1016</v>
      </c>
      <c r="X2" s="717" t="s">
        <v>1017</v>
      </c>
      <c r="Y2" s="717" t="s">
        <v>1018</v>
      </c>
      <c r="Z2" s="718"/>
    </row>
    <row r="3" spans="1:27" x14ac:dyDescent="0.25">
      <c r="A3" s="1797" t="s">
        <v>1021</v>
      </c>
      <c r="B3" s="708" t="s">
        <v>1024</v>
      </c>
      <c r="C3" s="712">
        <v>2830960.4966690801</v>
      </c>
      <c r="D3" s="182"/>
      <c r="E3" s="712">
        <v>1323652.4729422017</v>
      </c>
      <c r="F3" s="712">
        <v>79657.347889799988</v>
      </c>
      <c r="G3" s="712">
        <v>126885.90773569998</v>
      </c>
      <c r="H3" s="712">
        <v>10470.906107700001</v>
      </c>
      <c r="I3" s="712">
        <v>378.19073709999998</v>
      </c>
      <c r="J3" s="712">
        <v>211884.05119090009</v>
      </c>
      <c r="K3" s="712">
        <v>399017.41905550024</v>
      </c>
      <c r="L3" s="712">
        <v>80305.588858200019</v>
      </c>
      <c r="M3" s="712">
        <v>48263.733630100003</v>
      </c>
      <c r="N3" s="712">
        <v>4733.5697601000002</v>
      </c>
      <c r="O3" s="712">
        <v>10991.616577100001</v>
      </c>
      <c r="P3" s="712">
        <v>0</v>
      </c>
      <c r="Q3" s="712"/>
      <c r="R3" s="712">
        <v>61223.403111700005</v>
      </c>
      <c r="S3" s="712">
        <v>59468.778164299991</v>
      </c>
      <c r="T3" s="712">
        <v>66979.101864600001</v>
      </c>
      <c r="U3" s="712">
        <v>83392.981365799991</v>
      </c>
      <c r="V3" s="712">
        <v>2490.5155221</v>
      </c>
      <c r="W3" s="712">
        <v>78732.1290439</v>
      </c>
      <c r="X3" s="712">
        <v>164453.08281720005</v>
      </c>
      <c r="Y3" s="712">
        <v>378.19073709999998</v>
      </c>
      <c r="Z3" s="706"/>
      <c r="AA3" s="715"/>
    </row>
    <row r="4" spans="1:27" x14ac:dyDescent="0.25">
      <c r="A4" s="1797"/>
      <c r="B4" s="708" t="s">
        <v>1025</v>
      </c>
      <c r="C4" s="712">
        <v>2340032.5980699915</v>
      </c>
      <c r="D4" s="182"/>
      <c r="E4" s="712">
        <v>1306732.9189962016</v>
      </c>
      <c r="F4" s="712">
        <v>64825.636627499996</v>
      </c>
      <c r="G4" s="712">
        <v>104554.5917811</v>
      </c>
      <c r="H4" s="712">
        <v>6035.0353480000003</v>
      </c>
      <c r="I4" s="712">
        <v>0</v>
      </c>
      <c r="J4" s="712">
        <v>204437.12231270006</v>
      </c>
      <c r="K4" s="712">
        <v>250841.65988950004</v>
      </c>
      <c r="L4" s="712">
        <v>54047.231570700002</v>
      </c>
      <c r="M4" s="712">
        <v>42948.006242799995</v>
      </c>
      <c r="N4" s="712">
        <v>575.04081310000004</v>
      </c>
      <c r="O4" s="712">
        <v>3430.067689</v>
      </c>
      <c r="P4" s="712">
        <v>0</v>
      </c>
      <c r="Q4" s="712"/>
      <c r="R4" s="712">
        <v>38507.283486</v>
      </c>
      <c r="S4" s="712">
        <v>0</v>
      </c>
      <c r="T4" s="712">
        <v>6452.356745000001</v>
      </c>
      <c r="U4" s="712">
        <v>32537.327487499999</v>
      </c>
      <c r="V4" s="712">
        <v>2490.5155221</v>
      </c>
      <c r="W4" s="712">
        <v>47239.818124499994</v>
      </c>
      <c r="X4" s="712">
        <v>163899.76947510004</v>
      </c>
      <c r="Y4" s="712">
        <v>0</v>
      </c>
      <c r="Z4" s="706"/>
      <c r="AA4" s="715"/>
    </row>
    <row r="5" spans="1:27" x14ac:dyDescent="0.25">
      <c r="A5" s="1797"/>
      <c r="B5" s="708" t="s">
        <v>1026</v>
      </c>
      <c r="C5" s="712">
        <v>490927.89859910018</v>
      </c>
      <c r="D5" s="182"/>
      <c r="E5" s="712">
        <v>16919.553946</v>
      </c>
      <c r="F5" s="712">
        <v>14831.711262299999</v>
      </c>
      <c r="G5" s="712">
        <v>22331.315954599999</v>
      </c>
      <c r="H5" s="712">
        <v>4435.8707596999993</v>
      </c>
      <c r="I5" s="712">
        <v>378.19073709999998</v>
      </c>
      <c r="J5" s="712">
        <v>7446.9288782000003</v>
      </c>
      <c r="K5" s="712">
        <v>148175.75916600003</v>
      </c>
      <c r="L5" s="712">
        <v>26258.357287499999</v>
      </c>
      <c r="M5" s="712">
        <v>5315.7273872999995</v>
      </c>
      <c r="N5" s="712">
        <v>4158.5289470000007</v>
      </c>
      <c r="O5" s="712">
        <v>7561.5488880999992</v>
      </c>
      <c r="P5" s="712">
        <v>0</v>
      </c>
      <c r="Q5" s="712"/>
      <c r="R5" s="712">
        <v>22716.119625700001</v>
      </c>
      <c r="S5" s="712">
        <v>59468.778164299991</v>
      </c>
      <c r="T5" s="712">
        <v>60526.745119600004</v>
      </c>
      <c r="U5" s="712">
        <v>50855.6538783</v>
      </c>
      <c r="V5" s="712">
        <v>0</v>
      </c>
      <c r="W5" s="712">
        <v>31492.310919399999</v>
      </c>
      <c r="X5" s="712">
        <v>553.3133421</v>
      </c>
      <c r="Y5" s="712">
        <v>378.19073709999998</v>
      </c>
      <c r="Z5" s="706"/>
      <c r="AA5" s="715"/>
    </row>
    <row r="6" spans="1:27" x14ac:dyDescent="0.25">
      <c r="A6" s="232"/>
      <c r="B6" s="711" t="s">
        <v>1024</v>
      </c>
      <c r="C6" s="647">
        <f>+C3/$C3</f>
        <v>1</v>
      </c>
      <c r="E6" s="714">
        <f t="shared" ref="E6:Y6" si="0">+E3/$C3</f>
        <v>0.46756303187544179</v>
      </c>
      <c r="F6" s="714">
        <f t="shared" si="0"/>
        <v>2.8137922794586909E-2</v>
      </c>
      <c r="G6" s="714">
        <f t="shared" si="0"/>
        <v>4.4820797706288898E-2</v>
      </c>
      <c r="H6" s="714">
        <f t="shared" si="0"/>
        <v>3.6987114867975419E-3</v>
      </c>
      <c r="I6" s="714">
        <f t="shared" si="0"/>
        <v>1.3359096234121979E-4</v>
      </c>
      <c r="J6" s="714">
        <f t="shared" si="0"/>
        <v>7.4845287117288897E-2</v>
      </c>
      <c r="K6" s="714">
        <f t="shared" si="0"/>
        <v>0.14094771704691245</v>
      </c>
      <c r="L6" s="714">
        <f t="shared" si="0"/>
        <v>2.8366905491153234E-2</v>
      </c>
      <c r="M6" s="714">
        <f t="shared" si="0"/>
        <v>1.7048536596285011E-2</v>
      </c>
      <c r="N6" s="714">
        <f t="shared" si="0"/>
        <v>1.6720719931166605E-3</v>
      </c>
      <c r="O6" s="714">
        <f t="shared" si="0"/>
        <v>3.8826456921715381E-3</v>
      </c>
      <c r="P6" s="714">
        <f t="shared" si="0"/>
        <v>0</v>
      </c>
      <c r="Q6" s="714">
        <f t="shared" si="0"/>
        <v>0</v>
      </c>
      <c r="R6" s="714">
        <f t="shared" si="0"/>
        <v>2.1626371397176228E-2</v>
      </c>
      <c r="S6" s="714">
        <f t="shared" si="0"/>
        <v>2.1006572940269284E-2</v>
      </c>
      <c r="T6" s="714">
        <f t="shared" si="0"/>
        <v>2.3659497171863716E-2</v>
      </c>
      <c r="U6" s="714">
        <f t="shared" si="0"/>
        <v>2.9457486766035951E-2</v>
      </c>
      <c r="V6" s="714">
        <f t="shared" si="0"/>
        <v>8.797422376717552E-4</v>
      </c>
      <c r="W6" s="714">
        <f t="shared" si="0"/>
        <v>2.7811101262817533E-2</v>
      </c>
      <c r="X6" s="714">
        <f t="shared" si="0"/>
        <v>5.8090914023949197E-2</v>
      </c>
      <c r="Y6" s="714">
        <f t="shared" si="0"/>
        <v>1.3359096234121979E-4</v>
      </c>
    </row>
    <row r="7" spans="1:27" x14ac:dyDescent="0.25">
      <c r="A7" s="232"/>
      <c r="B7" s="711" t="s">
        <v>1025</v>
      </c>
      <c r="C7" s="647">
        <f>+C4/$C4</f>
        <v>1</v>
      </c>
      <c r="E7" s="714">
        <f t="shared" ref="E7:Y7" si="1">+E4/$C4</f>
        <v>0.55842509205810498</v>
      </c>
      <c r="F7" s="714">
        <f t="shared" si="1"/>
        <v>2.7702877592802249E-2</v>
      </c>
      <c r="G7" s="714">
        <f t="shared" si="1"/>
        <v>4.4680827039475596E-2</v>
      </c>
      <c r="H7" s="714">
        <f t="shared" si="1"/>
        <v>2.5790390069683508E-3</v>
      </c>
      <c r="I7" s="714">
        <f t="shared" si="1"/>
        <v>0</v>
      </c>
      <c r="J7" s="714">
        <f t="shared" si="1"/>
        <v>8.7365074521318808E-2</v>
      </c>
      <c r="K7" s="714">
        <f t="shared" si="1"/>
        <v>0.10719579722794838</v>
      </c>
      <c r="L7" s="714">
        <f t="shared" si="1"/>
        <v>2.3096785752163024E-2</v>
      </c>
      <c r="M7" s="714">
        <f t="shared" si="1"/>
        <v>1.8353593141489818E-2</v>
      </c>
      <c r="N7" s="714">
        <f t="shared" si="1"/>
        <v>2.4574051386048269E-4</v>
      </c>
      <c r="O7" s="714">
        <f t="shared" si="1"/>
        <v>1.46582047268446E-3</v>
      </c>
      <c r="P7" s="714">
        <f t="shared" si="1"/>
        <v>0</v>
      </c>
      <c r="Q7" s="714">
        <f t="shared" si="1"/>
        <v>0</v>
      </c>
      <c r="R7" s="714">
        <f t="shared" si="1"/>
        <v>1.6455874810359469E-2</v>
      </c>
      <c r="S7" s="714">
        <f t="shared" si="1"/>
        <v>0</v>
      </c>
      <c r="T7" s="714">
        <f t="shared" si="1"/>
        <v>2.7573789999001579E-3</v>
      </c>
      <c r="U7" s="714">
        <f t="shared" si="1"/>
        <v>1.3904647103777992E-2</v>
      </c>
      <c r="V7" s="714">
        <f t="shared" si="1"/>
        <v>1.0643080460306935E-3</v>
      </c>
      <c r="W7" s="714">
        <f t="shared" si="1"/>
        <v>2.0187675233012729E-2</v>
      </c>
      <c r="X7" s="714">
        <f t="shared" si="1"/>
        <v>7.00416607915125E-2</v>
      </c>
      <c r="Y7" s="714">
        <f t="shared" si="1"/>
        <v>0</v>
      </c>
    </row>
    <row r="8" spans="1:27" x14ac:dyDescent="0.25">
      <c r="A8" s="232"/>
      <c r="B8" s="711" t="s">
        <v>1026</v>
      </c>
      <c r="C8" s="647">
        <f>+C5/$C5</f>
        <v>1</v>
      </c>
      <c r="E8" s="714">
        <f t="shared" ref="E8:Y8" si="2">+E5/$C5</f>
        <v>3.4464437637952997E-2</v>
      </c>
      <c r="F8" s="714">
        <f t="shared" si="2"/>
        <v>3.0211587698770852E-2</v>
      </c>
      <c r="G8" s="714">
        <f t="shared" si="2"/>
        <v>4.5487974951768061E-2</v>
      </c>
      <c r="H8" s="714">
        <f t="shared" si="2"/>
        <v>9.0356868541349791E-3</v>
      </c>
      <c r="I8" s="714">
        <f t="shared" si="2"/>
        <v>7.7035902457203145E-4</v>
      </c>
      <c r="J8" s="714">
        <f t="shared" si="2"/>
        <v>1.5169088779534375E-2</v>
      </c>
      <c r="K8" s="714">
        <f t="shared" si="2"/>
        <v>0.3018279457916952</v>
      </c>
      <c r="L8" s="714">
        <f t="shared" si="2"/>
        <v>5.3487197126971607E-2</v>
      </c>
      <c r="M8" s="714">
        <f t="shared" si="2"/>
        <v>1.0827918727920799E-2</v>
      </c>
      <c r="N8" s="714">
        <f t="shared" si="2"/>
        <v>8.4707529534717354E-3</v>
      </c>
      <c r="O8" s="714">
        <f t="shared" si="2"/>
        <v>1.5402565039952812E-2</v>
      </c>
      <c r="P8" s="714">
        <f t="shared" si="2"/>
        <v>0</v>
      </c>
      <c r="Q8" s="714">
        <f t="shared" si="2"/>
        <v>0</v>
      </c>
      <c r="R8" s="714">
        <f t="shared" si="2"/>
        <v>4.6271804251748906E-2</v>
      </c>
      <c r="S8" s="714">
        <f t="shared" si="2"/>
        <v>0.12113546273087888</v>
      </c>
      <c r="T8" s="714">
        <f t="shared" si="2"/>
        <v>0.12329049803915736</v>
      </c>
      <c r="U8" s="714">
        <f t="shared" si="2"/>
        <v>0.10359088172299934</v>
      </c>
      <c r="V8" s="714">
        <f t="shared" si="2"/>
        <v>0</v>
      </c>
      <c r="W8" s="714">
        <f t="shared" si="2"/>
        <v>6.4148546068100193E-2</v>
      </c>
      <c r="X8" s="714">
        <f t="shared" si="2"/>
        <v>1.1270765904299214E-3</v>
      </c>
      <c r="Y8" s="714">
        <f t="shared" si="2"/>
        <v>7.7035902457203145E-4</v>
      </c>
    </row>
    <row r="9" spans="1:27" x14ac:dyDescent="0.25">
      <c r="A9" s="709"/>
      <c r="B9" s="711" t="s">
        <v>1025</v>
      </c>
      <c r="C9" s="647">
        <f>+C4/C3</f>
        <v>0.82658610066204863</v>
      </c>
      <c r="D9" s="647" t="e">
        <f>+D5/D3</f>
        <v>#DIV/0!</v>
      </c>
      <c r="E9" s="714">
        <f t="shared" ref="E9:Y9" si="3">+E4/E3</f>
        <v>0.98721752552738296</v>
      </c>
      <c r="F9" s="714">
        <f t="shared" si="3"/>
        <v>0.81380611261601932</v>
      </c>
      <c r="G9" s="714">
        <f t="shared" si="3"/>
        <v>0.82400475865991729</v>
      </c>
      <c r="H9" s="714">
        <f t="shared" si="3"/>
        <v>0.57636228287464164</v>
      </c>
      <c r="I9" s="714">
        <f t="shared" si="3"/>
        <v>0</v>
      </c>
      <c r="J9" s="714">
        <f t="shared" si="3"/>
        <v>0.96485375451175126</v>
      </c>
      <c r="K9" s="714">
        <f t="shared" si="3"/>
        <v>0.6286483945569552</v>
      </c>
      <c r="L9" s="714">
        <f t="shared" si="3"/>
        <v>0.67301955367183919</v>
      </c>
      <c r="M9" s="714">
        <f t="shared" si="3"/>
        <v>0.88986083364290702</v>
      </c>
      <c r="N9" s="714">
        <f t="shared" si="3"/>
        <v>0.12148142781101674</v>
      </c>
      <c r="O9" s="714">
        <f t="shared" si="3"/>
        <v>0.31206216710162754</v>
      </c>
      <c r="P9" s="714" t="e">
        <f t="shared" si="3"/>
        <v>#DIV/0!</v>
      </c>
      <c r="Q9" s="714" t="e">
        <f t="shared" si="3"/>
        <v>#DIV/0!</v>
      </c>
      <c r="R9" s="714">
        <f t="shared" si="3"/>
        <v>0.62896346052088581</v>
      </c>
      <c r="S9" s="714">
        <f t="shared" si="3"/>
        <v>0</v>
      </c>
      <c r="T9" s="714">
        <f t="shared" si="3"/>
        <v>9.6333879753174478E-2</v>
      </c>
      <c r="U9" s="714">
        <f t="shared" si="3"/>
        <v>0.39016865633783143</v>
      </c>
      <c r="V9" s="714">
        <f t="shared" si="3"/>
        <v>1</v>
      </c>
      <c r="W9" s="714">
        <f t="shared" si="3"/>
        <v>0.60000686756685684</v>
      </c>
      <c r="X9" s="714">
        <f t="shared" si="3"/>
        <v>0.99663543344629757</v>
      </c>
      <c r="Y9" s="714">
        <f t="shared" si="3"/>
        <v>0</v>
      </c>
      <c r="Z9" s="706"/>
      <c r="AA9" s="647"/>
    </row>
    <row r="10" spans="1:27" x14ac:dyDescent="0.25">
      <c r="A10" s="709"/>
      <c r="B10" s="711" t="s">
        <v>1026</v>
      </c>
      <c r="C10" s="647">
        <f>+C5/C3</f>
        <v>0.17341389933795542</v>
      </c>
      <c r="E10" s="714">
        <f t="shared" ref="E10:Y10" si="4">+E5/E3</f>
        <v>1.2782474472616956E-2</v>
      </c>
      <c r="F10" s="714">
        <f t="shared" si="4"/>
        <v>0.18619388738398079</v>
      </c>
      <c r="G10" s="714">
        <f t="shared" si="4"/>
        <v>0.17599524134008282</v>
      </c>
      <c r="H10" s="714">
        <f t="shared" si="4"/>
        <v>0.4236377171253583</v>
      </c>
      <c r="I10" s="714">
        <f t="shared" si="4"/>
        <v>1</v>
      </c>
      <c r="J10" s="714">
        <f t="shared" si="4"/>
        <v>3.5146245488248566E-2</v>
      </c>
      <c r="K10" s="714">
        <f t="shared" si="4"/>
        <v>0.37135160544304441</v>
      </c>
      <c r="L10" s="714">
        <f t="shared" si="4"/>
        <v>0.32698044632816053</v>
      </c>
      <c r="M10" s="714">
        <f t="shared" si="4"/>
        <v>0.11013916635709281</v>
      </c>
      <c r="N10" s="714">
        <f t="shared" si="4"/>
        <v>0.87851857218898333</v>
      </c>
      <c r="O10" s="714">
        <f t="shared" si="4"/>
        <v>0.68793783289837229</v>
      </c>
      <c r="P10" s="714" t="e">
        <f t="shared" si="4"/>
        <v>#DIV/0!</v>
      </c>
      <c r="Q10" s="714" t="e">
        <f t="shared" si="4"/>
        <v>#DIV/0!</v>
      </c>
      <c r="R10" s="714">
        <f t="shared" si="4"/>
        <v>0.37103653947911419</v>
      </c>
      <c r="S10" s="714">
        <f t="shared" si="4"/>
        <v>1</v>
      </c>
      <c r="T10" s="714">
        <f t="shared" si="4"/>
        <v>0.90366612024682558</v>
      </c>
      <c r="U10" s="714">
        <f t="shared" si="4"/>
        <v>0.60983134366216862</v>
      </c>
      <c r="V10" s="714">
        <f t="shared" si="4"/>
        <v>0</v>
      </c>
      <c r="W10" s="714">
        <f t="shared" si="4"/>
        <v>0.39999313243314299</v>
      </c>
      <c r="X10" s="714">
        <f t="shared" si="4"/>
        <v>3.3645665537023871E-3</v>
      </c>
      <c r="Y10" s="714">
        <f t="shared" si="4"/>
        <v>1</v>
      </c>
      <c r="Z10" s="706"/>
    </row>
    <row r="11" spans="1:27" x14ac:dyDescent="0.25">
      <c r="A11" s="710"/>
      <c r="B11" s="708"/>
      <c r="C11" s="713"/>
      <c r="E11" s="713"/>
      <c r="F11" s="713"/>
      <c r="G11" s="713"/>
      <c r="H11" s="713"/>
      <c r="I11" s="713"/>
      <c r="J11" s="713"/>
      <c r="K11" s="713"/>
      <c r="L11" s="713"/>
      <c r="M11" s="713"/>
      <c r="N11" s="713"/>
      <c r="O11" s="713"/>
      <c r="P11" s="713"/>
      <c r="Q11" s="713"/>
      <c r="R11" s="713"/>
      <c r="S11" s="713"/>
      <c r="T11" s="713"/>
      <c r="U11" s="713"/>
      <c r="V11" s="713"/>
      <c r="W11" s="713"/>
      <c r="X11" s="713"/>
      <c r="Y11" s="713"/>
      <c r="Z11" s="706"/>
    </row>
    <row r="12" spans="1:27" x14ac:dyDescent="0.25">
      <c r="A12" s="1797" t="s">
        <v>1022</v>
      </c>
      <c r="B12" s="708" t="s">
        <v>1025</v>
      </c>
      <c r="C12" s="712">
        <v>1239603.2866063009</v>
      </c>
      <c r="D12" s="712"/>
      <c r="E12" s="712">
        <v>590604.70855800062</v>
      </c>
      <c r="F12" s="712">
        <v>58790.601279499999</v>
      </c>
      <c r="G12" s="712">
        <v>76980.195250100005</v>
      </c>
      <c r="H12" s="712">
        <v>0</v>
      </c>
      <c r="I12" s="712">
        <v>0</v>
      </c>
      <c r="J12" s="712">
        <v>178242.54859610001</v>
      </c>
      <c r="K12" s="712">
        <v>128553.19378950002</v>
      </c>
      <c r="L12" s="712">
        <v>46073.993651700002</v>
      </c>
      <c r="M12" s="712">
        <v>19224.580336700001</v>
      </c>
      <c r="N12" s="712">
        <v>0</v>
      </c>
      <c r="O12" s="712">
        <v>2044.8798959999999</v>
      </c>
      <c r="P12" s="712">
        <v>0</v>
      </c>
      <c r="Q12" s="712"/>
      <c r="R12" s="712">
        <v>27203.95277</v>
      </c>
      <c r="S12" s="712">
        <v>0</v>
      </c>
      <c r="T12" s="712">
        <v>3797.0794841000006</v>
      </c>
      <c r="U12" s="712">
        <v>25179.293947399998</v>
      </c>
      <c r="V12" s="712">
        <v>575.04081310000004</v>
      </c>
      <c r="W12" s="712">
        <v>20199.145766100002</v>
      </c>
      <c r="X12" s="712">
        <v>51655.85650880001</v>
      </c>
      <c r="Y12" s="712">
        <v>0</v>
      </c>
      <c r="Z12" s="706"/>
    </row>
    <row r="13" spans="1:27" x14ac:dyDescent="0.25">
      <c r="A13" s="1798"/>
      <c r="B13" s="708" t="s">
        <v>1026</v>
      </c>
      <c r="C13" s="712">
        <v>337406.02351740014</v>
      </c>
      <c r="D13" s="712"/>
      <c r="E13" s="712">
        <v>16919.553946</v>
      </c>
      <c r="F13" s="712">
        <v>14831.711262299999</v>
      </c>
      <c r="G13" s="712">
        <v>19744.965976399999</v>
      </c>
      <c r="H13" s="712">
        <v>4435.8707596999993</v>
      </c>
      <c r="I13" s="712">
        <v>378.19073709999998</v>
      </c>
      <c r="J13" s="712">
        <v>6595.7262429000002</v>
      </c>
      <c r="K13" s="712">
        <v>85551.657594999997</v>
      </c>
      <c r="L13" s="712">
        <v>26258.357287499999</v>
      </c>
      <c r="M13" s="712">
        <v>613.73427609999999</v>
      </c>
      <c r="N13" s="712">
        <v>3310.6742013000003</v>
      </c>
      <c r="O13" s="712">
        <v>3120.2600411000003</v>
      </c>
      <c r="P13" s="712">
        <v>0</v>
      </c>
      <c r="Q13" s="712"/>
      <c r="R13" s="712">
        <v>16267.5099907</v>
      </c>
      <c r="S13" s="712">
        <v>47467.222490599997</v>
      </c>
      <c r="T13" s="712">
        <v>49666.087867599999</v>
      </c>
      <c r="U13" s="712">
        <v>13627.981201899998</v>
      </c>
      <c r="V13" s="712">
        <v>0</v>
      </c>
      <c r="W13" s="712">
        <v>20939.912700300003</v>
      </c>
      <c r="X13" s="712">
        <v>553.3133421</v>
      </c>
      <c r="Y13" s="712">
        <v>378.19073709999998</v>
      </c>
      <c r="Z13" s="706"/>
    </row>
    <row r="14" spans="1:27" x14ac:dyDescent="0.25">
      <c r="A14" s="1797" t="s">
        <v>1023</v>
      </c>
      <c r="B14" s="708" t="s">
        <v>1025</v>
      </c>
      <c r="C14" s="712">
        <v>1100429.3114637011</v>
      </c>
      <c r="D14" s="712"/>
      <c r="E14" s="712">
        <v>716128.21043820097</v>
      </c>
      <c r="F14" s="712">
        <v>6035.0353480000003</v>
      </c>
      <c r="G14" s="712">
        <v>27574.396530999999</v>
      </c>
      <c r="H14" s="712">
        <v>6035.0353480000003</v>
      </c>
      <c r="I14" s="712">
        <v>0</v>
      </c>
      <c r="J14" s="712">
        <v>26194.5737166</v>
      </c>
      <c r="K14" s="712">
        <v>122288.46610000001</v>
      </c>
      <c r="L14" s="712">
        <v>7973.2379190000001</v>
      </c>
      <c r="M14" s="712">
        <v>23723.425906100001</v>
      </c>
      <c r="N14" s="712">
        <v>575.04081310000004</v>
      </c>
      <c r="O14" s="712">
        <v>1385.1877930000001</v>
      </c>
      <c r="P14" s="712">
        <v>0</v>
      </c>
      <c r="Q14" s="712"/>
      <c r="R14" s="712">
        <v>11303.330715999999</v>
      </c>
      <c r="S14" s="712">
        <v>0</v>
      </c>
      <c r="T14" s="712">
        <v>2655.2772609000003</v>
      </c>
      <c r="U14" s="712">
        <v>7358.0335401000002</v>
      </c>
      <c r="V14" s="712">
        <v>1915.4747090000001</v>
      </c>
      <c r="W14" s="712">
        <v>27040.672358399999</v>
      </c>
      <c r="X14" s="712">
        <v>112243.91296630001</v>
      </c>
      <c r="Y14" s="712">
        <v>0</v>
      </c>
      <c r="Z14" s="706"/>
    </row>
    <row r="15" spans="1:27" x14ac:dyDescent="0.25">
      <c r="A15" s="1798"/>
      <c r="B15" s="710" t="s">
        <v>1026</v>
      </c>
      <c r="C15" s="719">
        <v>153521.87508170004</v>
      </c>
      <c r="D15" s="719"/>
      <c r="E15" s="719">
        <v>0</v>
      </c>
      <c r="F15" s="719">
        <v>0</v>
      </c>
      <c r="G15" s="719">
        <v>2586.3499781999999</v>
      </c>
      <c r="H15" s="719">
        <v>0</v>
      </c>
      <c r="I15" s="719">
        <v>0</v>
      </c>
      <c r="J15" s="719">
        <v>851.20263530000011</v>
      </c>
      <c r="K15" s="719">
        <v>62624.101570999999</v>
      </c>
      <c r="L15" s="719">
        <v>0</v>
      </c>
      <c r="M15" s="719">
        <v>4701.9931111999995</v>
      </c>
      <c r="N15" s="719">
        <v>847.85474569999997</v>
      </c>
      <c r="O15" s="719">
        <v>4441.2888469999989</v>
      </c>
      <c r="P15" s="719">
        <v>0</v>
      </c>
      <c r="Q15" s="719"/>
      <c r="R15" s="719">
        <v>6448.6096349999998</v>
      </c>
      <c r="S15" s="719">
        <v>12001.555673699999</v>
      </c>
      <c r="T15" s="719">
        <v>10860.657252000001</v>
      </c>
      <c r="U15" s="719">
        <v>37227.672676399998</v>
      </c>
      <c r="V15" s="719">
        <v>0</v>
      </c>
      <c r="W15" s="719">
        <v>10552.3982191</v>
      </c>
      <c r="X15" s="719">
        <v>0</v>
      </c>
      <c r="Y15" s="719">
        <v>0</v>
      </c>
      <c r="Z15" s="720"/>
    </row>
    <row r="17" spans="3:26" ht="270" x14ac:dyDescent="0.25">
      <c r="C17" t="s">
        <v>1050</v>
      </c>
      <c r="E17" s="266" t="str">
        <f>PSUT_2012!C4</f>
        <v xml:space="preserve">A. Agriculture, forestry and fishing </v>
      </c>
      <c r="F17" s="266" t="str">
        <f>PSUT_2012!D4</f>
        <v xml:space="preserve">B. Mining and Quarrying </v>
      </c>
      <c r="G17" s="266" t="str">
        <f>PSUT_2012!E4</f>
        <v>C. Manufacturing</v>
      </c>
      <c r="H17" s="266" t="str">
        <f>PSUT_2012!F4</f>
        <v>D. Electricity, gas, steam and air conditioning supply</v>
      </c>
      <c r="I17" s="266" t="str">
        <f>PSUT_2012!G4</f>
        <v>E. Water supply (WASAC &amp; AquaVirunga)</v>
      </c>
      <c r="J17" s="266" t="str">
        <f>PSUT_2012!H4</f>
        <v>F. Construction</v>
      </c>
      <c r="K17" s="266" t="str">
        <f>PSUT_2012!I4</f>
        <v>G. Wholesale and retail trade; repair of motor vehicles and motorcycles</v>
      </c>
      <c r="L17" s="266" t="str">
        <f>PSUT_2012!J4</f>
        <v>H. Transportation and storage</v>
      </c>
      <c r="M17" s="266" t="str">
        <f>PSUT_2012!K4</f>
        <v>I. Accommodation and food service activities</v>
      </c>
      <c r="N17" s="266" t="str">
        <f>PSUT_2012!L4</f>
        <v>J. Information and communication</v>
      </c>
      <c r="O17" s="266" t="str">
        <f>PSUT_2012!M4</f>
        <v>K. Banking and insurance activities</v>
      </c>
      <c r="P17" s="266" t="str">
        <f>PSUT_2012!N4</f>
        <v>L. Real estate activities</v>
      </c>
      <c r="Q17" s="266" t="str">
        <f>PSUT_2012!O4</f>
        <v>M. Professional, scientific and technical activities</v>
      </c>
      <c r="R17" s="266" t="str">
        <f>PSUT_2012!P4</f>
        <v>N. Administrative and support service activities</v>
      </c>
      <c r="S17" s="266" t="str">
        <f>PSUT_2012!Q4</f>
        <v>O. Public administration and defence; compulsory social security</v>
      </c>
      <c r="T17" s="266" t="str">
        <f>PSUT_2012!R4</f>
        <v>P. Education</v>
      </c>
      <c r="U17" s="266" t="str">
        <f>PSUT_2012!S4</f>
        <v xml:space="preserve">Q. Human health and social work activities </v>
      </c>
      <c r="V17" s="266" t="str">
        <f>PSUT_2012!T4</f>
        <v>R. Arts, entertainment and recreation</v>
      </c>
      <c r="W17" s="266" t="str">
        <f>PSUT_2012!U4</f>
        <v>S. Other service activities (Religious &amp; Burial)</v>
      </c>
      <c r="X17" s="266" t="str">
        <f>PSUT_2012!V4</f>
        <v>T. Activities of households as employers; undifferentiated goods- and services-producing activities of households for own use</v>
      </c>
      <c r="Y17" s="266">
        <f>PSUT_2012!W4</f>
        <v>0</v>
      </c>
      <c r="Z17" s="266" t="str">
        <f>PSUT_2012!X4</f>
        <v>Households</v>
      </c>
    </row>
  </sheetData>
  <mergeCells count="3">
    <mergeCell ref="A3:A5"/>
    <mergeCell ref="A12:A13"/>
    <mergeCell ref="A14:A15"/>
  </mergeCells>
  <pageMargins left="0.51181102362204722" right="0.51181102362204722" top="0.74803149606299213" bottom="0.74803149606299213" header="0.31496062992125984" footer="0.31496062992125984"/>
  <pageSetup paperSize="9" scale="52" orientation="landscape" r:id="rId1"/>
  <headerFooter>
    <oddHeader>&amp;L&amp;F    &amp;&amp;&amp;A&amp;C
&amp;D&amp;RPage &amp;P of &amp;N</oddHead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V166"/>
  <sheetViews>
    <sheetView zoomScale="70" zoomScaleNormal="70" workbookViewId="0">
      <pane xSplit="4" ySplit="2" topLeftCell="E247" activePane="bottomRight" state="frozen"/>
      <selection activeCell="Y26" sqref="Y26"/>
      <selection pane="topRight" activeCell="Y26" sqref="Y26"/>
      <selection pane="bottomLeft" activeCell="Y26" sqref="Y26"/>
      <selection pane="bottomRight" activeCell="F137" sqref="F137"/>
    </sheetView>
  </sheetViews>
  <sheetFormatPr defaultRowHeight="15" x14ac:dyDescent="0.25"/>
  <cols>
    <col min="2" max="2" width="12" customWidth="1"/>
    <col min="3" max="3" width="12.42578125" bestFit="1" customWidth="1"/>
    <col min="4" max="4" width="28.85546875" bestFit="1" customWidth="1"/>
    <col min="5" max="5" width="12.140625" bestFit="1" customWidth="1"/>
    <col min="6" max="6" width="11" customWidth="1"/>
    <col min="7" max="7" width="10.5703125" bestFit="1" customWidth="1"/>
    <col min="8" max="8" width="16.85546875" bestFit="1" customWidth="1"/>
    <col min="10" max="11" width="10.5703125" bestFit="1" customWidth="1"/>
    <col min="12" max="13" width="9.85546875" bestFit="1" customWidth="1"/>
    <col min="14" max="14" width="8.85546875" customWidth="1"/>
    <col min="15" max="15" width="9.140625" bestFit="1" customWidth="1"/>
    <col min="16" max="16" width="9" bestFit="1" customWidth="1"/>
    <col min="17" max="17" width="16.28515625" customWidth="1"/>
    <col min="18" max="18" width="9.85546875" bestFit="1" customWidth="1"/>
    <col min="19" max="19" width="13.140625" customWidth="1"/>
    <col min="20" max="20" width="12.7109375" customWidth="1"/>
    <col min="21" max="21" width="41.140625" customWidth="1"/>
    <col min="22" max="22" width="14.85546875" customWidth="1"/>
    <col min="23" max="23" width="14.7109375" customWidth="1"/>
    <col min="24" max="24" width="15.85546875" customWidth="1"/>
    <col min="25" max="25" width="17.28515625" customWidth="1"/>
    <col min="26" max="26" width="15" customWidth="1"/>
    <col min="27" max="27" width="17.42578125" customWidth="1"/>
  </cols>
  <sheetData>
    <row r="1" spans="1:27" ht="15.75" x14ac:dyDescent="0.25">
      <c r="A1" s="707" t="s">
        <v>1020</v>
      </c>
    </row>
    <row r="2" spans="1:27" ht="120" x14ac:dyDescent="0.25">
      <c r="A2" s="716"/>
      <c r="B2" s="716"/>
      <c r="C2" s="717" t="s">
        <v>1004</v>
      </c>
      <c r="D2" s="717"/>
      <c r="E2" s="717" t="s">
        <v>1005</v>
      </c>
      <c r="F2" s="717" t="s">
        <v>1006</v>
      </c>
      <c r="G2" s="717" t="s">
        <v>982</v>
      </c>
      <c r="H2" s="717" t="s">
        <v>1007</v>
      </c>
      <c r="I2" s="717" t="s">
        <v>1008</v>
      </c>
      <c r="J2" s="717" t="s">
        <v>785</v>
      </c>
      <c r="K2" s="717" t="s">
        <v>1009</v>
      </c>
      <c r="L2" s="717" t="s">
        <v>1010</v>
      </c>
      <c r="M2" s="717" t="s">
        <v>1011</v>
      </c>
      <c r="N2" s="717" t="s">
        <v>1012</v>
      </c>
      <c r="O2" s="717" t="s">
        <v>1013</v>
      </c>
      <c r="P2" s="717" t="s">
        <v>805</v>
      </c>
      <c r="Q2" s="717" t="s">
        <v>807</v>
      </c>
      <c r="R2" s="717" t="s">
        <v>809</v>
      </c>
      <c r="S2" s="717" t="s">
        <v>1014</v>
      </c>
      <c r="T2" s="717" t="s">
        <v>813</v>
      </c>
      <c r="U2" s="717" t="s">
        <v>814</v>
      </c>
      <c r="V2" s="717" t="s">
        <v>1015</v>
      </c>
      <c r="W2" s="717" t="s">
        <v>1016</v>
      </c>
      <c r="X2" s="717" t="s">
        <v>1017</v>
      </c>
      <c r="Y2" s="717" t="s">
        <v>1018</v>
      </c>
      <c r="Z2" s="718"/>
    </row>
    <row r="3" spans="1:27" x14ac:dyDescent="0.25">
      <c r="A3" s="1797" t="s">
        <v>1021</v>
      </c>
      <c r="B3" s="708" t="s">
        <v>1024</v>
      </c>
      <c r="C3" s="712">
        <v>2830960.496669081</v>
      </c>
      <c r="D3" s="712">
        <f>SUM(E3:Y3)</f>
        <v>2813358.9871111023</v>
      </c>
      <c r="E3" s="712">
        <v>1323652.4729422017</v>
      </c>
      <c r="F3" s="712">
        <v>79657.347889799988</v>
      </c>
      <c r="G3" s="712">
        <v>126885.90773569998</v>
      </c>
      <c r="H3" s="712">
        <v>10470.906107700001</v>
      </c>
      <c r="I3" s="712">
        <v>378.19073709999998</v>
      </c>
      <c r="J3" s="712">
        <v>211884.05119090009</v>
      </c>
      <c r="K3" s="712">
        <v>399017.41905550024</v>
      </c>
      <c r="L3" s="712">
        <v>80305.588858200019</v>
      </c>
      <c r="M3" s="712">
        <v>48263.733630100003</v>
      </c>
      <c r="N3" s="712">
        <v>4733.5697601000002</v>
      </c>
      <c r="O3" s="712">
        <v>10991.616577100001</v>
      </c>
      <c r="P3" s="712">
        <v>0</v>
      </c>
      <c r="Q3" s="712"/>
      <c r="R3" s="712">
        <v>61223.403111700005</v>
      </c>
      <c r="S3" s="712">
        <v>59468.778164299991</v>
      </c>
      <c r="T3" s="712">
        <v>66979.101864600001</v>
      </c>
      <c r="U3" s="712">
        <v>83392.981365799991</v>
      </c>
      <c r="V3" s="712">
        <v>2490.5155221</v>
      </c>
      <c r="W3" s="712">
        <v>78732.1290439</v>
      </c>
      <c r="X3" s="712">
        <v>164453.08281720005</v>
      </c>
      <c r="Y3" s="712">
        <v>378.19073709999998</v>
      </c>
      <c r="Z3" s="706"/>
      <c r="AA3" s="715"/>
    </row>
    <row r="4" spans="1:27" x14ac:dyDescent="0.25">
      <c r="A4" s="1797"/>
      <c r="B4" s="708" t="s">
        <v>1025</v>
      </c>
      <c r="C4" s="712">
        <v>2340032.5980699915</v>
      </c>
      <c r="D4" s="182"/>
      <c r="E4" s="712">
        <v>1306732.9189962016</v>
      </c>
      <c r="F4" s="712">
        <v>64825.636627499996</v>
      </c>
      <c r="G4" s="712">
        <v>104554.5917811</v>
      </c>
      <c r="H4" s="712">
        <v>6035.0353480000003</v>
      </c>
      <c r="I4" s="712">
        <v>0</v>
      </c>
      <c r="J4" s="712">
        <v>204437.12231270006</v>
      </c>
      <c r="K4" s="712">
        <v>250841.65988950004</v>
      </c>
      <c r="L4" s="712">
        <v>54047.231570700002</v>
      </c>
      <c r="M4" s="712">
        <v>42948.006242799995</v>
      </c>
      <c r="N4" s="712">
        <v>575.04081310000004</v>
      </c>
      <c r="O4" s="712">
        <v>3430.067689</v>
      </c>
      <c r="P4" s="712">
        <v>0</v>
      </c>
      <c r="Q4" s="712"/>
      <c r="R4" s="712">
        <v>38507.283486</v>
      </c>
      <c r="S4" s="712">
        <v>0</v>
      </c>
      <c r="T4" s="712">
        <v>6452.356745000001</v>
      </c>
      <c r="U4" s="712">
        <v>32537.327487499999</v>
      </c>
      <c r="V4" s="712">
        <v>2490.5155221</v>
      </c>
      <c r="W4" s="712">
        <v>47239.818124499994</v>
      </c>
      <c r="X4" s="712">
        <v>163899.76947510004</v>
      </c>
      <c r="Y4" s="712">
        <v>0</v>
      </c>
      <c r="Z4" s="706"/>
      <c r="AA4" s="715"/>
    </row>
    <row r="5" spans="1:27" x14ac:dyDescent="0.25">
      <c r="A5" s="1797"/>
      <c r="B5" s="708" t="s">
        <v>1026</v>
      </c>
      <c r="C5" s="712">
        <v>490927.89859910018</v>
      </c>
      <c r="D5" s="182"/>
      <c r="E5" s="712">
        <v>16919.553946</v>
      </c>
      <c r="F5" s="712">
        <v>14831.711262299999</v>
      </c>
      <c r="G5" s="712">
        <v>22331.315954599999</v>
      </c>
      <c r="H5" s="712">
        <v>4435.8707596999993</v>
      </c>
      <c r="I5" s="712">
        <v>378.19073709999998</v>
      </c>
      <c r="J5" s="712">
        <v>7446.9288782000003</v>
      </c>
      <c r="K5" s="712">
        <v>148175.75916600003</v>
      </c>
      <c r="L5" s="712">
        <v>26258.357287499999</v>
      </c>
      <c r="M5" s="712">
        <v>5315.7273872999995</v>
      </c>
      <c r="N5" s="712">
        <v>4158.5289470000007</v>
      </c>
      <c r="O5" s="712">
        <v>7561.5488880999992</v>
      </c>
      <c r="P5" s="712">
        <v>0</v>
      </c>
      <c r="Q5" s="712"/>
      <c r="R5" s="712">
        <v>22716.119625700001</v>
      </c>
      <c r="S5" s="712">
        <v>59468.778164299991</v>
      </c>
      <c r="T5" s="712">
        <v>60526.745119600004</v>
      </c>
      <c r="U5" s="712">
        <v>50855.6538783</v>
      </c>
      <c r="V5" s="712">
        <v>0</v>
      </c>
      <c r="W5" s="712">
        <v>31492.310919399999</v>
      </c>
      <c r="X5" s="712">
        <v>553.3133421</v>
      </c>
      <c r="Y5" s="712">
        <v>378.19073709999998</v>
      </c>
      <c r="Z5" s="706"/>
      <c r="AA5" s="715"/>
    </row>
    <row r="6" spans="1:27" x14ac:dyDescent="0.25">
      <c r="A6" s="232"/>
      <c r="B6" s="711" t="s">
        <v>1024</v>
      </c>
      <c r="C6" s="647">
        <f>+C3/$C3</f>
        <v>1</v>
      </c>
      <c r="E6" s="714">
        <f t="shared" ref="E6:Y8" si="0">+E3/$C3</f>
        <v>0.46756303187544163</v>
      </c>
      <c r="F6" s="714">
        <f t="shared" si="0"/>
        <v>2.8137922794586899E-2</v>
      </c>
      <c r="G6" s="714">
        <f t="shared" si="0"/>
        <v>4.4820797706288877E-2</v>
      </c>
      <c r="H6" s="714">
        <f t="shared" si="0"/>
        <v>3.6987114867975406E-3</v>
      </c>
      <c r="I6" s="714">
        <f t="shared" si="0"/>
        <v>1.3359096234121976E-4</v>
      </c>
      <c r="J6" s="714">
        <f t="shared" si="0"/>
        <v>7.4845287117288883E-2</v>
      </c>
      <c r="K6" s="714">
        <f t="shared" si="0"/>
        <v>0.14094771704691242</v>
      </c>
      <c r="L6" s="714">
        <f t="shared" si="0"/>
        <v>2.8366905491153227E-2</v>
      </c>
      <c r="M6" s="714">
        <f t="shared" si="0"/>
        <v>1.7048536596285007E-2</v>
      </c>
      <c r="N6" s="714">
        <f t="shared" si="0"/>
        <v>1.6720719931166601E-3</v>
      </c>
      <c r="O6" s="714">
        <f t="shared" si="0"/>
        <v>3.8826456921715368E-3</v>
      </c>
      <c r="P6" s="714">
        <f t="shared" si="0"/>
        <v>0</v>
      </c>
      <c r="Q6" s="714">
        <f t="shared" si="0"/>
        <v>0</v>
      </c>
      <c r="R6" s="714">
        <f t="shared" si="0"/>
        <v>2.1626371397176221E-2</v>
      </c>
      <c r="S6" s="714">
        <f t="shared" si="0"/>
        <v>2.1006572940269277E-2</v>
      </c>
      <c r="T6" s="714">
        <f t="shared" si="0"/>
        <v>2.3659497171863709E-2</v>
      </c>
      <c r="U6" s="714">
        <f t="shared" si="0"/>
        <v>2.9457486766035941E-2</v>
      </c>
      <c r="V6" s="714">
        <f t="shared" si="0"/>
        <v>8.7974223767175487E-4</v>
      </c>
      <c r="W6" s="714">
        <f t="shared" si="0"/>
        <v>2.7811101262817522E-2</v>
      </c>
      <c r="X6" s="714">
        <f t="shared" si="0"/>
        <v>5.8090914023949176E-2</v>
      </c>
      <c r="Y6" s="714">
        <f t="shared" si="0"/>
        <v>1.3359096234121976E-4</v>
      </c>
    </row>
    <row r="7" spans="1:27" x14ac:dyDescent="0.25">
      <c r="A7" s="232"/>
      <c r="B7" s="711" t="s">
        <v>1025</v>
      </c>
      <c r="C7" s="647">
        <f>+C4/$C4</f>
        <v>1</v>
      </c>
      <c r="E7" s="714">
        <f t="shared" si="0"/>
        <v>0.55842509205810498</v>
      </c>
      <c r="F7" s="714">
        <f t="shared" si="0"/>
        <v>2.7702877592802249E-2</v>
      </c>
      <c r="G7" s="714">
        <f t="shared" si="0"/>
        <v>4.4680827039475596E-2</v>
      </c>
      <c r="H7" s="714">
        <f t="shared" si="0"/>
        <v>2.5790390069683508E-3</v>
      </c>
      <c r="I7" s="714">
        <f t="shared" si="0"/>
        <v>0</v>
      </c>
      <c r="J7" s="714">
        <f t="shared" si="0"/>
        <v>8.7365074521318808E-2</v>
      </c>
      <c r="K7" s="714">
        <f t="shared" si="0"/>
        <v>0.10719579722794838</v>
      </c>
      <c r="L7" s="714">
        <f t="shared" si="0"/>
        <v>2.3096785752163024E-2</v>
      </c>
      <c r="M7" s="714">
        <f t="shared" si="0"/>
        <v>1.8353593141489818E-2</v>
      </c>
      <c r="N7" s="714">
        <f t="shared" si="0"/>
        <v>2.4574051386048269E-4</v>
      </c>
      <c r="O7" s="714">
        <f t="shared" si="0"/>
        <v>1.46582047268446E-3</v>
      </c>
      <c r="P7" s="714">
        <f t="shared" si="0"/>
        <v>0</v>
      </c>
      <c r="Q7" s="714">
        <f>+Q4/$C4</f>
        <v>0</v>
      </c>
      <c r="R7" s="714">
        <f>+R4/$C4</f>
        <v>1.6455874810359469E-2</v>
      </c>
      <c r="S7" s="714">
        <f t="shared" si="0"/>
        <v>0</v>
      </c>
      <c r="T7" s="714">
        <f t="shared" si="0"/>
        <v>2.7573789999001579E-3</v>
      </c>
      <c r="U7" s="714">
        <f t="shared" si="0"/>
        <v>1.3904647103777992E-2</v>
      </c>
      <c r="V7" s="714">
        <f t="shared" si="0"/>
        <v>1.0643080460306935E-3</v>
      </c>
      <c r="W7" s="714">
        <f t="shared" si="0"/>
        <v>2.0187675233012729E-2</v>
      </c>
      <c r="X7" s="714">
        <f t="shared" si="0"/>
        <v>7.00416607915125E-2</v>
      </c>
      <c r="Y7" s="714">
        <f t="shared" si="0"/>
        <v>0</v>
      </c>
    </row>
    <row r="8" spans="1:27" x14ac:dyDescent="0.25">
      <c r="A8" s="232"/>
      <c r="B8" s="711" t="s">
        <v>1026</v>
      </c>
      <c r="C8" s="647">
        <f>+C5/$C5</f>
        <v>1</v>
      </c>
      <c r="E8" s="714">
        <f t="shared" si="0"/>
        <v>3.4464437637952997E-2</v>
      </c>
      <c r="F8" s="714">
        <f t="shared" si="0"/>
        <v>3.0211587698770852E-2</v>
      </c>
      <c r="G8" s="714">
        <f t="shared" si="0"/>
        <v>4.5487974951768061E-2</v>
      </c>
      <c r="H8" s="714">
        <f t="shared" si="0"/>
        <v>9.0356868541349791E-3</v>
      </c>
      <c r="I8" s="714">
        <f t="shared" si="0"/>
        <v>7.7035902457203145E-4</v>
      </c>
      <c r="J8" s="714">
        <f t="shared" si="0"/>
        <v>1.5169088779534375E-2</v>
      </c>
      <c r="K8" s="714">
        <f t="shared" si="0"/>
        <v>0.3018279457916952</v>
      </c>
      <c r="L8" s="714">
        <f t="shared" si="0"/>
        <v>5.3487197126971607E-2</v>
      </c>
      <c r="M8" s="714">
        <f t="shared" si="0"/>
        <v>1.0827918727920799E-2</v>
      </c>
      <c r="N8" s="714">
        <f t="shared" si="0"/>
        <v>8.4707529534717354E-3</v>
      </c>
      <c r="O8" s="714">
        <f t="shared" si="0"/>
        <v>1.5402565039952812E-2</v>
      </c>
      <c r="P8" s="714">
        <f t="shared" si="0"/>
        <v>0</v>
      </c>
      <c r="Q8" s="714">
        <f t="shared" si="0"/>
        <v>0</v>
      </c>
      <c r="R8" s="714">
        <f t="shared" si="0"/>
        <v>4.6271804251748906E-2</v>
      </c>
      <c r="S8" s="714">
        <f t="shared" si="0"/>
        <v>0.12113546273087888</v>
      </c>
      <c r="T8" s="714">
        <f t="shared" si="0"/>
        <v>0.12329049803915736</v>
      </c>
      <c r="U8" s="714">
        <f t="shared" si="0"/>
        <v>0.10359088172299934</v>
      </c>
      <c r="V8" s="714">
        <f t="shared" si="0"/>
        <v>0</v>
      </c>
      <c r="W8" s="714">
        <f t="shared" si="0"/>
        <v>6.4148546068100193E-2</v>
      </c>
      <c r="X8" s="714">
        <f t="shared" si="0"/>
        <v>1.1270765904299214E-3</v>
      </c>
      <c r="Y8" s="714">
        <f t="shared" si="0"/>
        <v>7.7035902457203145E-4</v>
      </c>
    </row>
    <row r="9" spans="1:27" x14ac:dyDescent="0.25">
      <c r="A9" s="709"/>
      <c r="B9" s="711" t="s">
        <v>1025</v>
      </c>
      <c r="C9" s="647">
        <f>+C4/C3</f>
        <v>0.82658610066204841</v>
      </c>
      <c r="D9" s="647">
        <f>+D5/D3</f>
        <v>0</v>
      </c>
      <c r="E9" s="714">
        <f t="shared" ref="E9:Y9" si="1">+E4/E3</f>
        <v>0.98721752552738296</v>
      </c>
      <c r="F9" s="714">
        <f t="shared" si="1"/>
        <v>0.81380611261601932</v>
      </c>
      <c r="G9" s="714">
        <f t="shared" si="1"/>
        <v>0.82400475865991729</v>
      </c>
      <c r="H9" s="714">
        <f t="shared" si="1"/>
        <v>0.57636228287464164</v>
      </c>
      <c r="I9" s="714">
        <f t="shared" si="1"/>
        <v>0</v>
      </c>
      <c r="J9" s="714">
        <f t="shared" si="1"/>
        <v>0.96485375451175126</v>
      </c>
      <c r="K9" s="714">
        <f t="shared" si="1"/>
        <v>0.6286483945569552</v>
      </c>
      <c r="L9" s="714">
        <f t="shared" si="1"/>
        <v>0.67301955367183919</v>
      </c>
      <c r="M9" s="714">
        <f t="shared" si="1"/>
        <v>0.88986083364290702</v>
      </c>
      <c r="N9" s="714">
        <f t="shared" si="1"/>
        <v>0.12148142781101674</v>
      </c>
      <c r="O9" s="714">
        <f t="shared" si="1"/>
        <v>0.31206216710162754</v>
      </c>
      <c r="P9" s="714" t="e">
        <f t="shared" si="1"/>
        <v>#DIV/0!</v>
      </c>
      <c r="Q9" s="714" t="e">
        <f t="shared" si="1"/>
        <v>#DIV/0!</v>
      </c>
      <c r="R9" s="714">
        <f t="shared" si="1"/>
        <v>0.62896346052088581</v>
      </c>
      <c r="S9" s="714">
        <f t="shared" si="1"/>
        <v>0</v>
      </c>
      <c r="T9" s="714">
        <f t="shared" si="1"/>
        <v>9.6333879753174478E-2</v>
      </c>
      <c r="U9" s="714">
        <f t="shared" si="1"/>
        <v>0.39016865633783143</v>
      </c>
      <c r="V9" s="714">
        <f t="shared" si="1"/>
        <v>1</v>
      </c>
      <c r="W9" s="714">
        <f t="shared" si="1"/>
        <v>0.60000686756685684</v>
      </c>
      <c r="X9" s="714">
        <f t="shared" si="1"/>
        <v>0.99663543344629757</v>
      </c>
      <c r="Y9" s="714">
        <f t="shared" si="1"/>
        <v>0</v>
      </c>
      <c r="Z9" s="706"/>
      <c r="AA9" s="647"/>
    </row>
    <row r="10" spans="1:27" x14ac:dyDescent="0.25">
      <c r="A10" s="709"/>
      <c r="B10" s="711" t="s">
        <v>1026</v>
      </c>
      <c r="C10" s="647">
        <f>+C5/C3</f>
        <v>0.17341389933795537</v>
      </c>
      <c r="E10" s="714">
        <f t="shared" ref="E10:Y10" si="2">+E5/E3</f>
        <v>1.2782474472616956E-2</v>
      </c>
      <c r="F10" s="714">
        <f t="shared" si="2"/>
        <v>0.18619388738398079</v>
      </c>
      <c r="G10" s="714">
        <f t="shared" si="2"/>
        <v>0.17599524134008282</v>
      </c>
      <c r="H10" s="714">
        <f t="shared" si="2"/>
        <v>0.4236377171253583</v>
      </c>
      <c r="I10" s="714">
        <f t="shared" si="2"/>
        <v>1</v>
      </c>
      <c r="J10" s="714">
        <f t="shared" si="2"/>
        <v>3.5146245488248566E-2</v>
      </c>
      <c r="K10" s="714">
        <f t="shared" si="2"/>
        <v>0.37135160544304441</v>
      </c>
      <c r="L10" s="714">
        <f t="shared" si="2"/>
        <v>0.32698044632816053</v>
      </c>
      <c r="M10" s="714">
        <f t="shared" si="2"/>
        <v>0.11013916635709281</v>
      </c>
      <c r="N10" s="714">
        <f t="shared" si="2"/>
        <v>0.87851857218898333</v>
      </c>
      <c r="O10" s="714">
        <f t="shared" si="2"/>
        <v>0.68793783289837229</v>
      </c>
      <c r="P10" s="714" t="e">
        <f t="shared" si="2"/>
        <v>#DIV/0!</v>
      </c>
      <c r="Q10" s="714" t="e">
        <f t="shared" si="2"/>
        <v>#DIV/0!</v>
      </c>
      <c r="R10" s="714">
        <f t="shared" si="2"/>
        <v>0.37103653947911419</v>
      </c>
      <c r="S10" s="714">
        <f t="shared" si="2"/>
        <v>1</v>
      </c>
      <c r="T10" s="714">
        <f t="shared" si="2"/>
        <v>0.90366612024682558</v>
      </c>
      <c r="U10" s="714">
        <f t="shared" si="2"/>
        <v>0.60983134366216862</v>
      </c>
      <c r="V10" s="714">
        <f t="shared" si="2"/>
        <v>0</v>
      </c>
      <c r="W10" s="714">
        <f t="shared" si="2"/>
        <v>0.39999313243314299</v>
      </c>
      <c r="X10" s="714">
        <f t="shared" si="2"/>
        <v>3.3645665537023871E-3</v>
      </c>
      <c r="Y10" s="714">
        <f t="shared" si="2"/>
        <v>1</v>
      </c>
      <c r="Z10" s="706"/>
    </row>
    <row r="11" spans="1:27" x14ac:dyDescent="0.25">
      <c r="A11" s="710"/>
      <c r="B11" s="708"/>
      <c r="C11" s="713"/>
      <c r="E11" s="713"/>
      <c r="F11" s="713"/>
      <c r="G11" s="713"/>
      <c r="H11" s="713"/>
      <c r="I11" s="713"/>
      <c r="J11" s="713"/>
      <c r="K11" s="713"/>
      <c r="L11" s="713"/>
      <c r="M11" s="713"/>
      <c r="N11" s="713"/>
      <c r="O11" s="713"/>
      <c r="P11" s="713"/>
      <c r="Q11" s="713"/>
      <c r="R11" s="713"/>
      <c r="S11" s="713"/>
      <c r="T11" s="713"/>
      <c r="U11" s="713"/>
      <c r="V11" s="713"/>
      <c r="W11" s="713"/>
      <c r="X11" s="713"/>
      <c r="Y11" s="713"/>
      <c r="Z11" s="706"/>
    </row>
    <row r="12" spans="1:27" x14ac:dyDescent="0.25">
      <c r="A12" s="1797" t="s">
        <v>1022</v>
      </c>
      <c r="B12" s="708" t="s">
        <v>1025</v>
      </c>
      <c r="C12" s="712">
        <v>1239603.2866063009</v>
      </c>
      <c r="D12" s="712"/>
      <c r="E12" s="712">
        <v>590604.70855800062</v>
      </c>
      <c r="F12" s="712">
        <v>58790.601279499999</v>
      </c>
      <c r="G12" s="712">
        <v>76980.195250100005</v>
      </c>
      <c r="H12" s="712">
        <v>0</v>
      </c>
      <c r="I12" s="712">
        <v>0</v>
      </c>
      <c r="J12" s="712">
        <v>178242.54859610001</v>
      </c>
      <c r="K12" s="712">
        <v>128553.19378950002</v>
      </c>
      <c r="L12" s="712">
        <v>46073.993651700002</v>
      </c>
      <c r="M12" s="712">
        <v>19224.580336700001</v>
      </c>
      <c r="N12" s="712">
        <v>0</v>
      </c>
      <c r="O12" s="712">
        <v>2044.8798959999999</v>
      </c>
      <c r="P12" s="712">
        <v>0</v>
      </c>
      <c r="Q12" s="712"/>
      <c r="R12" s="712">
        <v>27203.95277</v>
      </c>
      <c r="S12" s="712">
        <v>0</v>
      </c>
      <c r="T12" s="712">
        <v>3797.0794841000006</v>
      </c>
      <c r="U12" s="712">
        <v>25179.293947399998</v>
      </c>
      <c r="V12" s="712">
        <v>575.04081310000004</v>
      </c>
      <c r="W12" s="712">
        <v>20199.145766100002</v>
      </c>
      <c r="X12" s="712">
        <v>51655.85650880001</v>
      </c>
      <c r="Y12" s="712">
        <v>0</v>
      </c>
      <c r="Z12" s="706"/>
    </row>
    <row r="13" spans="1:27" x14ac:dyDescent="0.25">
      <c r="A13" s="1798"/>
      <c r="B13" s="708" t="s">
        <v>1026</v>
      </c>
      <c r="C13" s="712">
        <v>337406.02351740014</v>
      </c>
      <c r="D13" s="712"/>
      <c r="E13" s="712">
        <v>16919.553946</v>
      </c>
      <c r="F13" s="712">
        <v>14831.711262299999</v>
      </c>
      <c r="G13" s="712">
        <v>19744.965976399999</v>
      </c>
      <c r="H13" s="712">
        <v>4435.8707596999993</v>
      </c>
      <c r="I13" s="712">
        <v>378.19073709999998</v>
      </c>
      <c r="J13" s="712">
        <v>6595.7262429000002</v>
      </c>
      <c r="K13" s="712">
        <v>85551.657594999997</v>
      </c>
      <c r="L13" s="712">
        <v>26258.357287499999</v>
      </c>
      <c r="M13" s="712">
        <v>613.73427609999999</v>
      </c>
      <c r="N13" s="712">
        <v>3310.6742013000003</v>
      </c>
      <c r="O13" s="712">
        <v>3120.2600411000003</v>
      </c>
      <c r="P13" s="712">
        <v>0</v>
      </c>
      <c r="Q13" s="712"/>
      <c r="R13" s="712">
        <v>16267.5099907</v>
      </c>
      <c r="S13" s="712">
        <v>47467.222490599997</v>
      </c>
      <c r="T13" s="712">
        <v>49666.087867599999</v>
      </c>
      <c r="U13" s="712">
        <v>13627.981201899998</v>
      </c>
      <c r="V13" s="712">
        <v>0</v>
      </c>
      <c r="W13" s="712">
        <v>20939.912700300003</v>
      </c>
      <c r="X13" s="712">
        <v>553.3133421</v>
      </c>
      <c r="Y13" s="712">
        <v>378.19073709999998</v>
      </c>
      <c r="Z13" s="706"/>
    </row>
    <row r="14" spans="1:27" x14ac:dyDescent="0.25">
      <c r="A14" s="1797" t="s">
        <v>1023</v>
      </c>
      <c r="B14" s="708" t="s">
        <v>1025</v>
      </c>
      <c r="C14" s="712">
        <v>1100429.3114637011</v>
      </c>
      <c r="D14" s="712"/>
      <c r="E14" s="712">
        <v>716128.21043820097</v>
      </c>
      <c r="F14" s="712">
        <v>6035.0353480000003</v>
      </c>
      <c r="G14" s="712">
        <v>27574.396530999999</v>
      </c>
      <c r="H14" s="712">
        <v>6035.0353480000003</v>
      </c>
      <c r="I14" s="712">
        <v>0</v>
      </c>
      <c r="J14" s="712">
        <v>26194.5737166</v>
      </c>
      <c r="K14" s="712">
        <v>122288.46610000001</v>
      </c>
      <c r="L14" s="712">
        <v>7973.2379190000001</v>
      </c>
      <c r="M14" s="712">
        <v>23723.425906100001</v>
      </c>
      <c r="N14" s="712">
        <v>575.04081310000004</v>
      </c>
      <c r="O14" s="712">
        <v>1385.1877930000001</v>
      </c>
      <c r="P14" s="712">
        <v>0</v>
      </c>
      <c r="Q14" s="712"/>
      <c r="R14" s="712">
        <v>11303.330715999999</v>
      </c>
      <c r="S14" s="712">
        <v>0</v>
      </c>
      <c r="T14" s="712">
        <v>2655.2772609000003</v>
      </c>
      <c r="U14" s="712">
        <v>7358.0335401000002</v>
      </c>
      <c r="V14" s="712">
        <v>1915.4747090000001</v>
      </c>
      <c r="W14" s="712">
        <v>27040.672358399999</v>
      </c>
      <c r="X14" s="712">
        <v>112243.91296630001</v>
      </c>
      <c r="Y14" s="712">
        <v>0</v>
      </c>
      <c r="Z14" s="706"/>
    </row>
    <row r="15" spans="1:27" x14ac:dyDescent="0.25">
      <c r="A15" s="1798"/>
      <c r="B15" s="710" t="s">
        <v>1026</v>
      </c>
      <c r="C15" s="719">
        <v>153521.87508170004</v>
      </c>
      <c r="D15" s="719"/>
      <c r="E15" s="719">
        <v>0</v>
      </c>
      <c r="F15" s="719">
        <v>0</v>
      </c>
      <c r="G15" s="719">
        <v>2586.3499781999999</v>
      </c>
      <c r="H15" s="719">
        <v>0</v>
      </c>
      <c r="I15" s="719">
        <v>0</v>
      </c>
      <c r="J15" s="719">
        <v>851.20263530000011</v>
      </c>
      <c r="K15" s="719">
        <v>62624.101570999999</v>
      </c>
      <c r="L15" s="719">
        <v>0</v>
      </c>
      <c r="M15" s="719">
        <v>4701.9931111999995</v>
      </c>
      <c r="N15" s="719">
        <v>847.85474569999997</v>
      </c>
      <c r="O15" s="719">
        <v>4441.2888469999989</v>
      </c>
      <c r="P15" s="719">
        <v>0</v>
      </c>
      <c r="Q15" s="719"/>
      <c r="R15" s="719">
        <v>6448.6096349999998</v>
      </c>
      <c r="S15" s="719">
        <v>12001.555673699999</v>
      </c>
      <c r="T15" s="719">
        <v>10860.657252000001</v>
      </c>
      <c r="U15" s="719">
        <v>37227.672676399998</v>
      </c>
      <c r="V15" s="719">
        <v>0</v>
      </c>
      <c r="W15" s="719">
        <v>10552.3982191</v>
      </c>
      <c r="X15" s="719">
        <v>0</v>
      </c>
      <c r="Y15" s="719">
        <v>0</v>
      </c>
      <c r="Z15" s="720"/>
    </row>
    <row r="17" spans="1:27" ht="150" x14ac:dyDescent="0.25">
      <c r="C17" t="s">
        <v>1050</v>
      </c>
      <c r="E17" s="266" t="str">
        <f>PSUT_2012!C4</f>
        <v xml:space="preserve">A. Agriculture, forestry and fishing </v>
      </c>
      <c r="F17" s="266" t="str">
        <f>PSUT_2012!D4</f>
        <v xml:space="preserve">B. Mining and Quarrying </v>
      </c>
      <c r="G17" s="266" t="str">
        <f>PSUT_2012!E4</f>
        <v>C. Manufacturing</v>
      </c>
      <c r="H17" s="266" t="str">
        <f>PSUT_2012!F4</f>
        <v>D. Electricity, gas, steam and air conditioning supply</v>
      </c>
      <c r="I17" s="266" t="str">
        <f>PSUT_2012!G4</f>
        <v>E. Water supply (WASAC &amp; AquaVirunga)</v>
      </c>
      <c r="J17" s="266" t="str">
        <f>PSUT_2012!H4</f>
        <v>F. Construction</v>
      </c>
      <c r="K17" s="266" t="str">
        <f>PSUT_2012!I4</f>
        <v>G. Wholesale and retail trade; repair of motor vehicles and motorcycles</v>
      </c>
      <c r="L17" s="266" t="str">
        <f>PSUT_2012!J4</f>
        <v>H. Transportation and storage</v>
      </c>
      <c r="M17" s="266" t="str">
        <f>PSUT_2012!K4</f>
        <v>I. Accommodation and food service activities</v>
      </c>
      <c r="N17" s="266" t="str">
        <f>PSUT_2012!L4</f>
        <v>J. Information and communication</v>
      </c>
      <c r="O17" s="266" t="str">
        <f>PSUT_2012!M4</f>
        <v>K. Banking and insurance activities</v>
      </c>
      <c r="P17" s="266" t="str">
        <f>PSUT_2012!N4</f>
        <v>L. Real estate activities</v>
      </c>
      <c r="Q17" s="266" t="str">
        <f>PSUT_2012!O4</f>
        <v>M. Professional, scientific and technical activities</v>
      </c>
      <c r="R17" s="266" t="str">
        <f>PSUT_2012!P4</f>
        <v>N. Administrative and support service activities</v>
      </c>
      <c r="S17" s="266" t="str">
        <f>PSUT_2012!Q4</f>
        <v>O. Public administration and defence; compulsory social security</v>
      </c>
      <c r="T17" s="266" t="str">
        <f>PSUT_2012!R4</f>
        <v>P. Education</v>
      </c>
      <c r="U17" s="266" t="str">
        <f>PSUT_2012!S4</f>
        <v xml:space="preserve">Q. Human health and social work activities </v>
      </c>
      <c r="V17" s="266" t="str">
        <f>PSUT_2012!T4</f>
        <v>R. Arts, entertainment and recreation</v>
      </c>
      <c r="W17" s="266" t="str">
        <f>PSUT_2012!U4</f>
        <v>S. Other service activities (Religious &amp; Burial)</v>
      </c>
      <c r="X17" s="266" t="str">
        <f>PSUT_2012!V4</f>
        <v>T. Activities of households as employers; undifferentiated goods- and services-producing activities of households for own use</v>
      </c>
      <c r="Y17" s="266">
        <f>PSUT_2012!W4</f>
        <v>0</v>
      </c>
      <c r="Z17" s="266" t="str">
        <f>PSUT_2012!X4</f>
        <v>Households</v>
      </c>
    </row>
    <row r="22" spans="1:27" ht="150" x14ac:dyDescent="0.25">
      <c r="A22" s="1218"/>
      <c r="B22" s="1219" t="s">
        <v>1407</v>
      </c>
      <c r="C22" s="297" t="s">
        <v>1050</v>
      </c>
      <c r="D22" s="297"/>
      <c r="E22" s="717" t="str">
        <f>PSUT_2015!C4</f>
        <v xml:space="preserve">A. Agriculture, forestry and fishing </v>
      </c>
      <c r="F22" s="717" t="str">
        <f>PSUT_2015!D4</f>
        <v xml:space="preserve">B. Mining and Quarrying </v>
      </c>
      <c r="G22" s="717" t="str">
        <f>PSUT_2015!E4</f>
        <v>C. Manufacturing</v>
      </c>
      <c r="H22" s="717" t="str">
        <f>PSUT_2015!F4</f>
        <v>D. Electricity, gas, steam and air conditioning supply</v>
      </c>
      <c r="I22" s="717" t="str">
        <f>PSUT_2015!G4</f>
        <v>E. Water supply (WASAC &amp; AquaVirunga)</v>
      </c>
      <c r="J22" s="717" t="str">
        <f>PSUT_2015!H4</f>
        <v>F. Construction</v>
      </c>
      <c r="K22" s="717" t="str">
        <f>PSUT_2015!I4</f>
        <v>G. Wholesale and retail trade; repair of motor vehicles and motorcycles</v>
      </c>
      <c r="L22" s="717" t="str">
        <f>PSUT_2015!J4</f>
        <v>H. Transportation and storage</v>
      </c>
      <c r="M22" s="717" t="str">
        <f>PSUT_2015!K4</f>
        <v>I. Accommodation and food service activities</v>
      </c>
      <c r="N22" s="717" t="str">
        <f>PSUT_2015!L4</f>
        <v>J. Information and communication</v>
      </c>
      <c r="O22" s="717" t="str">
        <f>PSUT_2015!M4</f>
        <v>K. Banking and insurance activities</v>
      </c>
      <c r="P22" s="717" t="str">
        <f>PSUT_2015!N4</f>
        <v>L. Real estate activities</v>
      </c>
      <c r="Q22" s="717" t="str">
        <f>PSUT_2015!O4</f>
        <v>M. Professional, scientific and technical activities</v>
      </c>
      <c r="R22" s="717" t="str">
        <f>PSUT_2015!P4</f>
        <v>N. Administrative and support service activities</v>
      </c>
      <c r="S22" s="717" t="str">
        <f>PSUT_2015!Q4</f>
        <v>O. Public administration and defence; compulsory social security</v>
      </c>
      <c r="T22" s="717" t="str">
        <f>PSUT_2015!R4</f>
        <v>P. Education</v>
      </c>
      <c r="U22" s="717" t="str">
        <f>PSUT_2015!S4</f>
        <v xml:space="preserve">Q. Human health and social work activities </v>
      </c>
      <c r="V22" s="717" t="str">
        <f>PSUT_2015!T4</f>
        <v>R. Arts, entertainment and recreation</v>
      </c>
      <c r="W22" s="717" t="str">
        <f>PSUT_2015!U4</f>
        <v>S. Other service activities (Religious &amp; Burial)</v>
      </c>
      <c r="X22" s="717" t="str">
        <f>PSUT_2015!V4</f>
        <v>T. Activities of households as employers; undifferentiated goods- and services-producing activities of households for own use</v>
      </c>
      <c r="Y22" s="717" t="str">
        <f>PSUT_2015!W3</f>
        <v xml:space="preserve">Total Production activities </v>
      </c>
      <c r="Z22" s="717" t="str">
        <f>PSUT_2015!X4</f>
        <v>Households</v>
      </c>
      <c r="AA22" s="717" t="str">
        <f>PSUT_2015!AA3</f>
        <v xml:space="preserve">Total </v>
      </c>
    </row>
    <row r="23" spans="1:27" x14ac:dyDescent="0.25">
      <c r="A23" s="1275" t="str">
        <f>+(PSUT_2015!A6)</f>
        <v>From the environment</v>
      </c>
      <c r="B23" s="1220" t="str">
        <f>+(PSUT_2015!B9)</f>
        <v>1 - Total abstraction (1.i+1.ii)</v>
      </c>
      <c r="D23" s="4">
        <f>Y23</f>
        <v>14316588.392651882</v>
      </c>
      <c r="E23" s="1025">
        <f>+(PSUT_2015!C9)</f>
        <v>13846587.983314097</v>
      </c>
      <c r="F23" s="1025">
        <f>+(PSUT_2015!D9)</f>
        <v>22449.851322900999</v>
      </c>
      <c r="G23" s="1025">
        <f>+(PSUT_2015!E9)</f>
        <v>24551.455500526612</v>
      </c>
      <c r="H23" s="1025">
        <f>+(PSUT_2015!F9)</f>
        <v>368457.53750127146</v>
      </c>
      <c r="I23" s="1025">
        <f>+(PSUT_2015!G9)</f>
        <v>53807.900497512448</v>
      </c>
      <c r="J23" s="1025">
        <f>+(PSUT_2015!H9)</f>
        <v>0</v>
      </c>
      <c r="K23" s="1025">
        <f>+(PSUT_2015!I9)</f>
        <v>0</v>
      </c>
      <c r="L23" s="1025">
        <f>+(PSUT_2015!J9)</f>
        <v>0</v>
      </c>
      <c r="M23" s="1025">
        <f>+(PSUT_2015!K9)</f>
        <v>0</v>
      </c>
      <c r="N23" s="1025">
        <f>+(PSUT_2015!L9)</f>
        <v>0</v>
      </c>
      <c r="O23" s="1025">
        <f>+(PSUT_2015!M9)</f>
        <v>0.06</v>
      </c>
      <c r="P23" s="1025">
        <f>+(PSUT_2015!N9)</f>
        <v>0</v>
      </c>
      <c r="Q23" s="1025">
        <f>+(PSUT_2015!O9)</f>
        <v>0</v>
      </c>
      <c r="R23" s="1025">
        <f>+(PSUT_2015!P9)</f>
        <v>0</v>
      </c>
      <c r="S23" s="1025">
        <f>+(PSUT_2015!Q9)</f>
        <v>0</v>
      </c>
      <c r="T23" s="1025">
        <f>+(PSUT_2015!R9)</f>
        <v>133.11539999999999</v>
      </c>
      <c r="U23" s="1025">
        <f>+(PSUT_2015!S9)</f>
        <v>588.7795155737706</v>
      </c>
      <c r="V23" s="1025">
        <f>+SUM(PSUT_2015!T9:'PSUT_2015'!V9)</f>
        <v>11.709600000000002</v>
      </c>
      <c r="W23" s="1025">
        <f>+(PSUT_2015!U9)</f>
        <v>11.709600000000002</v>
      </c>
      <c r="X23" s="1025">
        <f>+(PSUT_2015!V9)</f>
        <v>0</v>
      </c>
      <c r="Y23" s="1025">
        <f>+(PSUT_2015!W9)</f>
        <v>14316588.392651882</v>
      </c>
      <c r="Z23" s="1025">
        <f>+(PSUT_2015!X9)</f>
        <v>41034.76146704804</v>
      </c>
      <c r="AA23" s="1025">
        <f>+(PSUT_2015!AA9)</f>
        <v>14357623.154118931</v>
      </c>
    </row>
    <row r="24" spans="1:27" x14ac:dyDescent="0.25">
      <c r="A24" s="1275"/>
      <c r="B24" s="1220" t="str">
        <f>+B25 &amp; " &amp; "&amp; B26</f>
        <v>1.i.1 Surface water &amp; 1.i.2 Groundwater</v>
      </c>
      <c r="D24" s="1025">
        <f>Y24</f>
        <v>675668.889519113</v>
      </c>
      <c r="E24" s="1025">
        <f>+SUM(PSUT_2015!C11,PSUT_2015!C16)</f>
        <v>227564.16488132768</v>
      </c>
      <c r="F24" s="1025">
        <f>+SUM(PSUT_2015!D11,PSUT_2015!D16)</f>
        <v>1090.051322901</v>
      </c>
      <c r="G24" s="1025">
        <f>+SUM(PSUT_2015!E11,PSUT_2015!E16)</f>
        <v>24523.255500526611</v>
      </c>
      <c r="H24" s="1025">
        <f>+SUM(PSUT_2015!F11,PSUT_2015!F16)</f>
        <v>368457.53750127146</v>
      </c>
      <c r="I24" s="1025">
        <f>+SUM(PSUT_2015!G11,PSUT_2015!G16)</f>
        <v>53807.900497512448</v>
      </c>
      <c r="J24" s="1025">
        <f>+SUM(PSUT_2015!H11,PSUT_2015!H16)</f>
        <v>0</v>
      </c>
      <c r="K24" s="1025">
        <f>+SUM(PSUT_2015!I11,PSUT_2015!I16)</f>
        <v>0</v>
      </c>
      <c r="L24" s="1025">
        <f>+SUM(PSUT_2015!J11,PSUT_2015!J16)</f>
        <v>0</v>
      </c>
      <c r="M24" s="1025">
        <f>+SUM(PSUT_2015!K11,PSUT_2015!K16)</f>
        <v>0</v>
      </c>
      <c r="N24" s="1025">
        <f>+SUM(PSUT_2015!L11,PSUT_2015!L16)</f>
        <v>0</v>
      </c>
      <c r="O24" s="1025">
        <f>+SUM(PSUT_2015!M11,PSUT_2015!M16)</f>
        <v>0</v>
      </c>
      <c r="P24" s="1025">
        <f>+SUM(PSUT_2015!N11,PSUT_2015!N16)</f>
        <v>0</v>
      </c>
      <c r="Q24" s="1025">
        <f>+SUM(PSUT_2015!O11,PSUT_2015!O16)</f>
        <v>0</v>
      </c>
      <c r="R24" s="1025">
        <f>+SUM(PSUT_2015!P11,PSUT_2015!P16)</f>
        <v>0</v>
      </c>
      <c r="S24" s="1025">
        <f>+SUM(PSUT_2015!Q11,PSUT_2015!Q16)</f>
        <v>0</v>
      </c>
      <c r="T24" s="1025">
        <f>+SUM(PSUT_2015!R11,PSUT_2015!R16)</f>
        <v>133.11539999999999</v>
      </c>
      <c r="U24" s="1025">
        <f>+SUM(PSUT_2015!S11,PSUT_2015!S16)</f>
        <v>90.790815573770487</v>
      </c>
      <c r="V24" s="1025">
        <f>+SUM(PSUT_2015!T11,PSUT_2015!T16)</f>
        <v>0</v>
      </c>
      <c r="W24" s="1025">
        <f>+SUM(PSUT_2015!U11,PSUT_2015!U16)</f>
        <v>2.0736000000000003</v>
      </c>
      <c r="X24" s="1025">
        <f>+SUM(PSUT_2015!V11,PSUT_2015!V16)</f>
        <v>0</v>
      </c>
      <c r="Y24" s="1025">
        <f>+SUM(PSUT_2015!W11,PSUT_2015!W16)</f>
        <v>675668.889519113</v>
      </c>
      <c r="Z24" s="1025">
        <f>+SUM(PSUT_2015!X11,PSUT_2015!X16)</f>
        <v>40484.76146704804</v>
      </c>
      <c r="AA24" s="1025">
        <f>+SUM(PSUT_2015!AA11,PSUT_2015!AA16)</f>
        <v>716153.65098616108</v>
      </c>
    </row>
    <row r="25" spans="1:27" x14ac:dyDescent="0.25">
      <c r="A25" s="1275"/>
      <c r="B25" s="1220" t="str">
        <f>+(PSUT_2015!B11)</f>
        <v>1.i.1 Surface water</v>
      </c>
      <c r="D25" s="1295"/>
      <c r="E25" s="1025">
        <f>+(PSUT_2015!C11)</f>
        <v>213589.91369091149</v>
      </c>
      <c r="F25" s="1025">
        <f>+(PSUT_2015!D11)</f>
        <v>1026.2631929010001</v>
      </c>
      <c r="G25" s="1025">
        <f>+(PSUT_2015!E11)</f>
        <v>15398.58474661503</v>
      </c>
      <c r="H25" s="1025">
        <f>+(PSUT_2015!F11)</f>
        <v>368457.53750127146</v>
      </c>
      <c r="I25" s="1025">
        <f>+(PSUT_2015!G11)</f>
        <v>41642.371781681206</v>
      </c>
      <c r="J25" s="1025">
        <f>+(PSUT_2015!H11)</f>
        <v>0</v>
      </c>
      <c r="K25" s="1025">
        <f>+(PSUT_2015!I11)</f>
        <v>0</v>
      </c>
      <c r="L25" s="1025">
        <f>+(PSUT_2015!J11)</f>
        <v>0</v>
      </c>
      <c r="M25" s="1025">
        <f>+(PSUT_2015!K11)</f>
        <v>0</v>
      </c>
      <c r="N25" s="1025">
        <f>+(PSUT_2015!L11)</f>
        <v>0</v>
      </c>
      <c r="O25" s="1025">
        <f>+(PSUT_2015!M11)</f>
        <v>0</v>
      </c>
      <c r="P25" s="1025">
        <f>+(PSUT_2015!N11)</f>
        <v>0</v>
      </c>
      <c r="Q25" s="1025">
        <f>+(PSUT_2015!O11)</f>
        <v>0</v>
      </c>
      <c r="R25" s="1025">
        <f>+(PSUT_2015!P11)</f>
        <v>0</v>
      </c>
      <c r="S25" s="1025">
        <f>+(PSUT_2015!Q11)</f>
        <v>0</v>
      </c>
      <c r="T25" s="1025">
        <f>+(PSUT_2015!R11)</f>
        <v>0</v>
      </c>
      <c r="U25" s="1025">
        <f>+(PSUT_2015!S11)</f>
        <v>0</v>
      </c>
      <c r="V25" s="1025">
        <f>+SUM(PSUT_2015!T11:'PSUT_2015'!V11)</f>
        <v>2.0736000000000003</v>
      </c>
      <c r="W25" s="1025">
        <f>+(PSUT_2015!U11)</f>
        <v>2.0736000000000003</v>
      </c>
      <c r="X25" s="1025">
        <f>+(PSUT_2015!V11)</f>
        <v>0</v>
      </c>
      <c r="Y25" s="1025">
        <f>+(PSUT_2015!W11)</f>
        <v>640116.74451338022</v>
      </c>
      <c r="Z25" s="1025">
        <f>+(PSUT_2015!X11)</f>
        <v>11301.61393034826</v>
      </c>
      <c r="AA25" s="1025">
        <f>+(PSUT_2015!AA11)</f>
        <v>651418.35844372853</v>
      </c>
    </row>
    <row r="26" spans="1:27" x14ac:dyDescent="0.25">
      <c r="A26" s="1275"/>
      <c r="B26" s="1220" t="str">
        <f>+(PSUT_2015!B16)</f>
        <v>1.i.2 Groundwater</v>
      </c>
      <c r="D26" s="1025"/>
      <c r="E26" s="1025">
        <f>+(PSUT_2015!C16)</f>
        <v>13974.251190416202</v>
      </c>
      <c r="F26" s="1025">
        <f>+(PSUT_2015!D16)</f>
        <v>63.788130000000002</v>
      </c>
      <c r="G26" s="1025">
        <f>+(PSUT_2015!E16)</f>
        <v>9124.6707539115796</v>
      </c>
      <c r="H26" s="1025">
        <f>+(PSUT_2015!F16)</f>
        <v>0</v>
      </c>
      <c r="I26" s="1025">
        <f>+(PSUT_2015!G16)</f>
        <v>12165.528715831242</v>
      </c>
      <c r="J26" s="1025">
        <f>+(PSUT_2015!H16)</f>
        <v>0</v>
      </c>
      <c r="K26" s="1025">
        <f>+(PSUT_2015!I16)</f>
        <v>0</v>
      </c>
      <c r="L26" s="1025">
        <f>+(PSUT_2015!J16)</f>
        <v>0</v>
      </c>
      <c r="M26" s="1025">
        <f>+(PSUT_2015!K16)</f>
        <v>0</v>
      </c>
      <c r="N26" s="1025">
        <f>+(PSUT_2015!L16)</f>
        <v>0</v>
      </c>
      <c r="O26" s="1025">
        <f>+(PSUT_2015!M16)</f>
        <v>0</v>
      </c>
      <c r="P26" s="1025">
        <f>+(PSUT_2015!N16)</f>
        <v>0</v>
      </c>
      <c r="Q26" s="1025">
        <f>+(PSUT_2015!O16)</f>
        <v>0</v>
      </c>
      <c r="R26" s="1025">
        <f>+(PSUT_2015!P16)</f>
        <v>0</v>
      </c>
      <c r="S26" s="1025">
        <f>+(PSUT_2015!Q16)</f>
        <v>0</v>
      </c>
      <c r="T26" s="1025">
        <f>+(PSUT_2015!R16)</f>
        <v>133.11539999999999</v>
      </c>
      <c r="U26" s="1025">
        <f>+(PSUT_2015!S16)</f>
        <v>90.790815573770487</v>
      </c>
      <c r="V26" s="1025">
        <f>+SUM(PSUT_2015!T16:'PSUT_2015'!V16)</f>
        <v>0</v>
      </c>
      <c r="W26" s="1025">
        <f>+(PSUT_2015!U16)</f>
        <v>0</v>
      </c>
      <c r="X26" s="1025">
        <f>+(PSUT_2015!V16)</f>
        <v>0</v>
      </c>
      <c r="Y26" s="1025">
        <f>+(PSUT_2015!W16)</f>
        <v>35552.145005732797</v>
      </c>
      <c r="Z26" s="1025">
        <f>+(PSUT_2015!X16)</f>
        <v>29183.147536699777</v>
      </c>
      <c r="AA26" s="1025">
        <f>+(PSUT_2015!AA16)</f>
        <v>64735.292542432573</v>
      </c>
    </row>
    <row r="27" spans="1:27" x14ac:dyDescent="0.25">
      <c r="A27" s="1275"/>
      <c r="B27" s="1220" t="str">
        <f>+(PSUT_2015!B19)</f>
        <v>1.i.3 Soil water (green water)</v>
      </c>
      <c r="D27" s="1025">
        <f>Y27</f>
        <v>13618216.818432769</v>
      </c>
      <c r="E27" s="1025">
        <f>+(PSUT_2015!C19)</f>
        <v>13618216.818432769</v>
      </c>
      <c r="F27" s="1025">
        <f>+(PSUT_2015!D19)</f>
        <v>0</v>
      </c>
      <c r="G27" s="1025">
        <f>+(PSUT_2015!E19)</f>
        <v>0</v>
      </c>
      <c r="H27" s="1025">
        <f>+(PSUT_2015!F19)</f>
        <v>0</v>
      </c>
      <c r="I27" s="1025">
        <f>+(PSUT_2015!G19)</f>
        <v>0</v>
      </c>
      <c r="J27" s="1025">
        <f>+(PSUT_2015!H19)</f>
        <v>0</v>
      </c>
      <c r="K27" s="1025">
        <f>+(PSUT_2015!I19)</f>
        <v>0</v>
      </c>
      <c r="L27" s="1025">
        <f>+(PSUT_2015!J19)</f>
        <v>0</v>
      </c>
      <c r="M27" s="1025">
        <f>+(PSUT_2015!K19)</f>
        <v>0</v>
      </c>
      <c r="N27" s="1025">
        <f>+(PSUT_2015!L19)</f>
        <v>0</v>
      </c>
      <c r="O27" s="1025">
        <f>+(PSUT_2015!M19)</f>
        <v>0</v>
      </c>
      <c r="P27" s="1025">
        <f>+(PSUT_2015!N19)</f>
        <v>0</v>
      </c>
      <c r="Q27" s="1025">
        <f>+(PSUT_2015!O19)</f>
        <v>0</v>
      </c>
      <c r="R27" s="1025">
        <f>+(PSUT_2015!P19)</f>
        <v>0</v>
      </c>
      <c r="S27" s="1025">
        <f>+(PSUT_2015!Q19)</f>
        <v>0</v>
      </c>
      <c r="T27" s="1025">
        <f>+(PSUT_2015!R19)</f>
        <v>0</v>
      </c>
      <c r="U27" s="1025">
        <f>+(PSUT_2015!S19)</f>
        <v>0</v>
      </c>
      <c r="V27" s="1025">
        <f>+SUM(PSUT_2015!T19:'PSUT_2015'!V19)</f>
        <v>0</v>
      </c>
      <c r="W27" s="1025">
        <f>+(PSUT_2015!U19)</f>
        <v>0</v>
      </c>
      <c r="X27" s="1025">
        <f>+(PSUT_2015!V19)</f>
        <v>0</v>
      </c>
      <c r="Y27" s="1025">
        <f>+(PSUT_2015!W19)</f>
        <v>13618216.818432769</v>
      </c>
      <c r="Z27" s="1025">
        <f>+(PSUT_2015!X19)</f>
        <v>0</v>
      </c>
      <c r="AA27" s="1025">
        <f>+(PSUT_2015!AA19)</f>
        <v>13618216.818432769</v>
      </c>
    </row>
    <row r="28" spans="1:27" x14ac:dyDescent="0.25">
      <c r="A28" s="1275"/>
      <c r="B28" s="1220" t="str">
        <f>+(PSUT_2015!B20)</f>
        <v xml:space="preserve">1.ii From other sources </v>
      </c>
      <c r="D28" s="1025"/>
      <c r="E28" s="1025">
        <f>+(PSUT_2015!C20)</f>
        <v>807</v>
      </c>
      <c r="F28" s="1025">
        <f>+(PSUT_2015!D20)</f>
        <v>21359.8</v>
      </c>
      <c r="G28" s="1025">
        <f>+(PSUT_2015!E20)</f>
        <v>28.2</v>
      </c>
      <c r="H28" s="1025">
        <f>+(PSUT_2015!F20)</f>
        <v>0</v>
      </c>
      <c r="I28" s="1025">
        <f>+(PSUT_2015!G20)</f>
        <v>0</v>
      </c>
      <c r="J28" s="1025">
        <f>+(PSUT_2015!H20)</f>
        <v>0</v>
      </c>
      <c r="K28" s="1025">
        <f>+(PSUT_2015!I20)</f>
        <v>0</v>
      </c>
      <c r="L28" s="1025">
        <f>+(PSUT_2015!J20)</f>
        <v>0</v>
      </c>
      <c r="M28" s="1025">
        <f>+(PSUT_2015!K20)</f>
        <v>0</v>
      </c>
      <c r="N28" s="1025">
        <f>+(PSUT_2015!L20)</f>
        <v>0</v>
      </c>
      <c r="O28" s="1025">
        <f>+(PSUT_2015!M20)</f>
        <v>0.06</v>
      </c>
      <c r="P28" s="1025">
        <f>+(PSUT_2015!N20)</f>
        <v>0</v>
      </c>
      <c r="Q28" s="1025">
        <f>+(PSUT_2015!O20)</f>
        <v>0</v>
      </c>
      <c r="R28" s="1025">
        <f>+(PSUT_2015!P20)</f>
        <v>0</v>
      </c>
      <c r="S28" s="1025">
        <f>+(PSUT_2015!Q20)</f>
        <v>0</v>
      </c>
      <c r="T28" s="1025">
        <f>+(PSUT_2015!R20)</f>
        <v>0</v>
      </c>
      <c r="U28" s="1025">
        <f>+(PSUT_2015!S20)</f>
        <v>497.98870000000005</v>
      </c>
      <c r="V28" s="1025">
        <f>+SUM(PSUT_2015!T20:'PSUT_2015'!V20)</f>
        <v>9.636000000000001</v>
      </c>
      <c r="W28" s="1025">
        <f>+(PSUT_2015!U20)</f>
        <v>9.636000000000001</v>
      </c>
      <c r="X28" s="1025">
        <f>+(PSUT_2015!V20)</f>
        <v>0</v>
      </c>
      <c r="Y28" s="1025">
        <f>+(PSUT_2015!W20)</f>
        <v>22702.684700000002</v>
      </c>
      <c r="Z28" s="1025">
        <f>+(PSUT_2015!X20)</f>
        <v>550</v>
      </c>
      <c r="AA28" s="1025">
        <f>+(PSUT_2015!AA20)</f>
        <v>23252.684700000002</v>
      </c>
    </row>
    <row r="29" spans="1:27" x14ac:dyDescent="0.25">
      <c r="A29" s="1275"/>
      <c r="B29" s="1220" t="str">
        <f>+(PSUT_2015!B21)</f>
        <v>1.ii.1 Collection of precipitation (rainwater harvesting; ..)</v>
      </c>
      <c r="D29" s="1025"/>
      <c r="E29" s="1025">
        <f>+(PSUT_2015!C21)</f>
        <v>807</v>
      </c>
      <c r="F29" s="1025">
        <f>+(PSUT_2015!D21)</f>
        <v>21359.8</v>
      </c>
      <c r="G29" s="1025">
        <f>+(PSUT_2015!E21)</f>
        <v>28.2</v>
      </c>
      <c r="H29" s="1025">
        <f>+(PSUT_2015!F21)</f>
        <v>0</v>
      </c>
      <c r="I29" s="1025">
        <f>+(PSUT_2015!G21)</f>
        <v>0</v>
      </c>
      <c r="J29" s="1025">
        <f>+(PSUT_2015!H21)</f>
        <v>0</v>
      </c>
      <c r="K29" s="1025">
        <f>+(PSUT_2015!I21)</f>
        <v>0</v>
      </c>
      <c r="L29" s="1025">
        <f>+(PSUT_2015!J21)</f>
        <v>0</v>
      </c>
      <c r="M29" s="1025">
        <f>+(PSUT_2015!K21)</f>
        <v>0</v>
      </c>
      <c r="N29" s="1025">
        <f>+(PSUT_2015!L21)</f>
        <v>0</v>
      </c>
      <c r="O29" s="1025">
        <f>+(PSUT_2015!M21)</f>
        <v>0.06</v>
      </c>
      <c r="P29" s="1025">
        <f>+(PSUT_2015!N21)</f>
        <v>0</v>
      </c>
      <c r="Q29" s="1025">
        <f>+(PSUT_2015!O21)</f>
        <v>0</v>
      </c>
      <c r="R29" s="1025">
        <f>+(PSUT_2015!P21)</f>
        <v>0</v>
      </c>
      <c r="S29" s="1025">
        <f>+(PSUT_2015!Q21)</f>
        <v>0</v>
      </c>
      <c r="T29" s="1025">
        <f>+(PSUT_2015!R21)</f>
        <v>0</v>
      </c>
      <c r="U29" s="1025">
        <f>+(PSUT_2015!S21)</f>
        <v>497.98870000000005</v>
      </c>
      <c r="V29" s="1025">
        <f>+SUM(PSUT_2015!T21:'PSUT_2015'!V21)</f>
        <v>9.636000000000001</v>
      </c>
      <c r="W29" s="1025">
        <f>+(PSUT_2015!U21)</f>
        <v>9.636000000000001</v>
      </c>
      <c r="X29" s="1025">
        <f>+(PSUT_2015!V21)</f>
        <v>0</v>
      </c>
      <c r="Y29" s="1025">
        <f>+(PSUT_2015!W21)</f>
        <v>22702.684700000002</v>
      </c>
      <c r="Z29" s="1025">
        <f>+(PSUT_2015!X21)</f>
        <v>550</v>
      </c>
      <c r="AA29" s="1025">
        <f>+(PSUT_2015!AA21)</f>
        <v>23252.684700000002</v>
      </c>
    </row>
    <row r="30" spans="1:27" x14ac:dyDescent="0.25">
      <c r="A30" s="1221"/>
      <c r="B30" s="1220" t="str">
        <f>+(PSUT_2015!B22)</f>
        <v>1.ii.2 Abstraction from the sea</v>
      </c>
      <c r="D30" s="1025"/>
      <c r="E30" s="1025">
        <f>+(PSUT_2015!C22)</f>
        <v>0</v>
      </c>
      <c r="F30" s="1025">
        <f>+(PSUT_2015!D22)</f>
        <v>0</v>
      </c>
      <c r="G30" s="1025">
        <f>+(PSUT_2015!E22)</f>
        <v>0</v>
      </c>
      <c r="H30" s="1025">
        <f>+(PSUT_2015!F22)</f>
        <v>0</v>
      </c>
      <c r="I30" s="1025">
        <f>+(PSUT_2015!G22)</f>
        <v>0</v>
      </c>
      <c r="J30" s="1025">
        <f>+(PSUT_2015!H22)</f>
        <v>0</v>
      </c>
      <c r="K30" s="1025">
        <f>+(PSUT_2015!I22)</f>
        <v>0</v>
      </c>
      <c r="L30" s="1025">
        <f>+(PSUT_2015!J22)</f>
        <v>0</v>
      </c>
      <c r="M30" s="1025">
        <f>+(PSUT_2015!K22)</f>
        <v>0</v>
      </c>
      <c r="N30" s="1025">
        <f>+(PSUT_2015!L22)</f>
        <v>0</v>
      </c>
      <c r="O30" s="1025">
        <f>+(PSUT_2015!M22)</f>
        <v>0</v>
      </c>
      <c r="P30" s="1025">
        <f>+(PSUT_2015!N22)</f>
        <v>0</v>
      </c>
      <c r="Q30" s="1025">
        <f>+(PSUT_2015!O22)</f>
        <v>0</v>
      </c>
      <c r="R30" s="1025">
        <f>+(PSUT_2015!P22)</f>
        <v>0</v>
      </c>
      <c r="S30" s="1025">
        <f>+(PSUT_2015!Q22)</f>
        <v>0</v>
      </c>
      <c r="T30" s="1025">
        <f>+(PSUT_2015!R22)</f>
        <v>0</v>
      </c>
      <c r="U30" s="1025">
        <f>+(PSUT_2015!S22)</f>
        <v>0</v>
      </c>
      <c r="V30" s="1025">
        <f>+SUM(PSUT_2015!T22:'PSUT_2015'!V22)</f>
        <v>0</v>
      </c>
      <c r="W30" s="1025">
        <f>+(PSUT_2015!U22)</f>
        <v>0</v>
      </c>
      <c r="X30" s="1025">
        <f>+(PSUT_2015!V22)</f>
        <v>0</v>
      </c>
      <c r="Y30" s="1025">
        <f>+(PSUT_2015!W22)</f>
        <v>0</v>
      </c>
      <c r="Z30" s="1025">
        <f>+(PSUT_2015!X22)</f>
        <v>0</v>
      </c>
      <c r="AA30" s="1025">
        <f>+(PSUT_2015!AA22)</f>
        <v>0</v>
      </c>
    </row>
    <row r="31" spans="1:27" x14ac:dyDescent="0.25">
      <c r="A31" s="1221"/>
      <c r="B31" s="1220" t="str">
        <f>+(PSUT_2015!B23)</f>
        <v>2. Use of water received from other economic units</v>
      </c>
      <c r="D31" s="1025"/>
      <c r="E31" s="1025">
        <f>+(PSUT_2015!C23)</f>
        <v>90250</v>
      </c>
      <c r="F31" s="1025">
        <f>+(PSUT_2015!D23)</f>
        <v>0</v>
      </c>
      <c r="G31" s="1025">
        <f>+(PSUT_2015!E23)</f>
        <v>642763.78523033194</v>
      </c>
      <c r="H31" s="1025">
        <f>+(PSUT_2015!F23)</f>
        <v>0</v>
      </c>
      <c r="I31" s="1025">
        <f>+(PSUT_2015!G23)</f>
        <v>0</v>
      </c>
      <c r="J31" s="1025">
        <f>+(PSUT_2015!H23)</f>
        <v>0</v>
      </c>
      <c r="K31" s="1025">
        <f>+(PSUT_2015!I23)</f>
        <v>0</v>
      </c>
      <c r="L31" s="1025">
        <f>+(PSUT_2015!J23)</f>
        <v>0</v>
      </c>
      <c r="M31" s="1025">
        <f>+(PSUT_2015!K23)</f>
        <v>16672.61</v>
      </c>
      <c r="N31" s="1025">
        <f>+(PSUT_2015!L23)</f>
        <v>0</v>
      </c>
      <c r="O31" s="1025">
        <f>+(PSUT_2015!M23)</f>
        <v>76.030545405347283</v>
      </c>
      <c r="P31" s="1025">
        <f>+(PSUT_2015!N23)</f>
        <v>0</v>
      </c>
      <c r="Q31" s="1025">
        <f>+(PSUT_2015!O23)</f>
        <v>0</v>
      </c>
      <c r="R31" s="1025">
        <f>+(PSUT_2015!P23)</f>
        <v>0</v>
      </c>
      <c r="S31" s="1025">
        <f>+(PSUT_2015!Q23)</f>
        <v>0</v>
      </c>
      <c r="T31" s="1025">
        <f>+(PSUT_2015!R23)</f>
        <v>224372.33</v>
      </c>
      <c r="U31" s="1025">
        <f>+(PSUT_2015!S23)</f>
        <v>3720.9427500000002</v>
      </c>
      <c r="V31" s="1025">
        <f>+SUM(PSUT_2015!T23:'PSUT_2015'!V23)</f>
        <v>131.69367175295594</v>
      </c>
      <c r="W31" s="1025">
        <f>+(PSUT_2015!U23)</f>
        <v>131.69367175295594</v>
      </c>
      <c r="X31" s="1025">
        <f>+(PSUT_2015!V23)</f>
        <v>0</v>
      </c>
      <c r="Y31" s="1025">
        <f>+(PSUT_2015!W23)</f>
        <v>977987.3921974902</v>
      </c>
      <c r="Z31" s="1025">
        <f>+(PSUT_2015!X23)</f>
        <v>176061</v>
      </c>
      <c r="AA31" s="1025">
        <f>+(PSUT_2015!AA23)</f>
        <v>1160562.9602874902</v>
      </c>
    </row>
    <row r="32" spans="1:27" x14ac:dyDescent="0.25">
      <c r="A32" s="1221"/>
      <c r="B32" s="1220" t="str">
        <f>+(PSUT_2015!A24)</f>
        <v>3. Total use of water (=1+2)</v>
      </c>
      <c r="D32" s="1025">
        <f>Y32</f>
        <v>15294575.784849372</v>
      </c>
      <c r="E32" s="1025">
        <f>+(PSUT_2015!C24)</f>
        <v>13936837.983314097</v>
      </c>
      <c r="F32" s="1025">
        <f>+(PSUT_2015!D24)</f>
        <v>22449.851322900999</v>
      </c>
      <c r="G32" s="1025">
        <f>+(PSUT_2015!E24)</f>
        <v>667315.24073085852</v>
      </c>
      <c r="H32" s="1025">
        <f>+(PSUT_2015!F24)</f>
        <v>368457.53750127146</v>
      </c>
      <c r="I32" s="1025">
        <f>+(PSUT_2015!G24)</f>
        <v>53807.900497512441</v>
      </c>
      <c r="J32" s="1025">
        <f>+(PSUT_2015!H24)</f>
        <v>0</v>
      </c>
      <c r="K32" s="1025">
        <f>+(PSUT_2015!I24)</f>
        <v>0</v>
      </c>
      <c r="L32" s="1025">
        <f>+(PSUT_2015!J24)</f>
        <v>0</v>
      </c>
      <c r="M32" s="1025">
        <f>+(PSUT_2015!K24)</f>
        <v>16672.61</v>
      </c>
      <c r="N32" s="1025">
        <f>+(PSUT_2015!L24)</f>
        <v>0</v>
      </c>
      <c r="O32" s="1025">
        <f>+(PSUT_2015!M24)</f>
        <v>76.090545405347285</v>
      </c>
      <c r="P32" s="1025">
        <f>+(PSUT_2015!N24)</f>
        <v>0</v>
      </c>
      <c r="Q32" s="1025">
        <f>+(PSUT_2015!O24)</f>
        <v>0</v>
      </c>
      <c r="R32" s="1025">
        <f>+(PSUT_2015!P24)</f>
        <v>0</v>
      </c>
      <c r="S32" s="1025">
        <f>+(PSUT_2015!Q24)</f>
        <v>0</v>
      </c>
      <c r="T32" s="1025">
        <f>+(PSUT_2015!R24)</f>
        <v>224505.4454</v>
      </c>
      <c r="U32" s="1025">
        <f>+(PSUT_2015!S24)</f>
        <v>4309.7222655737705</v>
      </c>
      <c r="V32" s="1025">
        <f>+SUM(PSUT_2015!T24:'PSUT_2015'!V24)</f>
        <v>143.40327175295593</v>
      </c>
      <c r="W32" s="1025">
        <f>+(PSUT_2015!U24)</f>
        <v>143.40327175295593</v>
      </c>
      <c r="X32" s="1025">
        <f>+(PSUT_2015!V24)</f>
        <v>0</v>
      </c>
      <c r="Y32" s="1025">
        <f>+(PSUT_2015!W24)</f>
        <v>15294575.784849372</v>
      </c>
      <c r="Z32" s="1025">
        <f>+(PSUT_2015!X24)</f>
        <v>217095.76146704803</v>
      </c>
      <c r="AA32" s="1025">
        <f>+(PSUT_2015!AA24)</f>
        <v>15518186.11440642</v>
      </c>
    </row>
    <row r="33" spans="1:48" x14ac:dyDescent="0.25">
      <c r="A33" s="1221"/>
      <c r="B33" s="1220" t="str">
        <f>+(PSUT_2015!B35)</f>
        <v>4. Supply of water to other economic units</v>
      </c>
      <c r="D33" s="1025"/>
      <c r="E33" s="1025">
        <f>+(PSUT_2015!C35)</f>
        <v>0</v>
      </c>
      <c r="F33" s="1025">
        <f>+(PSUT_2015!D35)</f>
        <v>21327.358756755948</v>
      </c>
      <c r="G33" s="1025">
        <f>+(PSUT_2015!E35)</f>
        <v>816.87563283886971</v>
      </c>
      <c r="H33" s="1025">
        <f>+(PSUT_2015!F35)</f>
        <v>0</v>
      </c>
      <c r="I33" s="1025">
        <f>+(PSUT_2015!G35)</f>
        <v>0</v>
      </c>
      <c r="J33" s="1025">
        <f>+(PSUT_2015!H35)</f>
        <v>0</v>
      </c>
      <c r="K33" s="1025">
        <f>+(PSUT_2015!I35)</f>
        <v>0</v>
      </c>
      <c r="L33" s="1025">
        <f>+(PSUT_2015!J35)</f>
        <v>0</v>
      </c>
      <c r="M33" s="1025">
        <f>+(PSUT_2015!K35)</f>
        <v>12671.183667903779</v>
      </c>
      <c r="N33" s="1025">
        <f>+(PSUT_2015!L35)</f>
        <v>0</v>
      </c>
      <c r="O33" s="1025">
        <f>+(PSUT_2015!M35)</f>
        <v>5.6106036082474233</v>
      </c>
      <c r="P33" s="1025">
        <f>+(PSUT_2015!N35)</f>
        <v>0</v>
      </c>
      <c r="Q33" s="1025">
        <f>+(PSUT_2015!O35)</f>
        <v>0</v>
      </c>
      <c r="R33" s="1025">
        <f>+(PSUT_2015!P35)</f>
        <v>0</v>
      </c>
      <c r="S33" s="1025">
        <f>+(PSUT_2015!Q35)</f>
        <v>0</v>
      </c>
      <c r="T33" s="1025">
        <f>+(PSUT_2015!R35)</f>
        <v>0</v>
      </c>
      <c r="U33" s="1025">
        <f>+(PSUT_2015!S35)</f>
        <v>0</v>
      </c>
      <c r="V33" s="1025">
        <f>+SUM(PSUT_2015!T35:'PSUT_2015'!V35)</f>
        <v>0</v>
      </c>
      <c r="W33" s="1025">
        <f>+(PSUT_2015!U35)</f>
        <v>0</v>
      </c>
      <c r="X33" s="1025">
        <f>+(PSUT_2015!V35)</f>
        <v>0</v>
      </c>
      <c r="Y33" s="1025">
        <f>+(PSUT_2015!W35)</f>
        <v>34821.028661106844</v>
      </c>
      <c r="Z33" s="1025">
        <f>+(PSUT_2015!X35)</f>
        <v>0</v>
      </c>
      <c r="AA33" s="1025">
        <f>+(PSUT_2015!AA35)</f>
        <v>34821.028661106844</v>
      </c>
    </row>
    <row r="34" spans="1:48" x14ac:dyDescent="0.25">
      <c r="A34" s="1222"/>
      <c r="B34" s="1220" t="str">
        <f>+(PSUT_2015!B38)</f>
        <v>5. Total returns (= 5.a+5.b)</v>
      </c>
      <c r="D34" s="4"/>
      <c r="E34" s="1025">
        <f>+(PSUT_2015!C38)</f>
        <v>1557982.4711064098</v>
      </c>
      <c r="F34" s="1025">
        <f>+(PSUT_2015!D38)</f>
        <v>54.219910499999997</v>
      </c>
      <c r="G34" s="1025">
        <f>+(PSUT_2015!E38)</f>
        <v>514699.26072578516</v>
      </c>
      <c r="H34" s="1025">
        <f>+(PSUT_2015!F38)</f>
        <v>350034.66062620789</v>
      </c>
      <c r="I34" s="1025">
        <f>+(PSUT_2015!G38)</f>
        <v>2570.3302400000002</v>
      </c>
      <c r="J34" s="1025">
        <f>+(PSUT_2015!H38)</f>
        <v>0</v>
      </c>
      <c r="K34" s="1025">
        <f>+(PSUT_2015!I38)</f>
        <v>0</v>
      </c>
      <c r="L34" s="1025">
        <f>+(PSUT_2015!J38)</f>
        <v>0</v>
      </c>
      <c r="M34" s="1025">
        <f>+(PSUT_2015!K38)</f>
        <v>301.01142363711335</v>
      </c>
      <c r="N34" s="1025">
        <f>+(PSUT_2015!L38)</f>
        <v>0</v>
      </c>
      <c r="O34" s="1025">
        <f>+(PSUT_2015!M38)</f>
        <v>56.868619657611163</v>
      </c>
      <c r="P34" s="1025">
        <f>+(PSUT_2015!N38)</f>
        <v>0</v>
      </c>
      <c r="Q34" s="1025">
        <f>+(PSUT_2015!O38)</f>
        <v>0</v>
      </c>
      <c r="R34" s="1025">
        <f>+(PSUT_2015!P38)</f>
        <v>0</v>
      </c>
      <c r="S34" s="1025">
        <f>+(PSUT_2015!Q38)</f>
        <v>0</v>
      </c>
      <c r="T34" s="1025">
        <f>+(PSUT_2015!R38)</f>
        <v>179497.86400000003</v>
      </c>
      <c r="U34" s="1025">
        <f>+(PSUT_2015!S38)</f>
        <v>3447.7778158871602</v>
      </c>
      <c r="V34" s="1025">
        <f>+SUM(PSUT_2015!T38:'PSUT_2015'!V38)</f>
        <v>10.714873014735879</v>
      </c>
      <c r="W34" s="1025">
        <f>+(PSUT_2015!U38)</f>
        <v>10.714873014735879</v>
      </c>
      <c r="X34" s="1025">
        <f>+(PSUT_2015!V38)</f>
        <v>0</v>
      </c>
      <c r="Y34" s="1025">
        <f>+(PSUT_2015!W38)</f>
        <v>2608655.1793411002</v>
      </c>
      <c r="Z34" s="1025">
        <f>+(PSUT_2015!X38)</f>
        <v>82781</v>
      </c>
      <c r="AA34" s="1025">
        <f>+(PSUT_2015!AA38)</f>
        <v>2696647.8338164063</v>
      </c>
    </row>
    <row r="35" spans="1:48" x14ac:dyDescent="0.25">
      <c r="A35" s="1222"/>
      <c r="B35" s="1220" t="str">
        <f>+(PSUT_2015!A44)</f>
        <v>6. Total supply of water (= 4+5)</v>
      </c>
      <c r="D35" s="4"/>
      <c r="E35" s="1025">
        <f>+(PSUT_2015!C44)</f>
        <v>1557982.4711064098</v>
      </c>
      <c r="F35" s="1025">
        <f>+(PSUT_2015!D44)</f>
        <v>21381.578667255948</v>
      </c>
      <c r="G35" s="1025">
        <f>+(PSUT_2015!E44)</f>
        <v>515516.13635862403</v>
      </c>
      <c r="H35" s="1025">
        <f>+(PSUT_2015!F44)</f>
        <v>350034.66062620789</v>
      </c>
      <c r="I35" s="1025">
        <f>+(PSUT_2015!G44)</f>
        <v>2570.3302400000002</v>
      </c>
      <c r="J35" s="1025">
        <f>+(PSUT_2015!H44)</f>
        <v>0</v>
      </c>
      <c r="K35" s="1025">
        <f>+(PSUT_2015!I44)</f>
        <v>0</v>
      </c>
      <c r="L35" s="1025">
        <f>+(PSUT_2015!J44)</f>
        <v>0</v>
      </c>
      <c r="M35" s="1025">
        <f>+(PSUT_2015!K44)</f>
        <v>12972.195091540892</v>
      </c>
      <c r="N35" s="1025">
        <f>+(PSUT_2015!L44)</f>
        <v>0</v>
      </c>
      <c r="O35" s="1025">
        <f>+(PSUT_2015!M44)</f>
        <v>62.479223265858586</v>
      </c>
      <c r="P35" s="1025">
        <f>+(PSUT_2015!N44)</f>
        <v>0</v>
      </c>
      <c r="Q35" s="1025">
        <f>+(PSUT_2015!O44)</f>
        <v>0</v>
      </c>
      <c r="R35" s="1025">
        <f>+(PSUT_2015!P44)</f>
        <v>0</v>
      </c>
      <c r="S35" s="1025">
        <f>+(PSUT_2015!Q44)</f>
        <v>0</v>
      </c>
      <c r="T35" s="1025">
        <f>+(PSUT_2015!R44)</f>
        <v>179497.86400000003</v>
      </c>
      <c r="U35" s="1025">
        <f>+(PSUT_2015!S44)</f>
        <v>3447.7778158871602</v>
      </c>
      <c r="V35" s="1025">
        <f>+SUM(PSUT_2015!T44:'PSUT_2015'!V44)</f>
        <v>10.714873014735879</v>
      </c>
      <c r="W35" s="1025">
        <f>+(PSUT_2015!U44)</f>
        <v>10.714873014735879</v>
      </c>
      <c r="X35" s="1025">
        <f>+(PSUT_2015!V44)</f>
        <v>0</v>
      </c>
      <c r="Y35" s="1025">
        <f>+(PSUT_2015!W44)</f>
        <v>2643476.2080022069</v>
      </c>
      <c r="Z35" s="1025">
        <f>+(PSUT_2015!X44)</f>
        <v>82781</v>
      </c>
      <c r="AA35" s="1025">
        <f>+(PSUT_2015!AA44)</f>
        <v>2731468.862477513</v>
      </c>
    </row>
    <row r="36" spans="1:48" x14ac:dyDescent="0.25">
      <c r="A36" s="1223"/>
      <c r="B36" s="1224" t="str">
        <f>+(PSUT_2015!A45)</f>
        <v>7. Consumption (3-6)</v>
      </c>
      <c r="C36" s="295"/>
      <c r="D36" s="1280">
        <f>Y36</f>
        <v>12651099.576847168</v>
      </c>
      <c r="E36" s="1028">
        <f>+(PSUT_2015!C45)</f>
        <v>12378855.512207687</v>
      </c>
      <c r="F36" s="1028">
        <f>+(PSUT_2015!D45)</f>
        <v>1068.2726556450507</v>
      </c>
      <c r="G36" s="1028">
        <f>+(PSUT_2015!E45)</f>
        <v>151799.10437223449</v>
      </c>
      <c r="H36" s="1195">
        <f>+(PSUT_2015!F45)</f>
        <v>18422.876875063579</v>
      </c>
      <c r="I36" s="1028">
        <f>+(PSUT_2015!G45)</f>
        <v>51237.570257512438</v>
      </c>
      <c r="J36" s="1028">
        <f>+(PSUT_2015!H45)</f>
        <v>0</v>
      </c>
      <c r="K36" s="1028">
        <f>+(PSUT_2015!I45)</f>
        <v>0</v>
      </c>
      <c r="L36" s="1028">
        <f>+(PSUT_2015!J45)</f>
        <v>0</v>
      </c>
      <c r="M36" s="1028">
        <f>+(PSUT_2015!K45)</f>
        <v>3700.4149084591081</v>
      </c>
      <c r="N36" s="1028">
        <f>+(PSUT_2015!L45)</f>
        <v>0</v>
      </c>
      <c r="O36" s="1028">
        <f>+(PSUT_2015!M45)</f>
        <v>13.611322139488699</v>
      </c>
      <c r="P36" s="1028">
        <f>+(PSUT_2015!N45)</f>
        <v>0</v>
      </c>
      <c r="Q36" s="1028">
        <f>+(PSUT_2015!O45)</f>
        <v>0</v>
      </c>
      <c r="R36" s="1028">
        <f>+(PSUT_2015!P45)</f>
        <v>0</v>
      </c>
      <c r="S36" s="1028">
        <f>+(PSUT_2015!Q45)</f>
        <v>0</v>
      </c>
      <c r="T36" s="1028">
        <f>+(PSUT_2015!R45)</f>
        <v>45007.581399999966</v>
      </c>
      <c r="U36" s="1028">
        <f>+(PSUT_2015!S45)</f>
        <v>861.94444968661037</v>
      </c>
      <c r="V36" s="1028">
        <f>+SUM(PSUT_2015!T45:'PSUT_2015'!V45)</f>
        <v>132.68839873822006</v>
      </c>
      <c r="W36" s="1028">
        <f>+(PSUT_2015!U45)</f>
        <v>132.68839873822006</v>
      </c>
      <c r="X36" s="1028">
        <f>+(PSUT_2015!V45)</f>
        <v>0</v>
      </c>
      <c r="Y36" s="1028">
        <f>+(PSUT_2015!W45)</f>
        <v>12651099.576847168</v>
      </c>
      <c r="Z36" s="1028">
        <f>+(PSUT_2015!X45)</f>
        <v>134314.76146704803</v>
      </c>
      <c r="AA36" s="1028">
        <f>+(PSUT_2015!AA45)</f>
        <v>12786717.251928911</v>
      </c>
    </row>
    <row r="37" spans="1:48" x14ac:dyDescent="0.25">
      <c r="D37" s="1284">
        <f>SUM(E36:G36,H37,I36:X36)</f>
        <v>15151232.265245905</v>
      </c>
      <c r="H37" s="1284">
        <f>H36+2500000</f>
        <v>2518422.8768750634</v>
      </c>
    </row>
    <row r="38" spans="1:48" ht="15.75" thickBot="1" x14ac:dyDescent="0.3"/>
    <row r="39" spans="1:48" ht="91.5" thickTop="1" thickBot="1" x14ac:dyDescent="0.3">
      <c r="B39" s="575" t="s">
        <v>747</v>
      </c>
      <c r="C39" s="738" t="s">
        <v>749</v>
      </c>
      <c r="E39" s="738" t="s">
        <v>750</v>
      </c>
      <c r="F39" s="739" t="s">
        <v>762</v>
      </c>
      <c r="G39" s="740" t="s">
        <v>764</v>
      </c>
      <c r="H39" s="739" t="s">
        <v>698</v>
      </c>
      <c r="I39" s="739" t="s">
        <v>783</v>
      </c>
      <c r="J39" s="739" t="s">
        <v>785</v>
      </c>
      <c r="K39" s="1276" t="s">
        <v>1426</v>
      </c>
      <c r="L39" s="739" t="s">
        <v>795</v>
      </c>
      <c r="M39" s="739" t="s">
        <v>799</v>
      </c>
      <c r="N39" s="739" t="s">
        <v>801</v>
      </c>
      <c r="O39" s="739" t="s">
        <v>803</v>
      </c>
      <c r="P39" s="739" t="s">
        <v>805</v>
      </c>
      <c r="Q39" s="739" t="s">
        <v>807</v>
      </c>
      <c r="R39" s="739" t="s">
        <v>809</v>
      </c>
      <c r="S39" s="739" t="s">
        <v>811</v>
      </c>
      <c r="T39" s="739" t="s">
        <v>813</v>
      </c>
      <c r="U39" s="739" t="s">
        <v>814</v>
      </c>
      <c r="V39" s="739" t="s">
        <v>816</v>
      </c>
      <c r="W39" s="742"/>
      <c r="X39" s="738" t="s">
        <v>818</v>
      </c>
      <c r="Y39" s="1611" t="s">
        <v>1120</v>
      </c>
      <c r="Z39" s="744" t="s">
        <v>819</v>
      </c>
      <c r="AA39" s="1288">
        <v>42807</v>
      </c>
      <c r="AB39" s="603"/>
      <c r="AU39" s="584"/>
      <c r="AV39" s="584"/>
    </row>
    <row r="40" spans="1:48" ht="19.5" thickTop="1" thickBot="1" x14ac:dyDescent="0.3">
      <c r="A40" s="567"/>
      <c r="B40" s="576" t="s">
        <v>748</v>
      </c>
      <c r="C40" s="582"/>
      <c r="E40" s="582" t="s">
        <v>751</v>
      </c>
      <c r="F40" s="567" t="s">
        <v>763</v>
      </c>
      <c r="G40" s="588" t="s">
        <v>765</v>
      </c>
      <c r="H40" s="567" t="s">
        <v>782</v>
      </c>
      <c r="I40" s="567" t="s">
        <v>784</v>
      </c>
      <c r="J40" s="567" t="s">
        <v>786</v>
      </c>
      <c r="K40" s="1276" t="s">
        <v>1427</v>
      </c>
      <c r="L40" s="567" t="s">
        <v>796</v>
      </c>
      <c r="M40" s="567" t="s">
        <v>800</v>
      </c>
      <c r="N40" s="567" t="s">
        <v>802</v>
      </c>
      <c r="O40" s="567" t="s">
        <v>804</v>
      </c>
      <c r="P40" s="567" t="s">
        <v>806</v>
      </c>
      <c r="Q40" s="567" t="s">
        <v>808</v>
      </c>
      <c r="R40" s="567" t="s">
        <v>810</v>
      </c>
      <c r="S40" s="567" t="s">
        <v>812</v>
      </c>
      <c r="T40" s="567" t="s">
        <v>385</v>
      </c>
      <c r="U40" s="567" t="s">
        <v>815</v>
      </c>
      <c r="V40" s="567" t="s">
        <v>817</v>
      </c>
      <c r="W40" s="572"/>
      <c r="X40" s="582"/>
      <c r="Y40" s="597"/>
      <c r="Z40" s="600"/>
      <c r="AA40" s="600"/>
      <c r="AB40" s="604"/>
      <c r="AU40" s="604"/>
      <c r="AV40" s="604"/>
    </row>
    <row r="41" spans="1:48" ht="16.5" thickTop="1" thickBot="1" x14ac:dyDescent="0.3">
      <c r="A41" s="568"/>
      <c r="B41" s="697">
        <v>2012</v>
      </c>
      <c r="C41" s="583">
        <v>4852</v>
      </c>
      <c r="D41" s="583">
        <f>SUM(E41:V41)</f>
        <v>4486</v>
      </c>
      <c r="E41" s="583">
        <v>1427</v>
      </c>
      <c r="F41" s="586">
        <v>98</v>
      </c>
      <c r="G41" s="589">
        <v>285</v>
      </c>
      <c r="H41" s="586">
        <v>40</v>
      </c>
      <c r="I41" s="586">
        <v>28</v>
      </c>
      <c r="J41" s="586">
        <v>322</v>
      </c>
      <c r="K41" s="1277">
        <v>379</v>
      </c>
      <c r="L41" s="586">
        <v>186</v>
      </c>
      <c r="M41" s="586">
        <v>82</v>
      </c>
      <c r="N41" s="586">
        <v>75</v>
      </c>
      <c r="O41" s="586">
        <v>140</v>
      </c>
      <c r="P41" s="586">
        <v>425</v>
      </c>
      <c r="Q41" s="586">
        <v>150</v>
      </c>
      <c r="R41" s="586">
        <v>170</v>
      </c>
      <c r="S41" s="586">
        <v>223</v>
      </c>
      <c r="T41" s="586">
        <v>143</v>
      </c>
      <c r="U41" s="586">
        <v>116</v>
      </c>
      <c r="V41" s="586">
        <v>197</v>
      </c>
      <c r="W41" s="584">
        <v>0</v>
      </c>
      <c r="X41" s="583">
        <v>361</v>
      </c>
      <c r="Y41" s="596"/>
      <c r="Z41" s="601"/>
      <c r="AA41" s="601"/>
      <c r="AB41" s="584"/>
      <c r="AU41" s="584"/>
      <c r="AV41" s="584"/>
    </row>
    <row r="42" spans="1:48" ht="16.5" thickTop="1" thickBot="1" x14ac:dyDescent="0.3">
      <c r="A42" s="568"/>
      <c r="B42" s="1205">
        <v>2013</v>
      </c>
      <c r="C42" s="583">
        <v>5079</v>
      </c>
      <c r="D42" s="583">
        <f t="shared" ref="D42:D45" si="3">SUM(E42:V42)</f>
        <v>4731</v>
      </c>
      <c r="E42" s="583">
        <v>1474</v>
      </c>
      <c r="F42" s="586">
        <v>118</v>
      </c>
      <c r="G42" s="589">
        <v>299</v>
      </c>
      <c r="H42" s="586">
        <v>43</v>
      </c>
      <c r="I42" s="586">
        <v>30</v>
      </c>
      <c r="J42" s="586">
        <v>357</v>
      </c>
      <c r="K42" s="1277">
        <v>400</v>
      </c>
      <c r="L42" s="586">
        <v>199</v>
      </c>
      <c r="M42" s="586">
        <v>85</v>
      </c>
      <c r="N42" s="586">
        <v>75</v>
      </c>
      <c r="O42" s="586">
        <v>154</v>
      </c>
      <c r="P42" s="586">
        <v>428</v>
      </c>
      <c r="Q42" s="586">
        <v>156</v>
      </c>
      <c r="R42" s="586">
        <v>176</v>
      </c>
      <c r="S42" s="586">
        <v>244</v>
      </c>
      <c r="T42" s="586">
        <v>149</v>
      </c>
      <c r="U42" s="586">
        <v>123</v>
      </c>
      <c r="V42" s="586">
        <v>221</v>
      </c>
      <c r="W42" s="584">
        <v>0</v>
      </c>
      <c r="X42" s="583">
        <v>349</v>
      </c>
      <c r="Y42" s="596"/>
      <c r="Z42" s="601"/>
      <c r="AA42" s="601"/>
      <c r="AB42" s="584"/>
      <c r="AU42" s="584"/>
      <c r="AV42" s="584"/>
    </row>
    <row r="43" spans="1:48" ht="16.5" thickTop="1" thickBot="1" x14ac:dyDescent="0.3">
      <c r="A43" s="568"/>
      <c r="B43" s="1216">
        <v>2014</v>
      </c>
      <c r="C43" s="583">
        <v>5466</v>
      </c>
      <c r="D43" s="583">
        <f t="shared" si="3"/>
        <v>5088</v>
      </c>
      <c r="E43" s="583">
        <v>1572</v>
      </c>
      <c r="F43" s="586">
        <v>147</v>
      </c>
      <c r="G43" s="589">
        <v>322</v>
      </c>
      <c r="H43" s="586">
        <v>47</v>
      </c>
      <c r="I43" s="586">
        <v>31</v>
      </c>
      <c r="J43" s="586">
        <v>392</v>
      </c>
      <c r="K43" s="1277">
        <v>433</v>
      </c>
      <c r="L43" s="586">
        <v>207</v>
      </c>
      <c r="M43" s="586">
        <v>96</v>
      </c>
      <c r="N43" s="586">
        <v>80</v>
      </c>
      <c r="O43" s="586">
        <v>159</v>
      </c>
      <c r="P43" s="586">
        <v>452</v>
      </c>
      <c r="Q43" s="586">
        <v>144</v>
      </c>
      <c r="R43" s="586">
        <v>202</v>
      </c>
      <c r="S43" s="586">
        <v>260</v>
      </c>
      <c r="T43" s="586">
        <v>154</v>
      </c>
      <c r="U43" s="586">
        <v>133</v>
      </c>
      <c r="V43" s="586">
        <v>257</v>
      </c>
      <c r="W43" s="584">
        <v>0</v>
      </c>
      <c r="X43" s="583">
        <v>377</v>
      </c>
      <c r="Y43" s="596"/>
      <c r="Z43" s="601"/>
      <c r="AA43" s="601"/>
      <c r="AB43" s="584"/>
      <c r="AU43" s="584"/>
      <c r="AV43" s="584"/>
    </row>
    <row r="44" spans="1:48" ht="16.5" thickTop="1" thickBot="1" x14ac:dyDescent="0.3">
      <c r="A44" s="568"/>
      <c r="B44" s="1217">
        <v>2015</v>
      </c>
      <c r="C44" s="583">
        <v>5951</v>
      </c>
      <c r="D44" s="583">
        <f t="shared" si="3"/>
        <v>5521</v>
      </c>
      <c r="E44" s="583">
        <v>1650</v>
      </c>
      <c r="F44" s="586">
        <v>140</v>
      </c>
      <c r="G44" s="589">
        <v>349</v>
      </c>
      <c r="H44" s="586">
        <v>51</v>
      </c>
      <c r="I44" s="586">
        <v>31</v>
      </c>
      <c r="J44" s="586">
        <v>453</v>
      </c>
      <c r="K44" s="1277">
        <v>486</v>
      </c>
      <c r="L44" s="586">
        <v>227</v>
      </c>
      <c r="M44" s="586">
        <v>105</v>
      </c>
      <c r="N44" s="586">
        <v>94</v>
      </c>
      <c r="O44" s="586">
        <v>179</v>
      </c>
      <c r="P44" s="586">
        <v>472</v>
      </c>
      <c r="Q44" s="586">
        <v>165</v>
      </c>
      <c r="R44" s="586">
        <v>235</v>
      </c>
      <c r="S44" s="586">
        <v>275</v>
      </c>
      <c r="T44" s="586">
        <v>157</v>
      </c>
      <c r="U44" s="586">
        <v>146</v>
      </c>
      <c r="V44" s="586">
        <v>306</v>
      </c>
      <c r="W44" s="584">
        <v>0</v>
      </c>
      <c r="X44" s="583">
        <v>430</v>
      </c>
      <c r="Y44" s="596"/>
      <c r="Z44" s="601"/>
      <c r="AA44" s="601"/>
      <c r="AB44" s="584"/>
      <c r="AU44" s="584"/>
      <c r="AV44" s="584"/>
    </row>
    <row r="45" spans="1:48" ht="16.5" thickTop="1" thickBot="1" x14ac:dyDescent="0.3">
      <c r="A45" s="568"/>
      <c r="B45" s="577">
        <v>2016</v>
      </c>
      <c r="C45" s="583">
        <v>6304</v>
      </c>
      <c r="D45" s="583">
        <f t="shared" si="3"/>
        <v>5856</v>
      </c>
      <c r="E45" s="583">
        <v>1714</v>
      </c>
      <c r="F45" s="586">
        <v>154</v>
      </c>
      <c r="G45" s="589">
        <v>372</v>
      </c>
      <c r="H45" s="586">
        <v>59</v>
      </c>
      <c r="I45" s="586">
        <v>33</v>
      </c>
      <c r="J45" s="586">
        <v>475</v>
      </c>
      <c r="K45" s="1277">
        <v>517</v>
      </c>
      <c r="L45" s="586">
        <v>245</v>
      </c>
      <c r="M45" s="586">
        <v>116</v>
      </c>
      <c r="N45" s="586">
        <v>102</v>
      </c>
      <c r="O45" s="586">
        <v>185</v>
      </c>
      <c r="P45" s="586">
        <v>501</v>
      </c>
      <c r="Q45" s="586">
        <v>175</v>
      </c>
      <c r="R45" s="586">
        <v>258</v>
      </c>
      <c r="S45" s="586">
        <v>307</v>
      </c>
      <c r="T45" s="586">
        <v>160</v>
      </c>
      <c r="U45" s="586">
        <v>155</v>
      </c>
      <c r="V45" s="586">
        <v>328</v>
      </c>
      <c r="W45" s="584">
        <v>0</v>
      </c>
      <c r="X45" s="583">
        <v>449</v>
      </c>
      <c r="Y45" s="596"/>
      <c r="Z45" s="601"/>
      <c r="AA45" s="601"/>
      <c r="AB45" s="584"/>
      <c r="AU45" s="584"/>
      <c r="AV45" s="584"/>
    </row>
    <row r="46" spans="1:48" ht="15.75" thickTop="1" x14ac:dyDescent="0.25"/>
    <row r="48" spans="1:48" ht="15.75" thickBot="1" x14ac:dyDescent="0.3">
      <c r="B48" t="s">
        <v>1739</v>
      </c>
      <c r="C48" s="1671">
        <f>1000*(SUM(E41:I41,M41,O41,T41,U41,V41)/SUM(E29:I29,M29,O29,T29,U29,V29))</f>
        <v>112.58580356357589</v>
      </c>
      <c r="D48" s="1279">
        <f t="shared" ref="D48:Y48" si="4">D59</f>
        <v>100</v>
      </c>
      <c r="E48" s="1279">
        <f t="shared" si="4"/>
        <v>33.67983466625045</v>
      </c>
      <c r="F48" s="1279">
        <f t="shared" si="4"/>
        <v>0.16132921610121953</v>
      </c>
      <c r="G48" s="1279">
        <f t="shared" si="4"/>
        <v>3.629478266785422</v>
      </c>
      <c r="H48" s="1279">
        <f t="shared" si="4"/>
        <v>54.53226324561281</v>
      </c>
      <c r="I48" s="1279">
        <f t="shared" si="4"/>
        <v>7.9636492566364279</v>
      </c>
      <c r="J48" s="1279">
        <f t="shared" si="4"/>
        <v>0</v>
      </c>
      <c r="K48" s="1279">
        <f t="shared" si="4"/>
        <v>0</v>
      </c>
      <c r="L48" s="1279">
        <f t="shared" si="4"/>
        <v>0</v>
      </c>
      <c r="M48" s="1279">
        <f t="shared" si="4"/>
        <v>0</v>
      </c>
      <c r="N48" s="1279">
        <f t="shared" si="4"/>
        <v>0</v>
      </c>
      <c r="O48" s="1279">
        <f t="shared" si="4"/>
        <v>0</v>
      </c>
      <c r="P48" s="1279">
        <f t="shared" si="4"/>
        <v>0</v>
      </c>
      <c r="Q48" s="1279">
        <f t="shared" si="4"/>
        <v>0</v>
      </c>
      <c r="R48" s="1279">
        <f t="shared" si="4"/>
        <v>0</v>
      </c>
      <c r="S48" s="1279">
        <f t="shared" si="4"/>
        <v>0</v>
      </c>
      <c r="T48" s="1673">
        <f t="shared" si="4"/>
        <v>1.9701277070007007E-2</v>
      </c>
      <c r="U48" s="1673">
        <f t="shared" si="4"/>
        <v>1.3437175661349174E-2</v>
      </c>
      <c r="V48" s="1509">
        <f t="shared" si="4"/>
        <v>0</v>
      </c>
      <c r="W48" s="1279">
        <f t="shared" si="4"/>
        <v>3.0689588231238869E-4</v>
      </c>
      <c r="X48" s="1279">
        <f t="shared" si="4"/>
        <v>0</v>
      </c>
      <c r="Y48" s="1279">
        <f t="shared" si="4"/>
        <v>100</v>
      </c>
    </row>
    <row r="49" spans="1:27" ht="16.5" thickTop="1" thickBot="1" x14ac:dyDescent="0.3">
      <c r="B49" s="1217">
        <v>2015</v>
      </c>
      <c r="C49" s="1671">
        <f>1000*(SUM(E44:I44,T44,U44)/SUM(E24:I24,T24,U24))</f>
        <v>3.7355689824230751</v>
      </c>
      <c r="D49" s="1659">
        <f>1000*(D44/D24)</f>
        <v>8.1711620671619283</v>
      </c>
      <c r="E49" s="1659">
        <f t="shared" ref="E49:V49" si="5">1000*(E44/E24)</f>
        <v>7.250702239785678</v>
      </c>
      <c r="F49" s="1660">
        <f t="shared" si="5"/>
        <v>128.43431961296284</v>
      </c>
      <c r="G49" s="1661">
        <f t="shared" si="5"/>
        <v>14.231389465909436</v>
      </c>
      <c r="H49" s="1660">
        <f t="shared" si="5"/>
        <v>0.13841486415466264</v>
      </c>
      <c r="I49" s="1660">
        <f t="shared" si="5"/>
        <v>0.57612357503956391</v>
      </c>
      <c r="J49" s="1660" t="e">
        <f t="shared" si="5"/>
        <v>#DIV/0!</v>
      </c>
      <c r="K49" s="1662" t="e">
        <f t="shared" si="5"/>
        <v>#DIV/0!</v>
      </c>
      <c r="L49" s="1660" t="e">
        <f t="shared" si="5"/>
        <v>#DIV/0!</v>
      </c>
      <c r="M49" s="1660" t="e">
        <f t="shared" si="5"/>
        <v>#DIV/0!</v>
      </c>
      <c r="N49" s="1660" t="e">
        <f t="shared" si="5"/>
        <v>#DIV/0!</v>
      </c>
      <c r="O49" s="1660" t="e">
        <f t="shared" si="5"/>
        <v>#DIV/0!</v>
      </c>
      <c r="P49" s="1660" t="e">
        <f t="shared" si="5"/>
        <v>#DIV/0!</v>
      </c>
      <c r="Q49" s="1660" t="e">
        <f t="shared" si="5"/>
        <v>#DIV/0!</v>
      </c>
      <c r="R49" s="1660" t="e">
        <f t="shared" si="5"/>
        <v>#DIV/0!</v>
      </c>
      <c r="S49" s="1660" t="e">
        <f t="shared" si="5"/>
        <v>#DIV/0!</v>
      </c>
      <c r="T49" s="1660">
        <f t="shared" si="5"/>
        <v>1179.4277746977434</v>
      </c>
      <c r="U49" s="1660">
        <f t="shared" si="5"/>
        <v>1608.0921740522338</v>
      </c>
      <c r="V49" s="1660" t="e">
        <f t="shared" si="5"/>
        <v>#DIV/0!</v>
      </c>
      <c r="W49" s="584">
        <f t="shared" ref="W49:Z49" si="6">1000*(W44/W24)</f>
        <v>0</v>
      </c>
      <c r="X49" s="583" t="e">
        <f t="shared" si="6"/>
        <v>#DIV/0!</v>
      </c>
      <c r="Y49" s="596">
        <f t="shared" si="6"/>
        <v>0</v>
      </c>
      <c r="Z49" s="601">
        <f t="shared" si="6"/>
        <v>0</v>
      </c>
      <c r="AA49" s="601"/>
    </row>
    <row r="50" spans="1:27" ht="16.5" thickTop="1" thickBot="1" x14ac:dyDescent="0.3">
      <c r="B50" s="1217">
        <v>2015</v>
      </c>
      <c r="C50" s="1671">
        <f>1000*(SUM(E44:I44,M44,O44,T44,U44,V44)/SUM(E32:I32,M32,O32,T32,U32,V32))</f>
        <v>0.20360159338872882</v>
      </c>
      <c r="D50" s="1659">
        <f>1000*(D44/D32)</f>
        <v>0.3609776483940822</v>
      </c>
      <c r="E50" s="1659">
        <f t="shared" ref="E50:V50" si="7">1000*(E44/E32)</f>
        <v>0.11839127368600147</v>
      </c>
      <c r="F50" s="1660">
        <f t="shared" si="7"/>
        <v>6.2361214774365381</v>
      </c>
      <c r="G50" s="1661">
        <f t="shared" si="7"/>
        <v>0.5229912022056733</v>
      </c>
      <c r="H50" s="1660">
        <f t="shared" si="7"/>
        <v>0.13841486415466264</v>
      </c>
      <c r="I50" s="1660">
        <f t="shared" si="7"/>
        <v>0.57612357503956391</v>
      </c>
      <c r="J50" s="1660" t="e">
        <f t="shared" si="7"/>
        <v>#DIV/0!</v>
      </c>
      <c r="K50" s="1662" t="e">
        <f t="shared" si="7"/>
        <v>#DIV/0!</v>
      </c>
      <c r="L50" s="1660" t="e">
        <f t="shared" si="7"/>
        <v>#DIV/0!</v>
      </c>
      <c r="M50" s="1660">
        <f t="shared" si="7"/>
        <v>6.2977542208448467</v>
      </c>
      <c r="N50" s="1660" t="e">
        <f t="shared" si="7"/>
        <v>#DIV/0!</v>
      </c>
      <c r="O50" s="1660">
        <f t="shared" si="7"/>
        <v>2352.4604672819278</v>
      </c>
      <c r="P50" s="1660" t="e">
        <f t="shared" si="7"/>
        <v>#DIV/0!</v>
      </c>
      <c r="Q50" s="1660" t="e">
        <f t="shared" si="7"/>
        <v>#DIV/0!</v>
      </c>
      <c r="R50" s="1660" t="e">
        <f t="shared" si="7"/>
        <v>#DIV/0!</v>
      </c>
      <c r="S50" s="1660" t="e">
        <f t="shared" si="7"/>
        <v>#DIV/0!</v>
      </c>
      <c r="T50" s="1660">
        <f t="shared" si="7"/>
        <v>0.69931488619473814</v>
      </c>
      <c r="U50" s="1660">
        <f t="shared" si="7"/>
        <v>33.876892988268331</v>
      </c>
      <c r="V50" s="1660">
        <f t="shared" si="7"/>
        <v>2133.8425285522994</v>
      </c>
      <c r="W50" s="584">
        <f t="shared" ref="W50:Z50" si="8">1000*(W44/W32)</f>
        <v>0</v>
      </c>
      <c r="X50" s="583" t="e">
        <f t="shared" si="8"/>
        <v>#DIV/0!</v>
      </c>
      <c r="Y50" s="596">
        <f t="shared" si="8"/>
        <v>0</v>
      </c>
      <c r="Z50">
        <f t="shared" si="8"/>
        <v>0</v>
      </c>
    </row>
    <row r="51" spans="1:27" ht="15.75" thickTop="1" x14ac:dyDescent="0.25">
      <c r="B51" t="s">
        <v>1739</v>
      </c>
      <c r="D51" s="1279">
        <f>D58</f>
        <v>100</v>
      </c>
      <c r="E51" s="1279">
        <f t="shared" ref="E51:Y51" si="9">E58</f>
        <v>91.122749524833281</v>
      </c>
      <c r="F51" s="1279">
        <f t="shared" si="9"/>
        <v>0.14678309250747287</v>
      </c>
      <c r="G51" s="1279">
        <f t="shared" si="9"/>
        <v>4.3630843386443789</v>
      </c>
      <c r="H51" s="1279">
        <f t="shared" si="9"/>
        <v>2.4090732733251823</v>
      </c>
      <c r="I51" s="1279">
        <f t="shared" si="9"/>
        <v>0.35181034933191097</v>
      </c>
      <c r="J51" s="1279">
        <f t="shared" si="9"/>
        <v>0</v>
      </c>
      <c r="K51" s="1279">
        <f t="shared" si="9"/>
        <v>0</v>
      </c>
      <c r="L51" s="1279">
        <f t="shared" si="9"/>
        <v>0</v>
      </c>
      <c r="M51" s="1279">
        <f t="shared" si="9"/>
        <v>0.10900995381980906</v>
      </c>
      <c r="N51" s="1279">
        <f t="shared" si="9"/>
        <v>0</v>
      </c>
      <c r="O51" s="1279">
        <f t="shared" si="9"/>
        <v>4.9750020187367143E-4</v>
      </c>
      <c r="P51" s="1279">
        <f t="shared" si="9"/>
        <v>0</v>
      </c>
      <c r="Q51" s="1279">
        <f t="shared" si="9"/>
        <v>0</v>
      </c>
      <c r="R51" s="1279">
        <f t="shared" si="9"/>
        <v>0</v>
      </c>
      <c r="S51" s="1279">
        <f t="shared" si="9"/>
        <v>0</v>
      </c>
      <c r="T51" s="1279">
        <f t="shared" si="9"/>
        <v>1.4678762494504258</v>
      </c>
      <c r="U51" s="1674">
        <f t="shared" si="9"/>
        <v>2.8178109195045022E-2</v>
      </c>
      <c r="V51" s="1674">
        <f t="shared" si="9"/>
        <v>9.3760869062487851E-4</v>
      </c>
      <c r="W51" s="1279">
        <f t="shared" si="9"/>
        <v>9.3760869062487851E-4</v>
      </c>
      <c r="X51" s="1279">
        <f t="shared" si="9"/>
        <v>0</v>
      </c>
      <c r="Y51" s="1279">
        <f t="shared" si="9"/>
        <v>100</v>
      </c>
    </row>
    <row r="55" spans="1:27" x14ac:dyDescent="0.25">
      <c r="A55">
        <v>2015</v>
      </c>
      <c r="B55" t="s">
        <v>1428</v>
      </c>
      <c r="D55" s="1279">
        <f>100*(D45/$D45)</f>
        <v>100</v>
      </c>
      <c r="E55" s="1278">
        <f t="shared" ref="E55:V55" si="10">100*(E44/$D44)</f>
        <v>29.885890237275859</v>
      </c>
      <c r="F55" s="1278">
        <f t="shared" si="10"/>
        <v>2.5357725049809816</v>
      </c>
      <c r="G55" s="1278">
        <f t="shared" si="10"/>
        <v>6.3213186017025897</v>
      </c>
      <c r="H55" s="1278">
        <f t="shared" si="10"/>
        <v>0.92374569824307196</v>
      </c>
      <c r="I55" s="1278">
        <f t="shared" si="10"/>
        <v>0.56149248324578882</v>
      </c>
      <c r="J55" s="1278">
        <f t="shared" si="10"/>
        <v>8.2050353196884629</v>
      </c>
      <c r="K55" s="1278">
        <f t="shared" si="10"/>
        <v>8.8027531244339787</v>
      </c>
      <c r="L55" s="1278">
        <f t="shared" si="10"/>
        <v>4.1115739902191635</v>
      </c>
      <c r="M55" s="1278">
        <f t="shared" si="10"/>
        <v>1.9018293787357361</v>
      </c>
      <c r="N55" s="1278">
        <f t="shared" si="10"/>
        <v>1.7025901104872305</v>
      </c>
      <c r="O55" s="1278">
        <f t="shared" si="10"/>
        <v>3.2421662742256836</v>
      </c>
      <c r="P55" s="1278">
        <f t="shared" si="10"/>
        <v>8.5491758739358819</v>
      </c>
      <c r="Q55" s="1278">
        <f t="shared" si="10"/>
        <v>2.9885890237275858</v>
      </c>
      <c r="R55" s="1278">
        <f t="shared" si="10"/>
        <v>4.2564752762180769</v>
      </c>
      <c r="S55" s="1278">
        <f t="shared" si="10"/>
        <v>4.9809817062126429</v>
      </c>
      <c r="T55" s="1278">
        <f t="shared" si="10"/>
        <v>2.843687737728672</v>
      </c>
      <c r="U55" s="1278">
        <f t="shared" si="10"/>
        <v>2.6444484694801664</v>
      </c>
      <c r="V55" s="1278">
        <f t="shared" si="10"/>
        <v>5.5424741894584315</v>
      </c>
    </row>
    <row r="56" spans="1:27" x14ac:dyDescent="0.25">
      <c r="A56" s="232">
        <v>2016</v>
      </c>
      <c r="B56" s="256" t="s">
        <v>1762</v>
      </c>
      <c r="D56" s="1279">
        <f t="shared" ref="D56:Y56" si="11">100*(D3/$D3)</f>
        <v>100</v>
      </c>
      <c r="E56" s="1278">
        <f t="shared" si="11"/>
        <v>47.048829495499049</v>
      </c>
      <c r="F56" s="1278">
        <f t="shared" si="11"/>
        <v>2.8313964998685126</v>
      </c>
      <c r="G56" s="1278">
        <f t="shared" si="11"/>
        <v>4.5101214710602138</v>
      </c>
      <c r="H56" s="1278">
        <f t="shared" si="11"/>
        <v>0.37218521190045678</v>
      </c>
      <c r="I56" s="1278">
        <f t="shared" si="11"/>
        <v>1.3442676133142368E-2</v>
      </c>
      <c r="J56" s="1278">
        <f t="shared" si="11"/>
        <v>7.5313549448047228</v>
      </c>
      <c r="K56" s="1278">
        <f t="shared" si="11"/>
        <v>14.182954286442886</v>
      </c>
      <c r="L56" s="1278">
        <f t="shared" si="11"/>
        <v>2.8544380303439985</v>
      </c>
      <c r="M56" s="1278">
        <f t="shared" si="11"/>
        <v>1.7155199123614018</v>
      </c>
      <c r="N56" s="1278">
        <f t="shared" si="11"/>
        <v>0.1682533150510119</v>
      </c>
      <c r="O56" s="1278">
        <f t="shared" si="11"/>
        <v>0.39069370910204188</v>
      </c>
      <c r="P56" s="1278">
        <f t="shared" si="11"/>
        <v>0</v>
      </c>
      <c r="Q56" s="1278">
        <f t="shared" si="11"/>
        <v>0</v>
      </c>
      <c r="R56" s="1278">
        <f t="shared" si="11"/>
        <v>2.1761674707061562</v>
      </c>
      <c r="S56" s="1278">
        <f t="shared" si="11"/>
        <v>2.1137998540799625</v>
      </c>
      <c r="T56" s="1278">
        <f t="shared" si="11"/>
        <v>2.380752053735506</v>
      </c>
      <c r="U56" s="1278">
        <f t="shared" si="11"/>
        <v>2.9641784695038891</v>
      </c>
      <c r="V56" s="1278">
        <f t="shared" si="11"/>
        <v>8.8524626025681355E-2</v>
      </c>
      <c r="W56" s="1278">
        <f t="shared" si="11"/>
        <v>2.7985098739477285</v>
      </c>
      <c r="X56" s="1278">
        <f t="shared" si="11"/>
        <v>5.8454354233004828</v>
      </c>
      <c r="Y56" s="1278">
        <f t="shared" si="11"/>
        <v>1.3442676133142368E-2</v>
      </c>
    </row>
    <row r="57" spans="1:27" x14ac:dyDescent="0.25">
      <c r="A57">
        <v>2015</v>
      </c>
      <c r="B57" t="s">
        <v>1430</v>
      </c>
      <c r="D57" s="1279">
        <f t="shared" ref="D57:Y57" si="12">100*(D36/$D36)</f>
        <v>100</v>
      </c>
      <c r="E57" s="1278">
        <f t="shared" si="12"/>
        <v>97.848060060030548</v>
      </c>
      <c r="F57" s="1278">
        <f t="shared" si="12"/>
        <v>8.44410913973123E-3</v>
      </c>
      <c r="G57" s="1278">
        <f t="shared" si="12"/>
        <v>1.1998886219348293</v>
      </c>
      <c r="H57" s="1281">
        <f t="shared" si="12"/>
        <v>0.14562273234161688</v>
      </c>
      <c r="I57" s="1278">
        <f t="shared" si="12"/>
        <v>0.40500487681942321</v>
      </c>
      <c r="J57" s="1278">
        <f t="shared" si="12"/>
        <v>0</v>
      </c>
      <c r="K57" s="1278">
        <f t="shared" si="12"/>
        <v>0</v>
      </c>
      <c r="L57" s="1278">
        <f t="shared" si="12"/>
        <v>0</v>
      </c>
      <c r="M57" s="1278">
        <f t="shared" si="12"/>
        <v>2.9249749288443306E-2</v>
      </c>
      <c r="N57" s="1278">
        <f t="shared" si="12"/>
        <v>0</v>
      </c>
      <c r="O57" s="1278">
        <f t="shared" si="12"/>
        <v>1.0759003244586612E-4</v>
      </c>
      <c r="P57" s="1278">
        <f t="shared" si="12"/>
        <v>0</v>
      </c>
      <c r="Q57" s="1278">
        <f t="shared" si="12"/>
        <v>0</v>
      </c>
      <c r="R57" s="1278">
        <f t="shared" si="12"/>
        <v>0</v>
      </c>
      <c r="S57" s="1278">
        <f t="shared" si="12"/>
        <v>0</v>
      </c>
      <c r="T57" s="1278">
        <f t="shared" si="12"/>
        <v>0.35576023354024133</v>
      </c>
      <c r="U57" s="1278">
        <f t="shared" si="12"/>
        <v>6.8131978920161103E-3</v>
      </c>
      <c r="V57" s="255">
        <f t="shared" si="12"/>
        <v>1.0488289806923476E-3</v>
      </c>
      <c r="W57" s="255">
        <f t="shared" si="12"/>
        <v>1.0488289806923476E-3</v>
      </c>
      <c r="X57" s="255">
        <f t="shared" si="12"/>
        <v>0</v>
      </c>
      <c r="Y57" s="1278">
        <f t="shared" si="12"/>
        <v>100</v>
      </c>
    </row>
    <row r="58" spans="1:27" x14ac:dyDescent="0.25">
      <c r="A58">
        <v>2015</v>
      </c>
      <c r="B58" t="s">
        <v>1429</v>
      </c>
      <c r="D58" s="1279">
        <f t="shared" ref="D58:Y58" si="13">100*(D32/$D32)</f>
        <v>100</v>
      </c>
      <c r="E58" s="1278">
        <f t="shared" si="13"/>
        <v>91.122749524833281</v>
      </c>
      <c r="F58" s="1278">
        <f t="shared" si="13"/>
        <v>0.14678309250747287</v>
      </c>
      <c r="G58" s="1278">
        <f t="shared" si="13"/>
        <v>4.3630843386443789</v>
      </c>
      <c r="H58" s="1278">
        <f t="shared" si="13"/>
        <v>2.4090732733251823</v>
      </c>
      <c r="I58" s="1278">
        <f t="shared" si="13"/>
        <v>0.35181034933191097</v>
      </c>
      <c r="J58" s="1278">
        <f t="shared" si="13"/>
        <v>0</v>
      </c>
      <c r="K58" s="1278">
        <f t="shared" si="13"/>
        <v>0</v>
      </c>
      <c r="L58" s="1278">
        <f t="shared" si="13"/>
        <v>0</v>
      </c>
      <c r="M58" s="1278">
        <f t="shared" si="13"/>
        <v>0.10900995381980906</v>
      </c>
      <c r="N58" s="1278">
        <f t="shared" si="13"/>
        <v>0</v>
      </c>
      <c r="O58" s="1278">
        <f t="shared" si="13"/>
        <v>4.9750020187367143E-4</v>
      </c>
      <c r="P58" s="1278">
        <f t="shared" si="13"/>
        <v>0</v>
      </c>
      <c r="Q58" s="1278">
        <f t="shared" si="13"/>
        <v>0</v>
      </c>
      <c r="R58" s="1278">
        <f t="shared" si="13"/>
        <v>0</v>
      </c>
      <c r="S58" s="1278">
        <f t="shared" si="13"/>
        <v>0</v>
      </c>
      <c r="T58" s="1278">
        <f t="shared" si="13"/>
        <v>1.4678762494504258</v>
      </c>
      <c r="U58" s="1278">
        <f t="shared" si="13"/>
        <v>2.8178109195045022E-2</v>
      </c>
      <c r="V58" s="255">
        <f t="shared" si="13"/>
        <v>9.3760869062487851E-4</v>
      </c>
      <c r="W58" s="255">
        <f t="shared" si="13"/>
        <v>9.3760869062487851E-4</v>
      </c>
      <c r="X58" s="255">
        <f t="shared" si="13"/>
        <v>0</v>
      </c>
      <c r="Y58" s="1278">
        <f t="shared" si="13"/>
        <v>100</v>
      </c>
    </row>
    <row r="59" spans="1:27" x14ac:dyDescent="0.25">
      <c r="A59">
        <v>2015</v>
      </c>
      <c r="B59" t="s">
        <v>1437</v>
      </c>
      <c r="D59" s="1279">
        <f t="shared" ref="D59:Y59" si="14">100*(SUM(D24)/$D24)</f>
        <v>100</v>
      </c>
      <c r="E59" s="1278">
        <f t="shared" si="14"/>
        <v>33.67983466625045</v>
      </c>
      <c r="F59" s="1278">
        <f t="shared" si="14"/>
        <v>0.16132921610121953</v>
      </c>
      <c r="G59" s="1278">
        <f t="shared" si="14"/>
        <v>3.629478266785422</v>
      </c>
      <c r="H59" s="1278">
        <f t="shared" si="14"/>
        <v>54.53226324561281</v>
      </c>
      <c r="I59" s="1278">
        <f t="shared" si="14"/>
        <v>7.9636492566364279</v>
      </c>
      <c r="J59" s="1278">
        <f t="shared" si="14"/>
        <v>0</v>
      </c>
      <c r="K59" s="1278">
        <f t="shared" si="14"/>
        <v>0</v>
      </c>
      <c r="L59" s="1278">
        <f t="shared" si="14"/>
        <v>0</v>
      </c>
      <c r="M59" s="1278">
        <f t="shared" si="14"/>
        <v>0</v>
      </c>
      <c r="N59" s="1278">
        <f t="shared" si="14"/>
        <v>0</v>
      </c>
      <c r="O59" s="1278">
        <f t="shared" si="14"/>
        <v>0</v>
      </c>
      <c r="P59" s="1278">
        <f t="shared" si="14"/>
        <v>0</v>
      </c>
      <c r="Q59" s="1278">
        <f t="shared" si="14"/>
        <v>0</v>
      </c>
      <c r="R59" s="1278">
        <f t="shared" si="14"/>
        <v>0</v>
      </c>
      <c r="S59" s="1278">
        <f t="shared" si="14"/>
        <v>0</v>
      </c>
      <c r="T59" s="1278">
        <f t="shared" si="14"/>
        <v>1.9701277070007007E-2</v>
      </c>
      <c r="U59" s="1278">
        <f t="shared" si="14"/>
        <v>1.3437175661349174E-2</v>
      </c>
      <c r="V59" s="1278">
        <f t="shared" si="14"/>
        <v>0</v>
      </c>
      <c r="W59" s="1278">
        <f t="shared" si="14"/>
        <v>3.0689588231238869E-4</v>
      </c>
      <c r="X59" s="1278">
        <f t="shared" si="14"/>
        <v>0</v>
      </c>
      <c r="Y59" s="1278">
        <f t="shared" si="14"/>
        <v>100</v>
      </c>
    </row>
    <row r="60" spans="1:27" x14ac:dyDescent="0.25">
      <c r="A60">
        <v>2015</v>
      </c>
      <c r="B60" t="s">
        <v>1438</v>
      </c>
      <c r="D60" s="1279">
        <f t="shared" ref="D60:Y60" si="15">100*(SUM(D23)/$D23)</f>
        <v>100</v>
      </c>
      <c r="E60" s="1278">
        <f t="shared" si="15"/>
        <v>96.717092114075044</v>
      </c>
      <c r="F60" s="1278">
        <f t="shared" si="15"/>
        <v>0.15681006331385197</v>
      </c>
      <c r="G60" s="1278">
        <f t="shared" si="15"/>
        <v>0.17148956739671212</v>
      </c>
      <c r="H60" s="1278">
        <f t="shared" si="15"/>
        <v>2.5736406425596869</v>
      </c>
      <c r="I60" s="1278">
        <f t="shared" si="15"/>
        <v>0.37584303621615495</v>
      </c>
      <c r="J60" s="1278">
        <f t="shared" si="15"/>
        <v>0</v>
      </c>
      <c r="K60" s="1278">
        <f t="shared" si="15"/>
        <v>0</v>
      </c>
      <c r="L60" s="1278">
        <f t="shared" si="15"/>
        <v>0</v>
      </c>
      <c r="M60" s="1278">
        <f t="shared" si="15"/>
        <v>0</v>
      </c>
      <c r="N60" s="1278">
        <f t="shared" si="15"/>
        <v>0</v>
      </c>
      <c r="O60" s="1278">
        <f t="shared" si="15"/>
        <v>4.1909425873272671E-7</v>
      </c>
      <c r="P60" s="1278">
        <f t="shared" si="15"/>
        <v>0</v>
      </c>
      <c r="Q60" s="1278">
        <f t="shared" si="15"/>
        <v>0</v>
      </c>
      <c r="R60" s="1278">
        <f t="shared" si="15"/>
        <v>0</v>
      </c>
      <c r="S60" s="1278">
        <f t="shared" si="15"/>
        <v>0</v>
      </c>
      <c r="T60" s="1278">
        <f t="shared" si="15"/>
        <v>9.2979833148184004E-4</v>
      </c>
      <c r="U60" s="1278">
        <f t="shared" si="15"/>
        <v>4.1125685772733884E-3</v>
      </c>
      <c r="V60" s="1278">
        <f t="shared" si="15"/>
        <v>8.1790435534278958E-5</v>
      </c>
      <c r="W60" s="1278">
        <f t="shared" si="15"/>
        <v>8.1790435534278958E-5</v>
      </c>
      <c r="X60" s="1278">
        <f t="shared" si="15"/>
        <v>0</v>
      </c>
      <c r="Y60" s="1278">
        <f t="shared" si="15"/>
        <v>100</v>
      </c>
    </row>
    <row r="61" spans="1:27" x14ac:dyDescent="0.25">
      <c r="D61" s="1279"/>
      <c r="E61" s="1278"/>
      <c r="F61" s="1278"/>
      <c r="G61" s="1278"/>
      <c r="H61" s="1278"/>
      <c r="I61" s="1278"/>
      <c r="J61" s="1278"/>
      <c r="K61" s="1278"/>
      <c r="L61" s="1278"/>
      <c r="M61" s="1278"/>
      <c r="N61" s="1278"/>
      <c r="O61" s="1278"/>
      <c r="P61" s="1278"/>
      <c r="Q61" s="1278"/>
      <c r="R61" s="1278"/>
      <c r="S61" s="1278"/>
      <c r="T61" s="1278"/>
      <c r="U61" s="1278"/>
      <c r="V61" s="255"/>
      <c r="W61" s="255"/>
      <c r="X61" s="255"/>
      <c r="Y61" s="1278"/>
    </row>
    <row r="62" spans="1:27" x14ac:dyDescent="0.25">
      <c r="B62" t="s">
        <v>1431</v>
      </c>
      <c r="D62" s="1279"/>
      <c r="E62" s="1278"/>
      <c r="F62" s="1278"/>
      <c r="G62" s="1278"/>
      <c r="H62" s="1278"/>
      <c r="I62" s="1278"/>
      <c r="J62" s="1278"/>
      <c r="K62" s="1278"/>
      <c r="L62" s="1278"/>
      <c r="M62" s="1278"/>
      <c r="N62" s="1278"/>
      <c r="O62" s="1278"/>
      <c r="P62" s="1278"/>
      <c r="Q62" s="1278"/>
      <c r="R62" s="1278"/>
      <c r="S62" s="1278"/>
      <c r="T62" s="1278"/>
      <c r="U62" s="1278"/>
      <c r="V62" s="255"/>
      <c r="W62" s="255"/>
      <c r="X62" s="255"/>
      <c r="Y62" s="1278"/>
    </row>
    <row r="63" spans="1:27" x14ac:dyDescent="0.25">
      <c r="A63">
        <v>2015</v>
      </c>
      <c r="B63" t="s">
        <v>1430</v>
      </c>
      <c r="D63" s="1285">
        <f>100*(D37/$D37)</f>
        <v>100</v>
      </c>
      <c r="E63" s="1286">
        <f>100*(E36/$D37)</f>
        <v>81.701971796726184</v>
      </c>
      <c r="F63" s="1286">
        <f>100*(F36/$D37)</f>
        <v>7.0507311678896806E-3</v>
      </c>
      <c r="G63" s="1286">
        <f>100*(G36/$D37)</f>
        <v>1.0018927946899294</v>
      </c>
      <c r="H63" s="1282">
        <f>100*(H37/$D37)</f>
        <v>16.621901326480586</v>
      </c>
      <c r="I63" s="1286">
        <f t="shared" ref="I63:Y63" si="16">100*(I36/$D37)</f>
        <v>0.33817427758032492</v>
      </c>
      <c r="J63" s="1286">
        <f t="shared" si="16"/>
        <v>0</v>
      </c>
      <c r="K63" s="1286">
        <f t="shared" si="16"/>
        <v>0</v>
      </c>
      <c r="L63" s="1286">
        <f t="shared" si="16"/>
        <v>0</v>
      </c>
      <c r="M63" s="1286">
        <f t="shared" si="16"/>
        <v>2.4423194388928805E-2</v>
      </c>
      <c r="N63" s="1286">
        <f t="shared" si="16"/>
        <v>0</v>
      </c>
      <c r="O63" s="1286">
        <f t="shared" si="16"/>
        <v>8.9836403410635638E-5</v>
      </c>
      <c r="P63" s="1286">
        <f t="shared" si="16"/>
        <v>0</v>
      </c>
      <c r="Q63" s="1286">
        <f t="shared" si="16"/>
        <v>0</v>
      </c>
      <c r="R63" s="1286">
        <f t="shared" si="16"/>
        <v>0</v>
      </c>
      <c r="S63" s="1286">
        <f t="shared" si="16"/>
        <v>0</v>
      </c>
      <c r="T63" s="1286">
        <f t="shared" si="16"/>
        <v>0.29705558341441934</v>
      </c>
      <c r="U63" s="1286">
        <f t="shared" si="16"/>
        <v>5.6889395832426769E-3</v>
      </c>
      <c r="V63" s="1287">
        <f t="shared" si="16"/>
        <v>8.7575978253981641E-4</v>
      </c>
      <c r="W63" s="1287">
        <f t="shared" si="16"/>
        <v>8.7575978253981641E-4</v>
      </c>
      <c r="X63" s="1287">
        <f t="shared" si="16"/>
        <v>0</v>
      </c>
      <c r="Y63" s="1278">
        <f t="shared" si="16"/>
        <v>83.498816171318452</v>
      </c>
    </row>
    <row r="65" spans="1:26" x14ac:dyDescent="0.25">
      <c r="A65">
        <v>2015</v>
      </c>
      <c r="B65" t="s">
        <v>1428</v>
      </c>
      <c r="D65" s="1279">
        <f>D55</f>
        <v>100</v>
      </c>
      <c r="E65" s="1278">
        <f>E55</f>
        <v>29.885890237275859</v>
      </c>
      <c r="F65" s="1278">
        <f t="shared" ref="F65:V65" si="17">F55</f>
        <v>2.5357725049809816</v>
      </c>
      <c r="G65" s="1278">
        <f t="shared" si="17"/>
        <v>6.3213186017025897</v>
      </c>
      <c r="H65" s="1278">
        <f t="shared" si="17"/>
        <v>0.92374569824307196</v>
      </c>
      <c r="I65" s="1278">
        <f t="shared" si="17"/>
        <v>0.56149248324578882</v>
      </c>
      <c r="J65" s="1278">
        <f t="shared" si="17"/>
        <v>8.2050353196884629</v>
      </c>
      <c r="K65" s="1278">
        <f t="shared" si="17"/>
        <v>8.8027531244339787</v>
      </c>
      <c r="L65" s="1278">
        <f t="shared" si="17"/>
        <v>4.1115739902191635</v>
      </c>
      <c r="M65" s="1278">
        <f t="shared" si="17"/>
        <v>1.9018293787357361</v>
      </c>
      <c r="N65" s="1278">
        <f t="shared" si="17"/>
        <v>1.7025901104872305</v>
      </c>
      <c r="O65" s="1278">
        <f t="shared" si="17"/>
        <v>3.2421662742256836</v>
      </c>
      <c r="P65" s="1278">
        <f t="shared" si="17"/>
        <v>8.5491758739358819</v>
      </c>
      <c r="Q65" s="1278">
        <f t="shared" si="17"/>
        <v>2.9885890237275858</v>
      </c>
      <c r="R65" s="1278">
        <f t="shared" si="17"/>
        <v>4.2564752762180769</v>
      </c>
      <c r="S65" s="1278">
        <f t="shared" si="17"/>
        <v>4.9809817062126429</v>
      </c>
      <c r="T65" s="1278">
        <f t="shared" si="17"/>
        <v>2.843687737728672</v>
      </c>
      <c r="U65" s="1278">
        <f t="shared" si="17"/>
        <v>2.6444484694801664</v>
      </c>
      <c r="V65" s="1278">
        <f t="shared" si="17"/>
        <v>5.5424741894584315</v>
      </c>
      <c r="Y65" s="1281">
        <f t="shared" ref="Y65:Y70" si="18">SUM(K65:X65)</f>
        <v>51.566745154863249</v>
      </c>
    </row>
    <row r="66" spans="1:26" x14ac:dyDescent="0.25">
      <c r="A66" s="232">
        <v>2016</v>
      </c>
      <c r="B66" t="s">
        <v>1761</v>
      </c>
      <c r="D66" s="1279">
        <f>D56</f>
        <v>100</v>
      </c>
      <c r="E66" s="1278">
        <f>E56</f>
        <v>47.048829495499049</v>
      </c>
      <c r="F66" s="1278">
        <f t="shared" ref="F66:U66" si="19">F56</f>
        <v>2.8313964998685126</v>
      </c>
      <c r="G66" s="1278">
        <f t="shared" si="19"/>
        <v>4.5101214710602138</v>
      </c>
      <c r="H66" s="1278">
        <f t="shared" si="19"/>
        <v>0.37218521190045678</v>
      </c>
      <c r="I66" s="1278">
        <f t="shared" si="19"/>
        <v>1.3442676133142368E-2</v>
      </c>
      <c r="J66" s="1278">
        <f t="shared" si="19"/>
        <v>7.5313549448047228</v>
      </c>
      <c r="K66" s="1278">
        <f t="shared" si="19"/>
        <v>14.182954286442886</v>
      </c>
      <c r="L66" s="1278">
        <f t="shared" si="19"/>
        <v>2.8544380303439985</v>
      </c>
      <c r="M66" s="1278">
        <f t="shared" si="19"/>
        <v>1.7155199123614018</v>
      </c>
      <c r="N66" s="1278">
        <f t="shared" si="19"/>
        <v>0.1682533150510119</v>
      </c>
      <c r="O66" s="1278">
        <f t="shared" si="19"/>
        <v>0.39069370910204188</v>
      </c>
      <c r="P66" s="1278">
        <f t="shared" si="19"/>
        <v>0</v>
      </c>
      <c r="Q66" s="1278">
        <f t="shared" si="19"/>
        <v>0</v>
      </c>
      <c r="R66" s="1278">
        <f t="shared" si="19"/>
        <v>2.1761674707061562</v>
      </c>
      <c r="S66" s="1278">
        <f t="shared" si="19"/>
        <v>2.1137998540799625</v>
      </c>
      <c r="T66" s="1278">
        <f t="shared" si="19"/>
        <v>2.380752053735506</v>
      </c>
      <c r="U66" s="1278">
        <f t="shared" si="19"/>
        <v>2.9641784695038891</v>
      </c>
      <c r="V66" s="1282">
        <f>SUM(V56:X56)</f>
        <v>8.7324699232738929</v>
      </c>
      <c r="W66" s="1278"/>
      <c r="X66" s="1278"/>
      <c r="Y66" s="1281">
        <f t="shared" si="18"/>
        <v>37.679227024600749</v>
      </c>
    </row>
    <row r="67" spans="1:26" x14ac:dyDescent="0.25">
      <c r="A67">
        <v>2015</v>
      </c>
      <c r="B67" t="s">
        <v>1430</v>
      </c>
      <c r="D67" s="1279">
        <f>D63</f>
        <v>100</v>
      </c>
      <c r="E67" s="1278">
        <f>E63</f>
        <v>81.701971796726184</v>
      </c>
      <c r="F67" s="1278">
        <f t="shared" ref="F67:U67" si="20">F63</f>
        <v>7.0507311678896806E-3</v>
      </c>
      <c r="G67" s="1278">
        <f t="shared" si="20"/>
        <v>1.0018927946899294</v>
      </c>
      <c r="H67" s="1282">
        <f t="shared" si="20"/>
        <v>16.621901326480586</v>
      </c>
      <c r="I67" s="1278">
        <f t="shared" si="20"/>
        <v>0.33817427758032492</v>
      </c>
      <c r="J67" s="1278">
        <f t="shared" si="20"/>
        <v>0</v>
      </c>
      <c r="K67" s="1278">
        <f t="shared" si="20"/>
        <v>0</v>
      </c>
      <c r="L67" s="1278">
        <f t="shared" si="20"/>
        <v>0</v>
      </c>
      <c r="M67" s="1278">
        <f t="shared" si="20"/>
        <v>2.4423194388928805E-2</v>
      </c>
      <c r="N67" s="1278">
        <f t="shared" si="20"/>
        <v>0</v>
      </c>
      <c r="O67" s="1278">
        <f t="shared" si="20"/>
        <v>8.9836403410635638E-5</v>
      </c>
      <c r="P67" s="1278">
        <f t="shared" si="20"/>
        <v>0</v>
      </c>
      <c r="Q67" s="1278">
        <f t="shared" si="20"/>
        <v>0</v>
      </c>
      <c r="R67" s="1278">
        <f t="shared" si="20"/>
        <v>0</v>
      </c>
      <c r="S67" s="1278">
        <f t="shared" si="20"/>
        <v>0</v>
      </c>
      <c r="T67" s="1278">
        <f t="shared" si="20"/>
        <v>0.29705558341441934</v>
      </c>
      <c r="U67" s="1278">
        <f t="shared" si="20"/>
        <v>5.6889395832426769E-3</v>
      </c>
      <c r="V67" s="1283">
        <f>SUM(V63:X63)</f>
        <v>1.7515195650796328E-3</v>
      </c>
      <c r="W67" s="1278"/>
      <c r="X67" s="1278"/>
      <c r="Y67" s="1281">
        <f t="shared" si="18"/>
        <v>0.32900907335508112</v>
      </c>
    </row>
    <row r="68" spans="1:26" x14ac:dyDescent="0.25">
      <c r="A68">
        <v>2015</v>
      </c>
      <c r="B68" t="s">
        <v>1429</v>
      </c>
      <c r="D68" s="1279">
        <f t="shared" ref="D68:U68" si="21">D58</f>
        <v>100</v>
      </c>
      <c r="E68" s="1278">
        <f t="shared" si="21"/>
        <v>91.122749524833281</v>
      </c>
      <c r="F68" s="1278">
        <f t="shared" si="21"/>
        <v>0.14678309250747287</v>
      </c>
      <c r="G68" s="1278">
        <f t="shared" si="21"/>
        <v>4.3630843386443789</v>
      </c>
      <c r="H68" s="1278">
        <f t="shared" si="21"/>
        <v>2.4090732733251823</v>
      </c>
      <c r="I68" s="1278">
        <f t="shared" si="21"/>
        <v>0.35181034933191097</v>
      </c>
      <c r="J68" s="1278">
        <f t="shared" si="21"/>
        <v>0</v>
      </c>
      <c r="K68" s="1278">
        <f t="shared" si="21"/>
        <v>0</v>
      </c>
      <c r="L68" s="1278">
        <f t="shared" si="21"/>
        <v>0</v>
      </c>
      <c r="M68" s="1278">
        <f t="shared" si="21"/>
        <v>0.10900995381980906</v>
      </c>
      <c r="N68" s="1278">
        <f t="shared" si="21"/>
        <v>0</v>
      </c>
      <c r="O68" s="1278">
        <f t="shared" si="21"/>
        <v>4.9750020187367143E-4</v>
      </c>
      <c r="P68" s="1278">
        <f t="shared" si="21"/>
        <v>0</v>
      </c>
      <c r="Q68" s="1278">
        <f t="shared" si="21"/>
        <v>0</v>
      </c>
      <c r="R68" s="1278">
        <f t="shared" si="21"/>
        <v>0</v>
      </c>
      <c r="S68" s="1278">
        <f t="shared" si="21"/>
        <v>0</v>
      </c>
      <c r="T68" s="1278">
        <f t="shared" si="21"/>
        <v>1.4678762494504258</v>
      </c>
      <c r="U68" s="1278">
        <f t="shared" si="21"/>
        <v>2.8178109195045022E-2</v>
      </c>
      <c r="V68" s="1283">
        <f>SUM(V58:X58)</f>
        <v>1.875217381249757E-3</v>
      </c>
      <c r="W68" s="1278"/>
      <c r="X68" s="1278"/>
      <c r="Y68" s="1281">
        <f t="shared" si="18"/>
        <v>1.6074370300484033</v>
      </c>
    </row>
    <row r="69" spans="1:26" x14ac:dyDescent="0.25">
      <c r="A69">
        <v>2015</v>
      </c>
      <c r="B69" t="s">
        <v>1439</v>
      </c>
      <c r="D69" s="1279">
        <f t="shared" ref="D69:U69" si="22">D59</f>
        <v>100</v>
      </c>
      <c r="E69" s="1278">
        <f t="shared" si="22"/>
        <v>33.67983466625045</v>
      </c>
      <c r="F69" s="1278">
        <f t="shared" si="22"/>
        <v>0.16132921610121953</v>
      </c>
      <c r="G69" s="1278">
        <f t="shared" si="22"/>
        <v>3.629478266785422</v>
      </c>
      <c r="H69" s="1278">
        <f t="shared" si="22"/>
        <v>54.53226324561281</v>
      </c>
      <c r="I69" s="1278">
        <f t="shared" si="22"/>
        <v>7.9636492566364279</v>
      </c>
      <c r="J69" s="1278">
        <f t="shared" si="22"/>
        <v>0</v>
      </c>
      <c r="K69" s="1278">
        <f t="shared" si="22"/>
        <v>0</v>
      </c>
      <c r="L69" s="1278">
        <f t="shared" si="22"/>
        <v>0</v>
      </c>
      <c r="M69" s="1278">
        <f t="shared" si="22"/>
        <v>0</v>
      </c>
      <c r="N69" s="1278">
        <f t="shared" si="22"/>
        <v>0</v>
      </c>
      <c r="O69" s="1278">
        <f t="shared" si="22"/>
        <v>0</v>
      </c>
      <c r="P69" s="1278">
        <f t="shared" si="22"/>
        <v>0</v>
      </c>
      <c r="Q69" s="1278">
        <f t="shared" si="22"/>
        <v>0</v>
      </c>
      <c r="R69" s="1278">
        <f t="shared" si="22"/>
        <v>0</v>
      </c>
      <c r="S69" s="1278">
        <f t="shared" si="22"/>
        <v>0</v>
      </c>
      <c r="T69" s="1278">
        <f t="shared" si="22"/>
        <v>1.9701277070007007E-2</v>
      </c>
      <c r="U69" s="1278">
        <f t="shared" si="22"/>
        <v>1.3437175661349174E-2</v>
      </c>
      <c r="V69" s="1283">
        <f>SUM(V59:X59)</f>
        <v>3.0689588231238869E-4</v>
      </c>
      <c r="Y69" s="1281">
        <f t="shared" si="18"/>
        <v>3.3445348613668574E-2</v>
      </c>
    </row>
    <row r="70" spans="1:26" x14ac:dyDescent="0.25">
      <c r="A70">
        <v>2015</v>
      </c>
      <c r="B70" t="s">
        <v>1438</v>
      </c>
      <c r="D70" s="1279">
        <f t="shared" ref="D70:U70" si="23">D60</f>
        <v>100</v>
      </c>
      <c r="E70" s="1278">
        <f t="shared" si="23"/>
        <v>96.717092114075044</v>
      </c>
      <c r="F70" s="1278">
        <f t="shared" si="23"/>
        <v>0.15681006331385197</v>
      </c>
      <c r="G70" s="1278">
        <f t="shared" si="23"/>
        <v>0.17148956739671212</v>
      </c>
      <c r="H70" s="1278">
        <f t="shared" si="23"/>
        <v>2.5736406425596869</v>
      </c>
      <c r="I70" s="1278">
        <f t="shared" si="23"/>
        <v>0.37584303621615495</v>
      </c>
      <c r="J70" s="1278">
        <f t="shared" si="23"/>
        <v>0</v>
      </c>
      <c r="K70" s="1278">
        <f t="shared" si="23"/>
        <v>0</v>
      </c>
      <c r="L70" s="1278">
        <f t="shared" si="23"/>
        <v>0</v>
      </c>
      <c r="M70" s="1278">
        <f t="shared" si="23"/>
        <v>0</v>
      </c>
      <c r="N70" s="1278">
        <f t="shared" si="23"/>
        <v>0</v>
      </c>
      <c r="O70" s="1278">
        <f t="shared" si="23"/>
        <v>4.1909425873272671E-7</v>
      </c>
      <c r="P70" s="1278">
        <f t="shared" si="23"/>
        <v>0</v>
      </c>
      <c r="Q70" s="1278">
        <f t="shared" si="23"/>
        <v>0</v>
      </c>
      <c r="R70" s="1278">
        <f t="shared" si="23"/>
        <v>0</v>
      </c>
      <c r="S70" s="1278">
        <f t="shared" si="23"/>
        <v>0</v>
      </c>
      <c r="T70" s="1278">
        <f t="shared" si="23"/>
        <v>9.2979833148184004E-4</v>
      </c>
      <c r="U70" s="1278">
        <f t="shared" si="23"/>
        <v>4.1125685772733884E-3</v>
      </c>
      <c r="V70" s="1283">
        <f>SUM(V60:X60)</f>
        <v>1.6358087106855792E-4</v>
      </c>
      <c r="Y70" s="1281">
        <f t="shared" si="18"/>
        <v>5.2063668740825186E-3</v>
      </c>
    </row>
    <row r="73" spans="1:26" x14ac:dyDescent="0.25">
      <c r="B73" t="s">
        <v>747</v>
      </c>
      <c r="C73" t="s">
        <v>749</v>
      </c>
      <c r="E73" t="s">
        <v>750</v>
      </c>
      <c r="F73" t="s">
        <v>762</v>
      </c>
      <c r="G73" t="s">
        <v>764</v>
      </c>
      <c r="H73" t="s">
        <v>698</v>
      </c>
      <c r="I73" t="s">
        <v>783</v>
      </c>
      <c r="J73" t="s">
        <v>1767</v>
      </c>
      <c r="K73" t="s">
        <v>1426</v>
      </c>
      <c r="L73" t="s">
        <v>795</v>
      </c>
      <c r="M73" t="s">
        <v>799</v>
      </c>
      <c r="N73" t="s">
        <v>801</v>
      </c>
      <c r="O73" t="s">
        <v>803</v>
      </c>
      <c r="P73" t="s">
        <v>805</v>
      </c>
      <c r="Q73" t="s">
        <v>807</v>
      </c>
      <c r="R73" t="s">
        <v>809</v>
      </c>
      <c r="S73" t="s">
        <v>811</v>
      </c>
      <c r="T73" t="s">
        <v>813</v>
      </c>
      <c r="U73" t="s">
        <v>814</v>
      </c>
      <c r="V73" t="s">
        <v>816</v>
      </c>
      <c r="X73" t="s">
        <v>818</v>
      </c>
      <c r="Y73" t="s">
        <v>1120</v>
      </c>
      <c r="Z73" t="s">
        <v>1766</v>
      </c>
    </row>
    <row r="74" spans="1:26" x14ac:dyDescent="0.25">
      <c r="A74">
        <v>2015</v>
      </c>
      <c r="B74" t="s">
        <v>1428</v>
      </c>
      <c r="D74" s="1279">
        <f>D63</f>
        <v>100</v>
      </c>
      <c r="E74" s="1278">
        <f t="shared" ref="E74:I75" si="24">E65</f>
        <v>29.885890237275859</v>
      </c>
      <c r="F74" s="1278">
        <f t="shared" si="24"/>
        <v>2.5357725049809816</v>
      </c>
      <c r="G74" s="1278">
        <f t="shared" si="24"/>
        <v>6.3213186017025897</v>
      </c>
      <c r="H74" s="1278">
        <f t="shared" si="24"/>
        <v>0.92374569824307196</v>
      </c>
      <c r="I74" s="1278">
        <f t="shared" si="24"/>
        <v>0.56149248324578882</v>
      </c>
      <c r="J74" s="1281">
        <f>SUM(J65:X65)</f>
        <v>59.771780474551711</v>
      </c>
      <c r="K74" s="1278"/>
      <c r="L74" s="1278"/>
      <c r="M74" s="1278"/>
      <c r="N74" s="1278"/>
      <c r="O74" s="1278"/>
      <c r="P74" s="1278"/>
      <c r="Q74" s="1278"/>
      <c r="R74" s="1278"/>
      <c r="S74" s="1278"/>
      <c r="T74" s="1278"/>
      <c r="U74" s="1278"/>
      <c r="V74" s="1278"/>
    </row>
    <row r="75" spans="1:26" x14ac:dyDescent="0.25">
      <c r="A75" s="232">
        <v>2016</v>
      </c>
      <c r="B75" t="s">
        <v>1761</v>
      </c>
      <c r="D75" s="1279">
        <f>D64</f>
        <v>0</v>
      </c>
      <c r="E75" s="1278">
        <f t="shared" si="24"/>
        <v>47.048829495499049</v>
      </c>
      <c r="F75" s="1278">
        <f t="shared" si="24"/>
        <v>2.8313964998685126</v>
      </c>
      <c r="G75" s="1278">
        <f t="shared" si="24"/>
        <v>4.5101214710602138</v>
      </c>
      <c r="H75" s="1278">
        <f t="shared" si="24"/>
        <v>0.37218521190045678</v>
      </c>
      <c r="I75" s="1278">
        <f t="shared" si="24"/>
        <v>1.3442676133142368E-2</v>
      </c>
      <c r="J75" s="1281">
        <f>SUM(J66:X66)</f>
        <v>45.210581969405467</v>
      </c>
      <c r="K75" s="1278"/>
      <c r="L75" s="1278"/>
      <c r="M75" s="1278"/>
      <c r="N75" s="1278"/>
      <c r="O75" s="1278"/>
      <c r="P75" s="1278"/>
      <c r="Q75" s="1278"/>
      <c r="R75" s="1278"/>
      <c r="S75" s="1278"/>
      <c r="T75" s="1278"/>
      <c r="U75" s="1278"/>
      <c r="V75" s="1278"/>
      <c r="W75" s="1278"/>
      <c r="X75" s="1278"/>
    </row>
    <row r="76" spans="1:26" x14ac:dyDescent="0.25">
      <c r="A76">
        <v>2015</v>
      </c>
      <c r="B76" t="s">
        <v>1439</v>
      </c>
      <c r="D76" s="1279">
        <f>D65</f>
        <v>100</v>
      </c>
      <c r="E76" s="1278">
        <f>E69</f>
        <v>33.67983466625045</v>
      </c>
      <c r="F76" s="1278">
        <f>F69</f>
        <v>0.16132921610121953</v>
      </c>
      <c r="G76" s="1278">
        <f>G69</f>
        <v>3.629478266785422</v>
      </c>
      <c r="H76" s="1278">
        <f>H69</f>
        <v>54.53226324561281</v>
      </c>
      <c r="I76" s="1278">
        <f>I69</f>
        <v>7.9636492566364279</v>
      </c>
      <c r="J76" s="1281">
        <f>SUM(J69:X69)</f>
        <v>3.3445348613668574E-2</v>
      </c>
      <c r="K76" s="1278"/>
      <c r="L76" s="1278"/>
      <c r="M76" s="1278"/>
      <c r="N76" s="1278"/>
      <c r="O76" s="1278"/>
      <c r="P76" s="1278"/>
      <c r="Q76" s="1278"/>
      <c r="R76" s="1278"/>
      <c r="S76" s="1278"/>
      <c r="T76" s="1278"/>
      <c r="U76" s="1278"/>
      <c r="V76" s="1278"/>
    </row>
    <row r="80" spans="1:26" x14ac:dyDescent="0.25">
      <c r="B80" t="s">
        <v>1738</v>
      </c>
      <c r="E80" t="s">
        <v>217</v>
      </c>
      <c r="F80" t="s">
        <v>696</v>
      </c>
      <c r="G80" t="s">
        <v>982</v>
      </c>
      <c r="H80" t="s">
        <v>698</v>
      </c>
      <c r="I80" t="s">
        <v>1765</v>
      </c>
      <c r="M80" t="s">
        <v>1748</v>
      </c>
      <c r="O80" t="s">
        <v>1751</v>
      </c>
      <c r="T80" t="s">
        <v>813</v>
      </c>
      <c r="U80" t="s">
        <v>1756</v>
      </c>
      <c r="V80" t="s">
        <v>1764</v>
      </c>
    </row>
    <row r="81" spans="2:26" x14ac:dyDescent="0.25">
      <c r="B81" t="s">
        <v>1763</v>
      </c>
      <c r="E81" s="1650" t="s">
        <v>1740</v>
      </c>
      <c r="F81" s="1650" t="s">
        <v>1742</v>
      </c>
      <c r="G81" s="1650" t="s">
        <v>1744</v>
      </c>
      <c r="H81" s="1650" t="s">
        <v>1746</v>
      </c>
      <c r="M81" s="1650" t="s">
        <v>1749</v>
      </c>
      <c r="O81" s="1650" t="s">
        <v>1752</v>
      </c>
      <c r="T81" s="1650" t="s">
        <v>1754</v>
      </c>
      <c r="U81" s="1650" t="s">
        <v>1757</v>
      </c>
      <c r="V81" s="1658" t="s">
        <v>1760</v>
      </c>
    </row>
    <row r="82" spans="2:26" x14ac:dyDescent="0.25">
      <c r="B82" t="s">
        <v>1739</v>
      </c>
      <c r="E82" s="1651" t="s">
        <v>1741</v>
      </c>
      <c r="F82" s="1651" t="s">
        <v>1743</v>
      </c>
      <c r="G82" s="1651" t="s">
        <v>1745</v>
      </c>
      <c r="H82" s="1651" t="s">
        <v>1747</v>
      </c>
      <c r="I82" s="1651"/>
      <c r="M82" s="1651" t="s">
        <v>1750</v>
      </c>
      <c r="O82" s="1651" t="s">
        <v>1753</v>
      </c>
      <c r="T82" s="1651" t="s">
        <v>1755</v>
      </c>
      <c r="U82" s="1651" t="s">
        <v>1758</v>
      </c>
      <c r="V82" s="1651"/>
    </row>
    <row r="85" spans="2:26" x14ac:dyDescent="0.25">
      <c r="V85" t="s">
        <v>1768</v>
      </c>
      <c r="X85" t="s">
        <v>1769</v>
      </c>
      <c r="Y85" t="s">
        <v>1739</v>
      </c>
    </row>
    <row r="86" spans="2:26" x14ac:dyDescent="0.25">
      <c r="B86" t="s">
        <v>1738</v>
      </c>
      <c r="E86" t="s">
        <v>1763</v>
      </c>
      <c r="J86" t="s">
        <v>1739</v>
      </c>
      <c r="M86" t="s">
        <v>747</v>
      </c>
      <c r="Q86">
        <v>2015</v>
      </c>
      <c r="U86" t="s">
        <v>747</v>
      </c>
      <c r="V86">
        <v>2015</v>
      </c>
      <c r="W86" t="s">
        <v>1738</v>
      </c>
      <c r="X86">
        <v>2015</v>
      </c>
      <c r="Y86">
        <v>2015</v>
      </c>
    </row>
    <row r="87" spans="2:26" x14ac:dyDescent="0.25">
      <c r="M87" t="s">
        <v>749</v>
      </c>
      <c r="Q87" s="1672">
        <v>8.1711620671619283</v>
      </c>
      <c r="S87" s="1435">
        <f>+Q87*1000</f>
        <v>8171.1620671619285</v>
      </c>
      <c r="U87" t="s">
        <v>749</v>
      </c>
      <c r="V87" s="1672">
        <v>0.3609776483940822</v>
      </c>
      <c r="W87" t="s">
        <v>1764</v>
      </c>
      <c r="X87" s="1672">
        <f>+V87*1000</f>
        <v>360.97764839408222</v>
      </c>
      <c r="Y87" s="1664">
        <f>+Z87/100</f>
        <v>1</v>
      </c>
      <c r="Z87" s="1279">
        <v>100</v>
      </c>
    </row>
    <row r="88" spans="2:26" x14ac:dyDescent="0.25">
      <c r="B88" t="s">
        <v>217</v>
      </c>
      <c r="E88" s="1650" t="s">
        <v>1740</v>
      </c>
      <c r="J88" s="1651" t="s">
        <v>1741</v>
      </c>
      <c r="M88" t="s">
        <v>750</v>
      </c>
      <c r="Q88" s="1663">
        <v>7.250702239785678</v>
      </c>
      <c r="S88" s="1428">
        <f t="shared" ref="S88:S104" si="25">+Q88*1000</f>
        <v>7250.7022397856781</v>
      </c>
      <c r="U88" t="s">
        <v>750</v>
      </c>
      <c r="V88" s="1663">
        <v>0.11839127368600147</v>
      </c>
      <c r="W88" t="s">
        <v>217</v>
      </c>
      <c r="X88" s="1663">
        <f t="shared" ref="X88:X92" si="26">+V88*1000</f>
        <v>118.39127368600147</v>
      </c>
      <c r="Y88" s="1664">
        <f t="shared" ref="Y88:Y99" si="27">+Z88/100</f>
        <v>0.9112274952483328</v>
      </c>
      <c r="Z88" s="1279">
        <v>91.122749524833281</v>
      </c>
    </row>
    <row r="89" spans="2:26" x14ac:dyDescent="0.25">
      <c r="B89" t="s">
        <v>696</v>
      </c>
      <c r="E89" s="1650" t="s">
        <v>1742</v>
      </c>
      <c r="J89" s="1651" t="s">
        <v>1743</v>
      </c>
      <c r="M89" t="s">
        <v>762</v>
      </c>
      <c r="Q89" s="1663">
        <v>128.43431961296284</v>
      </c>
      <c r="S89" s="1428">
        <f t="shared" si="25"/>
        <v>128434.31961296283</v>
      </c>
      <c r="U89" t="s">
        <v>762</v>
      </c>
      <c r="V89" s="1663">
        <v>6.2361214774365381</v>
      </c>
      <c r="W89" t="s">
        <v>696</v>
      </c>
      <c r="X89" s="1663">
        <f t="shared" si="26"/>
        <v>6236.121477436538</v>
      </c>
      <c r="Y89" s="1664">
        <f t="shared" si="27"/>
        <v>1.4678309250747287E-3</v>
      </c>
      <c r="Z89" s="1279">
        <v>0.14678309250747287</v>
      </c>
    </row>
    <row r="90" spans="2:26" x14ac:dyDescent="0.25">
      <c r="B90" t="s">
        <v>982</v>
      </c>
      <c r="E90" s="1650" t="s">
        <v>1744</v>
      </c>
      <c r="J90" s="1651" t="s">
        <v>1745</v>
      </c>
      <c r="M90" t="s">
        <v>764</v>
      </c>
      <c r="Q90" s="1663">
        <v>14.231389465909436</v>
      </c>
      <c r="S90" s="1428">
        <f t="shared" si="25"/>
        <v>14231.389465909435</v>
      </c>
      <c r="U90" t="s">
        <v>764</v>
      </c>
      <c r="V90" s="1663">
        <v>0.5229912022056733</v>
      </c>
      <c r="W90" t="s">
        <v>982</v>
      </c>
      <c r="X90" s="1663">
        <f t="shared" si="26"/>
        <v>522.99120220567329</v>
      </c>
      <c r="Y90" s="1664">
        <f t="shared" si="27"/>
        <v>4.3630843386443789E-2</v>
      </c>
      <c r="Z90" s="1279">
        <v>4.3630843386443789</v>
      </c>
    </row>
    <row r="91" spans="2:26" x14ac:dyDescent="0.25">
      <c r="B91" t="s">
        <v>698</v>
      </c>
      <c r="E91" s="1650" t="s">
        <v>1746</v>
      </c>
      <c r="J91" s="1651" t="s">
        <v>1747</v>
      </c>
      <c r="M91" t="s">
        <v>698</v>
      </c>
      <c r="Q91" s="1663">
        <v>0.13841486415466264</v>
      </c>
      <c r="S91" s="1428">
        <f t="shared" si="25"/>
        <v>138.41486415466264</v>
      </c>
      <c r="U91" t="s">
        <v>698</v>
      </c>
      <c r="V91" s="1663">
        <v>0.13841486415466264</v>
      </c>
      <c r="W91" t="s">
        <v>698</v>
      </c>
      <c r="X91" s="1663">
        <f t="shared" si="26"/>
        <v>138.41486415466264</v>
      </c>
      <c r="Y91" s="1664">
        <f t="shared" si="27"/>
        <v>2.4090732733251824E-2</v>
      </c>
      <c r="Z91" s="1279">
        <v>2.4090732733251823</v>
      </c>
    </row>
    <row r="92" spans="2:26" x14ac:dyDescent="0.25">
      <c r="J92" s="1651"/>
      <c r="M92" t="s">
        <v>783</v>
      </c>
      <c r="Q92" s="1663">
        <v>0.57612357503956391</v>
      </c>
      <c r="S92" s="1428">
        <f t="shared" si="25"/>
        <v>576.12357503956389</v>
      </c>
      <c r="U92" t="s">
        <v>783</v>
      </c>
      <c r="V92" s="1663">
        <v>0.57612357503956391</v>
      </c>
      <c r="W92" t="s">
        <v>783</v>
      </c>
      <c r="X92" s="1663">
        <f t="shared" si="26"/>
        <v>576.12357503956389</v>
      </c>
      <c r="Y92" s="1664">
        <f t="shared" si="27"/>
        <v>3.5181034933191098E-3</v>
      </c>
      <c r="Z92" s="1279">
        <v>0.35181034933191097</v>
      </c>
    </row>
    <row r="93" spans="2:26" x14ac:dyDescent="0.25">
      <c r="B93" t="s">
        <v>1748</v>
      </c>
      <c r="E93" s="1650" t="s">
        <v>1749</v>
      </c>
      <c r="J93" s="1651" t="s">
        <v>1750</v>
      </c>
      <c r="M93" t="s">
        <v>785</v>
      </c>
      <c r="Q93" s="1663" t="e">
        <v>#DIV/0!</v>
      </c>
      <c r="S93" s="1428" t="e">
        <f t="shared" si="25"/>
        <v>#DIV/0!</v>
      </c>
      <c r="U93" t="s">
        <v>799</v>
      </c>
      <c r="V93" s="1663">
        <v>6.2977542208448467</v>
      </c>
      <c r="W93" t="s">
        <v>1748</v>
      </c>
      <c r="X93" s="1663">
        <f>+V93*1000</f>
        <v>6297.7542208448467</v>
      </c>
      <c r="Y93" s="1664">
        <f t="shared" si="27"/>
        <v>1.0900995381980907E-3</v>
      </c>
      <c r="Z93" s="1279">
        <v>0.10900995381980906</v>
      </c>
    </row>
    <row r="94" spans="2:26" x14ac:dyDescent="0.25">
      <c r="B94" t="s">
        <v>1751</v>
      </c>
      <c r="E94" s="1650" t="s">
        <v>1752</v>
      </c>
      <c r="J94" s="1651" t="s">
        <v>1753</v>
      </c>
      <c r="M94" t="s">
        <v>1426</v>
      </c>
      <c r="Q94" s="1663" t="e">
        <v>#DIV/0!</v>
      </c>
      <c r="S94" s="1428" t="e">
        <f t="shared" si="25"/>
        <v>#DIV/0!</v>
      </c>
      <c r="U94" t="s">
        <v>803</v>
      </c>
      <c r="V94" s="1663">
        <v>2352.4604672819278</v>
      </c>
      <c r="W94" t="s">
        <v>803</v>
      </c>
      <c r="X94" s="1663">
        <f>+V94*1000</f>
        <v>2352460.4672819278</v>
      </c>
      <c r="Y94" s="1664">
        <f t="shared" si="27"/>
        <v>4.9750020187367147E-6</v>
      </c>
      <c r="Z94" s="1279">
        <v>4.9750020187367143E-4</v>
      </c>
    </row>
    <row r="95" spans="2:26" x14ac:dyDescent="0.25">
      <c r="B95" t="s">
        <v>813</v>
      </c>
      <c r="E95" s="1650" t="s">
        <v>1754</v>
      </c>
      <c r="J95" s="1651" t="s">
        <v>1755</v>
      </c>
      <c r="M95" t="s">
        <v>795</v>
      </c>
      <c r="Q95" s="1663" t="e">
        <v>#DIV/0!</v>
      </c>
      <c r="S95" s="1428" t="e">
        <f t="shared" si="25"/>
        <v>#DIV/0!</v>
      </c>
      <c r="U95" t="s">
        <v>813</v>
      </c>
      <c r="V95" s="1663">
        <v>0.69931488619473814</v>
      </c>
      <c r="W95" t="s">
        <v>813</v>
      </c>
      <c r="X95" s="1663">
        <f>+V95*1000</f>
        <v>699.31488619473816</v>
      </c>
      <c r="Y95" s="1664">
        <f t="shared" si="27"/>
        <v>1.4678762494504258E-2</v>
      </c>
      <c r="Z95" s="1279">
        <v>1.4678762494504258</v>
      </c>
    </row>
    <row r="96" spans="2:26" x14ac:dyDescent="0.25">
      <c r="B96" t="s">
        <v>1756</v>
      </c>
      <c r="E96" s="1650" t="s">
        <v>1757</v>
      </c>
      <c r="J96" s="1651" t="s">
        <v>1758</v>
      </c>
      <c r="M96" t="s">
        <v>799</v>
      </c>
      <c r="Q96" s="1663" t="e">
        <v>#DIV/0!</v>
      </c>
      <c r="S96" s="1428" t="e">
        <f t="shared" si="25"/>
        <v>#DIV/0!</v>
      </c>
      <c r="U96" t="s">
        <v>814</v>
      </c>
      <c r="V96" s="1663">
        <v>33.876892988268331</v>
      </c>
      <c r="W96" t="s">
        <v>1756</v>
      </c>
      <c r="X96" s="1663">
        <f>+V96*1000</f>
        <v>33876.89298826833</v>
      </c>
      <c r="Y96" s="1664">
        <f t="shared" si="27"/>
        <v>2.8178109195045023E-4</v>
      </c>
      <c r="Z96" s="1279">
        <v>2.8178109195045022E-2</v>
      </c>
    </row>
    <row r="97" spans="2:26" x14ac:dyDescent="0.25">
      <c r="B97" t="s">
        <v>1764</v>
      </c>
      <c r="E97" s="1658" t="s">
        <v>1760</v>
      </c>
      <c r="L97" s="1651"/>
      <c r="M97" t="s">
        <v>801</v>
      </c>
      <c r="Q97" s="1663" t="e">
        <v>#DIV/0!</v>
      </c>
      <c r="S97" s="1428" t="e">
        <f t="shared" si="25"/>
        <v>#DIV/0!</v>
      </c>
      <c r="U97" t="s">
        <v>816</v>
      </c>
      <c r="V97" s="1663">
        <v>2133.8425285522994</v>
      </c>
      <c r="W97" t="s">
        <v>816</v>
      </c>
      <c r="X97" s="1663">
        <f>+V97*1000</f>
        <v>2133842.5285522994</v>
      </c>
      <c r="Y97" s="1664">
        <f t="shared" si="27"/>
        <v>9.3760869062487851E-6</v>
      </c>
      <c r="Z97" s="1279">
        <v>9.3760869062487851E-4</v>
      </c>
    </row>
    <row r="98" spans="2:26" x14ac:dyDescent="0.25">
      <c r="M98" t="s">
        <v>803</v>
      </c>
      <c r="Q98" s="1663" t="e">
        <v>#DIV/0!</v>
      </c>
      <c r="S98" s="1428" t="e">
        <f t="shared" si="25"/>
        <v>#DIV/0!</v>
      </c>
      <c r="Y98" s="1664"/>
    </row>
    <row r="99" spans="2:26" x14ac:dyDescent="0.25">
      <c r="M99" t="s">
        <v>805</v>
      </c>
      <c r="Q99" s="1663" t="e">
        <v>#DIV/0!</v>
      </c>
      <c r="S99" s="1428" t="e">
        <f t="shared" si="25"/>
        <v>#DIV/0!</v>
      </c>
      <c r="Y99" s="1664">
        <f t="shared" si="27"/>
        <v>1</v>
      </c>
      <c r="Z99" s="1279">
        <v>100</v>
      </c>
    </row>
    <row r="100" spans="2:26" x14ac:dyDescent="0.25">
      <c r="M100" t="s">
        <v>807</v>
      </c>
      <c r="Q100" s="1663" t="e">
        <v>#DIV/0!</v>
      </c>
      <c r="S100" s="1428" t="e">
        <f t="shared" si="25"/>
        <v>#DIV/0!</v>
      </c>
    </row>
    <row r="101" spans="2:26" x14ac:dyDescent="0.25">
      <c r="M101" t="s">
        <v>809</v>
      </c>
      <c r="Q101" s="1663" t="e">
        <v>#DIV/0!</v>
      </c>
      <c r="S101" s="1428" t="e">
        <f t="shared" si="25"/>
        <v>#DIV/0!</v>
      </c>
    </row>
    <row r="102" spans="2:26" x14ac:dyDescent="0.25">
      <c r="M102" t="s">
        <v>811</v>
      </c>
      <c r="Q102" s="1663" t="e">
        <v>#DIV/0!</v>
      </c>
      <c r="S102" s="1428" t="e">
        <f t="shared" si="25"/>
        <v>#DIV/0!</v>
      </c>
    </row>
    <row r="103" spans="2:26" x14ac:dyDescent="0.25">
      <c r="M103" t="s">
        <v>813</v>
      </c>
      <c r="Q103" s="1663">
        <v>1179.4277746977434</v>
      </c>
      <c r="S103" s="1428">
        <f t="shared" si="25"/>
        <v>1179427.7746977434</v>
      </c>
    </row>
    <row r="104" spans="2:26" ht="15.75" thickBot="1" x14ac:dyDescent="0.3">
      <c r="L104" s="1651"/>
      <c r="M104" t="s">
        <v>814</v>
      </c>
      <c r="Q104" s="1663">
        <v>1608.0921740522338</v>
      </c>
      <c r="S104" s="1428">
        <f t="shared" si="25"/>
        <v>1608092.1740522338</v>
      </c>
    </row>
    <row r="105" spans="2:26" ht="91.5" customHeight="1" thickBot="1" x14ac:dyDescent="0.3">
      <c r="L105" s="1651"/>
      <c r="T105" s="1657"/>
      <c r="U105" s="1657" t="s">
        <v>1738</v>
      </c>
      <c r="V105" s="1665" t="s">
        <v>1770</v>
      </c>
      <c r="W105" s="1666" t="s">
        <v>1739</v>
      </c>
      <c r="X105" s="1657"/>
    </row>
    <row r="106" spans="2:26" x14ac:dyDescent="0.25">
      <c r="L106" s="1651"/>
      <c r="T106" s="1649"/>
      <c r="U106" s="1649" t="s">
        <v>217</v>
      </c>
      <c r="V106" s="1670">
        <v>118.39127368600147</v>
      </c>
      <c r="W106" s="1667">
        <v>0.9112274952483328</v>
      </c>
      <c r="X106" s="1649"/>
    </row>
    <row r="107" spans="2:26" x14ac:dyDescent="0.25">
      <c r="L107" s="1651"/>
      <c r="T107" s="1649"/>
      <c r="U107" s="1649" t="s">
        <v>982</v>
      </c>
      <c r="V107" s="1670">
        <v>522.99120220567329</v>
      </c>
      <c r="W107" s="1667">
        <v>4.3630843386443789E-2</v>
      </c>
      <c r="X107" s="1649"/>
    </row>
    <row r="108" spans="2:26" x14ac:dyDescent="0.25">
      <c r="L108" s="1651"/>
      <c r="T108" s="1649"/>
      <c r="U108" s="1649" t="s">
        <v>698</v>
      </c>
      <c r="V108" s="1670">
        <v>138.41486415466264</v>
      </c>
      <c r="W108" s="1667">
        <v>2.4090732733251824E-2</v>
      </c>
      <c r="X108" s="1649"/>
    </row>
    <row r="109" spans="2:26" x14ac:dyDescent="0.25">
      <c r="L109" s="1651"/>
      <c r="T109" s="1649"/>
      <c r="U109" s="1649" t="s">
        <v>783</v>
      </c>
      <c r="V109" s="1670">
        <v>576.12357503956389</v>
      </c>
      <c r="W109" s="1667">
        <v>3.5181034933191098E-3</v>
      </c>
      <c r="X109" s="1649"/>
    </row>
    <row r="110" spans="2:26" ht="15.75" thickBot="1" x14ac:dyDescent="0.3">
      <c r="L110" s="1651"/>
      <c r="U110" s="700" t="s">
        <v>813</v>
      </c>
      <c r="V110" s="1670">
        <v>699.31488619473816</v>
      </c>
      <c r="W110" s="1667">
        <v>1.4678762494504258E-2</v>
      </c>
    </row>
    <row r="111" spans="2:26" ht="16.5" thickBot="1" x14ac:dyDescent="0.3">
      <c r="L111" s="1651"/>
      <c r="T111" s="1657"/>
      <c r="U111" s="1657" t="s">
        <v>1759</v>
      </c>
      <c r="V111" s="1676" t="s">
        <v>1522</v>
      </c>
      <c r="W111" s="1657"/>
      <c r="X111" s="1657"/>
    </row>
    <row r="112" spans="2:26" x14ac:dyDescent="0.25">
      <c r="L112" s="1651"/>
    </row>
    <row r="113" spans="12:24" ht="15.75" thickBot="1" x14ac:dyDescent="0.3">
      <c r="L113" s="1651"/>
    </row>
    <row r="114" spans="12:24" ht="64.5" thickBot="1" x14ac:dyDescent="0.3">
      <c r="L114" s="1651"/>
      <c r="T114" s="1657"/>
      <c r="U114" s="1657" t="s">
        <v>1738</v>
      </c>
      <c r="V114" s="1665" t="s">
        <v>1770</v>
      </c>
      <c r="W114" s="1666" t="s">
        <v>1739</v>
      </c>
      <c r="X114" s="1657"/>
    </row>
    <row r="115" spans="12:24" x14ac:dyDescent="0.25">
      <c r="L115" s="1651"/>
      <c r="T115" s="1649"/>
      <c r="U115" s="1649" t="s">
        <v>696</v>
      </c>
      <c r="V115" s="1670">
        <v>6236.121477436538</v>
      </c>
      <c r="W115" s="1667">
        <v>1.4678309250747287E-3</v>
      </c>
      <c r="X115" s="1649"/>
    </row>
    <row r="116" spans="12:24" x14ac:dyDescent="0.25">
      <c r="L116" s="1651"/>
      <c r="T116" s="1649"/>
      <c r="U116" s="1649" t="s">
        <v>1748</v>
      </c>
      <c r="V116" s="1670">
        <v>6297.7542208448467</v>
      </c>
      <c r="W116" s="1667">
        <v>1.0900995381980907E-3</v>
      </c>
      <c r="X116" s="1649"/>
    </row>
    <row r="117" spans="12:24" x14ac:dyDescent="0.25">
      <c r="L117" s="1651"/>
      <c r="T117" s="1649"/>
      <c r="U117" s="1649" t="s">
        <v>803</v>
      </c>
      <c r="V117" s="1670">
        <v>2352460.4672819278</v>
      </c>
      <c r="W117" s="1669">
        <v>4.9750020187367147E-6</v>
      </c>
      <c r="X117" s="1649"/>
    </row>
    <row r="118" spans="12:24" x14ac:dyDescent="0.25">
      <c r="L118" s="1651"/>
      <c r="U118" s="700" t="s">
        <v>1756</v>
      </c>
      <c r="V118" s="1670">
        <v>33876.89298826833</v>
      </c>
      <c r="W118" s="1667">
        <v>2.8178109195045023E-4</v>
      </c>
    </row>
    <row r="119" spans="12:24" ht="15.75" thickBot="1" x14ac:dyDescent="0.3">
      <c r="L119" s="1651"/>
      <c r="T119" s="1649"/>
      <c r="U119" s="1649" t="s">
        <v>816</v>
      </c>
      <c r="V119" s="1670">
        <v>2133842.5285522994</v>
      </c>
      <c r="W119" s="1668">
        <v>9.3760869062487851E-6</v>
      </c>
      <c r="X119" s="1649"/>
    </row>
    <row r="120" spans="12:24" ht="16.5" thickBot="1" x14ac:dyDescent="0.3">
      <c r="L120" s="1651"/>
      <c r="T120" s="1657"/>
      <c r="U120" s="1657" t="s">
        <v>1759</v>
      </c>
      <c r="V120" s="1676" t="s">
        <v>1522</v>
      </c>
      <c r="W120" s="1657"/>
      <c r="X120" s="1657"/>
    </row>
    <row r="121" spans="12:24" x14ac:dyDescent="0.25">
      <c r="L121" s="1651"/>
      <c r="U121" s="700" t="s">
        <v>1764</v>
      </c>
    </row>
    <row r="122" spans="12:24" x14ac:dyDescent="0.25">
      <c r="L122" s="1651"/>
      <c r="U122" s="700"/>
      <c r="V122" s="1670"/>
      <c r="W122" s="1667"/>
    </row>
    <row r="123" spans="12:24" ht="15.75" thickBot="1" x14ac:dyDescent="0.3">
      <c r="L123" s="1651"/>
      <c r="T123" t="s">
        <v>1774</v>
      </c>
    </row>
    <row r="124" spans="12:24" ht="64.5" thickBot="1" x14ac:dyDescent="0.3">
      <c r="L124" s="1651"/>
      <c r="T124" s="1657"/>
      <c r="U124" s="1657" t="s">
        <v>1738</v>
      </c>
      <c r="V124" s="1665" t="s">
        <v>1770</v>
      </c>
      <c r="W124" s="1666" t="s">
        <v>1739</v>
      </c>
      <c r="X124" s="1657"/>
    </row>
    <row r="125" spans="12:24" x14ac:dyDescent="0.25">
      <c r="L125" s="1651"/>
      <c r="T125" s="1649"/>
      <c r="U125" s="1649" t="s">
        <v>217</v>
      </c>
      <c r="V125" s="1670">
        <v>118.39127368600147</v>
      </c>
      <c r="W125" s="1667">
        <v>0.9112274952483328</v>
      </c>
      <c r="X125" s="1649"/>
    </row>
    <row r="126" spans="12:24" x14ac:dyDescent="0.25">
      <c r="T126" s="1649"/>
      <c r="U126" s="1649" t="s">
        <v>696</v>
      </c>
      <c r="V126" s="1670">
        <v>6236.121477436538</v>
      </c>
      <c r="W126" s="1667">
        <v>1.4678309250747287E-3</v>
      </c>
      <c r="X126" s="1649"/>
    </row>
    <row r="127" spans="12:24" x14ac:dyDescent="0.25">
      <c r="T127" s="1649"/>
      <c r="U127" s="1649" t="s">
        <v>982</v>
      </c>
      <c r="V127" s="1670">
        <v>522.99120220567329</v>
      </c>
      <c r="W127" s="1667">
        <v>4.3630843386443789E-2</v>
      </c>
      <c r="X127" s="1649"/>
    </row>
    <row r="128" spans="12:24" x14ac:dyDescent="0.25">
      <c r="T128" s="1649"/>
      <c r="U128" s="1649" t="s">
        <v>698</v>
      </c>
      <c r="V128" s="1670">
        <v>138.41486415466264</v>
      </c>
      <c r="W128" s="1667">
        <v>2.4090732733251824E-2</v>
      </c>
      <c r="X128" s="1649"/>
    </row>
    <row r="129" spans="20:25" x14ac:dyDescent="0.25">
      <c r="T129" s="1649"/>
      <c r="U129" s="1649" t="s">
        <v>783</v>
      </c>
      <c r="V129" s="1670">
        <v>576.12357503956389</v>
      </c>
      <c r="W129" s="1667">
        <v>3.5181034933191098E-3</v>
      </c>
      <c r="X129" s="1649"/>
    </row>
    <row r="130" spans="20:25" x14ac:dyDescent="0.25">
      <c r="T130" s="1649"/>
      <c r="U130" s="1649" t="s">
        <v>1748</v>
      </c>
      <c r="V130" s="1670">
        <v>6297.7542208448467</v>
      </c>
      <c r="W130" s="1667">
        <v>1.0900995381980907E-3</v>
      </c>
      <c r="X130" s="1649"/>
    </row>
    <row r="131" spans="20:25" x14ac:dyDescent="0.25">
      <c r="T131" s="1649"/>
      <c r="U131" s="1649" t="s">
        <v>803</v>
      </c>
      <c r="V131" s="1670">
        <v>2352460.4672819278</v>
      </c>
      <c r="W131" s="1669">
        <v>4.9750020187367147E-6</v>
      </c>
      <c r="X131" s="1649"/>
    </row>
    <row r="132" spans="20:25" x14ac:dyDescent="0.25">
      <c r="U132" s="700" t="s">
        <v>813</v>
      </c>
      <c r="V132" s="1670">
        <v>699.31488619473816</v>
      </c>
      <c r="W132" s="1667">
        <v>1.4678762494504258E-2</v>
      </c>
    </row>
    <row r="133" spans="20:25" x14ac:dyDescent="0.25">
      <c r="U133" s="700" t="s">
        <v>1756</v>
      </c>
      <c r="V133" s="1670">
        <v>33876.89298826833</v>
      </c>
      <c r="W133" s="1667">
        <v>2.8178109195045023E-4</v>
      </c>
    </row>
    <row r="134" spans="20:25" ht="15.75" thickBot="1" x14ac:dyDescent="0.3">
      <c r="T134" s="1649"/>
      <c r="U134" s="1649" t="s">
        <v>816</v>
      </c>
      <c r="V134" s="1670">
        <v>2133842.5285522994</v>
      </c>
      <c r="W134" s="1668">
        <v>9.3760869062487851E-6</v>
      </c>
      <c r="X134" s="1649"/>
    </row>
    <row r="135" spans="20:25" ht="16.5" thickBot="1" x14ac:dyDescent="0.3">
      <c r="T135" s="1657"/>
      <c r="U135" s="1657" t="s">
        <v>1775</v>
      </c>
      <c r="V135" s="1677">
        <f>C50*1000</f>
        <v>203.60159338872882</v>
      </c>
      <c r="W135" s="1657"/>
      <c r="X135" s="1657"/>
    </row>
    <row r="136" spans="20:25" x14ac:dyDescent="0.25">
      <c r="U136" t="s">
        <v>1764</v>
      </c>
    </row>
    <row r="138" spans="20:25" ht="15.75" thickBot="1" x14ac:dyDescent="0.3">
      <c r="T138" t="s">
        <v>1773</v>
      </c>
    </row>
    <row r="139" spans="20:25" ht="64.5" thickBot="1" x14ac:dyDescent="0.3">
      <c r="T139" s="1657"/>
      <c r="U139" s="1657" t="s">
        <v>1738</v>
      </c>
      <c r="V139" s="1665" t="s">
        <v>1770</v>
      </c>
      <c r="W139" s="1666" t="s">
        <v>1739</v>
      </c>
      <c r="X139" s="1657"/>
    </row>
    <row r="140" spans="20:25" x14ac:dyDescent="0.25">
      <c r="T140" s="1649"/>
      <c r="U140" s="1649" t="s">
        <v>217</v>
      </c>
      <c r="V140" s="1670">
        <v>7250.7022397856781</v>
      </c>
      <c r="W140" s="1667">
        <v>0.33679834666250402</v>
      </c>
      <c r="X140" s="1649"/>
      <c r="Y140" s="1675">
        <v>0.33679834666250402</v>
      </c>
    </row>
    <row r="141" spans="20:25" x14ac:dyDescent="0.25">
      <c r="T141" s="1649"/>
      <c r="U141" s="1649" t="s">
        <v>696</v>
      </c>
      <c r="V141" s="1670">
        <v>128434.31961296283</v>
      </c>
      <c r="W141" s="1667">
        <v>1.6132921610122E-3</v>
      </c>
      <c r="X141" s="1649"/>
      <c r="Y141" s="1675">
        <v>1.6132921610122E-3</v>
      </c>
    </row>
    <row r="142" spans="20:25" x14ac:dyDescent="0.25">
      <c r="T142" s="1649"/>
      <c r="U142" s="1649" t="s">
        <v>982</v>
      </c>
      <c r="V142" s="1670">
        <v>14231.389465909435</v>
      </c>
      <c r="W142" s="1667">
        <v>3.62947826678542E-2</v>
      </c>
      <c r="X142" s="1649"/>
      <c r="Y142" s="1675">
        <v>3.62947826678542E-2</v>
      </c>
    </row>
    <row r="143" spans="20:25" x14ac:dyDescent="0.25">
      <c r="T143" s="1649"/>
      <c r="U143" s="1649" t="s">
        <v>698</v>
      </c>
      <c r="V143" s="1670">
        <v>138.41486415466264</v>
      </c>
      <c r="W143" s="1667">
        <v>0.545322632456128</v>
      </c>
      <c r="X143" s="1649"/>
      <c r="Y143" s="1675">
        <v>0.545322632456128</v>
      </c>
    </row>
    <row r="144" spans="20:25" x14ac:dyDescent="0.25">
      <c r="T144" s="1649"/>
      <c r="U144" s="1649" t="s">
        <v>783</v>
      </c>
      <c r="V144" s="1670">
        <v>576.12357503956389</v>
      </c>
      <c r="W144" s="1667">
        <v>7.9636492566364306E-2</v>
      </c>
      <c r="X144" s="1649"/>
      <c r="Y144" s="1675">
        <v>7.9636492566364306E-2</v>
      </c>
    </row>
    <row r="145" spans="20:25" x14ac:dyDescent="0.25">
      <c r="U145" s="700" t="s">
        <v>813</v>
      </c>
      <c r="V145" s="1670">
        <v>1179427.7746977434</v>
      </c>
      <c r="W145" s="1667">
        <v>1.9701277070007E-4</v>
      </c>
      <c r="Y145" s="1675">
        <v>1.9701277070007E-4</v>
      </c>
    </row>
    <row r="146" spans="20:25" ht="15.75" thickBot="1" x14ac:dyDescent="0.3">
      <c r="U146" s="700" t="s">
        <v>1756</v>
      </c>
      <c r="V146" s="1670">
        <v>1608092.1740522338</v>
      </c>
      <c r="W146" s="1667">
        <v>1.3437175661349201E-4</v>
      </c>
      <c r="Y146" s="1675">
        <v>1.3437175661349201E-4</v>
      </c>
    </row>
    <row r="147" spans="20:25" ht="16.5" thickBot="1" x14ac:dyDescent="0.3">
      <c r="T147" s="1657"/>
      <c r="U147" s="1657" t="s">
        <v>1775</v>
      </c>
      <c r="V147" s="1677">
        <f>C49*1000</f>
        <v>3735.5689824230749</v>
      </c>
      <c r="W147" s="1657"/>
      <c r="X147" s="1657"/>
    </row>
    <row r="148" spans="20:25" x14ac:dyDescent="0.25">
      <c r="U148" t="s">
        <v>1764</v>
      </c>
    </row>
    <row r="153" spans="20:25" x14ac:dyDescent="0.25">
      <c r="U153" s="187" t="s">
        <v>1772</v>
      </c>
    </row>
    <row r="154" spans="20:25" ht="15.75" thickBot="1" x14ac:dyDescent="0.3"/>
    <row r="155" spans="20:25" ht="64.5" thickBot="1" x14ac:dyDescent="0.3">
      <c r="U155" s="1657" t="s">
        <v>1738</v>
      </c>
      <c r="V155" s="1665" t="s">
        <v>1770</v>
      </c>
      <c r="W155" s="1666" t="s">
        <v>1739</v>
      </c>
    </row>
    <row r="156" spans="20:25" x14ac:dyDescent="0.25">
      <c r="U156" s="1649" t="s">
        <v>217</v>
      </c>
      <c r="V156" s="1650" t="s">
        <v>1740</v>
      </c>
      <c r="W156" s="1651" t="s">
        <v>1741</v>
      </c>
    </row>
    <row r="157" spans="20:25" x14ac:dyDescent="0.25">
      <c r="U157" s="1649" t="s">
        <v>696</v>
      </c>
      <c r="V157" s="1650" t="s">
        <v>1742</v>
      </c>
      <c r="W157" s="1651" t="s">
        <v>1743</v>
      </c>
    </row>
    <row r="158" spans="20:25" x14ac:dyDescent="0.25">
      <c r="U158" s="1649" t="s">
        <v>982</v>
      </c>
      <c r="V158" s="1650" t="s">
        <v>1744</v>
      </c>
      <c r="W158" s="1651" t="s">
        <v>1745</v>
      </c>
    </row>
    <row r="159" spans="20:25" x14ac:dyDescent="0.25">
      <c r="U159" s="1649" t="s">
        <v>698</v>
      </c>
      <c r="V159" s="1650" t="s">
        <v>1746</v>
      </c>
      <c r="W159" s="1651" t="s">
        <v>1747</v>
      </c>
    </row>
    <row r="160" spans="20:25" x14ac:dyDescent="0.25">
      <c r="U160" s="1649" t="s">
        <v>1748</v>
      </c>
      <c r="V160" s="1650" t="s">
        <v>1749</v>
      </c>
      <c r="W160" s="1651" t="s">
        <v>1750</v>
      </c>
    </row>
    <row r="161" spans="21:23" x14ac:dyDescent="0.25">
      <c r="U161" s="1649" t="s">
        <v>1751</v>
      </c>
      <c r="V161" s="1650" t="s">
        <v>1752</v>
      </c>
      <c r="W161" s="1651" t="s">
        <v>1753</v>
      </c>
    </row>
    <row r="162" spans="21:23" x14ac:dyDescent="0.25">
      <c r="U162" s="1649" t="s">
        <v>813</v>
      </c>
      <c r="V162" s="1650" t="s">
        <v>1754</v>
      </c>
      <c r="W162" s="1651" t="s">
        <v>1755</v>
      </c>
    </row>
    <row r="165" spans="21:23" ht="15.75" thickBot="1" x14ac:dyDescent="0.3">
      <c r="U165" s="1652" t="s">
        <v>1756</v>
      </c>
      <c r="V165" s="1653" t="s">
        <v>1757</v>
      </c>
      <c r="W165" s="1654" t="s">
        <v>1758</v>
      </c>
    </row>
    <row r="166" spans="21:23" ht="16.5" thickBot="1" x14ac:dyDescent="0.3">
      <c r="U166" s="1655" t="s">
        <v>1759</v>
      </c>
      <c r="V166" s="1656" t="s">
        <v>1771</v>
      </c>
      <c r="W166" s="1657"/>
    </row>
  </sheetData>
  <mergeCells count="3">
    <mergeCell ref="A3:A5"/>
    <mergeCell ref="A12:A13"/>
    <mergeCell ref="A14:A15"/>
  </mergeCells>
  <conditionalFormatting sqref="C41:C45 H41:J45">
    <cfRule type="cellIs" dxfId="29" priority="32" operator="lessThan">
      <formula>0</formula>
    </cfRule>
  </conditionalFormatting>
  <conditionalFormatting sqref="K41:K45">
    <cfRule type="cellIs" dxfId="28" priority="30" operator="lessThan">
      <formula>0</formula>
    </cfRule>
  </conditionalFormatting>
  <conditionalFormatting sqref="G41:G45">
    <cfRule type="cellIs" dxfId="27" priority="29" operator="lessThan">
      <formula>0</formula>
    </cfRule>
  </conditionalFormatting>
  <conditionalFormatting sqref="X41:X45">
    <cfRule type="cellIs" dxfId="26" priority="27" operator="lessThan">
      <formula>0</formula>
    </cfRule>
  </conditionalFormatting>
  <conditionalFormatting sqref="E41:E45">
    <cfRule type="cellIs" dxfId="25" priority="26" operator="lessThan">
      <formula>0</formula>
    </cfRule>
  </conditionalFormatting>
  <conditionalFormatting sqref="F41:F45">
    <cfRule type="cellIs" dxfId="24" priority="25" operator="lessThan">
      <formula>0</formula>
    </cfRule>
  </conditionalFormatting>
  <conditionalFormatting sqref="L41:L45">
    <cfRule type="cellIs" dxfId="23" priority="24" operator="lessThan">
      <formula>0</formula>
    </cfRule>
  </conditionalFormatting>
  <conditionalFormatting sqref="M41:V45">
    <cfRule type="cellIs" dxfId="22" priority="23" operator="lessThan">
      <formula>0</formula>
    </cfRule>
  </conditionalFormatting>
  <conditionalFormatting sqref="D41:D45">
    <cfRule type="cellIs" dxfId="21" priority="22" operator="lessThan">
      <formula>0</formula>
    </cfRule>
  </conditionalFormatting>
  <conditionalFormatting sqref="H49:J49">
    <cfRule type="cellIs" dxfId="20" priority="21" operator="lessThan">
      <formula>0</formula>
    </cfRule>
  </conditionalFormatting>
  <conditionalFormatting sqref="K49">
    <cfRule type="cellIs" dxfId="19" priority="20" operator="lessThan">
      <formula>0</formula>
    </cfRule>
  </conditionalFormatting>
  <conditionalFormatting sqref="G49">
    <cfRule type="cellIs" dxfId="18" priority="19" operator="lessThan">
      <formula>0</formula>
    </cfRule>
  </conditionalFormatting>
  <conditionalFormatting sqref="X49">
    <cfRule type="cellIs" dxfId="17" priority="18" operator="lessThan">
      <formula>0</formula>
    </cfRule>
  </conditionalFormatting>
  <conditionalFormatting sqref="E49">
    <cfRule type="cellIs" dxfId="16" priority="17" operator="lessThan">
      <formula>0</formula>
    </cfRule>
  </conditionalFormatting>
  <conditionalFormatting sqref="F49">
    <cfRule type="cellIs" dxfId="15" priority="16" operator="lessThan">
      <formula>0</formula>
    </cfRule>
  </conditionalFormatting>
  <conditionalFormatting sqref="L49">
    <cfRule type="cellIs" dxfId="14" priority="15" operator="lessThan">
      <formula>0</formula>
    </cfRule>
  </conditionalFormatting>
  <conditionalFormatting sqref="M49:V49">
    <cfRule type="cellIs" dxfId="13" priority="14" operator="lessThan">
      <formula>0</formula>
    </cfRule>
  </conditionalFormatting>
  <conditionalFormatting sqref="D49">
    <cfRule type="cellIs" dxfId="12" priority="13" operator="lessThan">
      <formula>0</formula>
    </cfRule>
  </conditionalFormatting>
  <conditionalFormatting sqref="H50:J50">
    <cfRule type="cellIs" dxfId="11" priority="12" operator="lessThan">
      <formula>0</formula>
    </cfRule>
  </conditionalFormatting>
  <conditionalFormatting sqref="K50">
    <cfRule type="cellIs" dxfId="10" priority="11" operator="lessThan">
      <formula>0</formula>
    </cfRule>
  </conditionalFormatting>
  <conditionalFormatting sqref="G50">
    <cfRule type="cellIs" dxfId="9" priority="10" operator="lessThan">
      <formula>0</formula>
    </cfRule>
  </conditionalFormatting>
  <conditionalFormatting sqref="X50">
    <cfRule type="cellIs" dxfId="8" priority="9" operator="lessThan">
      <formula>0</formula>
    </cfRule>
  </conditionalFormatting>
  <conditionalFormatting sqref="E50">
    <cfRule type="cellIs" dxfId="7" priority="8" operator="lessThan">
      <formula>0</formula>
    </cfRule>
  </conditionalFormatting>
  <conditionalFormatting sqref="F50">
    <cfRule type="cellIs" dxfId="6" priority="7" operator="lessThan">
      <formula>0</formula>
    </cfRule>
  </conditionalFormatting>
  <conditionalFormatting sqref="L50">
    <cfRule type="cellIs" dxfId="5" priority="6" operator="lessThan">
      <formula>0</formula>
    </cfRule>
  </conditionalFormatting>
  <conditionalFormatting sqref="M50:V50">
    <cfRule type="cellIs" dxfId="4" priority="5" operator="lessThan">
      <formula>0</formula>
    </cfRule>
  </conditionalFormatting>
  <conditionalFormatting sqref="D50">
    <cfRule type="cellIs" dxfId="3" priority="4" operator="lessThan">
      <formula>0</formula>
    </cfRule>
  </conditionalFormatting>
  <conditionalFormatting sqref="C50">
    <cfRule type="cellIs" dxfId="2" priority="3" operator="lessThan">
      <formula>0</formula>
    </cfRule>
  </conditionalFormatting>
  <conditionalFormatting sqref="C49">
    <cfRule type="cellIs" dxfId="1" priority="2" operator="lessThan">
      <formula>0</formula>
    </cfRule>
  </conditionalFormatting>
  <conditionalFormatting sqref="C48">
    <cfRule type="cellIs" dxfId="0" priority="1" operator="lessThan">
      <formula>0</formula>
    </cfRule>
  </conditionalFormatting>
  <pageMargins left="0.51181102362204722" right="0.51181102362204722" top="0.74803149606299213" bottom="0.74803149606299213" header="0.31496062992125984" footer="0.31496062992125984"/>
  <pageSetup paperSize="9" scale="18" orientation="landscape" r:id="rId1"/>
  <headerFooter>
    <oddHeader>&amp;L&amp;F    &amp;&amp;&amp;A&amp;C
&amp;D&amp;RPage &amp;P of &amp;N</oddHeader>
  </headerFooter>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J31"/>
  <sheetViews>
    <sheetView view="pageBreakPreview" zoomScaleSheetLayoutView="100" workbookViewId="0">
      <pane xSplit="1" ySplit="6" topLeftCell="B7" activePane="bottomRight" state="frozen"/>
      <selection activeCell="Y26" sqref="Y26"/>
      <selection pane="topRight" activeCell="Y26" sqref="Y26"/>
      <selection pane="bottomLeft" activeCell="Y26" sqref="Y26"/>
      <selection pane="bottomRight" activeCell="I16" sqref="I16"/>
    </sheetView>
  </sheetViews>
  <sheetFormatPr defaultColWidth="11.42578125" defaultRowHeight="15" x14ac:dyDescent="0.25"/>
  <cols>
    <col min="1" max="1" width="54.5703125" customWidth="1"/>
    <col min="2" max="6" width="10.5703125" customWidth="1"/>
    <col min="7" max="8" width="13.42578125" customWidth="1"/>
  </cols>
  <sheetData>
    <row r="1" spans="1:10" x14ac:dyDescent="0.25">
      <c r="A1" s="698" t="s">
        <v>994</v>
      </c>
    </row>
    <row r="2" spans="1:10" ht="15" customHeight="1" x14ac:dyDescent="0.25">
      <c r="A2" s="699"/>
      <c r="B2" s="699" t="s">
        <v>3</v>
      </c>
      <c r="C2" s="699" t="s">
        <v>995</v>
      </c>
      <c r="D2" s="699" t="s">
        <v>996</v>
      </c>
      <c r="E2" s="699" t="s">
        <v>997</v>
      </c>
      <c r="F2" s="699" t="s">
        <v>998</v>
      </c>
      <c r="G2" s="699" t="s">
        <v>999</v>
      </c>
      <c r="H2" s="699" t="s">
        <v>1000</v>
      </c>
      <c r="I2" s="700"/>
      <c r="J2" s="700"/>
    </row>
    <row r="3" spans="1:10" x14ac:dyDescent="0.25">
      <c r="A3" s="699"/>
      <c r="B3" s="699"/>
      <c r="C3" s="699"/>
      <c r="D3" s="699"/>
      <c r="E3" s="699"/>
      <c r="F3" s="699"/>
      <c r="G3" s="699" t="s">
        <v>1001</v>
      </c>
      <c r="H3" s="699" t="s">
        <v>1002</v>
      </c>
      <c r="I3" s="700"/>
      <c r="J3" s="700"/>
    </row>
    <row r="4" spans="1:10" x14ac:dyDescent="0.25">
      <c r="A4" s="701"/>
      <c r="B4" s="701"/>
      <c r="C4" s="701"/>
      <c r="D4" s="701"/>
      <c r="E4" s="701"/>
      <c r="F4" s="701"/>
      <c r="G4" s="701" t="s">
        <v>1003</v>
      </c>
      <c r="H4" s="701" t="s">
        <v>1003</v>
      </c>
    </row>
    <row r="5" spans="1:10" x14ac:dyDescent="0.25">
      <c r="A5" t="s">
        <v>1004</v>
      </c>
      <c r="B5" s="702">
        <v>2830960.496669081</v>
      </c>
      <c r="C5" s="702">
        <v>1577009.3101237002</v>
      </c>
      <c r="D5" s="702">
        <v>1253951.1865454013</v>
      </c>
      <c r="E5" s="702">
        <v>493307.49553580116</v>
      </c>
      <c r="F5" s="702">
        <v>2337653.0011332929</v>
      </c>
      <c r="G5" s="702">
        <v>1620421.2636627005</v>
      </c>
      <c r="H5" s="702">
        <v>1210539.2330064017</v>
      </c>
    </row>
    <row r="6" spans="1:10" ht="3" customHeight="1" x14ac:dyDescent="0.25">
      <c r="A6" s="703"/>
      <c r="B6" s="704"/>
      <c r="C6" s="704"/>
      <c r="D6" s="704"/>
      <c r="E6" s="704"/>
      <c r="F6" s="704"/>
      <c r="G6" s="704"/>
      <c r="H6" s="704"/>
    </row>
    <row r="7" spans="1:10" ht="17.25" customHeight="1" x14ac:dyDescent="0.25">
      <c r="A7" t="s">
        <v>1005</v>
      </c>
      <c r="B7" s="702">
        <v>1323652.4729422017</v>
      </c>
      <c r="C7" s="702">
        <v>607524.2625040008</v>
      </c>
      <c r="D7" s="702">
        <v>716128.21043820097</v>
      </c>
      <c r="E7" s="702">
        <v>25653.085505200001</v>
      </c>
      <c r="F7" s="702">
        <v>1297999.3874370016</v>
      </c>
      <c r="G7" s="702">
        <v>1122190.1283926007</v>
      </c>
      <c r="H7" s="702">
        <v>201462.34454960001</v>
      </c>
    </row>
    <row r="8" spans="1:10" ht="17.25" customHeight="1" x14ac:dyDescent="0.25">
      <c r="A8" t="s">
        <v>1006</v>
      </c>
      <c r="B8" s="702">
        <v>79657.347889799988</v>
      </c>
      <c r="C8" s="702">
        <v>73622.312541799998</v>
      </c>
      <c r="D8" s="702">
        <v>6035.0353480000003</v>
      </c>
      <c r="E8" s="702">
        <v>7884.6479908000001</v>
      </c>
      <c r="F8" s="702">
        <v>71772.699898999999</v>
      </c>
      <c r="G8" s="702">
        <v>41995.973475500003</v>
      </c>
      <c r="H8" s="702">
        <v>37661.3744143</v>
      </c>
    </row>
    <row r="9" spans="1:10" ht="17.25" customHeight="1" x14ac:dyDescent="0.25">
      <c r="A9" t="s">
        <v>982</v>
      </c>
      <c r="B9" s="702">
        <v>126885.90773569998</v>
      </c>
      <c r="C9" s="702">
        <v>96725.1612265</v>
      </c>
      <c r="D9" s="702">
        <v>30160.746509199998</v>
      </c>
      <c r="E9" s="702">
        <v>37609.571763500004</v>
      </c>
      <c r="F9" s="702">
        <v>89276.335972199988</v>
      </c>
      <c r="G9" s="702">
        <v>61973.810249999995</v>
      </c>
      <c r="H9" s="702">
        <v>64912.097485700004</v>
      </c>
    </row>
    <row r="10" spans="1:10" ht="17.25" customHeight="1" x14ac:dyDescent="0.25">
      <c r="A10" t="s">
        <v>1007</v>
      </c>
      <c r="B10" s="702">
        <v>10470.906107700001</v>
      </c>
      <c r="C10" s="702">
        <v>4435.8707596999993</v>
      </c>
      <c r="D10" s="702">
        <v>6035.0353480000003</v>
      </c>
      <c r="E10" s="702">
        <v>4435.8707596999993</v>
      </c>
      <c r="F10" s="702">
        <v>6035.0353480000003</v>
      </c>
      <c r="G10" s="702">
        <v>0</v>
      </c>
      <c r="H10" s="702">
        <v>10470.906107700001</v>
      </c>
    </row>
    <row r="11" spans="1:10" ht="17.25" customHeight="1" x14ac:dyDescent="0.25">
      <c r="A11" t="s">
        <v>1008</v>
      </c>
      <c r="B11" s="702">
        <v>378.19073709999998</v>
      </c>
      <c r="C11" s="702">
        <v>378.19073709999998</v>
      </c>
      <c r="D11" s="702">
        <v>0</v>
      </c>
      <c r="E11" s="702">
        <v>378.19073709999998</v>
      </c>
      <c r="F11" s="702">
        <v>0</v>
      </c>
      <c r="G11" s="702">
        <v>0</v>
      </c>
      <c r="H11" s="702">
        <v>378.19073709999998</v>
      </c>
    </row>
    <row r="12" spans="1:10" ht="17.25" customHeight="1" x14ac:dyDescent="0.25">
      <c r="A12" t="s">
        <v>785</v>
      </c>
      <c r="B12" s="702">
        <v>211884.05119090009</v>
      </c>
      <c r="C12" s="702">
        <v>184838.27483900005</v>
      </c>
      <c r="D12" s="702">
        <v>27045.7763519</v>
      </c>
      <c r="E12" s="702">
        <v>59629.833870700008</v>
      </c>
      <c r="F12" s="702">
        <v>152254.21732020003</v>
      </c>
      <c r="G12" s="702">
        <v>81515.153311300004</v>
      </c>
      <c r="H12" s="702">
        <v>130368.89787960003</v>
      </c>
    </row>
    <row r="13" spans="1:10" ht="17.25" customHeight="1" x14ac:dyDescent="0.25">
      <c r="A13" t="s">
        <v>1009</v>
      </c>
      <c r="B13" s="702">
        <v>399017.41905550024</v>
      </c>
      <c r="C13" s="702">
        <v>214104.85138450004</v>
      </c>
      <c r="D13" s="702">
        <v>184912.56767100006</v>
      </c>
      <c r="E13" s="702">
        <v>99200.819561099968</v>
      </c>
      <c r="F13" s="702">
        <v>299816.59949440008</v>
      </c>
      <c r="G13" s="702">
        <v>180419.84403030004</v>
      </c>
      <c r="H13" s="702">
        <v>218597.57502520006</v>
      </c>
    </row>
    <row r="14" spans="1:10" ht="17.25" customHeight="1" x14ac:dyDescent="0.25">
      <c r="A14" t="s">
        <v>1010</v>
      </c>
      <c r="B14" s="702">
        <v>80305.588858200019</v>
      </c>
      <c r="C14" s="702">
        <v>72332.350939200012</v>
      </c>
      <c r="D14" s="702">
        <v>7973.2379190000001</v>
      </c>
      <c r="E14" s="702">
        <v>23855.330922999998</v>
      </c>
      <c r="F14" s="702">
        <v>56450.257935199996</v>
      </c>
      <c r="G14" s="702">
        <v>14119.836343999999</v>
      </c>
      <c r="H14" s="702">
        <v>66185.752514200009</v>
      </c>
    </row>
    <row r="15" spans="1:10" ht="17.25" customHeight="1" x14ac:dyDescent="0.25">
      <c r="A15" t="s">
        <v>1011</v>
      </c>
      <c r="B15" s="702">
        <v>48263.733630100003</v>
      </c>
      <c r="C15" s="702">
        <v>19838.314612800001</v>
      </c>
      <c r="D15" s="702">
        <v>28425.419017299999</v>
      </c>
      <c r="E15" s="702">
        <v>15122.038517000001</v>
      </c>
      <c r="F15" s="702">
        <v>33141.695113099995</v>
      </c>
      <c r="G15" s="702">
        <v>10484.912231</v>
      </c>
      <c r="H15" s="702">
        <v>37778.821399099994</v>
      </c>
    </row>
    <row r="16" spans="1:10" ht="17.25" customHeight="1" x14ac:dyDescent="0.25">
      <c r="A16" t="s">
        <v>1012</v>
      </c>
      <c r="B16" s="702">
        <v>4733.5697601000002</v>
      </c>
      <c r="C16" s="702">
        <v>3310.6742013000003</v>
      </c>
      <c r="D16" s="702">
        <v>1422.8955587999999</v>
      </c>
      <c r="E16" s="702">
        <v>1960.2286061</v>
      </c>
      <c r="F16" s="702">
        <v>2773.3411540000002</v>
      </c>
      <c r="G16" s="702">
        <v>0</v>
      </c>
      <c r="H16" s="702">
        <v>4733.5697601000002</v>
      </c>
    </row>
    <row r="17" spans="1:8" ht="17.25" customHeight="1" x14ac:dyDescent="0.25">
      <c r="A17" t="s">
        <v>1013</v>
      </c>
      <c r="B17" s="702">
        <v>10991.616577100001</v>
      </c>
      <c r="C17" s="702">
        <v>5165.1399370999998</v>
      </c>
      <c r="D17" s="702">
        <v>5826.476639999999</v>
      </c>
      <c r="E17" s="702">
        <v>10991.616577100001</v>
      </c>
      <c r="F17" s="702">
        <v>0</v>
      </c>
      <c r="G17" s="702">
        <v>0</v>
      </c>
      <c r="H17" s="702">
        <v>10991.616577100001</v>
      </c>
    </row>
    <row r="18" spans="1:8" ht="17.25" customHeight="1" x14ac:dyDescent="0.25">
      <c r="A18" t="s">
        <v>805</v>
      </c>
      <c r="B18" s="702"/>
      <c r="C18" s="702"/>
      <c r="D18" s="702"/>
      <c r="E18" s="702"/>
      <c r="F18" s="702"/>
      <c r="G18" s="702"/>
      <c r="H18" s="702"/>
    </row>
    <row r="19" spans="1:8" ht="17.25" customHeight="1" x14ac:dyDescent="0.25">
      <c r="A19" t="s">
        <v>807</v>
      </c>
      <c r="B19" s="702">
        <v>17601.509557999998</v>
      </c>
      <c r="C19" s="702">
        <v>17223.3188209</v>
      </c>
      <c r="D19" s="702">
        <v>378.19073709999998</v>
      </c>
      <c r="E19" s="702">
        <v>7602.4246809999995</v>
      </c>
      <c r="F19" s="702">
        <v>9999.0848769999993</v>
      </c>
      <c r="G19" s="702">
        <v>9999.0848769999993</v>
      </c>
      <c r="H19" s="702">
        <v>7602.4246809999995</v>
      </c>
    </row>
    <row r="20" spans="1:8" ht="17.25" customHeight="1" x14ac:dyDescent="0.25">
      <c r="A20" t="s">
        <v>809</v>
      </c>
      <c r="B20" s="702">
        <v>61223.403111700005</v>
      </c>
      <c r="C20" s="702">
        <v>43471.4627607</v>
      </c>
      <c r="D20" s="702">
        <v>17751.940350999997</v>
      </c>
      <c r="E20" s="702">
        <v>30401.408096500003</v>
      </c>
      <c r="F20" s="702">
        <v>30821.995015200002</v>
      </c>
      <c r="G20" s="702">
        <v>18670.151231999997</v>
      </c>
      <c r="H20" s="702">
        <v>42553.251879700001</v>
      </c>
    </row>
    <row r="21" spans="1:8" ht="17.25" customHeight="1" x14ac:dyDescent="0.25">
      <c r="A21" t="s">
        <v>1014</v>
      </c>
      <c r="B21" s="702">
        <v>59468.778164299991</v>
      </c>
      <c r="C21" s="702">
        <v>47467.222490599997</v>
      </c>
      <c r="D21" s="702">
        <v>12001.555673699999</v>
      </c>
      <c r="E21" s="702">
        <v>20023.2066853</v>
      </c>
      <c r="F21" s="702">
        <v>39445.571478999991</v>
      </c>
      <c r="G21" s="702">
        <v>0</v>
      </c>
      <c r="H21" s="702">
        <v>59468.778164299991</v>
      </c>
    </row>
    <row r="22" spans="1:8" ht="17.25" customHeight="1" x14ac:dyDescent="0.25">
      <c r="A22" t="s">
        <v>813</v>
      </c>
      <c r="B22" s="702">
        <v>66979.101864600001</v>
      </c>
      <c r="C22" s="702">
        <v>53463.167351700002</v>
      </c>
      <c r="D22" s="702">
        <v>13515.934512899999</v>
      </c>
      <c r="E22" s="702">
        <v>25932.900545600009</v>
      </c>
      <c r="F22" s="702">
        <v>41046.201319</v>
      </c>
      <c r="G22" s="702">
        <v>22467.135211000001</v>
      </c>
      <c r="H22" s="702">
        <v>44511.966653600008</v>
      </c>
    </row>
    <row r="23" spans="1:8" ht="17.25" customHeight="1" x14ac:dyDescent="0.25">
      <c r="A23" t="s">
        <v>814</v>
      </c>
      <c r="B23" s="702">
        <v>83392.981365799991</v>
      </c>
      <c r="C23" s="702">
        <v>38807.275149299996</v>
      </c>
      <c r="D23" s="702">
        <v>44585.706216499995</v>
      </c>
      <c r="E23" s="702">
        <v>12397.805202799998</v>
      </c>
      <c r="F23" s="702">
        <v>70995.176162999996</v>
      </c>
      <c r="G23" s="702">
        <v>24828.444983999998</v>
      </c>
      <c r="H23" s="702">
        <v>58564.536381799997</v>
      </c>
    </row>
    <row r="24" spans="1:8" ht="17.25" customHeight="1" x14ac:dyDescent="0.25">
      <c r="A24" t="s">
        <v>1015</v>
      </c>
      <c r="B24" s="702">
        <v>2490.5155221</v>
      </c>
      <c r="C24" s="702">
        <v>575.04081310000004</v>
      </c>
      <c r="D24" s="702">
        <v>1915.4747090000001</v>
      </c>
      <c r="E24" s="702">
        <v>575.04081310000004</v>
      </c>
      <c r="F24" s="702">
        <v>1915.4747090000001</v>
      </c>
      <c r="G24" s="702">
        <v>0</v>
      </c>
      <c r="H24" s="702">
        <v>2490.5155221</v>
      </c>
    </row>
    <row r="25" spans="1:8" ht="17.25" customHeight="1" x14ac:dyDescent="0.25">
      <c r="A25" t="s">
        <v>1016</v>
      </c>
      <c r="B25" s="702">
        <v>78732.1290439</v>
      </c>
      <c r="C25" s="702">
        <v>41139.058466400005</v>
      </c>
      <c r="D25" s="702">
        <v>37593.070577500002</v>
      </c>
      <c r="E25" s="702">
        <v>18948.536030899999</v>
      </c>
      <c r="F25" s="702">
        <v>59783.593012999998</v>
      </c>
      <c r="G25" s="702">
        <v>31756.789323999998</v>
      </c>
      <c r="H25" s="702">
        <v>46975.339719900003</v>
      </c>
    </row>
    <row r="26" spans="1:8" ht="17.25" customHeight="1" x14ac:dyDescent="0.25">
      <c r="A26" t="s">
        <v>1017</v>
      </c>
      <c r="B26" s="702">
        <v>164453.08281720005</v>
      </c>
      <c r="C26" s="702">
        <v>52209.169850900005</v>
      </c>
      <c r="D26" s="702">
        <v>112243.91296630001</v>
      </c>
      <c r="E26" s="702">
        <v>90326.747932199971</v>
      </c>
      <c r="F26" s="702">
        <v>74126.334885000004</v>
      </c>
      <c r="G26" s="702">
        <v>0</v>
      </c>
      <c r="H26" s="702">
        <v>164453.08281720005</v>
      </c>
    </row>
    <row r="27" spans="1:8" ht="17.25" customHeight="1" x14ac:dyDescent="0.25">
      <c r="A27" t="s">
        <v>1018</v>
      </c>
      <c r="B27" s="702">
        <v>378.19073709999998</v>
      </c>
      <c r="C27" s="702">
        <v>378.19073709999998</v>
      </c>
      <c r="D27" s="702">
        <v>0</v>
      </c>
      <c r="E27" s="702">
        <v>378.19073709999998</v>
      </c>
      <c r="F27" s="702">
        <v>0</v>
      </c>
      <c r="G27" s="702">
        <v>0</v>
      </c>
      <c r="H27" s="702">
        <v>378.19073709999998</v>
      </c>
    </row>
    <row r="28" spans="1:8" ht="6" customHeight="1" x14ac:dyDescent="0.25">
      <c r="A28" s="703"/>
      <c r="B28" s="705"/>
      <c r="C28" s="705"/>
      <c r="D28" s="705"/>
      <c r="E28" s="705"/>
      <c r="F28" s="705"/>
      <c r="G28" s="705"/>
      <c r="H28" s="705"/>
    </row>
    <row r="29" spans="1:8" x14ac:dyDescent="0.25">
      <c r="A29" t="s">
        <v>1019</v>
      </c>
      <c r="B29" s="179">
        <f>+B5-SUM(B7:B27)</f>
        <v>-2.1420419216156006E-8</v>
      </c>
      <c r="C29" s="179">
        <f t="shared" ref="C29:H29" si="0">+C5-SUM(C7:C27)</f>
        <v>0</v>
      </c>
      <c r="D29" s="179">
        <f t="shared" si="0"/>
        <v>0</v>
      </c>
      <c r="E29" s="179">
        <f t="shared" si="0"/>
        <v>1.1641532182693481E-9</v>
      </c>
      <c r="F29" s="179">
        <f t="shared" si="0"/>
        <v>-8.8475644588470459E-9</v>
      </c>
      <c r="G29" s="179">
        <f t="shared" si="0"/>
        <v>0</v>
      </c>
      <c r="H29" s="179">
        <f t="shared" si="0"/>
        <v>0</v>
      </c>
    </row>
    <row r="30" spans="1:8" ht="15.75" customHeight="1" x14ac:dyDescent="0.25">
      <c r="A30" s="706"/>
      <c r="B30" s="706"/>
      <c r="C30" s="706"/>
      <c r="D30" s="706"/>
      <c r="E30" s="706"/>
      <c r="F30" s="706"/>
      <c r="G30" s="706"/>
      <c r="H30" s="706"/>
    </row>
    <row r="31" spans="1:8" ht="15.75" customHeight="1" x14ac:dyDescent="0.25"/>
  </sheetData>
  <pageMargins left="0.51181102362204722" right="0.51181102362204722" top="0.74803149606299213" bottom="0.74803149606299213" header="0.31496062992125984" footer="0.31496062992125984"/>
  <pageSetup paperSize="9" orientation="landscape" r:id="rId1"/>
  <headerFooter>
    <oddHeader>&amp;L&amp;F    &amp;&amp;&amp;A&amp;C
&amp;D&amp;RPage &amp;P of &amp;N</oddHeader>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P28"/>
  <sheetViews>
    <sheetView view="pageBreakPreview" zoomScale="80" zoomScaleSheetLayoutView="80" workbookViewId="0">
      <pane xSplit="1" ySplit="5" topLeftCell="B6" activePane="bottomRight" state="frozen"/>
      <selection activeCell="Y26" sqref="Y26"/>
      <selection pane="topRight" activeCell="Y26" sqref="Y26"/>
      <selection pane="bottomLeft" activeCell="Y26" sqref="Y26"/>
      <selection pane="bottomRight" activeCell="Y26" sqref="Y26"/>
    </sheetView>
  </sheetViews>
  <sheetFormatPr defaultColWidth="11.42578125" defaultRowHeight="15" x14ac:dyDescent="0.25"/>
  <cols>
    <col min="1" max="1" width="54.140625" customWidth="1"/>
    <col min="2" max="3" width="12.42578125" bestFit="1" customWidth="1"/>
  </cols>
  <sheetData>
    <row r="1" spans="1:16" ht="15.75" x14ac:dyDescent="0.25">
      <c r="A1" s="707" t="s">
        <v>1020</v>
      </c>
    </row>
    <row r="2" spans="1:16" x14ac:dyDescent="0.25">
      <c r="A2" s="708"/>
      <c r="B2" s="1797" t="s">
        <v>1021</v>
      </c>
      <c r="C2" s="1797"/>
      <c r="D2" s="1797"/>
      <c r="E2" s="232"/>
      <c r="F2" s="232"/>
      <c r="G2" s="232"/>
      <c r="H2" s="709"/>
      <c r="I2" s="709"/>
      <c r="J2" s="710"/>
      <c r="K2" s="1797" t="s">
        <v>1022</v>
      </c>
      <c r="L2" s="1798"/>
      <c r="M2" s="1797" t="s">
        <v>1023</v>
      </c>
      <c r="N2" s="1798"/>
      <c r="O2" s="700"/>
      <c r="P2" s="700"/>
    </row>
    <row r="3" spans="1:16" x14ac:dyDescent="0.25">
      <c r="A3" s="708"/>
      <c r="B3" s="708" t="s">
        <v>1024</v>
      </c>
      <c r="C3" s="708" t="s">
        <v>1025</v>
      </c>
      <c r="D3" s="708" t="s">
        <v>1026</v>
      </c>
      <c r="E3" s="711" t="s">
        <v>1024</v>
      </c>
      <c r="F3" s="711" t="s">
        <v>1025</v>
      </c>
      <c r="G3" s="711" t="s">
        <v>1026</v>
      </c>
      <c r="H3" s="711" t="s">
        <v>1025</v>
      </c>
      <c r="I3" s="711" t="s">
        <v>1026</v>
      </c>
      <c r="J3" s="708"/>
      <c r="K3" s="708" t="s">
        <v>1025</v>
      </c>
      <c r="L3" s="708" t="s">
        <v>1026</v>
      </c>
      <c r="M3" s="708" t="s">
        <v>1025</v>
      </c>
      <c r="N3" s="708" t="s">
        <v>1026</v>
      </c>
      <c r="O3" s="700"/>
      <c r="P3" s="700"/>
    </row>
    <row r="4" spans="1:16" x14ac:dyDescent="0.25">
      <c r="A4" t="s">
        <v>1004</v>
      </c>
      <c r="B4" s="712">
        <v>2830960.496669081</v>
      </c>
      <c r="C4" s="712">
        <v>2340032.5980699915</v>
      </c>
      <c r="D4" s="712">
        <v>490927.89859910018</v>
      </c>
      <c r="E4" s="647">
        <f>+B4/B$4</f>
        <v>1</v>
      </c>
      <c r="F4" s="647">
        <f>+C4/C$4</f>
        <v>1</v>
      </c>
      <c r="G4" s="647">
        <f>+D4/D$4</f>
        <v>1</v>
      </c>
      <c r="H4" s="647">
        <f>+C4/B4</f>
        <v>0.82658610066204841</v>
      </c>
      <c r="I4" s="647">
        <f>+D4/B4</f>
        <v>0.17341389933795537</v>
      </c>
      <c r="J4" s="713"/>
      <c r="K4" s="713">
        <v>1239603.2866063009</v>
      </c>
      <c r="L4" s="713">
        <v>337406.02351740014</v>
      </c>
      <c r="M4" s="713">
        <v>1100429.3114637011</v>
      </c>
      <c r="N4" s="713">
        <v>153521.87508170004</v>
      </c>
    </row>
    <row r="5" spans="1:16" ht="7.5" customHeight="1" x14ac:dyDescent="0.25">
      <c r="B5" s="182"/>
      <c r="C5" s="182"/>
      <c r="D5" s="182"/>
      <c r="H5" s="647" t="e">
        <f>+D5/B5</f>
        <v>#DIV/0!</v>
      </c>
    </row>
    <row r="6" spans="1:16" x14ac:dyDescent="0.25">
      <c r="A6" t="s">
        <v>1005</v>
      </c>
      <c r="B6" s="712">
        <v>1323652.4729422017</v>
      </c>
      <c r="C6" s="712">
        <v>1306732.9189962016</v>
      </c>
      <c r="D6" s="712">
        <v>16919.553946</v>
      </c>
      <c r="E6" s="714">
        <f>+B6/B$4</f>
        <v>0.46756303187544163</v>
      </c>
      <c r="F6" s="714">
        <f>+C6/C$4</f>
        <v>0.55842509205810498</v>
      </c>
      <c r="G6" s="714">
        <f>+D6/D$4</f>
        <v>3.4464437637952997E-2</v>
      </c>
      <c r="H6" s="714">
        <f t="shared" ref="H6:H26" si="0">+C6/B6</f>
        <v>0.98721752552738296</v>
      </c>
      <c r="I6" s="714">
        <f t="shared" ref="I6:I26" si="1">+D6/B6</f>
        <v>1.2782474472616956E-2</v>
      </c>
      <c r="J6" s="713"/>
      <c r="K6" s="713">
        <v>590604.70855800062</v>
      </c>
      <c r="L6" s="713">
        <v>16919.553946</v>
      </c>
      <c r="M6" s="713">
        <v>716128.21043820097</v>
      </c>
      <c r="N6" s="713">
        <v>0</v>
      </c>
    </row>
    <row r="7" spans="1:16" x14ac:dyDescent="0.25">
      <c r="A7" t="s">
        <v>1006</v>
      </c>
      <c r="B7" s="712">
        <v>79657.347889799988</v>
      </c>
      <c r="C7" s="712">
        <v>64825.636627499996</v>
      </c>
      <c r="D7" s="712">
        <v>14831.711262299999</v>
      </c>
      <c r="E7" s="714">
        <f t="shared" ref="E7:G26" si="2">+B7/B$4</f>
        <v>2.8137922794586899E-2</v>
      </c>
      <c r="F7" s="714">
        <f t="shared" si="2"/>
        <v>2.7702877592802249E-2</v>
      </c>
      <c r="G7" s="714">
        <f t="shared" si="2"/>
        <v>3.0211587698770852E-2</v>
      </c>
      <c r="H7" s="714">
        <f t="shared" si="0"/>
        <v>0.81380611261601932</v>
      </c>
      <c r="I7" s="714">
        <f t="shared" si="1"/>
        <v>0.18619388738398079</v>
      </c>
      <c r="J7" s="713"/>
      <c r="K7" s="713">
        <v>58790.601279499999</v>
      </c>
      <c r="L7" s="713">
        <v>14831.711262299999</v>
      </c>
      <c r="M7" s="713">
        <v>6035.0353480000003</v>
      </c>
      <c r="N7" s="713">
        <v>0</v>
      </c>
    </row>
    <row r="8" spans="1:16" x14ac:dyDescent="0.25">
      <c r="A8" t="s">
        <v>982</v>
      </c>
      <c r="B8" s="712">
        <v>126885.90773569998</v>
      </c>
      <c r="C8" s="712">
        <v>104554.5917811</v>
      </c>
      <c r="D8" s="712">
        <v>22331.315954599999</v>
      </c>
      <c r="E8" s="714">
        <f t="shared" si="2"/>
        <v>4.4820797706288877E-2</v>
      </c>
      <c r="F8" s="714">
        <f t="shared" si="2"/>
        <v>4.4680827039475596E-2</v>
      </c>
      <c r="G8" s="714">
        <f t="shared" si="2"/>
        <v>4.5487974951768061E-2</v>
      </c>
      <c r="H8" s="714">
        <f t="shared" si="0"/>
        <v>0.82400475865991729</v>
      </c>
      <c r="I8" s="714">
        <f t="shared" si="1"/>
        <v>0.17599524134008282</v>
      </c>
      <c r="J8" s="713"/>
      <c r="K8" s="713">
        <v>76980.195250100005</v>
      </c>
      <c r="L8" s="713">
        <v>19744.965976399999</v>
      </c>
      <c r="M8" s="713">
        <v>27574.396530999999</v>
      </c>
      <c r="N8" s="713">
        <v>2586.3499781999999</v>
      </c>
    </row>
    <row r="9" spans="1:16" x14ac:dyDescent="0.25">
      <c r="A9" t="s">
        <v>1007</v>
      </c>
      <c r="B9" s="712">
        <v>10470.906107700001</v>
      </c>
      <c r="C9" s="712">
        <v>6035.0353480000003</v>
      </c>
      <c r="D9" s="712">
        <v>4435.8707596999993</v>
      </c>
      <c r="E9" s="714">
        <f t="shared" si="2"/>
        <v>3.6987114867975406E-3</v>
      </c>
      <c r="F9" s="714">
        <f t="shared" si="2"/>
        <v>2.5790390069683508E-3</v>
      </c>
      <c r="G9" s="714">
        <f t="shared" si="2"/>
        <v>9.0356868541349791E-3</v>
      </c>
      <c r="H9" s="714">
        <f t="shared" si="0"/>
        <v>0.57636228287464164</v>
      </c>
      <c r="I9" s="714">
        <f t="shared" si="1"/>
        <v>0.4236377171253583</v>
      </c>
      <c r="J9" s="713"/>
      <c r="K9" s="713">
        <v>0</v>
      </c>
      <c r="L9" s="713">
        <v>4435.8707596999993</v>
      </c>
      <c r="M9" s="713">
        <v>6035.0353480000003</v>
      </c>
      <c r="N9" s="713">
        <v>0</v>
      </c>
    </row>
    <row r="10" spans="1:16" x14ac:dyDescent="0.25">
      <c r="A10" t="s">
        <v>1008</v>
      </c>
      <c r="B10" s="712">
        <v>378.19073709999998</v>
      </c>
      <c r="C10" s="712">
        <v>0</v>
      </c>
      <c r="D10" s="712">
        <v>378.19073709999998</v>
      </c>
      <c r="E10" s="714">
        <f t="shared" si="2"/>
        <v>1.3359096234121976E-4</v>
      </c>
      <c r="F10" s="714">
        <f t="shared" si="2"/>
        <v>0</v>
      </c>
      <c r="G10" s="714">
        <f t="shared" si="2"/>
        <v>7.7035902457203145E-4</v>
      </c>
      <c r="H10" s="714">
        <f t="shared" si="0"/>
        <v>0</v>
      </c>
      <c r="I10" s="714">
        <f t="shared" si="1"/>
        <v>1</v>
      </c>
      <c r="J10" s="713"/>
      <c r="K10" s="713">
        <v>0</v>
      </c>
      <c r="L10" s="713">
        <v>378.19073709999998</v>
      </c>
      <c r="M10" s="713">
        <v>0</v>
      </c>
      <c r="N10" s="713">
        <v>0</v>
      </c>
    </row>
    <row r="11" spans="1:16" x14ac:dyDescent="0.25">
      <c r="A11" t="s">
        <v>785</v>
      </c>
      <c r="B11" s="712">
        <v>211884.05119090009</v>
      </c>
      <c r="C11" s="712">
        <v>204437.12231270006</v>
      </c>
      <c r="D11" s="712">
        <v>7446.9288782000003</v>
      </c>
      <c r="E11" s="714">
        <f t="shared" si="2"/>
        <v>7.4845287117288883E-2</v>
      </c>
      <c r="F11" s="714">
        <f t="shared" si="2"/>
        <v>8.7365074521318808E-2</v>
      </c>
      <c r="G11" s="714">
        <f t="shared" si="2"/>
        <v>1.5169088779534375E-2</v>
      </c>
      <c r="H11" s="714">
        <f t="shared" si="0"/>
        <v>0.96485375451175126</v>
      </c>
      <c r="I11" s="714">
        <f t="shared" si="1"/>
        <v>3.5146245488248566E-2</v>
      </c>
      <c r="J11" s="713"/>
      <c r="K11" s="713">
        <v>178242.54859610001</v>
      </c>
      <c r="L11" s="713">
        <v>6595.7262429000002</v>
      </c>
      <c r="M11" s="713">
        <v>26194.5737166</v>
      </c>
      <c r="N11" s="713">
        <v>851.20263530000011</v>
      </c>
    </row>
    <row r="12" spans="1:16" x14ac:dyDescent="0.25">
      <c r="A12" t="s">
        <v>1009</v>
      </c>
      <c r="B12" s="712">
        <v>399017.41905550024</v>
      </c>
      <c r="C12" s="712">
        <v>250841.65988950004</v>
      </c>
      <c r="D12" s="712">
        <v>148175.75916600003</v>
      </c>
      <c r="E12" s="714">
        <f t="shared" si="2"/>
        <v>0.14094771704691242</v>
      </c>
      <c r="F12" s="714">
        <f t="shared" si="2"/>
        <v>0.10719579722794838</v>
      </c>
      <c r="G12" s="714">
        <f t="shared" si="2"/>
        <v>0.3018279457916952</v>
      </c>
      <c r="H12" s="714">
        <f t="shared" si="0"/>
        <v>0.6286483945569552</v>
      </c>
      <c r="I12" s="714">
        <f t="shared" si="1"/>
        <v>0.37135160544304441</v>
      </c>
      <c r="J12" s="713"/>
      <c r="K12" s="713">
        <v>128553.19378950002</v>
      </c>
      <c r="L12" s="713">
        <v>85551.657594999997</v>
      </c>
      <c r="M12" s="713">
        <v>122288.46610000001</v>
      </c>
      <c r="N12" s="713">
        <v>62624.101570999999</v>
      </c>
    </row>
    <row r="13" spans="1:16" x14ac:dyDescent="0.25">
      <c r="A13" t="s">
        <v>1010</v>
      </c>
      <c r="B13" s="712">
        <v>80305.588858200019</v>
      </c>
      <c r="C13" s="712">
        <v>54047.231570700002</v>
      </c>
      <c r="D13" s="712">
        <v>26258.357287499999</v>
      </c>
      <c r="E13" s="714">
        <f t="shared" si="2"/>
        <v>2.8366905491153227E-2</v>
      </c>
      <c r="F13" s="714">
        <f t="shared" si="2"/>
        <v>2.3096785752163024E-2</v>
      </c>
      <c r="G13" s="714">
        <f t="shared" si="2"/>
        <v>5.3487197126971607E-2</v>
      </c>
      <c r="H13" s="714">
        <f t="shared" si="0"/>
        <v>0.67301955367183919</v>
      </c>
      <c r="I13" s="714">
        <f t="shared" si="1"/>
        <v>0.32698044632816053</v>
      </c>
      <c r="J13" s="713"/>
      <c r="K13" s="713">
        <v>46073.993651700002</v>
      </c>
      <c r="L13" s="713">
        <v>26258.357287499999</v>
      </c>
      <c r="M13" s="713">
        <v>7973.2379190000001</v>
      </c>
      <c r="N13" s="713">
        <v>0</v>
      </c>
    </row>
    <row r="14" spans="1:16" x14ac:dyDescent="0.25">
      <c r="A14" t="s">
        <v>1011</v>
      </c>
      <c r="B14" s="712">
        <v>48263.733630100003</v>
      </c>
      <c r="C14" s="712">
        <v>42948.006242799995</v>
      </c>
      <c r="D14" s="712">
        <v>5315.7273872999995</v>
      </c>
      <c r="E14" s="714">
        <f t="shared" si="2"/>
        <v>1.7048536596285007E-2</v>
      </c>
      <c r="F14" s="714">
        <f t="shared" si="2"/>
        <v>1.8353593141489818E-2</v>
      </c>
      <c r="G14" s="714">
        <f t="shared" si="2"/>
        <v>1.0827918727920799E-2</v>
      </c>
      <c r="H14" s="714">
        <f t="shared" si="0"/>
        <v>0.88986083364290702</v>
      </c>
      <c r="I14" s="714">
        <f t="shared" si="1"/>
        <v>0.11013916635709281</v>
      </c>
      <c r="J14" s="713"/>
      <c r="K14" s="713">
        <v>19224.580336700001</v>
      </c>
      <c r="L14" s="713">
        <v>613.73427609999999</v>
      </c>
      <c r="M14" s="713">
        <v>23723.425906100001</v>
      </c>
      <c r="N14" s="713">
        <v>4701.9931111999995</v>
      </c>
    </row>
    <row r="15" spans="1:16" x14ac:dyDescent="0.25">
      <c r="A15" t="s">
        <v>1012</v>
      </c>
      <c r="B15" s="712">
        <v>4733.5697601000002</v>
      </c>
      <c r="C15" s="712">
        <v>575.04081310000004</v>
      </c>
      <c r="D15" s="712">
        <v>4158.5289470000007</v>
      </c>
      <c r="E15" s="714">
        <f t="shared" si="2"/>
        <v>1.6720719931166601E-3</v>
      </c>
      <c r="F15" s="714">
        <f t="shared" si="2"/>
        <v>2.4574051386048269E-4</v>
      </c>
      <c r="G15" s="714">
        <f t="shared" si="2"/>
        <v>8.4707529534717354E-3</v>
      </c>
      <c r="H15" s="714">
        <f t="shared" si="0"/>
        <v>0.12148142781101674</v>
      </c>
      <c r="I15" s="714">
        <f t="shared" si="1"/>
        <v>0.87851857218898333</v>
      </c>
      <c r="J15" s="713"/>
      <c r="K15" s="713">
        <v>0</v>
      </c>
      <c r="L15" s="713">
        <v>3310.6742013000003</v>
      </c>
      <c r="M15" s="713">
        <v>575.04081310000004</v>
      </c>
      <c r="N15" s="713">
        <v>847.85474569999997</v>
      </c>
    </row>
    <row r="16" spans="1:16" x14ac:dyDescent="0.25">
      <c r="A16" t="s">
        <v>1013</v>
      </c>
      <c r="B16" s="712">
        <v>10991.616577100001</v>
      </c>
      <c r="C16" s="712">
        <v>3430.067689</v>
      </c>
      <c r="D16" s="712">
        <v>7561.5488880999992</v>
      </c>
      <c r="E16" s="714">
        <f t="shared" si="2"/>
        <v>3.8826456921715368E-3</v>
      </c>
      <c r="F16" s="714">
        <f t="shared" si="2"/>
        <v>1.46582047268446E-3</v>
      </c>
      <c r="G16" s="714">
        <f t="shared" si="2"/>
        <v>1.5402565039952812E-2</v>
      </c>
      <c r="H16" s="714">
        <f t="shared" si="0"/>
        <v>0.31206216710162754</v>
      </c>
      <c r="I16" s="714">
        <f t="shared" si="1"/>
        <v>0.68793783289837229</v>
      </c>
      <c r="J16" s="713"/>
      <c r="K16" s="713">
        <v>2044.8798959999999</v>
      </c>
      <c r="L16" s="713">
        <v>3120.2600411000003</v>
      </c>
      <c r="M16" s="713">
        <v>1385.1877930000001</v>
      </c>
      <c r="N16" s="713">
        <v>4441.2888469999989</v>
      </c>
    </row>
    <row r="17" spans="1:14" x14ac:dyDescent="0.25">
      <c r="A17" t="s">
        <v>805</v>
      </c>
      <c r="B17" s="712">
        <v>0</v>
      </c>
      <c r="C17" s="712">
        <v>0</v>
      </c>
      <c r="D17" s="712">
        <v>0</v>
      </c>
      <c r="E17" s="714">
        <f t="shared" si="2"/>
        <v>0</v>
      </c>
      <c r="F17" s="714">
        <f t="shared" si="2"/>
        <v>0</v>
      </c>
      <c r="G17" s="714">
        <f t="shared" si="2"/>
        <v>0</v>
      </c>
      <c r="H17" s="714" t="e">
        <f t="shared" si="0"/>
        <v>#DIV/0!</v>
      </c>
      <c r="I17" s="714" t="e">
        <f t="shared" si="1"/>
        <v>#DIV/0!</v>
      </c>
      <c r="J17" s="713"/>
      <c r="K17" s="713">
        <v>0</v>
      </c>
      <c r="L17" s="713">
        <v>0</v>
      </c>
      <c r="M17" s="713">
        <v>0</v>
      </c>
      <c r="N17" s="713">
        <v>0</v>
      </c>
    </row>
    <row r="18" spans="1:14" x14ac:dyDescent="0.25">
      <c r="A18" t="s">
        <v>807</v>
      </c>
      <c r="B18" s="712"/>
      <c r="C18" s="712"/>
      <c r="D18" s="712"/>
      <c r="E18" s="714">
        <f t="shared" si="2"/>
        <v>0</v>
      </c>
      <c r="F18" s="714">
        <f t="shared" si="2"/>
        <v>0</v>
      </c>
      <c r="G18" s="714">
        <f t="shared" si="2"/>
        <v>0</v>
      </c>
      <c r="H18" s="714" t="e">
        <f t="shared" si="0"/>
        <v>#DIV/0!</v>
      </c>
      <c r="I18" s="714" t="e">
        <f t="shared" si="1"/>
        <v>#DIV/0!</v>
      </c>
      <c r="J18" s="713"/>
      <c r="K18" s="713"/>
      <c r="L18" s="713"/>
      <c r="M18" s="713"/>
      <c r="N18" s="713"/>
    </row>
    <row r="19" spans="1:14" x14ac:dyDescent="0.25">
      <c r="A19" t="s">
        <v>809</v>
      </c>
      <c r="B19" s="712">
        <v>61223.403111700005</v>
      </c>
      <c r="C19" s="712">
        <v>38507.283486</v>
      </c>
      <c r="D19" s="712">
        <v>22716.119625700001</v>
      </c>
      <c r="E19" s="714">
        <f t="shared" si="2"/>
        <v>2.1626371397176221E-2</v>
      </c>
      <c r="F19" s="714">
        <f t="shared" si="2"/>
        <v>1.6455874810359469E-2</v>
      </c>
      <c r="G19" s="714">
        <f t="shared" si="2"/>
        <v>4.6271804251748906E-2</v>
      </c>
      <c r="H19" s="714">
        <f t="shared" si="0"/>
        <v>0.62896346052088581</v>
      </c>
      <c r="I19" s="714">
        <f t="shared" si="1"/>
        <v>0.37103653947911419</v>
      </c>
      <c r="J19" s="713"/>
      <c r="K19" s="713">
        <v>27203.95277</v>
      </c>
      <c r="L19" s="713">
        <v>16267.5099907</v>
      </c>
      <c r="M19" s="713">
        <v>11303.330715999999</v>
      </c>
      <c r="N19" s="713">
        <v>6448.6096349999998</v>
      </c>
    </row>
    <row r="20" spans="1:14" x14ac:dyDescent="0.25">
      <c r="A20" t="s">
        <v>1014</v>
      </c>
      <c r="B20" s="712">
        <v>59468.778164299991</v>
      </c>
      <c r="C20" s="712">
        <v>0</v>
      </c>
      <c r="D20" s="712">
        <v>59468.778164299991</v>
      </c>
      <c r="E20" s="714">
        <f t="shared" si="2"/>
        <v>2.1006572940269277E-2</v>
      </c>
      <c r="F20" s="714">
        <f t="shared" si="2"/>
        <v>0</v>
      </c>
      <c r="G20" s="714">
        <f t="shared" si="2"/>
        <v>0.12113546273087888</v>
      </c>
      <c r="H20" s="714">
        <f t="shared" si="0"/>
        <v>0</v>
      </c>
      <c r="I20" s="714">
        <f t="shared" si="1"/>
        <v>1</v>
      </c>
      <c r="J20" s="713"/>
      <c r="K20" s="713">
        <v>0</v>
      </c>
      <c r="L20" s="713">
        <v>47467.222490599997</v>
      </c>
      <c r="M20" s="713">
        <v>0</v>
      </c>
      <c r="N20" s="713">
        <v>12001.555673699999</v>
      </c>
    </row>
    <row r="21" spans="1:14" x14ac:dyDescent="0.25">
      <c r="A21" t="s">
        <v>813</v>
      </c>
      <c r="B21" s="712">
        <v>66979.101864600001</v>
      </c>
      <c r="C21" s="712">
        <v>6452.356745000001</v>
      </c>
      <c r="D21" s="712">
        <v>60526.745119600004</v>
      </c>
      <c r="E21" s="714">
        <f t="shared" si="2"/>
        <v>2.3659497171863709E-2</v>
      </c>
      <c r="F21" s="714">
        <f t="shared" si="2"/>
        <v>2.7573789999001579E-3</v>
      </c>
      <c r="G21" s="714">
        <f t="shared" si="2"/>
        <v>0.12329049803915736</v>
      </c>
      <c r="H21" s="714">
        <f t="shared" si="0"/>
        <v>9.6333879753174478E-2</v>
      </c>
      <c r="I21" s="714">
        <f t="shared" si="1"/>
        <v>0.90366612024682558</v>
      </c>
      <c r="J21" s="713"/>
      <c r="K21" s="713">
        <v>3797.0794841000006</v>
      </c>
      <c r="L21" s="713">
        <v>49666.087867599999</v>
      </c>
      <c r="M21" s="713">
        <v>2655.2772609000003</v>
      </c>
      <c r="N21" s="713">
        <v>10860.657252000001</v>
      </c>
    </row>
    <row r="22" spans="1:14" x14ac:dyDescent="0.25">
      <c r="A22" t="s">
        <v>814</v>
      </c>
      <c r="B22" s="712">
        <v>83392.981365799991</v>
      </c>
      <c r="C22" s="712">
        <v>32537.327487499999</v>
      </c>
      <c r="D22" s="712">
        <v>50855.6538783</v>
      </c>
      <c r="E22" s="714">
        <f t="shared" si="2"/>
        <v>2.9457486766035941E-2</v>
      </c>
      <c r="F22" s="714">
        <f t="shared" si="2"/>
        <v>1.3904647103777992E-2</v>
      </c>
      <c r="G22" s="714">
        <f t="shared" si="2"/>
        <v>0.10359088172299934</v>
      </c>
      <c r="H22" s="714">
        <f t="shared" si="0"/>
        <v>0.39016865633783143</v>
      </c>
      <c r="I22" s="714">
        <f t="shared" si="1"/>
        <v>0.60983134366216862</v>
      </c>
      <c r="J22" s="713"/>
      <c r="K22" s="713">
        <v>25179.293947399998</v>
      </c>
      <c r="L22" s="713">
        <v>13627.981201899998</v>
      </c>
      <c r="M22" s="713">
        <v>7358.0335401000002</v>
      </c>
      <c r="N22" s="713">
        <v>37227.672676399998</v>
      </c>
    </row>
    <row r="23" spans="1:14" x14ac:dyDescent="0.25">
      <c r="A23" t="s">
        <v>1015</v>
      </c>
      <c r="B23" s="712">
        <v>2490.5155221</v>
      </c>
      <c r="C23" s="712">
        <v>2490.5155221</v>
      </c>
      <c r="D23" s="712">
        <v>0</v>
      </c>
      <c r="E23" s="714">
        <f t="shared" si="2"/>
        <v>8.7974223767175487E-4</v>
      </c>
      <c r="F23" s="714">
        <f t="shared" si="2"/>
        <v>1.0643080460306935E-3</v>
      </c>
      <c r="G23" s="714">
        <f t="shared" si="2"/>
        <v>0</v>
      </c>
      <c r="H23" s="714">
        <f t="shared" si="0"/>
        <v>1</v>
      </c>
      <c r="I23" s="714">
        <f t="shared" si="1"/>
        <v>0</v>
      </c>
      <c r="J23" s="713"/>
      <c r="K23" s="713">
        <v>575.04081310000004</v>
      </c>
      <c r="L23" s="713">
        <v>0</v>
      </c>
      <c r="M23" s="713">
        <v>1915.4747090000001</v>
      </c>
      <c r="N23" s="713">
        <v>0</v>
      </c>
    </row>
    <row r="24" spans="1:14" x14ac:dyDescent="0.25">
      <c r="A24" t="s">
        <v>1016</v>
      </c>
      <c r="B24" s="712">
        <v>78732.1290439</v>
      </c>
      <c r="C24" s="712">
        <v>47239.818124499994</v>
      </c>
      <c r="D24" s="712">
        <v>31492.310919399999</v>
      </c>
      <c r="E24" s="714">
        <f t="shared" si="2"/>
        <v>2.7811101262817522E-2</v>
      </c>
      <c r="F24" s="714">
        <f t="shared" si="2"/>
        <v>2.0187675233012729E-2</v>
      </c>
      <c r="G24" s="714">
        <f t="shared" si="2"/>
        <v>6.4148546068100193E-2</v>
      </c>
      <c r="H24" s="714">
        <f t="shared" si="0"/>
        <v>0.60000686756685684</v>
      </c>
      <c r="I24" s="714">
        <f t="shared" si="1"/>
        <v>0.39999313243314299</v>
      </c>
      <c r="J24" s="713"/>
      <c r="K24" s="713">
        <v>20199.145766100002</v>
      </c>
      <c r="L24" s="713">
        <v>20939.912700300003</v>
      </c>
      <c r="M24" s="713">
        <v>27040.672358399999</v>
      </c>
      <c r="N24" s="713">
        <v>10552.3982191</v>
      </c>
    </row>
    <row r="25" spans="1:14" x14ac:dyDescent="0.25">
      <c r="A25" t="s">
        <v>1017</v>
      </c>
      <c r="B25" s="712">
        <v>164453.08281720005</v>
      </c>
      <c r="C25" s="712">
        <v>163899.76947510004</v>
      </c>
      <c r="D25" s="712">
        <v>553.3133421</v>
      </c>
      <c r="E25" s="714">
        <f t="shared" si="2"/>
        <v>5.8090914023949176E-2</v>
      </c>
      <c r="F25" s="714">
        <f t="shared" si="2"/>
        <v>7.00416607915125E-2</v>
      </c>
      <c r="G25" s="714">
        <f t="shared" si="2"/>
        <v>1.1270765904299214E-3</v>
      </c>
      <c r="H25" s="714">
        <f t="shared" si="0"/>
        <v>0.99663543344629757</v>
      </c>
      <c r="I25" s="714">
        <f t="shared" si="1"/>
        <v>3.3645665537023871E-3</v>
      </c>
      <c r="J25" s="713"/>
      <c r="K25" s="713">
        <v>51655.85650880001</v>
      </c>
      <c r="L25" s="713">
        <v>553.3133421</v>
      </c>
      <c r="M25" s="713">
        <v>112243.91296630001</v>
      </c>
      <c r="N25" s="713">
        <v>0</v>
      </c>
    </row>
    <row r="26" spans="1:14" x14ac:dyDescent="0.25">
      <c r="A26" t="s">
        <v>1018</v>
      </c>
      <c r="B26" s="712">
        <v>378.19073709999998</v>
      </c>
      <c r="C26" s="712">
        <v>0</v>
      </c>
      <c r="D26" s="712">
        <v>378.19073709999998</v>
      </c>
      <c r="E26" s="714">
        <f t="shared" si="2"/>
        <v>1.3359096234121976E-4</v>
      </c>
      <c r="F26" s="714">
        <f t="shared" si="2"/>
        <v>0</v>
      </c>
      <c r="G26" s="714">
        <f t="shared" si="2"/>
        <v>7.7035902457203145E-4</v>
      </c>
      <c r="H26" s="714">
        <f t="shared" si="0"/>
        <v>0</v>
      </c>
      <c r="I26" s="714">
        <f t="shared" si="1"/>
        <v>1</v>
      </c>
      <c r="J26" s="713"/>
      <c r="K26" s="713">
        <v>0</v>
      </c>
      <c r="L26" s="713">
        <v>378.19073709999998</v>
      </c>
      <c r="M26" s="713">
        <v>0</v>
      </c>
      <c r="N26" s="713">
        <v>0</v>
      </c>
    </row>
    <row r="27" spans="1:14" ht="9" customHeight="1" x14ac:dyDescent="0.25">
      <c r="A27" s="706"/>
      <c r="B27" s="706"/>
      <c r="C27" s="706"/>
      <c r="D27" s="706"/>
      <c r="H27" s="706"/>
      <c r="I27" s="706"/>
      <c r="J27" s="706"/>
      <c r="K27" s="706"/>
      <c r="L27" s="706"/>
      <c r="M27" s="706"/>
      <c r="N27" s="706"/>
    </row>
    <row r="28" spans="1:14" x14ac:dyDescent="0.25">
      <c r="B28" s="715"/>
      <c r="C28" s="715"/>
      <c r="D28" s="715"/>
      <c r="H28" s="647"/>
    </row>
  </sheetData>
  <mergeCells count="3">
    <mergeCell ref="B2:D2"/>
    <mergeCell ref="K2:L2"/>
    <mergeCell ref="M2:N2"/>
  </mergeCells>
  <pageMargins left="0.51181102362204722" right="0.51181102362204722" top="0.74803149606299213" bottom="0.74803149606299213" header="0.31496062992125984" footer="0.31496062992125984"/>
  <pageSetup paperSize="9" scale="66" orientation="landscape" r:id="rId1"/>
  <headerFooter>
    <oddHeader>&amp;L&amp;F    &amp;&amp;&amp;A&amp;C
&amp;D&amp;RPage &amp;P of &amp;N</oddHeader>
  </headerFooter>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O31"/>
  <sheetViews>
    <sheetView tabSelected="1" topLeftCell="B1" zoomScale="90" zoomScaleNormal="90" workbookViewId="0">
      <selection activeCell="H4" sqref="H4"/>
    </sheetView>
  </sheetViews>
  <sheetFormatPr defaultRowHeight="15" x14ac:dyDescent="0.25"/>
  <cols>
    <col min="2" max="2" width="20.5703125" customWidth="1"/>
    <col min="3" max="3" width="12.28515625" style="5" customWidth="1"/>
    <col min="4" max="4" width="18.28515625" bestFit="1" customWidth="1"/>
    <col min="5" max="6" width="13.85546875" customWidth="1"/>
    <col min="7" max="7" width="19" customWidth="1"/>
    <col min="8" max="8" width="19" style="1400" customWidth="1"/>
    <col min="9" max="9" width="10.85546875" bestFit="1" customWidth="1"/>
    <col min="10" max="10" width="11.140625" style="364" customWidth="1"/>
    <col min="11" max="11" width="9.140625" style="364"/>
  </cols>
  <sheetData>
    <row r="2" spans="2:15" x14ac:dyDescent="0.25">
      <c r="G2" s="1361" t="s">
        <v>1524</v>
      </c>
      <c r="H2" s="1362"/>
      <c r="I2" s="1361"/>
      <c r="J2" s="1363"/>
    </row>
    <row r="3" spans="2:15" ht="15.75" thickBot="1" x14ac:dyDescent="0.3">
      <c r="B3" s="1005"/>
      <c r="C3" s="1364"/>
      <c r="D3" s="1005"/>
      <c r="E3" s="1005"/>
      <c r="F3" s="1005"/>
      <c r="G3" s="1005"/>
      <c r="H3" s="1365"/>
      <c r="I3" s="1005"/>
      <c r="J3" s="1366"/>
      <c r="K3" s="1366"/>
    </row>
    <row r="4" spans="2:15" s="187" customFormat="1" ht="45.75" thickBot="1" x14ac:dyDescent="0.3">
      <c r="B4" s="1367">
        <v>2012</v>
      </c>
      <c r="C4" s="1368" t="s">
        <v>1525</v>
      </c>
      <c r="D4" s="1369" t="s">
        <v>1526</v>
      </c>
      <c r="E4" s="1369" t="s">
        <v>1527</v>
      </c>
      <c r="F4" s="1369" t="s">
        <v>1528</v>
      </c>
      <c r="G4" s="1367" t="s">
        <v>1529</v>
      </c>
      <c r="H4" s="1369" t="s">
        <v>1530</v>
      </c>
      <c r="I4" s="1367" t="s">
        <v>1531</v>
      </c>
      <c r="J4" s="1370" t="s">
        <v>1532</v>
      </c>
      <c r="K4" s="1370" t="s">
        <v>1533</v>
      </c>
      <c r="O4" s="1402" t="s">
        <v>1587</v>
      </c>
    </row>
    <row r="5" spans="2:15" x14ac:dyDescent="0.25">
      <c r="B5" s="1371"/>
      <c r="C5" s="1372"/>
      <c r="D5" s="1371"/>
      <c r="E5" s="1371"/>
      <c r="F5" s="1371"/>
      <c r="G5" s="1371" t="s">
        <v>1534</v>
      </c>
      <c r="H5" s="1373">
        <v>19106305.196053743</v>
      </c>
      <c r="I5" s="1374"/>
      <c r="J5" s="1375"/>
      <c r="K5" s="1375"/>
    </row>
    <row r="6" spans="2:15" x14ac:dyDescent="0.25">
      <c r="B6" s="299"/>
      <c r="C6" s="1376"/>
      <c r="D6" s="299"/>
      <c r="E6" s="299"/>
      <c r="F6" s="299"/>
      <c r="G6" s="299" t="s">
        <v>1535</v>
      </c>
      <c r="H6" s="1377">
        <v>500394.6</v>
      </c>
      <c r="I6" s="1378"/>
      <c r="J6" s="1358"/>
      <c r="K6" s="1358"/>
    </row>
    <row r="7" spans="2:15" x14ac:dyDescent="0.25">
      <c r="B7" s="299"/>
      <c r="C7" s="1376"/>
      <c r="D7" s="299"/>
      <c r="E7" s="299"/>
      <c r="F7" s="299"/>
      <c r="G7" s="299" t="s">
        <v>1112</v>
      </c>
      <c r="H7" s="1377">
        <v>1038989.2039462572</v>
      </c>
      <c r="I7" s="1378"/>
      <c r="J7" s="1358"/>
      <c r="K7" s="1358"/>
    </row>
    <row r="8" spans="2:15" ht="15.75" thickBot="1" x14ac:dyDescent="0.3">
      <c r="B8" s="1379" t="s">
        <v>3</v>
      </c>
      <c r="C8" s="1433">
        <v>38273987</v>
      </c>
      <c r="D8" s="1381">
        <v>37011629</v>
      </c>
      <c r="E8" s="1381">
        <v>35860173</v>
      </c>
      <c r="F8" s="1381">
        <f>+D8-E8</f>
        <v>1151456</v>
      </c>
      <c r="G8" s="1382"/>
      <c r="H8" s="1438">
        <f>SUM(H5:H7)</f>
        <v>20645689.000000004</v>
      </c>
      <c r="I8" s="1381">
        <f>+E8-H8</f>
        <v>15214483.999999996</v>
      </c>
      <c r="J8" s="1383">
        <f>+H8/E8</f>
        <v>0.57572753483369987</v>
      </c>
      <c r="K8" s="1383">
        <f>+I8/E8</f>
        <v>0.42427246516630013</v>
      </c>
      <c r="L8" s="1384"/>
      <c r="O8" s="714">
        <f>+E8/C8</f>
        <v>0.93693330146138154</v>
      </c>
    </row>
    <row r="9" spans="2:15" ht="30" x14ac:dyDescent="0.25">
      <c r="B9" s="1385">
        <v>2013</v>
      </c>
      <c r="C9" s="1372"/>
      <c r="D9" s="1386" t="s">
        <v>1526</v>
      </c>
      <c r="E9" s="1386" t="s">
        <v>1527</v>
      </c>
      <c r="F9" s="1386" t="s">
        <v>1528</v>
      </c>
      <c r="G9" s="1371" t="s">
        <v>1536</v>
      </c>
      <c r="H9" s="1387" t="s">
        <v>1537</v>
      </c>
      <c r="I9" s="1371"/>
      <c r="J9" s="1388" t="s">
        <v>1538</v>
      </c>
      <c r="K9" s="1388" t="s">
        <v>200</v>
      </c>
    </row>
    <row r="10" spans="2:15" x14ac:dyDescent="0.25">
      <c r="B10" s="299"/>
      <c r="C10" s="1376"/>
      <c r="D10" s="299"/>
      <c r="E10" s="299"/>
      <c r="F10" s="299"/>
      <c r="G10" s="299" t="s">
        <v>1534</v>
      </c>
      <c r="H10" s="1389">
        <v>20360422</v>
      </c>
      <c r="I10" s="1390"/>
      <c r="J10" s="1391"/>
      <c r="K10" s="1391"/>
    </row>
    <row r="11" spans="2:15" x14ac:dyDescent="0.25">
      <c r="B11" s="299"/>
      <c r="C11" s="1376"/>
      <c r="D11" s="299"/>
      <c r="E11" s="299"/>
      <c r="F11" s="299"/>
      <c r="G11" s="299" t="s">
        <v>1535</v>
      </c>
      <c r="H11" s="1389">
        <v>529008</v>
      </c>
      <c r="I11" s="1390"/>
      <c r="J11" s="1391"/>
      <c r="K11" s="1391"/>
    </row>
    <row r="12" spans="2:15" x14ac:dyDescent="0.25">
      <c r="B12" s="299"/>
      <c r="C12" s="1376"/>
      <c r="D12" s="299"/>
      <c r="E12" s="299"/>
      <c r="F12" s="299"/>
      <c r="G12" s="299" t="s">
        <v>1112</v>
      </c>
      <c r="H12" s="1389">
        <v>1092012</v>
      </c>
      <c r="I12" s="1390"/>
      <c r="J12" s="1391"/>
      <c r="K12" s="1391"/>
    </row>
    <row r="13" spans="2:15" ht="15.75" thickBot="1" x14ac:dyDescent="0.3">
      <c r="B13" s="1379" t="s">
        <v>3</v>
      </c>
      <c r="C13" s="1433">
        <v>41351135</v>
      </c>
      <c r="D13" s="1392">
        <v>40264228</v>
      </c>
      <c r="E13" s="1436">
        <v>38588725</v>
      </c>
      <c r="F13" s="1392">
        <f>+D13-E13</f>
        <v>1675503</v>
      </c>
      <c r="G13" s="1393"/>
      <c r="H13" s="1439">
        <f>SUM(H10:H12)</f>
        <v>21981442</v>
      </c>
      <c r="I13" s="1380">
        <f>+E13-H13</f>
        <v>16607283</v>
      </c>
      <c r="J13" s="1383">
        <f>+H13/E13</f>
        <v>0.56963379847351781</v>
      </c>
      <c r="K13" s="1383">
        <f>+I13/E13</f>
        <v>0.43036620152648214</v>
      </c>
      <c r="O13" s="714">
        <f>+E13/C13</f>
        <v>0.93319627139617811</v>
      </c>
    </row>
    <row r="14" spans="2:15" ht="30" x14ac:dyDescent="0.25">
      <c r="B14" s="1385">
        <v>2014</v>
      </c>
      <c r="C14" s="1372"/>
      <c r="D14" s="1386" t="s">
        <v>1526</v>
      </c>
      <c r="E14" s="1386" t="s">
        <v>1527</v>
      </c>
      <c r="F14" s="1386" t="s">
        <v>1528</v>
      </c>
      <c r="G14" s="1371" t="s">
        <v>1539</v>
      </c>
      <c r="H14" s="1387" t="s">
        <v>1530</v>
      </c>
      <c r="I14" s="1371"/>
      <c r="J14" s="1388" t="s">
        <v>1538</v>
      </c>
      <c r="K14" s="1388" t="s">
        <v>200</v>
      </c>
    </row>
    <row r="15" spans="2:15" x14ac:dyDescent="0.25">
      <c r="B15" s="492"/>
      <c r="C15" s="1376"/>
      <c r="D15" s="299"/>
      <c r="E15" s="299"/>
      <c r="F15" s="299"/>
      <c r="G15" s="299" t="s">
        <v>1534</v>
      </c>
      <c r="H15" s="1389">
        <v>21545557.5</v>
      </c>
      <c r="I15" s="1390"/>
      <c r="J15" s="1391"/>
      <c r="K15" s="1391"/>
    </row>
    <row r="16" spans="2:15" x14ac:dyDescent="0.25">
      <c r="B16" s="492"/>
      <c r="C16" s="1376"/>
      <c r="D16" s="299"/>
      <c r="E16" s="299"/>
      <c r="F16" s="299"/>
      <c r="G16" s="299" t="s">
        <v>1540</v>
      </c>
      <c r="H16" s="1389">
        <v>783840.75</v>
      </c>
      <c r="I16" s="1390"/>
      <c r="J16" s="1391"/>
      <c r="K16" s="1391"/>
    </row>
    <row r="17" spans="2:15" x14ac:dyDescent="0.25">
      <c r="B17" s="492"/>
      <c r="C17" s="1376"/>
      <c r="D17" s="299"/>
      <c r="E17" s="299"/>
      <c r="F17" s="299"/>
      <c r="G17" s="299" t="s">
        <v>1541</v>
      </c>
      <c r="H17" s="1389">
        <v>1152036.75</v>
      </c>
      <c r="I17" s="1390"/>
      <c r="J17" s="1391"/>
      <c r="K17" s="1391"/>
    </row>
    <row r="18" spans="2:15" ht="15.75" thickBot="1" x14ac:dyDescent="0.3">
      <c r="B18" s="1395" t="s">
        <v>3</v>
      </c>
      <c r="C18" s="1434">
        <v>43509293</v>
      </c>
      <c r="D18" s="1396">
        <v>42343753.900000006</v>
      </c>
      <c r="E18" s="1381">
        <v>40828504.799999997</v>
      </c>
      <c r="F18" s="1397">
        <f>+D18-E18</f>
        <v>1515249.1000000089</v>
      </c>
      <c r="G18" s="1398"/>
      <c r="H18" s="1439">
        <f>SUM(H15:H17)</f>
        <v>23481435</v>
      </c>
      <c r="I18" s="1380">
        <f>+E18-H18</f>
        <v>17347069.799999997</v>
      </c>
      <c r="J18" s="1383">
        <f>+H18/E18</f>
        <v>0.575123559263919</v>
      </c>
      <c r="K18" s="1383">
        <f>+I18/E18</f>
        <v>0.424876440736081</v>
      </c>
      <c r="O18" s="714">
        <f>+E18/C18</f>
        <v>0.93838584782336032</v>
      </c>
    </row>
    <row r="19" spans="2:15" ht="30" x14ac:dyDescent="0.25">
      <c r="B19" s="1399">
        <v>42156</v>
      </c>
      <c r="C19" s="1372"/>
      <c r="D19" s="1386" t="s">
        <v>1526</v>
      </c>
      <c r="E19" s="1386" t="s">
        <v>1527</v>
      </c>
      <c r="F19" s="1386" t="s">
        <v>1528</v>
      </c>
      <c r="G19" s="1371" t="s">
        <v>1542</v>
      </c>
      <c r="H19" s="1387" t="s">
        <v>1530</v>
      </c>
      <c r="I19" s="1371"/>
      <c r="J19" s="1388" t="s">
        <v>1538</v>
      </c>
      <c r="K19" s="1388" t="s">
        <v>200</v>
      </c>
    </row>
    <row r="20" spans="2:15" x14ac:dyDescent="0.25">
      <c r="B20" s="299"/>
      <c r="C20" s="1376"/>
      <c r="D20" s="299"/>
      <c r="E20" s="299"/>
      <c r="F20" s="299"/>
      <c r="G20" s="299" t="s">
        <v>1543</v>
      </c>
      <c r="H20" s="1389">
        <v>21668277.5</v>
      </c>
      <c r="I20" s="1390"/>
      <c r="J20" s="1391"/>
      <c r="K20" s="1391"/>
    </row>
    <row r="21" spans="2:15" x14ac:dyDescent="0.25">
      <c r="B21" s="299"/>
      <c r="C21" s="1376"/>
      <c r="D21" s="299"/>
      <c r="E21" s="299"/>
      <c r="F21" s="299"/>
      <c r="G21" s="299" t="s">
        <v>1544</v>
      </c>
      <c r="H21" s="1389">
        <v>1092922.75</v>
      </c>
      <c r="I21" s="1390"/>
      <c r="J21" s="1391"/>
      <c r="K21" s="1391"/>
      <c r="M21" s="4"/>
    </row>
    <row r="22" spans="2:15" x14ac:dyDescent="0.25">
      <c r="B22" s="299"/>
      <c r="C22" s="1376"/>
      <c r="D22" s="299"/>
      <c r="E22" s="299"/>
      <c r="F22" s="299"/>
      <c r="G22" s="299" t="s">
        <v>1545</v>
      </c>
      <c r="H22" s="1389">
        <v>1357798.75</v>
      </c>
      <c r="I22" s="1390"/>
      <c r="J22" s="1391"/>
      <c r="K22" s="1391"/>
    </row>
    <row r="23" spans="2:15" ht="15.75" thickBot="1" x14ac:dyDescent="0.3">
      <c r="B23" s="1379" t="s">
        <v>3</v>
      </c>
      <c r="C23" s="1380"/>
      <c r="D23" s="1381">
        <v>20966341.800000001</v>
      </c>
      <c r="E23" s="1381">
        <v>20386995</v>
      </c>
      <c r="F23" s="1381">
        <f>+D23-E23</f>
        <v>579346.80000000075</v>
      </c>
      <c r="G23" s="1382"/>
      <c r="H23" s="1394">
        <f>SUM(H20:H22)/2</f>
        <v>12059499.5</v>
      </c>
      <c r="I23" s="1380">
        <f>+E23-H23</f>
        <v>8327495.5</v>
      </c>
      <c r="J23" s="1383">
        <f>+H23/E23</f>
        <v>0.59152903603498208</v>
      </c>
      <c r="K23" s="1383">
        <f>+I23/E23</f>
        <v>0.40847096396501792</v>
      </c>
      <c r="L23" t="s">
        <v>1546</v>
      </c>
      <c r="O23" s="714" t="e">
        <f>+E23/C23</f>
        <v>#DIV/0!</v>
      </c>
    </row>
    <row r="25" spans="2:15" x14ac:dyDescent="0.25">
      <c r="K25" s="283" t="s">
        <v>1547</v>
      </c>
    </row>
    <row r="26" spans="2:15" x14ac:dyDescent="0.25">
      <c r="B26" s="187" t="s">
        <v>1585</v>
      </c>
    </row>
    <row r="27" spans="2:15" x14ac:dyDescent="0.25">
      <c r="B27" s="1421" t="s">
        <v>1236</v>
      </c>
      <c r="C27" s="1422" t="s">
        <v>1554</v>
      </c>
      <c r="D27" s="1029" t="s">
        <v>1555</v>
      </c>
      <c r="E27" s="1029" t="s">
        <v>1556</v>
      </c>
      <c r="F27" s="1029" t="s">
        <v>1557</v>
      </c>
      <c r="G27" s="1029" t="s">
        <v>1558</v>
      </c>
      <c r="H27" s="1437" t="s">
        <v>1586</v>
      </c>
    </row>
    <row r="28" spans="2:15" x14ac:dyDescent="0.25">
      <c r="B28" s="1421">
        <v>2012</v>
      </c>
      <c r="C28" s="1430">
        <v>38273987</v>
      </c>
      <c r="D28" s="1427">
        <v>36985222</v>
      </c>
      <c r="E28" s="1427">
        <v>80663</v>
      </c>
      <c r="F28" s="1427">
        <v>1089086</v>
      </c>
      <c r="G28" s="1427">
        <v>35742135</v>
      </c>
      <c r="H28" s="1440">
        <v>20645689.000000004</v>
      </c>
      <c r="I28" s="281" t="s">
        <v>1588</v>
      </c>
    </row>
    <row r="29" spans="2:15" x14ac:dyDescent="0.25">
      <c r="B29" s="1423">
        <v>2013</v>
      </c>
      <c r="C29" s="1431">
        <v>41351135</v>
      </c>
      <c r="D29" s="1454">
        <v>40101554</v>
      </c>
      <c r="E29" s="1428">
        <v>82976</v>
      </c>
      <c r="F29" s="1428">
        <v>1100429</v>
      </c>
      <c r="G29" s="1435">
        <v>38588390</v>
      </c>
      <c r="H29" s="1441">
        <v>21981442</v>
      </c>
    </row>
    <row r="30" spans="2:15" x14ac:dyDescent="0.25">
      <c r="B30" s="1424">
        <v>2014</v>
      </c>
      <c r="C30" s="1432">
        <v>43509293</v>
      </c>
      <c r="D30" s="1455">
        <v>42198806</v>
      </c>
      <c r="E30" s="1429">
        <v>65003</v>
      </c>
      <c r="F30" s="1429">
        <v>1147325</v>
      </c>
      <c r="G30" s="1429">
        <v>40680362</v>
      </c>
      <c r="H30" s="1442">
        <v>23481435</v>
      </c>
    </row>
    <row r="31" spans="2:15" x14ac:dyDescent="0.25">
      <c r="B31" s="1424" t="s">
        <v>1559</v>
      </c>
      <c r="C31" s="1425">
        <v>36098553</v>
      </c>
      <c r="D31" s="295">
        <v>35043233</v>
      </c>
      <c r="E31" s="295">
        <v>48562</v>
      </c>
      <c r="F31" s="295">
        <v>869806</v>
      </c>
      <c r="G31" s="295">
        <v>34640288</v>
      </c>
      <c r="H31" s="1426"/>
    </row>
  </sheetData>
  <pageMargins left="0.51181102362204722" right="0.51181102362204722" top="0.74803149606299213" bottom="0.74803149606299213" header="0.31496062992125984" footer="0.31496062992125984"/>
  <pageSetup paperSize="9" scale="64" orientation="landscape" r:id="rId1"/>
  <headerFooter>
    <oddHeader>&amp;L&amp;F    &amp;&amp;&amp;A&amp;C
&amp;D&amp;RPage &amp;P of &amp;N</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CC"/>
    <pageSetUpPr fitToPage="1"/>
  </sheetPr>
  <dimension ref="A1:V56"/>
  <sheetViews>
    <sheetView zoomScale="90" zoomScaleNormal="90" workbookViewId="0">
      <selection activeCell="D4" sqref="D4"/>
    </sheetView>
  </sheetViews>
  <sheetFormatPr defaultRowHeight="15" x14ac:dyDescent="0.25"/>
  <cols>
    <col min="1" max="1" width="23.5703125" customWidth="1"/>
    <col min="2" max="2" width="27.85546875" bestFit="1" customWidth="1"/>
    <col min="3" max="3" width="22.42578125" bestFit="1" customWidth="1"/>
    <col min="4" max="4" width="19.85546875" bestFit="1" customWidth="1"/>
    <col min="5" max="5" width="29.28515625" bestFit="1" customWidth="1"/>
    <col min="6" max="6" width="23.42578125" bestFit="1" customWidth="1"/>
    <col min="7" max="7" width="10.85546875" customWidth="1"/>
    <col min="9" max="9" width="13.28515625" bestFit="1" customWidth="1"/>
    <col min="10" max="10" width="15" customWidth="1"/>
    <col min="11" max="11" width="13.42578125" customWidth="1"/>
    <col min="12" max="12" width="13.7109375" customWidth="1"/>
    <col min="13" max="13" width="13.42578125" customWidth="1"/>
    <col min="14" max="14" width="11.140625" bestFit="1" customWidth="1"/>
    <col min="16" max="16" width="12.140625" bestFit="1" customWidth="1"/>
    <col min="18" max="18" width="12.140625" bestFit="1" customWidth="1"/>
    <col min="20" max="20" width="12.140625" bestFit="1" customWidth="1"/>
    <col min="21" max="21" width="12.140625" customWidth="1"/>
  </cols>
  <sheetData>
    <row r="1" spans="1:22" ht="17.25" x14ac:dyDescent="0.25">
      <c r="A1" s="1401" t="s">
        <v>1548</v>
      </c>
      <c r="K1" s="714" t="s">
        <v>1549</v>
      </c>
      <c r="M1" s="714" t="s">
        <v>1550</v>
      </c>
      <c r="O1" s="1402" t="s">
        <v>1551</v>
      </c>
      <c r="Q1" s="1402" t="s">
        <v>1580</v>
      </c>
      <c r="S1" s="1402" t="s">
        <v>1581</v>
      </c>
      <c r="V1" s="1411" t="s">
        <v>1578</v>
      </c>
    </row>
    <row r="2" spans="1:22" x14ac:dyDescent="0.25">
      <c r="K2" s="714" t="s">
        <v>1576</v>
      </c>
      <c r="M2" s="714" t="s">
        <v>1577</v>
      </c>
      <c r="O2" s="714" t="s">
        <v>1575</v>
      </c>
      <c r="Q2" s="714" t="s">
        <v>1574</v>
      </c>
      <c r="S2" s="714" t="s">
        <v>1582</v>
      </c>
      <c r="U2" t="s">
        <v>1583</v>
      </c>
    </row>
    <row r="3" spans="1:22" ht="18.75" x14ac:dyDescent="0.3">
      <c r="A3" s="1807" t="s">
        <v>1552</v>
      </c>
      <c r="B3" s="1807"/>
      <c r="C3" s="1807"/>
      <c r="D3" s="1807"/>
      <c r="E3" s="1807"/>
      <c r="F3" s="1807"/>
      <c r="G3" s="1416" t="s">
        <v>1573</v>
      </c>
      <c r="I3" s="1403" t="s">
        <v>1553</v>
      </c>
      <c r="K3" s="714">
        <f>+F11/B11</f>
        <v>0.93962221353949049</v>
      </c>
      <c r="L3" s="1404">
        <f>+B11-F11</f>
        <v>13339200</v>
      </c>
      <c r="M3" s="714">
        <f>+C11/B11</f>
        <v>0.96963135213425689</v>
      </c>
      <c r="N3" s="1404">
        <f>+B11-C11</f>
        <v>6709313</v>
      </c>
      <c r="O3" s="714">
        <f>+G12/B12</f>
        <v>0.53688130974593906</v>
      </c>
      <c r="P3" s="1404">
        <f>+B12-G12</f>
        <v>57025849</v>
      </c>
      <c r="Q3" s="714">
        <f>+G12/C12</f>
        <v>0.55420416190784905</v>
      </c>
      <c r="R3" s="1404">
        <f>+C12-G12</f>
        <v>53177016</v>
      </c>
      <c r="S3" s="714">
        <f>+G12/F12</f>
        <v>0.57480267933243567</v>
      </c>
      <c r="T3" s="1404">
        <f>+F12-G12</f>
        <v>48902321</v>
      </c>
      <c r="U3" s="1404"/>
    </row>
    <row r="4" spans="1:22" ht="18.75" x14ac:dyDescent="0.3">
      <c r="A4" s="1405" t="s">
        <v>1236</v>
      </c>
      <c r="B4" s="1405" t="s">
        <v>1554</v>
      </c>
      <c r="C4" s="1405" t="s">
        <v>1555</v>
      </c>
      <c r="D4" s="1405" t="s">
        <v>1556</v>
      </c>
      <c r="E4" s="1405" t="s">
        <v>1557</v>
      </c>
      <c r="F4" s="1405" t="s">
        <v>1558</v>
      </c>
    </row>
    <row r="5" spans="1:22" ht="18.75" x14ac:dyDescent="0.3">
      <c r="A5" s="1405">
        <v>2010</v>
      </c>
      <c r="B5" s="1406">
        <v>29749917</v>
      </c>
      <c r="C5" s="1406">
        <v>28110186</v>
      </c>
      <c r="D5" s="1406">
        <v>103652</v>
      </c>
      <c r="E5" s="1406">
        <v>1044921</v>
      </c>
      <c r="F5" s="1406">
        <v>27005147</v>
      </c>
      <c r="I5" s="1403">
        <v>2010</v>
      </c>
      <c r="K5" s="714">
        <f t="shared" ref="K5:K10" si="0">+F5/B5</f>
        <v>0.90773856612776427</v>
      </c>
      <c r="L5" s="1404">
        <f t="shared" ref="L5:L10" si="1">+B5-F5</f>
        <v>2744770</v>
      </c>
      <c r="M5" s="714">
        <f t="shared" ref="M5:M10" si="2">+C5/B5</f>
        <v>0.94488283782438787</v>
      </c>
      <c r="N5" s="1404">
        <f t="shared" ref="N5:N10" si="3">+B5-C5</f>
        <v>1639731</v>
      </c>
      <c r="P5" s="1404"/>
    </row>
    <row r="6" spans="1:22" ht="18.75" x14ac:dyDescent="0.3">
      <c r="A6" s="1405">
        <v>2011</v>
      </c>
      <c r="B6" s="1406">
        <v>31946049</v>
      </c>
      <c r="C6" s="1406">
        <v>31780620</v>
      </c>
      <c r="D6" s="1406">
        <v>97265</v>
      </c>
      <c r="E6" s="1406">
        <v>1064935</v>
      </c>
      <c r="F6" s="1406">
        <v>30933412</v>
      </c>
      <c r="I6" s="1403">
        <v>2011</v>
      </c>
      <c r="J6" s="1407" t="s">
        <v>264</v>
      </c>
      <c r="K6" s="714">
        <f t="shared" si="0"/>
        <v>0.9683016513247068</v>
      </c>
      <c r="L6" s="1404">
        <f t="shared" si="1"/>
        <v>1012637</v>
      </c>
      <c r="M6" s="714">
        <f t="shared" si="2"/>
        <v>0.99482161315159823</v>
      </c>
      <c r="N6" s="1404">
        <f t="shared" si="3"/>
        <v>165429</v>
      </c>
      <c r="P6" s="1404"/>
    </row>
    <row r="7" spans="1:22" ht="18.75" x14ac:dyDescent="0.3">
      <c r="A7" s="1418">
        <v>2012</v>
      </c>
      <c r="B7" s="1420">
        <v>38273987</v>
      </c>
      <c r="C7" s="1420">
        <v>36985222</v>
      </c>
      <c r="D7" s="1420">
        <v>80663</v>
      </c>
      <c r="E7" s="1420">
        <v>1089086</v>
      </c>
      <c r="F7" s="1420">
        <v>35742135</v>
      </c>
      <c r="G7" s="607">
        <f>'WASAC_2012-2015'!H8</f>
        <v>20645689.000000004</v>
      </c>
      <c r="H7" s="232"/>
      <c r="I7" s="1419">
        <v>2012</v>
      </c>
      <c r="K7" s="714">
        <f t="shared" si="0"/>
        <v>0.93384927470451407</v>
      </c>
      <c r="L7" s="1404">
        <f t="shared" si="1"/>
        <v>2531852</v>
      </c>
      <c r="M7" s="714">
        <f t="shared" si="2"/>
        <v>0.96632791352518355</v>
      </c>
      <c r="N7" s="1404">
        <f t="shared" si="3"/>
        <v>1288765</v>
      </c>
      <c r="O7" s="714">
        <f>+G7/B7</f>
        <v>0.53941829995396096</v>
      </c>
      <c r="P7" s="1404">
        <f>+B7-G7</f>
        <v>17628297.999999996</v>
      </c>
      <c r="Q7" s="714">
        <f>+G7/C7</f>
        <v>0.55821454850264263</v>
      </c>
      <c r="R7" s="1404">
        <f>+C7-G7</f>
        <v>16339532.999999996</v>
      </c>
      <c r="S7" s="714">
        <f>+G7/F7</f>
        <v>0.5776288685608737</v>
      </c>
      <c r="T7" s="1404">
        <f>+F7-G7</f>
        <v>15096445.999999996</v>
      </c>
      <c r="U7" s="714">
        <f>+T7/F7</f>
        <v>0.4223711314391263</v>
      </c>
    </row>
    <row r="8" spans="1:22" ht="18.75" x14ac:dyDescent="0.3">
      <c r="A8" s="1418">
        <v>2013</v>
      </c>
      <c r="B8" s="1420">
        <v>41351135</v>
      </c>
      <c r="C8" s="1453">
        <v>40101554</v>
      </c>
      <c r="D8" s="1420">
        <v>82976</v>
      </c>
      <c r="E8" s="1420">
        <v>1100429</v>
      </c>
      <c r="F8" s="1420">
        <v>38588390</v>
      </c>
      <c r="G8" s="607">
        <f>'WASAC_2012-2015'!H13</f>
        <v>21981442</v>
      </c>
      <c r="H8" s="232"/>
      <c r="I8" s="1419">
        <v>2013</v>
      </c>
      <c r="K8" s="714">
        <f t="shared" si="0"/>
        <v>0.93318817004660215</v>
      </c>
      <c r="L8" s="1404">
        <f t="shared" si="1"/>
        <v>2762745</v>
      </c>
      <c r="M8" s="714">
        <f t="shared" si="2"/>
        <v>0.96978121640433812</v>
      </c>
      <c r="N8" s="1404">
        <f t="shared" si="3"/>
        <v>1249581</v>
      </c>
      <c r="O8" s="714">
        <f t="shared" ref="O8:O9" si="4">+G8/B8</f>
        <v>0.53158013679672877</v>
      </c>
      <c r="P8" s="1404">
        <f t="shared" ref="P8:P9" si="5">+B8-G8</f>
        <v>19369693</v>
      </c>
      <c r="Q8" s="714">
        <f t="shared" ref="Q8:Q9" si="6">+G8/C8</f>
        <v>0.54814439360629263</v>
      </c>
      <c r="R8" s="1404">
        <f t="shared" ref="R8:R9" si="7">+C8-G8</f>
        <v>18120112</v>
      </c>
      <c r="S8" s="714">
        <f t="shared" ref="S8:S9" si="8">+G8/F8</f>
        <v>0.56963874367393919</v>
      </c>
      <c r="T8" s="1404">
        <f t="shared" ref="T8:T9" si="9">+F8-G8</f>
        <v>16606948</v>
      </c>
      <c r="U8" s="714">
        <f t="shared" ref="U8:U9" si="10">+T8/F8</f>
        <v>0.43036125632606076</v>
      </c>
    </row>
    <row r="9" spans="1:22" ht="18.75" x14ac:dyDescent="0.3">
      <c r="A9" s="1418">
        <v>2014</v>
      </c>
      <c r="B9" s="1420">
        <v>43509293</v>
      </c>
      <c r="C9" s="1453">
        <v>42198806</v>
      </c>
      <c r="D9" s="1420">
        <v>65003</v>
      </c>
      <c r="E9" s="1420">
        <v>1147325</v>
      </c>
      <c r="F9" s="1420">
        <v>40680362</v>
      </c>
      <c r="G9" s="607">
        <f>'WASAC_2012-2015'!H18</f>
        <v>23481435</v>
      </c>
      <c r="H9" s="232"/>
      <c r="I9" s="1419">
        <v>2014</v>
      </c>
      <c r="K9" s="714">
        <f t="shared" si="0"/>
        <v>0.93498099360060849</v>
      </c>
      <c r="L9" s="1404">
        <f t="shared" si="1"/>
        <v>2828931</v>
      </c>
      <c r="M9" s="714">
        <f t="shared" si="2"/>
        <v>0.96988029660698005</v>
      </c>
      <c r="N9" s="1404">
        <f t="shared" si="3"/>
        <v>1310487</v>
      </c>
      <c r="O9" s="714">
        <f t="shared" si="4"/>
        <v>0.53968780876306122</v>
      </c>
      <c r="P9" s="1404">
        <f t="shared" si="5"/>
        <v>20027858</v>
      </c>
      <c r="Q9" s="714">
        <f t="shared" si="6"/>
        <v>0.55644785305062894</v>
      </c>
      <c r="R9" s="1404">
        <f t="shared" si="7"/>
        <v>18717371</v>
      </c>
      <c r="S9" s="714">
        <f t="shared" si="8"/>
        <v>0.57721794609399002</v>
      </c>
      <c r="T9" s="1404">
        <f t="shared" si="9"/>
        <v>17198927</v>
      </c>
      <c r="U9" s="714">
        <f t="shared" si="10"/>
        <v>0.42278205390600998</v>
      </c>
    </row>
    <row r="10" spans="1:22" ht="20.25" customHeight="1" x14ac:dyDescent="0.3">
      <c r="A10" s="1408" t="s">
        <v>1559</v>
      </c>
      <c r="B10" s="1406">
        <v>36098553</v>
      </c>
      <c r="C10" s="1406">
        <v>35043233</v>
      </c>
      <c r="D10" s="1406">
        <v>48562</v>
      </c>
      <c r="E10" s="1406">
        <v>869806</v>
      </c>
      <c r="F10" s="1406">
        <v>34640288</v>
      </c>
      <c r="I10" s="1403" t="s">
        <v>1560</v>
      </c>
      <c r="K10" s="714">
        <f t="shared" si="0"/>
        <v>0.95960322841749368</v>
      </c>
      <c r="L10" s="1404">
        <f t="shared" si="1"/>
        <v>1458265</v>
      </c>
      <c r="M10" s="714">
        <f t="shared" si="2"/>
        <v>0.97076558719680539</v>
      </c>
      <c r="N10" s="1404">
        <f t="shared" si="3"/>
        <v>1055320</v>
      </c>
      <c r="P10" s="1404"/>
    </row>
    <row r="11" spans="1:22" ht="18.75" x14ac:dyDescent="0.3">
      <c r="A11" s="1405" t="s">
        <v>3</v>
      </c>
      <c r="B11" s="1406">
        <f>SUM(B5:B10)</f>
        <v>220928934</v>
      </c>
      <c r="C11" s="1406">
        <f>SUM(C5:C10)</f>
        <v>214219621</v>
      </c>
      <c r="D11" s="1406">
        <f>SUM(D5:D10)</f>
        <v>478121</v>
      </c>
      <c r="E11" s="1406">
        <f>SUM(E5:E10)</f>
        <v>6316502</v>
      </c>
      <c r="F11" s="1406">
        <f>SUM(F5:F10)</f>
        <v>207589734</v>
      </c>
      <c r="K11" s="714">
        <f t="shared" ref="K11" si="11">+F11/B11</f>
        <v>0.93962221353949049</v>
      </c>
      <c r="L11" s="1404">
        <f t="shared" ref="L11" si="12">+B11-F11</f>
        <v>13339200</v>
      </c>
      <c r="M11" s="714">
        <f t="shared" ref="M11" si="13">+C11/B11</f>
        <v>0.96963135213425689</v>
      </c>
      <c r="N11" s="1404">
        <f t="shared" ref="N11" si="14">+B11-C11</f>
        <v>6709313</v>
      </c>
    </row>
    <row r="12" spans="1:22" ht="18.75" x14ac:dyDescent="0.3">
      <c r="A12" s="1409"/>
      <c r="B12" s="606">
        <f t="shared" ref="B12:C12" si="15">SUM(B7:B9)</f>
        <v>123134415</v>
      </c>
      <c r="C12" s="606">
        <f t="shared" si="15"/>
        <v>119285582</v>
      </c>
      <c r="D12" s="1410"/>
      <c r="E12" s="1410"/>
      <c r="F12" s="606">
        <f>SUM(F7:F9)</f>
        <v>115010887</v>
      </c>
      <c r="G12" s="606">
        <f>SUM(G7:G9)</f>
        <v>66108566</v>
      </c>
      <c r="K12" s="714">
        <f t="shared" ref="K12" si="16">+F12/B12</f>
        <v>0.93402715236028855</v>
      </c>
      <c r="L12" s="1404">
        <f t="shared" ref="L12" si="17">+B12-F12</f>
        <v>8123528</v>
      </c>
      <c r="M12" s="714">
        <f t="shared" ref="M12" si="18">+C12/B12</f>
        <v>0.96874283278155826</v>
      </c>
      <c r="N12" s="1404">
        <f t="shared" ref="N12" si="19">+B12-C12</f>
        <v>3848833</v>
      </c>
      <c r="O12" s="714">
        <f>+G12/B12</f>
        <v>0.53688130974593906</v>
      </c>
      <c r="P12" s="1417">
        <f>+B12-G12</f>
        <v>57025849</v>
      </c>
      <c r="Q12" s="714">
        <f>+G12/C12</f>
        <v>0.55420416190784905</v>
      </c>
      <c r="R12" s="1417">
        <f>+C12-G12</f>
        <v>53177016</v>
      </c>
      <c r="S12" s="714">
        <f>+G12/F12</f>
        <v>0.57480267933243567</v>
      </c>
      <c r="T12" s="1417">
        <f>+F12-G12</f>
        <v>48902321</v>
      </c>
      <c r="U12" s="714">
        <f t="shared" ref="U12" si="20">+T12/F12</f>
        <v>0.42519732066756427</v>
      </c>
    </row>
    <row r="13" spans="1:22" ht="18.75" x14ac:dyDescent="0.3">
      <c r="A13" s="1409"/>
      <c r="B13" s="1410"/>
      <c r="C13" s="1410"/>
      <c r="D13" s="1410"/>
      <c r="E13" s="1410"/>
      <c r="F13" s="1410"/>
    </row>
    <row r="16" spans="1:22" ht="17.25" x14ac:dyDescent="0.25">
      <c r="K16" s="1411" t="s">
        <v>1579</v>
      </c>
    </row>
    <row r="34" spans="11:11" x14ac:dyDescent="0.25">
      <c r="K34" s="1411" t="s">
        <v>1561</v>
      </c>
    </row>
    <row r="35" spans="11:11" ht="17.25" x14ac:dyDescent="0.25">
      <c r="K35" s="1411" t="s">
        <v>1562</v>
      </c>
    </row>
    <row r="38" spans="11:11" ht="17.25" x14ac:dyDescent="0.25">
      <c r="K38" s="1411" t="s">
        <v>1563</v>
      </c>
    </row>
    <row r="55" spans="11:11" x14ac:dyDescent="0.25">
      <c r="K55" s="1411" t="s">
        <v>1561</v>
      </c>
    </row>
    <row r="56" spans="11:11" ht="17.25" x14ac:dyDescent="0.25">
      <c r="K56" s="1411" t="s">
        <v>1564</v>
      </c>
    </row>
  </sheetData>
  <mergeCells count="1">
    <mergeCell ref="A3:F3"/>
  </mergeCells>
  <pageMargins left="0.51181102362204722" right="0.51181102362204722" top="0.74803149606299213" bottom="0.74803149606299213" header="0.31496062992125984" footer="0.31496062992125984"/>
  <pageSetup paperSize="9" scale="26" orientation="landscape" r:id="rId1"/>
  <headerFooter>
    <oddHeader>&amp;L&amp;F    &amp;&amp;&amp;A&amp;C
&amp;D&amp;RPage &amp;P of &amp;N</oddHead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27"/>
  <sheetViews>
    <sheetView workbookViewId="0">
      <pane xSplit="3" ySplit="6" topLeftCell="D7" activePane="bottomRight" state="frozen"/>
      <selection activeCell="Y26" sqref="Y26"/>
      <selection pane="topRight" activeCell="Y26" sqref="Y26"/>
      <selection pane="bottomLeft" activeCell="Y26" sqref="Y26"/>
      <selection pane="bottomRight" activeCell="Y26" sqref="Y26"/>
    </sheetView>
  </sheetViews>
  <sheetFormatPr defaultRowHeight="15" x14ac:dyDescent="0.25"/>
  <cols>
    <col min="2" max="2" width="21.85546875" customWidth="1"/>
    <col min="3" max="3" width="20.28515625" customWidth="1"/>
    <col min="4" max="4" width="13" customWidth="1"/>
    <col min="5" max="5" width="11.140625" customWidth="1"/>
    <col min="6" max="6" width="10.85546875" customWidth="1"/>
    <col min="7" max="7" width="11" customWidth="1"/>
    <col min="8" max="8" width="11.28515625" customWidth="1"/>
    <col min="11" max="11" width="21.5703125" customWidth="1"/>
    <col min="12" max="12" width="16.5703125" bestFit="1" customWidth="1"/>
    <col min="13" max="17" width="9.85546875" bestFit="1" customWidth="1"/>
    <col min="258" max="258" width="20.5703125" customWidth="1"/>
    <col min="259" max="259" width="20.28515625" customWidth="1"/>
    <col min="260" max="260" width="13" customWidth="1"/>
    <col min="261" max="261" width="11.140625" customWidth="1"/>
    <col min="262" max="262" width="10.85546875" customWidth="1"/>
    <col min="263" max="263" width="11" customWidth="1"/>
    <col min="264" max="264" width="11.28515625" customWidth="1"/>
    <col min="514" max="514" width="20.5703125" customWidth="1"/>
    <col min="515" max="515" width="20.28515625" customWidth="1"/>
    <col min="516" max="516" width="13" customWidth="1"/>
    <col min="517" max="517" width="11.140625" customWidth="1"/>
    <col min="518" max="518" width="10.85546875" customWidth="1"/>
    <col min="519" max="519" width="11" customWidth="1"/>
    <col min="520" max="520" width="11.28515625" customWidth="1"/>
    <col min="770" max="770" width="20.5703125" customWidth="1"/>
    <col min="771" max="771" width="20.28515625" customWidth="1"/>
    <col min="772" max="772" width="13" customWidth="1"/>
    <col min="773" max="773" width="11.140625" customWidth="1"/>
    <col min="774" max="774" width="10.85546875" customWidth="1"/>
    <col min="775" max="775" width="11" customWidth="1"/>
    <col min="776" max="776" width="11.28515625" customWidth="1"/>
    <col min="1026" max="1026" width="20.5703125" customWidth="1"/>
    <col min="1027" max="1027" width="20.28515625" customWidth="1"/>
    <col min="1028" max="1028" width="13" customWidth="1"/>
    <col min="1029" max="1029" width="11.140625" customWidth="1"/>
    <col min="1030" max="1030" width="10.85546875" customWidth="1"/>
    <col min="1031" max="1031" width="11" customWidth="1"/>
    <col min="1032" max="1032" width="11.28515625" customWidth="1"/>
    <col min="1282" max="1282" width="20.5703125" customWidth="1"/>
    <col min="1283" max="1283" width="20.28515625" customWidth="1"/>
    <col min="1284" max="1284" width="13" customWidth="1"/>
    <col min="1285" max="1285" width="11.140625" customWidth="1"/>
    <col min="1286" max="1286" width="10.85546875" customWidth="1"/>
    <col min="1287" max="1287" width="11" customWidth="1"/>
    <col min="1288" max="1288" width="11.28515625" customWidth="1"/>
    <col min="1538" max="1538" width="20.5703125" customWidth="1"/>
    <col min="1539" max="1539" width="20.28515625" customWidth="1"/>
    <col min="1540" max="1540" width="13" customWidth="1"/>
    <col min="1541" max="1541" width="11.140625" customWidth="1"/>
    <col min="1542" max="1542" width="10.85546875" customWidth="1"/>
    <col min="1543" max="1543" width="11" customWidth="1"/>
    <col min="1544" max="1544" width="11.28515625" customWidth="1"/>
    <col min="1794" max="1794" width="20.5703125" customWidth="1"/>
    <col min="1795" max="1795" width="20.28515625" customWidth="1"/>
    <col min="1796" max="1796" width="13" customWidth="1"/>
    <col min="1797" max="1797" width="11.140625" customWidth="1"/>
    <col min="1798" max="1798" width="10.85546875" customWidth="1"/>
    <col min="1799" max="1799" width="11" customWidth="1"/>
    <col min="1800" max="1800" width="11.28515625" customWidth="1"/>
    <col min="2050" max="2050" width="20.5703125" customWidth="1"/>
    <col min="2051" max="2051" width="20.28515625" customWidth="1"/>
    <col min="2052" max="2052" width="13" customWidth="1"/>
    <col min="2053" max="2053" width="11.140625" customWidth="1"/>
    <col min="2054" max="2054" width="10.85546875" customWidth="1"/>
    <col min="2055" max="2055" width="11" customWidth="1"/>
    <col min="2056" max="2056" width="11.28515625" customWidth="1"/>
    <col min="2306" max="2306" width="20.5703125" customWidth="1"/>
    <col min="2307" max="2307" width="20.28515625" customWidth="1"/>
    <col min="2308" max="2308" width="13" customWidth="1"/>
    <col min="2309" max="2309" width="11.140625" customWidth="1"/>
    <col min="2310" max="2310" width="10.85546875" customWidth="1"/>
    <col min="2311" max="2311" width="11" customWidth="1"/>
    <col min="2312" max="2312" width="11.28515625" customWidth="1"/>
    <col min="2562" max="2562" width="20.5703125" customWidth="1"/>
    <col min="2563" max="2563" width="20.28515625" customWidth="1"/>
    <col min="2564" max="2564" width="13" customWidth="1"/>
    <col min="2565" max="2565" width="11.140625" customWidth="1"/>
    <col min="2566" max="2566" width="10.85546875" customWidth="1"/>
    <col min="2567" max="2567" width="11" customWidth="1"/>
    <col min="2568" max="2568" width="11.28515625" customWidth="1"/>
    <col min="2818" max="2818" width="20.5703125" customWidth="1"/>
    <col min="2819" max="2819" width="20.28515625" customWidth="1"/>
    <col min="2820" max="2820" width="13" customWidth="1"/>
    <col min="2821" max="2821" width="11.140625" customWidth="1"/>
    <col min="2822" max="2822" width="10.85546875" customWidth="1"/>
    <col min="2823" max="2823" width="11" customWidth="1"/>
    <col min="2824" max="2824" width="11.28515625" customWidth="1"/>
    <col min="3074" max="3074" width="20.5703125" customWidth="1"/>
    <col min="3075" max="3075" width="20.28515625" customWidth="1"/>
    <col min="3076" max="3076" width="13" customWidth="1"/>
    <col min="3077" max="3077" width="11.140625" customWidth="1"/>
    <col min="3078" max="3078" width="10.85546875" customWidth="1"/>
    <col min="3079" max="3079" width="11" customWidth="1"/>
    <col min="3080" max="3080" width="11.28515625" customWidth="1"/>
    <col min="3330" max="3330" width="20.5703125" customWidth="1"/>
    <col min="3331" max="3331" width="20.28515625" customWidth="1"/>
    <col min="3332" max="3332" width="13" customWidth="1"/>
    <col min="3333" max="3333" width="11.140625" customWidth="1"/>
    <col min="3334" max="3334" width="10.85546875" customWidth="1"/>
    <col min="3335" max="3335" width="11" customWidth="1"/>
    <col min="3336" max="3336" width="11.28515625" customWidth="1"/>
    <col min="3586" max="3586" width="20.5703125" customWidth="1"/>
    <col min="3587" max="3587" width="20.28515625" customWidth="1"/>
    <col min="3588" max="3588" width="13" customWidth="1"/>
    <col min="3589" max="3589" width="11.140625" customWidth="1"/>
    <col min="3590" max="3590" width="10.85546875" customWidth="1"/>
    <col min="3591" max="3591" width="11" customWidth="1"/>
    <col min="3592" max="3592" width="11.28515625" customWidth="1"/>
    <col min="3842" max="3842" width="20.5703125" customWidth="1"/>
    <col min="3843" max="3843" width="20.28515625" customWidth="1"/>
    <col min="3844" max="3844" width="13" customWidth="1"/>
    <col min="3845" max="3845" width="11.140625" customWidth="1"/>
    <col min="3846" max="3846" width="10.85546875" customWidth="1"/>
    <col min="3847" max="3847" width="11" customWidth="1"/>
    <col min="3848" max="3848" width="11.28515625" customWidth="1"/>
    <col min="4098" max="4098" width="20.5703125" customWidth="1"/>
    <col min="4099" max="4099" width="20.28515625" customWidth="1"/>
    <col min="4100" max="4100" width="13" customWidth="1"/>
    <col min="4101" max="4101" width="11.140625" customWidth="1"/>
    <col min="4102" max="4102" width="10.85546875" customWidth="1"/>
    <col min="4103" max="4103" width="11" customWidth="1"/>
    <col min="4104" max="4104" width="11.28515625" customWidth="1"/>
    <col min="4354" max="4354" width="20.5703125" customWidth="1"/>
    <col min="4355" max="4355" width="20.28515625" customWidth="1"/>
    <col min="4356" max="4356" width="13" customWidth="1"/>
    <col min="4357" max="4357" width="11.140625" customWidth="1"/>
    <col min="4358" max="4358" width="10.85546875" customWidth="1"/>
    <col min="4359" max="4359" width="11" customWidth="1"/>
    <col min="4360" max="4360" width="11.28515625" customWidth="1"/>
    <col min="4610" max="4610" width="20.5703125" customWidth="1"/>
    <col min="4611" max="4611" width="20.28515625" customWidth="1"/>
    <col min="4612" max="4612" width="13" customWidth="1"/>
    <col min="4613" max="4613" width="11.140625" customWidth="1"/>
    <col min="4614" max="4614" width="10.85546875" customWidth="1"/>
    <col min="4615" max="4615" width="11" customWidth="1"/>
    <col min="4616" max="4616" width="11.28515625" customWidth="1"/>
    <col min="4866" max="4866" width="20.5703125" customWidth="1"/>
    <col min="4867" max="4867" width="20.28515625" customWidth="1"/>
    <col min="4868" max="4868" width="13" customWidth="1"/>
    <col min="4869" max="4869" width="11.140625" customWidth="1"/>
    <col min="4870" max="4870" width="10.85546875" customWidth="1"/>
    <col min="4871" max="4871" width="11" customWidth="1"/>
    <col min="4872" max="4872" width="11.28515625" customWidth="1"/>
    <col min="5122" max="5122" width="20.5703125" customWidth="1"/>
    <col min="5123" max="5123" width="20.28515625" customWidth="1"/>
    <col min="5124" max="5124" width="13" customWidth="1"/>
    <col min="5125" max="5125" width="11.140625" customWidth="1"/>
    <col min="5126" max="5126" width="10.85546875" customWidth="1"/>
    <col min="5127" max="5127" width="11" customWidth="1"/>
    <col min="5128" max="5128" width="11.28515625" customWidth="1"/>
    <col min="5378" max="5378" width="20.5703125" customWidth="1"/>
    <col min="5379" max="5379" width="20.28515625" customWidth="1"/>
    <col min="5380" max="5380" width="13" customWidth="1"/>
    <col min="5381" max="5381" width="11.140625" customWidth="1"/>
    <col min="5382" max="5382" width="10.85546875" customWidth="1"/>
    <col min="5383" max="5383" width="11" customWidth="1"/>
    <col min="5384" max="5384" width="11.28515625" customWidth="1"/>
    <col min="5634" max="5634" width="20.5703125" customWidth="1"/>
    <col min="5635" max="5635" width="20.28515625" customWidth="1"/>
    <col min="5636" max="5636" width="13" customWidth="1"/>
    <col min="5637" max="5637" width="11.140625" customWidth="1"/>
    <col min="5638" max="5638" width="10.85546875" customWidth="1"/>
    <col min="5639" max="5639" width="11" customWidth="1"/>
    <col min="5640" max="5640" width="11.28515625" customWidth="1"/>
    <col min="5890" max="5890" width="20.5703125" customWidth="1"/>
    <col min="5891" max="5891" width="20.28515625" customWidth="1"/>
    <col min="5892" max="5892" width="13" customWidth="1"/>
    <col min="5893" max="5893" width="11.140625" customWidth="1"/>
    <col min="5894" max="5894" width="10.85546875" customWidth="1"/>
    <col min="5895" max="5895" width="11" customWidth="1"/>
    <col min="5896" max="5896" width="11.28515625" customWidth="1"/>
    <col min="6146" max="6146" width="20.5703125" customWidth="1"/>
    <col min="6147" max="6147" width="20.28515625" customWidth="1"/>
    <col min="6148" max="6148" width="13" customWidth="1"/>
    <col min="6149" max="6149" width="11.140625" customWidth="1"/>
    <col min="6150" max="6150" width="10.85546875" customWidth="1"/>
    <col min="6151" max="6151" width="11" customWidth="1"/>
    <col min="6152" max="6152" width="11.28515625" customWidth="1"/>
    <col min="6402" max="6402" width="20.5703125" customWidth="1"/>
    <col min="6403" max="6403" width="20.28515625" customWidth="1"/>
    <col min="6404" max="6404" width="13" customWidth="1"/>
    <col min="6405" max="6405" width="11.140625" customWidth="1"/>
    <col min="6406" max="6406" width="10.85546875" customWidth="1"/>
    <col min="6407" max="6407" width="11" customWidth="1"/>
    <col min="6408" max="6408" width="11.28515625" customWidth="1"/>
    <col min="6658" max="6658" width="20.5703125" customWidth="1"/>
    <col min="6659" max="6659" width="20.28515625" customWidth="1"/>
    <col min="6660" max="6660" width="13" customWidth="1"/>
    <col min="6661" max="6661" width="11.140625" customWidth="1"/>
    <col min="6662" max="6662" width="10.85546875" customWidth="1"/>
    <col min="6663" max="6663" width="11" customWidth="1"/>
    <col min="6664" max="6664" width="11.28515625" customWidth="1"/>
    <col min="6914" max="6914" width="20.5703125" customWidth="1"/>
    <col min="6915" max="6915" width="20.28515625" customWidth="1"/>
    <col min="6916" max="6916" width="13" customWidth="1"/>
    <col min="6917" max="6917" width="11.140625" customWidth="1"/>
    <col min="6918" max="6918" width="10.85546875" customWidth="1"/>
    <col min="6919" max="6919" width="11" customWidth="1"/>
    <col min="6920" max="6920" width="11.28515625" customWidth="1"/>
    <col min="7170" max="7170" width="20.5703125" customWidth="1"/>
    <col min="7171" max="7171" width="20.28515625" customWidth="1"/>
    <col min="7172" max="7172" width="13" customWidth="1"/>
    <col min="7173" max="7173" width="11.140625" customWidth="1"/>
    <col min="7174" max="7174" width="10.85546875" customWidth="1"/>
    <col min="7175" max="7175" width="11" customWidth="1"/>
    <col min="7176" max="7176" width="11.28515625" customWidth="1"/>
    <col min="7426" max="7426" width="20.5703125" customWidth="1"/>
    <col min="7427" max="7427" width="20.28515625" customWidth="1"/>
    <col min="7428" max="7428" width="13" customWidth="1"/>
    <col min="7429" max="7429" width="11.140625" customWidth="1"/>
    <col min="7430" max="7430" width="10.85546875" customWidth="1"/>
    <col min="7431" max="7431" width="11" customWidth="1"/>
    <col min="7432" max="7432" width="11.28515625" customWidth="1"/>
    <col min="7682" max="7682" width="20.5703125" customWidth="1"/>
    <col min="7683" max="7683" width="20.28515625" customWidth="1"/>
    <col min="7684" max="7684" width="13" customWidth="1"/>
    <col min="7685" max="7685" width="11.140625" customWidth="1"/>
    <col min="7686" max="7686" width="10.85546875" customWidth="1"/>
    <col min="7687" max="7687" width="11" customWidth="1"/>
    <col min="7688" max="7688" width="11.28515625" customWidth="1"/>
    <col min="7938" max="7938" width="20.5703125" customWidth="1"/>
    <col min="7939" max="7939" width="20.28515625" customWidth="1"/>
    <col min="7940" max="7940" width="13" customWidth="1"/>
    <col min="7941" max="7941" width="11.140625" customWidth="1"/>
    <col min="7942" max="7942" width="10.85546875" customWidth="1"/>
    <col min="7943" max="7943" width="11" customWidth="1"/>
    <col min="7944" max="7944" width="11.28515625" customWidth="1"/>
    <col min="8194" max="8194" width="20.5703125" customWidth="1"/>
    <col min="8195" max="8195" width="20.28515625" customWidth="1"/>
    <col min="8196" max="8196" width="13" customWidth="1"/>
    <col min="8197" max="8197" width="11.140625" customWidth="1"/>
    <col min="8198" max="8198" width="10.85546875" customWidth="1"/>
    <col min="8199" max="8199" width="11" customWidth="1"/>
    <col min="8200" max="8200" width="11.28515625" customWidth="1"/>
    <col min="8450" max="8450" width="20.5703125" customWidth="1"/>
    <col min="8451" max="8451" width="20.28515625" customWidth="1"/>
    <col min="8452" max="8452" width="13" customWidth="1"/>
    <col min="8453" max="8453" width="11.140625" customWidth="1"/>
    <col min="8454" max="8454" width="10.85546875" customWidth="1"/>
    <col min="8455" max="8455" width="11" customWidth="1"/>
    <col min="8456" max="8456" width="11.28515625" customWidth="1"/>
    <col min="8706" max="8706" width="20.5703125" customWidth="1"/>
    <col min="8707" max="8707" width="20.28515625" customWidth="1"/>
    <col min="8708" max="8708" width="13" customWidth="1"/>
    <col min="8709" max="8709" width="11.140625" customWidth="1"/>
    <col min="8710" max="8710" width="10.85546875" customWidth="1"/>
    <col min="8711" max="8711" width="11" customWidth="1"/>
    <col min="8712" max="8712" width="11.28515625" customWidth="1"/>
    <col min="8962" max="8962" width="20.5703125" customWidth="1"/>
    <col min="8963" max="8963" width="20.28515625" customWidth="1"/>
    <col min="8964" max="8964" width="13" customWidth="1"/>
    <col min="8965" max="8965" width="11.140625" customWidth="1"/>
    <col min="8966" max="8966" width="10.85546875" customWidth="1"/>
    <col min="8967" max="8967" width="11" customWidth="1"/>
    <col min="8968" max="8968" width="11.28515625" customWidth="1"/>
    <col min="9218" max="9218" width="20.5703125" customWidth="1"/>
    <col min="9219" max="9219" width="20.28515625" customWidth="1"/>
    <col min="9220" max="9220" width="13" customWidth="1"/>
    <col min="9221" max="9221" width="11.140625" customWidth="1"/>
    <col min="9222" max="9222" width="10.85546875" customWidth="1"/>
    <col min="9223" max="9223" width="11" customWidth="1"/>
    <col min="9224" max="9224" width="11.28515625" customWidth="1"/>
    <col min="9474" max="9474" width="20.5703125" customWidth="1"/>
    <col min="9475" max="9475" width="20.28515625" customWidth="1"/>
    <col min="9476" max="9476" width="13" customWidth="1"/>
    <col min="9477" max="9477" width="11.140625" customWidth="1"/>
    <col min="9478" max="9478" width="10.85546875" customWidth="1"/>
    <col min="9479" max="9479" width="11" customWidth="1"/>
    <col min="9480" max="9480" width="11.28515625" customWidth="1"/>
    <col min="9730" max="9730" width="20.5703125" customWidth="1"/>
    <col min="9731" max="9731" width="20.28515625" customWidth="1"/>
    <col min="9732" max="9732" width="13" customWidth="1"/>
    <col min="9733" max="9733" width="11.140625" customWidth="1"/>
    <col min="9734" max="9734" width="10.85546875" customWidth="1"/>
    <col min="9735" max="9735" width="11" customWidth="1"/>
    <col min="9736" max="9736" width="11.28515625" customWidth="1"/>
    <col min="9986" max="9986" width="20.5703125" customWidth="1"/>
    <col min="9987" max="9987" width="20.28515625" customWidth="1"/>
    <col min="9988" max="9988" width="13" customWidth="1"/>
    <col min="9989" max="9989" width="11.140625" customWidth="1"/>
    <col min="9990" max="9990" width="10.85546875" customWidth="1"/>
    <col min="9991" max="9991" width="11" customWidth="1"/>
    <col min="9992" max="9992" width="11.28515625" customWidth="1"/>
    <col min="10242" max="10242" width="20.5703125" customWidth="1"/>
    <col min="10243" max="10243" width="20.28515625" customWidth="1"/>
    <col min="10244" max="10244" width="13" customWidth="1"/>
    <col min="10245" max="10245" width="11.140625" customWidth="1"/>
    <col min="10246" max="10246" width="10.85546875" customWidth="1"/>
    <col min="10247" max="10247" width="11" customWidth="1"/>
    <col min="10248" max="10248" width="11.28515625" customWidth="1"/>
    <col min="10498" max="10498" width="20.5703125" customWidth="1"/>
    <col min="10499" max="10499" width="20.28515625" customWidth="1"/>
    <col min="10500" max="10500" width="13" customWidth="1"/>
    <col min="10501" max="10501" width="11.140625" customWidth="1"/>
    <col min="10502" max="10502" width="10.85546875" customWidth="1"/>
    <col min="10503" max="10503" width="11" customWidth="1"/>
    <col min="10504" max="10504" width="11.28515625" customWidth="1"/>
    <col min="10754" max="10754" width="20.5703125" customWidth="1"/>
    <col min="10755" max="10755" width="20.28515625" customWidth="1"/>
    <col min="10756" max="10756" width="13" customWidth="1"/>
    <col min="10757" max="10757" width="11.140625" customWidth="1"/>
    <col min="10758" max="10758" width="10.85546875" customWidth="1"/>
    <col min="10759" max="10759" width="11" customWidth="1"/>
    <col min="10760" max="10760" width="11.28515625" customWidth="1"/>
    <col min="11010" max="11010" width="20.5703125" customWidth="1"/>
    <col min="11011" max="11011" width="20.28515625" customWidth="1"/>
    <col min="11012" max="11012" width="13" customWidth="1"/>
    <col min="11013" max="11013" width="11.140625" customWidth="1"/>
    <col min="11014" max="11014" width="10.85546875" customWidth="1"/>
    <col min="11015" max="11015" width="11" customWidth="1"/>
    <col min="11016" max="11016" width="11.28515625" customWidth="1"/>
    <col min="11266" max="11266" width="20.5703125" customWidth="1"/>
    <col min="11267" max="11267" width="20.28515625" customWidth="1"/>
    <col min="11268" max="11268" width="13" customWidth="1"/>
    <col min="11269" max="11269" width="11.140625" customWidth="1"/>
    <col min="11270" max="11270" width="10.85546875" customWidth="1"/>
    <col min="11271" max="11271" width="11" customWidth="1"/>
    <col min="11272" max="11272" width="11.28515625" customWidth="1"/>
    <col min="11522" max="11522" width="20.5703125" customWidth="1"/>
    <col min="11523" max="11523" width="20.28515625" customWidth="1"/>
    <col min="11524" max="11524" width="13" customWidth="1"/>
    <col min="11525" max="11525" width="11.140625" customWidth="1"/>
    <col min="11526" max="11526" width="10.85546875" customWidth="1"/>
    <col min="11527" max="11527" width="11" customWidth="1"/>
    <col min="11528" max="11528" width="11.28515625" customWidth="1"/>
    <col min="11778" max="11778" width="20.5703125" customWidth="1"/>
    <col min="11779" max="11779" width="20.28515625" customWidth="1"/>
    <col min="11780" max="11780" width="13" customWidth="1"/>
    <col min="11781" max="11781" width="11.140625" customWidth="1"/>
    <col min="11782" max="11782" width="10.85546875" customWidth="1"/>
    <col min="11783" max="11783" width="11" customWidth="1"/>
    <col min="11784" max="11784" width="11.28515625" customWidth="1"/>
    <col min="12034" max="12034" width="20.5703125" customWidth="1"/>
    <col min="12035" max="12035" width="20.28515625" customWidth="1"/>
    <col min="12036" max="12036" width="13" customWidth="1"/>
    <col min="12037" max="12037" width="11.140625" customWidth="1"/>
    <col min="12038" max="12038" width="10.85546875" customWidth="1"/>
    <col min="12039" max="12039" width="11" customWidth="1"/>
    <col min="12040" max="12040" width="11.28515625" customWidth="1"/>
    <col min="12290" max="12290" width="20.5703125" customWidth="1"/>
    <col min="12291" max="12291" width="20.28515625" customWidth="1"/>
    <col min="12292" max="12292" width="13" customWidth="1"/>
    <col min="12293" max="12293" width="11.140625" customWidth="1"/>
    <col min="12294" max="12294" width="10.85546875" customWidth="1"/>
    <col min="12295" max="12295" width="11" customWidth="1"/>
    <col min="12296" max="12296" width="11.28515625" customWidth="1"/>
    <col min="12546" max="12546" width="20.5703125" customWidth="1"/>
    <col min="12547" max="12547" width="20.28515625" customWidth="1"/>
    <col min="12548" max="12548" width="13" customWidth="1"/>
    <col min="12549" max="12549" width="11.140625" customWidth="1"/>
    <col min="12550" max="12550" width="10.85546875" customWidth="1"/>
    <col min="12551" max="12551" width="11" customWidth="1"/>
    <col min="12552" max="12552" width="11.28515625" customWidth="1"/>
    <col min="12802" max="12802" width="20.5703125" customWidth="1"/>
    <col min="12803" max="12803" width="20.28515625" customWidth="1"/>
    <col min="12804" max="12804" width="13" customWidth="1"/>
    <col min="12805" max="12805" width="11.140625" customWidth="1"/>
    <col min="12806" max="12806" width="10.85546875" customWidth="1"/>
    <col min="12807" max="12807" width="11" customWidth="1"/>
    <col min="12808" max="12808" width="11.28515625" customWidth="1"/>
    <col min="13058" max="13058" width="20.5703125" customWidth="1"/>
    <col min="13059" max="13059" width="20.28515625" customWidth="1"/>
    <col min="13060" max="13060" width="13" customWidth="1"/>
    <col min="13061" max="13061" width="11.140625" customWidth="1"/>
    <col min="13062" max="13062" width="10.85546875" customWidth="1"/>
    <col min="13063" max="13063" width="11" customWidth="1"/>
    <col min="13064" max="13064" width="11.28515625" customWidth="1"/>
    <col min="13314" max="13314" width="20.5703125" customWidth="1"/>
    <col min="13315" max="13315" width="20.28515625" customWidth="1"/>
    <col min="13316" max="13316" width="13" customWidth="1"/>
    <col min="13317" max="13317" width="11.140625" customWidth="1"/>
    <col min="13318" max="13318" width="10.85546875" customWidth="1"/>
    <col min="13319" max="13319" width="11" customWidth="1"/>
    <col min="13320" max="13320" width="11.28515625" customWidth="1"/>
    <col min="13570" max="13570" width="20.5703125" customWidth="1"/>
    <col min="13571" max="13571" width="20.28515625" customWidth="1"/>
    <col min="13572" max="13572" width="13" customWidth="1"/>
    <col min="13573" max="13573" width="11.140625" customWidth="1"/>
    <col min="13574" max="13574" width="10.85546875" customWidth="1"/>
    <col min="13575" max="13575" width="11" customWidth="1"/>
    <col min="13576" max="13576" width="11.28515625" customWidth="1"/>
    <col min="13826" max="13826" width="20.5703125" customWidth="1"/>
    <col min="13827" max="13827" width="20.28515625" customWidth="1"/>
    <col min="13828" max="13828" width="13" customWidth="1"/>
    <col min="13829" max="13829" width="11.140625" customWidth="1"/>
    <col min="13830" max="13830" width="10.85546875" customWidth="1"/>
    <col min="13831" max="13831" width="11" customWidth="1"/>
    <col min="13832" max="13832" width="11.28515625" customWidth="1"/>
    <col min="14082" max="14082" width="20.5703125" customWidth="1"/>
    <col min="14083" max="14083" width="20.28515625" customWidth="1"/>
    <col min="14084" max="14084" width="13" customWidth="1"/>
    <col min="14085" max="14085" width="11.140625" customWidth="1"/>
    <col min="14086" max="14086" width="10.85546875" customWidth="1"/>
    <col min="14087" max="14087" width="11" customWidth="1"/>
    <col min="14088" max="14088" width="11.28515625" customWidth="1"/>
    <col min="14338" max="14338" width="20.5703125" customWidth="1"/>
    <col min="14339" max="14339" width="20.28515625" customWidth="1"/>
    <col min="14340" max="14340" width="13" customWidth="1"/>
    <col min="14341" max="14341" width="11.140625" customWidth="1"/>
    <col min="14342" max="14342" width="10.85546875" customWidth="1"/>
    <col min="14343" max="14343" width="11" customWidth="1"/>
    <col min="14344" max="14344" width="11.28515625" customWidth="1"/>
    <col min="14594" max="14594" width="20.5703125" customWidth="1"/>
    <col min="14595" max="14595" width="20.28515625" customWidth="1"/>
    <col min="14596" max="14596" width="13" customWidth="1"/>
    <col min="14597" max="14597" width="11.140625" customWidth="1"/>
    <col min="14598" max="14598" width="10.85546875" customWidth="1"/>
    <col min="14599" max="14599" width="11" customWidth="1"/>
    <col min="14600" max="14600" width="11.28515625" customWidth="1"/>
    <col min="14850" max="14850" width="20.5703125" customWidth="1"/>
    <col min="14851" max="14851" width="20.28515625" customWidth="1"/>
    <col min="14852" max="14852" width="13" customWidth="1"/>
    <col min="14853" max="14853" width="11.140625" customWidth="1"/>
    <col min="14854" max="14854" width="10.85546875" customWidth="1"/>
    <col min="14855" max="14855" width="11" customWidth="1"/>
    <col min="14856" max="14856" width="11.28515625" customWidth="1"/>
    <col min="15106" max="15106" width="20.5703125" customWidth="1"/>
    <col min="15107" max="15107" width="20.28515625" customWidth="1"/>
    <col min="15108" max="15108" width="13" customWidth="1"/>
    <col min="15109" max="15109" width="11.140625" customWidth="1"/>
    <col min="15110" max="15110" width="10.85546875" customWidth="1"/>
    <col min="15111" max="15111" width="11" customWidth="1"/>
    <col min="15112" max="15112" width="11.28515625" customWidth="1"/>
    <col min="15362" max="15362" width="20.5703125" customWidth="1"/>
    <col min="15363" max="15363" width="20.28515625" customWidth="1"/>
    <col min="15364" max="15364" width="13" customWidth="1"/>
    <col min="15365" max="15365" width="11.140625" customWidth="1"/>
    <col min="15366" max="15366" width="10.85546875" customWidth="1"/>
    <col min="15367" max="15367" width="11" customWidth="1"/>
    <col min="15368" max="15368" width="11.28515625" customWidth="1"/>
    <col min="15618" max="15618" width="20.5703125" customWidth="1"/>
    <col min="15619" max="15619" width="20.28515625" customWidth="1"/>
    <col min="15620" max="15620" width="13" customWidth="1"/>
    <col min="15621" max="15621" width="11.140625" customWidth="1"/>
    <col min="15622" max="15622" width="10.85546875" customWidth="1"/>
    <col min="15623" max="15623" width="11" customWidth="1"/>
    <col min="15624" max="15624" width="11.28515625" customWidth="1"/>
    <col min="15874" max="15874" width="20.5703125" customWidth="1"/>
    <col min="15875" max="15875" width="20.28515625" customWidth="1"/>
    <col min="15876" max="15876" width="13" customWidth="1"/>
    <col min="15877" max="15877" width="11.140625" customWidth="1"/>
    <col min="15878" max="15878" width="10.85546875" customWidth="1"/>
    <col min="15879" max="15879" width="11" customWidth="1"/>
    <col min="15880" max="15880" width="11.28515625" customWidth="1"/>
    <col min="16130" max="16130" width="20.5703125" customWidth="1"/>
    <col min="16131" max="16131" width="20.28515625" customWidth="1"/>
    <col min="16132" max="16132" width="13" customWidth="1"/>
    <col min="16133" max="16133" width="11.140625" customWidth="1"/>
    <col min="16134" max="16134" width="10.85546875" customWidth="1"/>
    <col min="16135" max="16135" width="11" customWidth="1"/>
    <col min="16136" max="16136" width="11.28515625" customWidth="1"/>
  </cols>
  <sheetData>
    <row r="1" spans="2:19" x14ac:dyDescent="0.25">
      <c r="B1" s="187" t="s">
        <v>1632</v>
      </c>
      <c r="K1" s="187" t="s">
        <v>1631</v>
      </c>
    </row>
    <row r="4" spans="2:19" ht="16.5" x14ac:dyDescent="0.3">
      <c r="B4" s="1443" t="s">
        <v>1589</v>
      </c>
      <c r="C4" s="299"/>
      <c r="D4" s="299"/>
      <c r="E4" s="299"/>
      <c r="F4" s="299"/>
      <c r="G4" s="299"/>
      <c r="H4" s="299"/>
      <c r="K4" s="1456" t="s">
        <v>1629</v>
      </c>
    </row>
    <row r="5" spans="2:19" ht="17.25" thickBot="1" x14ac:dyDescent="0.35">
      <c r="B5" s="1443" t="s">
        <v>1590</v>
      </c>
      <c r="C5" s="299"/>
      <c r="D5" s="299"/>
      <c r="E5" s="299"/>
      <c r="F5" s="299"/>
      <c r="G5" s="299"/>
      <c r="H5" s="299"/>
    </row>
    <row r="6" spans="2:19" ht="17.25" customHeight="1" thickBot="1" x14ac:dyDescent="0.35">
      <c r="B6" s="1444" t="s">
        <v>1591</v>
      </c>
      <c r="C6" s="1445" t="s">
        <v>1592</v>
      </c>
      <c r="D6" s="1446">
        <v>2010</v>
      </c>
      <c r="E6" s="1446">
        <v>2011</v>
      </c>
      <c r="F6" s="1446">
        <v>2012</v>
      </c>
      <c r="G6" s="1446">
        <v>2013</v>
      </c>
      <c r="H6" s="1446">
        <v>2014</v>
      </c>
      <c r="K6" s="1457" t="s">
        <v>1630</v>
      </c>
      <c r="L6" s="1458" t="s">
        <v>831</v>
      </c>
      <c r="M6" s="1459">
        <v>2011</v>
      </c>
      <c r="N6" s="1459">
        <v>2012</v>
      </c>
      <c r="O6" s="1459">
        <v>2013</v>
      </c>
      <c r="P6" s="1460">
        <v>2014</v>
      </c>
      <c r="Q6" s="1459">
        <v>2015</v>
      </c>
    </row>
    <row r="7" spans="2:19" ht="16.5" thickBot="1" x14ac:dyDescent="0.35">
      <c r="B7" s="1447" t="s">
        <v>1593</v>
      </c>
      <c r="C7" s="1447" t="s">
        <v>1594</v>
      </c>
      <c r="D7" s="1448">
        <v>8358446</v>
      </c>
      <c r="E7" s="1448">
        <v>8223807</v>
      </c>
      <c r="F7" s="1448">
        <v>9661161</v>
      </c>
      <c r="G7" s="1448">
        <v>9445580</v>
      </c>
      <c r="H7" s="1448">
        <v>9397320</v>
      </c>
      <c r="K7" s="1461" t="s">
        <v>1593</v>
      </c>
      <c r="L7" s="1462" t="s">
        <v>1594</v>
      </c>
      <c r="M7" s="1463">
        <v>8223807</v>
      </c>
      <c r="N7" s="1463">
        <v>9661161</v>
      </c>
      <c r="O7" s="1463">
        <v>9445580</v>
      </c>
      <c r="P7" s="1464">
        <v>9397320</v>
      </c>
      <c r="Q7" s="1463">
        <v>9567277</v>
      </c>
      <c r="S7" s="4"/>
    </row>
    <row r="8" spans="2:19" ht="16.5" thickBot="1" x14ac:dyDescent="0.35">
      <c r="B8" s="1447" t="s">
        <v>1595</v>
      </c>
      <c r="C8" s="1447" t="s">
        <v>1596</v>
      </c>
      <c r="D8" s="1448">
        <v>4313154</v>
      </c>
      <c r="E8" s="1448">
        <v>4748391</v>
      </c>
      <c r="F8" s="1448">
        <v>4615671</v>
      </c>
      <c r="G8" s="1448">
        <v>4437500</v>
      </c>
      <c r="H8" s="1448">
        <v>5068946</v>
      </c>
      <c r="K8" s="1461" t="s">
        <v>1595</v>
      </c>
      <c r="L8" s="1462" t="s">
        <v>1596</v>
      </c>
      <c r="M8" s="1463">
        <v>4748391</v>
      </c>
      <c r="N8" s="1463">
        <v>4615671</v>
      </c>
      <c r="O8" s="1463">
        <v>4437500</v>
      </c>
      <c r="P8" s="1464">
        <v>5068946</v>
      </c>
      <c r="Q8" s="1463">
        <v>5538994</v>
      </c>
      <c r="S8" s="4"/>
    </row>
    <row r="9" spans="2:19" ht="16.5" thickBot="1" x14ac:dyDescent="0.35">
      <c r="B9" s="1447" t="s">
        <v>1597</v>
      </c>
      <c r="C9" s="1447" t="s">
        <v>1598</v>
      </c>
      <c r="D9" s="1448">
        <v>2213055</v>
      </c>
      <c r="E9" s="1448">
        <v>2364649</v>
      </c>
      <c r="F9" s="1448">
        <v>2814753</v>
      </c>
      <c r="G9" s="1448">
        <v>2963918</v>
      </c>
      <c r="H9" s="1448">
        <v>3102529</v>
      </c>
      <c r="K9" s="1461" t="s">
        <v>1597</v>
      </c>
      <c r="L9" s="1462" t="s">
        <v>1598</v>
      </c>
      <c r="M9" s="1463">
        <v>2364649</v>
      </c>
      <c r="N9" s="1463">
        <v>2814753</v>
      </c>
      <c r="O9" s="1463">
        <v>2963918</v>
      </c>
      <c r="P9" s="1464">
        <v>3102529</v>
      </c>
      <c r="Q9" s="1463">
        <v>3184445</v>
      </c>
      <c r="S9" s="4"/>
    </row>
    <row r="10" spans="2:19" ht="16.5" thickBot="1" x14ac:dyDescent="0.35">
      <c r="B10" s="1447" t="s">
        <v>1599</v>
      </c>
      <c r="C10" s="1447" t="s">
        <v>1594</v>
      </c>
      <c r="D10" s="1448">
        <v>5962896</v>
      </c>
      <c r="E10" s="1448">
        <v>7469948</v>
      </c>
      <c r="F10" s="1448">
        <v>9996755</v>
      </c>
      <c r="G10" s="1448">
        <v>9663848</v>
      </c>
      <c r="H10" s="1448">
        <v>9797640</v>
      </c>
      <c r="K10" s="1461" t="s">
        <v>1599</v>
      </c>
      <c r="L10" s="1462" t="s">
        <v>1594</v>
      </c>
      <c r="M10" s="1463">
        <v>7469948</v>
      </c>
      <c r="N10" s="1463">
        <v>9996755</v>
      </c>
      <c r="O10" s="1463">
        <v>9663848</v>
      </c>
      <c r="P10" s="1464">
        <v>9797640</v>
      </c>
      <c r="Q10" s="1463">
        <v>8675946</v>
      </c>
      <c r="S10" s="4"/>
    </row>
    <row r="11" spans="2:19" ht="16.5" thickBot="1" x14ac:dyDescent="0.35">
      <c r="B11" s="1447" t="s">
        <v>1600</v>
      </c>
      <c r="C11" s="1447" t="s">
        <v>1601</v>
      </c>
      <c r="D11" s="1448">
        <v>1353384</v>
      </c>
      <c r="E11" s="1448">
        <v>1405597</v>
      </c>
      <c r="F11" s="1448">
        <v>1761346</v>
      </c>
      <c r="G11" s="1448">
        <v>1983104</v>
      </c>
      <c r="H11" s="1448">
        <v>1881475</v>
      </c>
      <c r="K11" s="1461" t="s">
        <v>1600</v>
      </c>
      <c r="L11" s="1462" t="s">
        <v>1601</v>
      </c>
      <c r="M11" s="1463">
        <v>1405597</v>
      </c>
      <c r="N11" s="1463">
        <v>1761346</v>
      </c>
      <c r="O11" s="1463">
        <v>1983104</v>
      </c>
      <c r="P11" s="1464">
        <v>1881475</v>
      </c>
      <c r="Q11" s="1463">
        <v>2121491</v>
      </c>
      <c r="S11" s="4"/>
    </row>
    <row r="12" spans="2:19" ht="16.5" thickBot="1" x14ac:dyDescent="0.35">
      <c r="B12" s="1447" t="s">
        <v>1602</v>
      </c>
      <c r="C12" s="1447" t="s">
        <v>1603</v>
      </c>
      <c r="D12" s="1448">
        <v>2045171</v>
      </c>
      <c r="E12" s="1448">
        <v>2337444</v>
      </c>
      <c r="F12" s="1448">
        <v>2413930</v>
      </c>
      <c r="G12" s="1448">
        <v>3521009</v>
      </c>
      <c r="H12" s="1448">
        <v>4038811</v>
      </c>
      <c r="K12" s="1461" t="s">
        <v>1602</v>
      </c>
      <c r="L12" s="1462" t="s">
        <v>1603</v>
      </c>
      <c r="M12" s="1463">
        <v>2337444</v>
      </c>
      <c r="N12" s="1463">
        <v>2413930</v>
      </c>
      <c r="O12" s="1463">
        <v>3521009</v>
      </c>
      <c r="P12" s="1464">
        <v>4038811</v>
      </c>
      <c r="Q12" s="1463">
        <v>3423180</v>
      </c>
      <c r="S12" s="4"/>
    </row>
    <row r="13" spans="2:19" ht="16.5" thickBot="1" x14ac:dyDescent="0.35">
      <c r="B13" s="1447" t="s">
        <v>1604</v>
      </c>
      <c r="C13" s="1447" t="s">
        <v>1605</v>
      </c>
      <c r="D13" s="1448">
        <v>494277</v>
      </c>
      <c r="E13" s="1448">
        <v>513757</v>
      </c>
      <c r="F13" s="1448">
        <v>653987</v>
      </c>
      <c r="G13" s="1448">
        <v>679823</v>
      </c>
      <c r="H13" s="1448">
        <v>830648</v>
      </c>
      <c r="K13" s="1461" t="s">
        <v>1604</v>
      </c>
      <c r="L13" s="1462" t="s">
        <v>1605</v>
      </c>
      <c r="M13" s="1463">
        <v>513757</v>
      </c>
      <c r="N13" s="1463">
        <v>653987</v>
      </c>
      <c r="O13" s="1463">
        <v>679823</v>
      </c>
      <c r="P13" s="1464">
        <v>830648</v>
      </c>
      <c r="Q13" s="1463">
        <v>1266399</v>
      </c>
      <c r="S13" s="4"/>
    </row>
    <row r="14" spans="2:19" ht="16.5" thickBot="1" x14ac:dyDescent="0.35">
      <c r="B14" s="1447" t="s">
        <v>1606</v>
      </c>
      <c r="C14" s="1447" t="s">
        <v>1607</v>
      </c>
      <c r="D14" s="1448">
        <v>574951</v>
      </c>
      <c r="E14" s="1448">
        <v>577605</v>
      </c>
      <c r="F14" s="1448">
        <v>632313</v>
      </c>
      <c r="G14" s="1448">
        <v>833508</v>
      </c>
      <c r="H14" s="1448">
        <v>891348</v>
      </c>
      <c r="K14" s="1461" t="s">
        <v>1606</v>
      </c>
      <c r="L14" s="1462" t="s">
        <v>1607</v>
      </c>
      <c r="M14" s="1463">
        <v>577605</v>
      </c>
      <c r="N14" s="1463">
        <v>632313</v>
      </c>
      <c r="O14" s="1463">
        <v>833508</v>
      </c>
      <c r="P14" s="1464">
        <v>891348</v>
      </c>
      <c r="Q14" s="1463">
        <v>863612</v>
      </c>
      <c r="S14" s="4"/>
    </row>
    <row r="15" spans="2:19" ht="16.5" thickBot="1" x14ac:dyDescent="0.35">
      <c r="B15" s="1447" t="s">
        <v>1608</v>
      </c>
      <c r="C15" s="1447" t="s">
        <v>1596</v>
      </c>
      <c r="D15" s="1448">
        <v>594536</v>
      </c>
      <c r="E15" s="1448">
        <v>584177</v>
      </c>
      <c r="F15" s="1448">
        <v>825464</v>
      </c>
      <c r="G15" s="1448">
        <v>989740</v>
      </c>
      <c r="H15" s="1448">
        <v>1117099</v>
      </c>
      <c r="K15" s="1461" t="s">
        <v>1608</v>
      </c>
      <c r="L15" s="1462" t="s">
        <v>1596</v>
      </c>
      <c r="M15" s="1463">
        <v>584177</v>
      </c>
      <c r="N15" s="1463">
        <v>825464</v>
      </c>
      <c r="O15" s="1463">
        <v>989740</v>
      </c>
      <c r="P15" s="1464">
        <v>1117099</v>
      </c>
      <c r="Q15" s="1463">
        <v>1135704</v>
      </c>
      <c r="S15" s="4"/>
    </row>
    <row r="16" spans="2:19" ht="16.5" thickBot="1" x14ac:dyDescent="0.35">
      <c r="B16" s="1447" t="s">
        <v>1609</v>
      </c>
      <c r="C16" s="1447" t="s">
        <v>1610</v>
      </c>
      <c r="D16" s="1448">
        <v>423326</v>
      </c>
      <c r="E16" s="1448">
        <v>413538</v>
      </c>
      <c r="F16" s="1448">
        <v>501056</v>
      </c>
      <c r="G16" s="1448">
        <v>471605</v>
      </c>
      <c r="H16" s="1448">
        <v>481009</v>
      </c>
      <c r="K16" s="1461" t="s">
        <v>1609</v>
      </c>
      <c r="L16" s="1462" t="s">
        <v>1610</v>
      </c>
      <c r="M16" s="1463">
        <v>413538</v>
      </c>
      <c r="N16" s="1463">
        <v>501056</v>
      </c>
      <c r="O16" s="1463">
        <v>471605</v>
      </c>
      <c r="P16" s="1464">
        <v>481009</v>
      </c>
      <c r="Q16" s="1463">
        <v>438926</v>
      </c>
      <c r="S16" s="4"/>
    </row>
    <row r="17" spans="2:19" ht="16.5" thickBot="1" x14ac:dyDescent="0.35">
      <c r="B17" s="1447" t="s">
        <v>1611</v>
      </c>
      <c r="C17" s="1447" t="s">
        <v>1612</v>
      </c>
      <c r="D17" s="1448">
        <v>337104</v>
      </c>
      <c r="E17" s="1448">
        <v>338336</v>
      </c>
      <c r="F17" s="1448">
        <v>428382</v>
      </c>
      <c r="G17" s="1448">
        <v>396576</v>
      </c>
      <c r="H17" s="1448">
        <v>477545</v>
      </c>
      <c r="K17" s="1461" t="s">
        <v>1611</v>
      </c>
      <c r="L17" s="1462" t="s">
        <v>1612</v>
      </c>
      <c r="M17" s="1463">
        <v>338336</v>
      </c>
      <c r="N17" s="1463">
        <v>428382</v>
      </c>
      <c r="O17" s="1463">
        <v>396576</v>
      </c>
      <c r="P17" s="1464">
        <v>477545</v>
      </c>
      <c r="Q17" s="1463">
        <v>528899</v>
      </c>
      <c r="S17" s="4"/>
    </row>
    <row r="18" spans="2:19" ht="16.5" thickBot="1" x14ac:dyDescent="0.35">
      <c r="B18" s="1447" t="s">
        <v>1613</v>
      </c>
      <c r="C18" s="1447" t="s">
        <v>1614</v>
      </c>
      <c r="D18" s="1448">
        <v>270547</v>
      </c>
      <c r="E18" s="1448">
        <v>270516</v>
      </c>
      <c r="F18" s="1448">
        <v>363060</v>
      </c>
      <c r="G18" s="1448">
        <v>441378</v>
      </c>
      <c r="H18" s="1448">
        <v>455496</v>
      </c>
      <c r="K18" s="1461" t="s">
        <v>1613</v>
      </c>
      <c r="L18" s="1462" t="s">
        <v>1614</v>
      </c>
      <c r="M18" s="1463">
        <v>270516</v>
      </c>
      <c r="N18" s="1463">
        <v>363060</v>
      </c>
      <c r="O18" s="1463">
        <v>441378</v>
      </c>
      <c r="P18" s="1464">
        <v>455496</v>
      </c>
      <c r="Q18" s="1463">
        <v>457138</v>
      </c>
      <c r="S18" s="4"/>
    </row>
    <row r="19" spans="2:19" ht="16.5" thickBot="1" x14ac:dyDescent="0.35">
      <c r="B19" s="1447" t="s">
        <v>1615</v>
      </c>
      <c r="C19" s="1447" t="s">
        <v>1616</v>
      </c>
      <c r="D19" s="1449" t="s">
        <v>1617</v>
      </c>
      <c r="E19" s="1449" t="s">
        <v>1617</v>
      </c>
      <c r="F19" s="1449" t="s">
        <v>1617</v>
      </c>
      <c r="G19" s="1448">
        <v>142508</v>
      </c>
      <c r="H19" s="1448">
        <v>391647</v>
      </c>
      <c r="K19" s="1461" t="s">
        <v>1615</v>
      </c>
      <c r="L19" s="1462" t="s">
        <v>1616</v>
      </c>
      <c r="M19" s="1465" t="s">
        <v>1617</v>
      </c>
      <c r="N19" s="1465" t="s">
        <v>1617</v>
      </c>
      <c r="O19" s="1463">
        <v>142508</v>
      </c>
      <c r="P19" s="1464">
        <v>391647</v>
      </c>
      <c r="Q19" s="1463">
        <v>434690</v>
      </c>
      <c r="S19" s="4"/>
    </row>
    <row r="20" spans="2:19" ht="16.5" thickBot="1" x14ac:dyDescent="0.35">
      <c r="B20" s="1447" t="s">
        <v>1618</v>
      </c>
      <c r="C20" s="1447" t="s">
        <v>1619</v>
      </c>
      <c r="D20" s="1448">
        <v>248030</v>
      </c>
      <c r="E20" s="1448">
        <v>617479</v>
      </c>
      <c r="F20" s="1448">
        <v>1767098</v>
      </c>
      <c r="G20" s="1448">
        <v>1929456</v>
      </c>
      <c r="H20" s="1448">
        <v>1644271</v>
      </c>
      <c r="K20" s="1461" t="s">
        <v>1618</v>
      </c>
      <c r="L20" s="1462" t="s">
        <v>1619</v>
      </c>
      <c r="M20" s="1463">
        <v>617479</v>
      </c>
      <c r="N20" s="1463">
        <v>1767098</v>
      </c>
      <c r="O20" s="1463">
        <v>1929456</v>
      </c>
      <c r="P20" s="1464">
        <v>1644271</v>
      </c>
      <c r="Q20" s="1463">
        <v>1212587</v>
      </c>
      <c r="S20" s="4"/>
    </row>
    <row r="21" spans="2:19" ht="16.5" thickBot="1" x14ac:dyDescent="0.35">
      <c r="B21" s="1447" t="s">
        <v>1620</v>
      </c>
      <c r="C21" s="1447" t="s">
        <v>1621</v>
      </c>
      <c r="D21" s="1449" t="s">
        <v>1617</v>
      </c>
      <c r="E21" s="1449" t="s">
        <v>1617</v>
      </c>
      <c r="F21" s="1449" t="s">
        <v>1617</v>
      </c>
      <c r="G21" s="1448">
        <v>405952</v>
      </c>
      <c r="H21" s="1448">
        <v>430684</v>
      </c>
      <c r="K21" s="1461" t="s">
        <v>1620</v>
      </c>
      <c r="L21" s="1462" t="s">
        <v>1621</v>
      </c>
      <c r="M21" s="1465" t="s">
        <v>1617</v>
      </c>
      <c r="N21" s="1465" t="s">
        <v>1617</v>
      </c>
      <c r="O21" s="1463">
        <v>405952</v>
      </c>
      <c r="P21" s="1464">
        <v>430684</v>
      </c>
      <c r="Q21" s="1463">
        <v>564237</v>
      </c>
      <c r="S21" s="4"/>
    </row>
    <row r="22" spans="2:19" ht="16.5" thickBot="1" x14ac:dyDescent="0.35">
      <c r="B22" s="1447" t="s">
        <v>1622</v>
      </c>
      <c r="C22" s="1447" t="s">
        <v>1623</v>
      </c>
      <c r="D22" s="1448">
        <v>333961</v>
      </c>
      <c r="E22" s="1448">
        <v>354528</v>
      </c>
      <c r="F22" s="1448">
        <v>400666</v>
      </c>
      <c r="G22" s="1448">
        <v>404093</v>
      </c>
      <c r="H22" s="1448">
        <v>491406</v>
      </c>
      <c r="K22" s="1461" t="s">
        <v>1622</v>
      </c>
      <c r="L22" s="1462" t="s">
        <v>1623</v>
      </c>
      <c r="M22" s="1463">
        <v>354528</v>
      </c>
      <c r="N22" s="1463">
        <v>400666</v>
      </c>
      <c r="O22" s="1463">
        <v>404093</v>
      </c>
      <c r="P22" s="1464">
        <v>491406</v>
      </c>
      <c r="Q22" s="1463">
        <v>679017</v>
      </c>
      <c r="S22" s="4"/>
    </row>
    <row r="23" spans="2:19" ht="16.5" thickBot="1" x14ac:dyDescent="0.35">
      <c r="B23" s="1447" t="s">
        <v>1624</v>
      </c>
      <c r="C23" s="1447" t="s">
        <v>1625</v>
      </c>
      <c r="D23" s="1448">
        <v>293358</v>
      </c>
      <c r="E23" s="1448">
        <v>235035</v>
      </c>
      <c r="F23" s="1448">
        <v>273749</v>
      </c>
      <c r="G23" s="1448">
        <v>297278</v>
      </c>
      <c r="H23" s="1448">
        <v>554037</v>
      </c>
      <c r="K23" s="1461" t="s">
        <v>1624</v>
      </c>
      <c r="L23" s="1462" t="s">
        <v>1625</v>
      </c>
      <c r="M23" s="1463">
        <v>235035</v>
      </c>
      <c r="N23" s="1463">
        <v>273749</v>
      </c>
      <c r="O23" s="1463">
        <v>297278</v>
      </c>
      <c r="P23" s="1464">
        <v>554037</v>
      </c>
      <c r="Q23" s="1463">
        <v>761597</v>
      </c>
      <c r="S23" s="4"/>
    </row>
    <row r="24" spans="2:19" ht="16.5" thickBot="1" x14ac:dyDescent="0.35">
      <c r="B24" s="1447" t="s">
        <v>1626</v>
      </c>
      <c r="C24" s="1447" t="s">
        <v>1627</v>
      </c>
      <c r="D24" s="1448">
        <v>802817</v>
      </c>
      <c r="E24" s="1448">
        <v>934763</v>
      </c>
      <c r="F24" s="1448">
        <v>950239</v>
      </c>
      <c r="G24" s="1448">
        <v>1094678</v>
      </c>
      <c r="H24" s="1448">
        <v>1146893</v>
      </c>
      <c r="K24" s="1461" t="s">
        <v>1626</v>
      </c>
      <c r="L24" s="1462" t="s">
        <v>1627</v>
      </c>
      <c r="M24" s="1463">
        <v>934763</v>
      </c>
      <c r="N24" s="1463">
        <v>950239</v>
      </c>
      <c r="O24" s="1463">
        <v>1094678</v>
      </c>
      <c r="P24" s="1464">
        <v>1146893</v>
      </c>
      <c r="Q24" s="1463">
        <v>1156649</v>
      </c>
      <c r="S24" s="4"/>
    </row>
    <row r="25" spans="2:19" ht="16.5" thickBot="1" x14ac:dyDescent="0.35">
      <c r="B25" s="1808" t="s">
        <v>14</v>
      </c>
      <c r="C25" s="1808"/>
      <c r="D25" s="1450">
        <v>28619013</v>
      </c>
      <c r="E25" s="1450">
        <v>31389570</v>
      </c>
      <c r="F25" s="1450">
        <v>38059630</v>
      </c>
      <c r="G25" s="1452">
        <v>40101554</v>
      </c>
      <c r="H25" s="1452">
        <v>42198804</v>
      </c>
      <c r="K25" s="1466" t="s">
        <v>3</v>
      </c>
      <c r="L25" s="1467"/>
      <c r="M25" s="1468">
        <v>31389570</v>
      </c>
      <c r="N25" s="1468">
        <v>38059630</v>
      </c>
      <c r="O25" s="1471">
        <v>40101554</v>
      </c>
      <c r="P25" s="1471">
        <v>42198804</v>
      </c>
      <c r="Q25" s="1469">
        <v>42010788</v>
      </c>
      <c r="S25" s="4"/>
    </row>
    <row r="26" spans="2:19" ht="17.25" x14ac:dyDescent="0.35">
      <c r="B26" s="1451" t="s">
        <v>1628</v>
      </c>
      <c r="C26" s="1029"/>
      <c r="D26" s="1029"/>
      <c r="E26" s="1029"/>
      <c r="F26" s="1029"/>
      <c r="G26" s="1029"/>
      <c r="H26" s="1029"/>
    </row>
    <row r="27" spans="2:19" ht="15.75" x14ac:dyDescent="0.25">
      <c r="K27" s="1470" t="s">
        <v>1628</v>
      </c>
    </row>
  </sheetData>
  <mergeCells count="1">
    <mergeCell ref="B25:C25"/>
  </mergeCells>
  <pageMargins left="0.51181102362204722" right="0.51181102362204722" top="0.74803149606299213" bottom="0.74803149606299213" header="0.31496062992125984" footer="0.31496062992125984"/>
  <pageSetup paperSize="9" scale="63" orientation="landscape" r:id="rId1"/>
  <headerFooter>
    <oddHeader>&amp;L&amp;F    &amp;&amp;&amp;A&amp;C
&amp;D&amp;RPage &amp;P of &amp;N</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
  <sheetViews>
    <sheetView zoomScaleNormal="100" workbookViewId="0">
      <selection activeCell="Y26" sqref="Y26"/>
    </sheetView>
  </sheetViews>
  <sheetFormatPr defaultRowHeight="15" x14ac:dyDescent="0.25"/>
  <cols>
    <col min="1" max="1" width="16.85546875" customWidth="1"/>
    <col min="2" max="2" width="20.42578125" customWidth="1"/>
    <col min="3" max="3" width="17.140625" customWidth="1"/>
    <col min="4" max="4" width="13.5703125" customWidth="1"/>
    <col min="5" max="5" width="19" customWidth="1"/>
  </cols>
  <sheetData>
    <row r="1" spans="1:5" x14ac:dyDescent="0.25">
      <c r="A1" s="1412" t="s">
        <v>1528</v>
      </c>
      <c r="B1" s="1413" t="s">
        <v>1565</v>
      </c>
      <c r="C1" s="1413" t="s">
        <v>1535</v>
      </c>
      <c r="D1" s="1413" t="s">
        <v>1566</v>
      </c>
      <c r="E1" s="1413" t="s">
        <v>1567</v>
      </c>
    </row>
    <row r="2" spans="1:5" x14ac:dyDescent="0.25">
      <c r="A2" s="1414">
        <f>1151456/1000</f>
        <v>1151.4559999999999</v>
      </c>
      <c r="B2" s="1415">
        <f>19106305.1960537/1000</f>
        <v>19106.305196053698</v>
      </c>
      <c r="C2" s="1415">
        <f>500394.6/1000</f>
        <v>500.39459999999997</v>
      </c>
      <c r="D2" s="1415">
        <f>1038989.20394626/1000</f>
        <v>1038.98920394626</v>
      </c>
      <c r="E2" s="1414">
        <f>15214484/1000</f>
        <v>15214.484</v>
      </c>
    </row>
    <row r="4" spans="1:5" x14ac:dyDescent="0.25">
      <c r="C4" s="4"/>
    </row>
  </sheetData>
  <pageMargins left="0.51181102362204722" right="0.51181102362204722" top="0.74803149606299213" bottom="0.74803149606299213" header="0.31496062992125984" footer="0.31496062992125984"/>
  <pageSetup paperSize="9" orientation="landscape" r:id="rId1"/>
  <headerFooter>
    <oddHeader>&amp;L&amp;F    &amp;&amp;&amp;A&amp;C
&amp;D&amp;RPage &amp;P of &amp;N</oddHeader>
  </headerFooter>
  <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3:R39"/>
  <sheetViews>
    <sheetView zoomScale="90" zoomScaleNormal="90" workbookViewId="0">
      <selection activeCell="E2" sqref="E2"/>
    </sheetView>
  </sheetViews>
  <sheetFormatPr defaultRowHeight="15" x14ac:dyDescent="0.25"/>
  <cols>
    <col min="2" max="2" width="0.7109375" customWidth="1"/>
    <col min="3" max="3" width="4" customWidth="1"/>
    <col min="4" max="4" width="35.140625" customWidth="1"/>
    <col min="5" max="5" width="24.140625" customWidth="1"/>
    <col min="6" max="7" width="11.85546875" customWidth="1"/>
    <col min="8" max="8" width="22.42578125" customWidth="1"/>
    <col min="9" max="9" width="11.85546875" customWidth="1"/>
    <col min="10" max="10" width="0.7109375" customWidth="1"/>
    <col min="12" max="12" width="23.42578125" customWidth="1"/>
    <col min="13" max="13" width="10.5703125" customWidth="1"/>
    <col min="14" max="14" width="29.42578125" customWidth="1"/>
    <col min="15" max="15" width="9.140625" customWidth="1"/>
    <col min="16" max="16" width="23.42578125" customWidth="1"/>
    <col min="17" max="17" width="10.5703125" customWidth="1"/>
    <col min="18" max="18" width="0.7109375" customWidth="1"/>
  </cols>
  <sheetData>
    <row r="3" spans="1:18" x14ac:dyDescent="0.25">
      <c r="C3" s="187" t="s">
        <v>1665</v>
      </c>
    </row>
    <row r="4" spans="1:18" x14ac:dyDescent="0.25">
      <c r="A4" s="1474"/>
      <c r="B4" s="1483"/>
      <c r="C4" s="1483"/>
      <c r="D4" s="1483"/>
      <c r="E4" s="1483"/>
      <c r="F4" s="1483"/>
      <c r="G4" s="1483"/>
      <c r="H4" s="1483"/>
      <c r="I4" s="1483"/>
      <c r="J4" s="1483"/>
      <c r="K4" s="1474"/>
    </row>
    <row r="5" spans="1:18" ht="61.5" customHeight="1" x14ac:dyDescent="0.25">
      <c r="A5" s="1474"/>
      <c r="B5" s="1484"/>
      <c r="C5" s="1484"/>
      <c r="D5" s="1484"/>
      <c r="E5" s="1485" t="s">
        <v>1657</v>
      </c>
      <c r="F5" s="1485"/>
      <c r="G5" s="1485"/>
      <c r="H5" s="1485" t="s">
        <v>1656</v>
      </c>
      <c r="I5" s="1485"/>
      <c r="J5" s="1484"/>
      <c r="K5" s="1474"/>
      <c r="L5" s="717" t="s">
        <v>1655</v>
      </c>
      <c r="M5" s="717"/>
      <c r="N5" s="717" t="s">
        <v>1654</v>
      </c>
      <c r="O5" s="717"/>
      <c r="P5" s="717" t="s">
        <v>1653</v>
      </c>
      <c r="Q5" s="717"/>
      <c r="R5" s="297"/>
    </row>
    <row r="6" spans="1:18" x14ac:dyDescent="0.25">
      <c r="A6" s="1474"/>
      <c r="B6" s="1480"/>
      <c r="C6" s="1480"/>
      <c r="D6" s="1480"/>
      <c r="E6" s="1481">
        <v>2014</v>
      </c>
      <c r="F6" s="1481">
        <v>2015</v>
      </c>
      <c r="G6" s="1481">
        <v>2016</v>
      </c>
      <c r="H6" s="1481">
        <v>2015</v>
      </c>
      <c r="I6" s="1481">
        <v>2016</v>
      </c>
      <c r="J6" s="1480"/>
      <c r="K6" s="1474"/>
      <c r="L6" s="266">
        <v>2015</v>
      </c>
      <c r="M6" s="266">
        <v>2016</v>
      </c>
      <c r="N6" s="266">
        <v>2015</v>
      </c>
      <c r="O6" s="266">
        <v>2016</v>
      </c>
      <c r="P6" s="266">
        <v>2015</v>
      </c>
      <c r="Q6" s="266">
        <v>2016</v>
      </c>
    </row>
    <row r="7" spans="1:18" x14ac:dyDescent="0.25">
      <c r="A7" s="1474"/>
      <c r="B7" s="1474"/>
      <c r="C7" s="1474"/>
      <c r="D7" s="1474"/>
      <c r="E7" s="1476" t="s">
        <v>1652</v>
      </c>
      <c r="F7" s="1476"/>
      <c r="G7" s="1475"/>
      <c r="H7" s="1475"/>
      <c r="I7" s="1475"/>
      <c r="J7" s="1474"/>
      <c r="K7" s="1474"/>
      <c r="L7" s="266"/>
      <c r="M7" s="266"/>
      <c r="N7" s="266"/>
      <c r="O7" s="266"/>
      <c r="P7" s="266"/>
      <c r="Q7" s="266"/>
    </row>
    <row r="8" spans="1:18" x14ac:dyDescent="0.25">
      <c r="A8" s="1474"/>
      <c r="B8" s="1474"/>
      <c r="C8" s="1474" t="s">
        <v>1651</v>
      </c>
      <c r="D8" s="1474"/>
      <c r="E8" s="1477"/>
      <c r="F8" s="1477"/>
      <c r="G8" s="1477"/>
      <c r="H8" s="1477"/>
      <c r="I8" s="1477"/>
      <c r="J8" s="1477"/>
      <c r="K8" s="1474"/>
      <c r="L8" s="244"/>
      <c r="M8" s="244"/>
      <c r="N8" s="244"/>
      <c r="O8" s="244"/>
      <c r="P8" s="244"/>
      <c r="Q8" s="244"/>
    </row>
    <row r="9" spans="1:18" ht="17.25" x14ac:dyDescent="0.25">
      <c r="A9" s="1474"/>
      <c r="B9" s="1474"/>
      <c r="C9" s="1474"/>
      <c r="D9" s="1474" t="s">
        <v>1650</v>
      </c>
      <c r="E9" s="1478" t="s">
        <v>1522</v>
      </c>
      <c r="F9" s="1478" t="s">
        <v>1522</v>
      </c>
      <c r="G9" s="1478">
        <v>129404.83500000001</v>
      </c>
      <c r="H9" s="1478"/>
      <c r="I9" s="1478"/>
      <c r="J9" s="1478"/>
      <c r="K9" s="1474"/>
      <c r="L9" s="1473"/>
      <c r="M9" s="1473"/>
      <c r="N9" s="1473"/>
      <c r="O9" s="1473"/>
      <c r="P9" s="1473"/>
      <c r="Q9" s="1473"/>
    </row>
    <row r="10" spans="1:18" ht="17.25" x14ac:dyDescent="0.25">
      <c r="A10" s="1474"/>
      <c r="B10" s="1474"/>
      <c r="C10" s="1474"/>
      <c r="D10" s="1474" t="s">
        <v>1649</v>
      </c>
      <c r="E10" s="1478" t="s">
        <v>1522</v>
      </c>
      <c r="F10" s="1478" t="s">
        <v>1522</v>
      </c>
      <c r="G10" s="1478" t="s">
        <v>1522</v>
      </c>
      <c r="H10" s="1478"/>
      <c r="I10" s="1478"/>
      <c r="J10" s="1478"/>
      <c r="K10" s="1474"/>
      <c r="L10" s="1473"/>
      <c r="M10" s="1473"/>
      <c r="N10" s="1473"/>
      <c r="O10" s="1473"/>
      <c r="P10" s="1473"/>
      <c r="Q10" s="1473"/>
    </row>
    <row r="11" spans="1:18" ht="17.25" x14ac:dyDescent="0.25">
      <c r="A11" s="1474"/>
      <c r="B11" s="1474"/>
      <c r="C11" s="1474"/>
      <c r="D11" s="1474" t="s">
        <v>1648</v>
      </c>
      <c r="E11" s="1478" t="s">
        <v>1522</v>
      </c>
      <c r="F11" s="1478" t="s">
        <v>1522</v>
      </c>
      <c r="G11" s="1478" t="s">
        <v>1522</v>
      </c>
      <c r="H11" s="1478"/>
      <c r="I11" s="1478"/>
      <c r="J11" s="1478"/>
      <c r="K11" s="1474"/>
      <c r="L11" s="1473"/>
      <c r="M11" s="1473"/>
      <c r="N11" s="1473"/>
      <c r="O11" s="1473"/>
      <c r="P11" s="1473"/>
      <c r="Q11" s="1473"/>
    </row>
    <row r="12" spans="1:18" ht="17.25" x14ac:dyDescent="0.25">
      <c r="A12" s="1474"/>
      <c r="B12" s="1482"/>
      <c r="C12" s="1482"/>
      <c r="D12" s="1482" t="s">
        <v>1647</v>
      </c>
      <c r="E12" s="1488" t="s">
        <v>1522</v>
      </c>
      <c r="F12" s="1488">
        <v>31000</v>
      </c>
      <c r="G12" s="1488">
        <v>33000</v>
      </c>
      <c r="H12" s="1488"/>
      <c r="I12" s="1488"/>
      <c r="J12" s="1488"/>
      <c r="K12" s="1474"/>
      <c r="L12" s="1473"/>
      <c r="M12" s="1473"/>
      <c r="N12" s="1473"/>
      <c r="O12" s="1473"/>
      <c r="P12" s="1473"/>
      <c r="Q12" s="1473"/>
    </row>
    <row r="13" spans="1:18" x14ac:dyDescent="0.25">
      <c r="A13" s="1474"/>
      <c r="B13" s="1480"/>
      <c r="C13" s="1480"/>
      <c r="D13" s="1480"/>
      <c r="E13" s="1486" t="s">
        <v>1663</v>
      </c>
      <c r="F13" s="1486"/>
      <c r="G13" s="1487"/>
      <c r="H13" s="1487"/>
      <c r="I13" s="1487"/>
      <c r="J13" s="1487"/>
      <c r="K13" s="1474"/>
      <c r="L13" s="1473"/>
      <c r="M13" s="1473"/>
      <c r="N13" s="1473"/>
      <c r="O13" s="1473"/>
      <c r="P13" s="1473"/>
      <c r="Q13" s="1473"/>
    </row>
    <row r="14" spans="1:18" x14ac:dyDescent="0.25">
      <c r="A14" s="1474"/>
      <c r="B14" s="1474"/>
      <c r="C14" s="1474" t="s">
        <v>1646</v>
      </c>
      <c r="D14" s="1474"/>
      <c r="E14" s="1478"/>
      <c r="F14" s="1478"/>
      <c r="G14" s="1478"/>
      <c r="H14" s="1478"/>
      <c r="I14" s="1478"/>
      <c r="J14" s="1478"/>
      <c r="K14" s="1474"/>
      <c r="L14" s="1473"/>
      <c r="M14" s="1473"/>
      <c r="N14" s="1473"/>
      <c r="O14" s="1473"/>
      <c r="P14" s="1473"/>
      <c r="Q14" s="1473"/>
    </row>
    <row r="15" spans="1:18" x14ac:dyDescent="0.25">
      <c r="A15" s="1474"/>
      <c r="B15" s="1474"/>
      <c r="C15" s="1474"/>
      <c r="D15" s="1474" t="s">
        <v>1645</v>
      </c>
      <c r="E15" s="1478"/>
      <c r="F15" s="1478"/>
      <c r="G15" s="1478"/>
      <c r="H15" s="1478"/>
      <c r="I15" s="1478"/>
      <c r="J15" s="1478"/>
      <c r="K15" s="1474"/>
      <c r="L15" s="1473"/>
      <c r="M15" s="1473"/>
      <c r="N15" s="1473"/>
      <c r="O15" s="1473"/>
      <c r="P15" s="1473"/>
      <c r="Q15" s="1473"/>
    </row>
    <row r="16" spans="1:18" x14ac:dyDescent="0.25">
      <c r="A16" s="1474"/>
      <c r="B16" s="1474"/>
      <c r="C16" s="1474"/>
      <c r="D16" s="1474" t="s">
        <v>1644</v>
      </c>
      <c r="E16" s="1479" t="s">
        <v>1522</v>
      </c>
      <c r="F16" s="1479"/>
      <c r="G16" s="1479">
        <v>378.2</v>
      </c>
      <c r="H16" s="1478"/>
      <c r="I16" s="1478"/>
      <c r="J16" s="1478"/>
      <c r="K16" s="1474"/>
      <c r="L16" s="1473"/>
      <c r="M16" s="1473"/>
      <c r="N16" s="1473"/>
      <c r="O16" s="1473"/>
      <c r="P16" s="1473"/>
      <c r="Q16" s="1473"/>
    </row>
    <row r="17" spans="1:18" x14ac:dyDescent="0.25">
      <c r="A17" s="1474"/>
      <c r="B17" s="1474"/>
      <c r="C17" s="1474"/>
      <c r="D17" s="1474" t="s">
        <v>1643</v>
      </c>
      <c r="E17" s="1479" t="s">
        <v>1522</v>
      </c>
      <c r="F17" s="1479"/>
      <c r="G17" s="1479" t="s">
        <v>1617</v>
      </c>
      <c r="H17" s="1478"/>
      <c r="I17" s="1478"/>
      <c r="J17" s="1478"/>
      <c r="K17" s="1474"/>
      <c r="L17" s="1473"/>
      <c r="M17" s="1473"/>
      <c r="N17" s="1473"/>
      <c r="O17" s="1473"/>
      <c r="P17" s="1473"/>
      <c r="Q17" s="1473"/>
    </row>
    <row r="18" spans="1:18" x14ac:dyDescent="0.25">
      <c r="A18" s="1474"/>
      <c r="B18" s="1474"/>
      <c r="C18" s="1474"/>
      <c r="D18" s="1474" t="s">
        <v>1642</v>
      </c>
      <c r="E18" s="1479" t="s">
        <v>1522</v>
      </c>
      <c r="F18" s="1479"/>
      <c r="G18" s="1479">
        <f>SUM(G16:G17)</f>
        <v>378.2</v>
      </c>
      <c r="H18" s="1478"/>
      <c r="I18" s="1478"/>
      <c r="J18" s="1478"/>
      <c r="K18" s="1474"/>
      <c r="L18" s="1473"/>
      <c r="M18" s="1473"/>
      <c r="N18" s="1473"/>
      <c r="O18" s="1473"/>
      <c r="P18" s="1473"/>
      <c r="Q18" s="1473"/>
    </row>
    <row r="19" spans="1:18" x14ac:dyDescent="0.25">
      <c r="A19" s="1474"/>
      <c r="B19" s="1474"/>
      <c r="C19" s="1474"/>
      <c r="D19" s="1474" t="s">
        <v>1666</v>
      </c>
      <c r="E19" s="1479"/>
      <c r="F19" s="1479"/>
      <c r="G19" s="1479"/>
      <c r="H19" s="1478"/>
      <c r="I19" s="1478"/>
      <c r="J19" s="1478"/>
      <c r="K19" s="1474"/>
      <c r="L19" s="1473"/>
      <c r="M19" s="1473"/>
      <c r="N19" s="1473"/>
      <c r="O19" s="1473"/>
      <c r="P19" s="1473"/>
      <c r="Q19" s="1473"/>
    </row>
    <row r="20" spans="1:18" ht="17.25" x14ac:dyDescent="0.25">
      <c r="A20" s="1474"/>
      <c r="B20" s="1474"/>
      <c r="C20" s="1474"/>
      <c r="D20" s="1474" t="s">
        <v>1658</v>
      </c>
      <c r="E20" s="1479">
        <v>704</v>
      </c>
      <c r="F20" s="1479" t="s">
        <v>1522</v>
      </c>
      <c r="G20" s="1479">
        <v>2007</v>
      </c>
      <c r="H20" s="1478"/>
      <c r="I20" s="1478"/>
      <c r="J20" s="1478"/>
      <c r="K20" s="1474"/>
      <c r="L20" s="1473"/>
      <c r="M20" s="1473"/>
      <c r="N20" s="1473"/>
      <c r="O20" s="1473"/>
      <c r="P20" s="1473"/>
      <c r="Q20" s="1473"/>
    </row>
    <row r="21" spans="1:18" ht="17.25" x14ac:dyDescent="0.25">
      <c r="A21" s="1474"/>
      <c r="B21" s="1474"/>
      <c r="C21" s="1474"/>
      <c r="D21" s="1474" t="s">
        <v>1668</v>
      </c>
      <c r="E21" s="1479"/>
      <c r="F21" s="1479" t="s">
        <v>1522</v>
      </c>
      <c r="G21" s="1479">
        <v>643</v>
      </c>
      <c r="H21" s="1478"/>
      <c r="I21" s="1478"/>
      <c r="J21" s="1478"/>
      <c r="K21" s="1474"/>
      <c r="L21" s="1473"/>
      <c r="M21" s="1473"/>
      <c r="N21" s="1473"/>
      <c r="O21" s="1473"/>
      <c r="P21" s="1473"/>
      <c r="Q21" s="1473"/>
    </row>
    <row r="22" spans="1:18" ht="17.25" x14ac:dyDescent="0.25">
      <c r="A22" s="1474"/>
      <c r="B22" s="1474"/>
      <c r="C22" s="1474"/>
      <c r="D22" s="1474" t="s">
        <v>1660</v>
      </c>
      <c r="E22" s="1479">
        <v>1080</v>
      </c>
      <c r="F22" s="1479"/>
      <c r="G22" s="1479"/>
      <c r="H22" s="1478"/>
      <c r="I22" s="1478"/>
      <c r="J22" s="1478"/>
      <c r="K22" s="1474"/>
      <c r="L22" s="1473"/>
      <c r="M22" s="1473"/>
      <c r="N22" s="1473"/>
      <c r="O22" s="1473"/>
      <c r="P22" s="1473"/>
      <c r="Q22" s="1473"/>
    </row>
    <row r="23" spans="1:18" ht="17.25" x14ac:dyDescent="0.25">
      <c r="A23" s="1474"/>
      <c r="B23" s="1474"/>
      <c r="C23" s="1474"/>
      <c r="D23" s="1474" t="s">
        <v>1661</v>
      </c>
      <c r="E23" s="1479">
        <v>59</v>
      </c>
      <c r="F23" s="1479" t="s">
        <v>1522</v>
      </c>
      <c r="G23" s="1479">
        <v>59</v>
      </c>
      <c r="H23" s="1478"/>
      <c r="I23" s="1478"/>
      <c r="J23" s="1478"/>
      <c r="K23" s="1474"/>
      <c r="L23" s="1473"/>
      <c r="M23" s="1473"/>
      <c r="N23" s="1473"/>
      <c r="O23" s="1473"/>
      <c r="P23" s="1473"/>
      <c r="Q23" s="1473"/>
    </row>
    <row r="24" spans="1:18" ht="17.25" x14ac:dyDescent="0.25">
      <c r="A24" s="1474"/>
      <c r="B24" s="1482"/>
      <c r="C24" s="1482"/>
      <c r="D24" s="1482" t="s">
        <v>1662</v>
      </c>
      <c r="E24" s="1489">
        <v>1139</v>
      </c>
      <c r="F24" s="1489" t="s">
        <v>1522</v>
      </c>
      <c r="G24" s="1489">
        <v>2857</v>
      </c>
      <c r="H24" s="1488"/>
      <c r="I24" s="1488"/>
      <c r="J24" s="1488"/>
      <c r="K24" s="1474"/>
      <c r="L24" s="1472"/>
      <c r="M24" s="1472"/>
      <c r="N24" s="1472"/>
      <c r="O24" s="1472"/>
      <c r="P24" s="1472"/>
      <c r="Q24" s="1472"/>
      <c r="R24" s="295"/>
    </row>
    <row r="25" spans="1:18" x14ac:dyDescent="0.25">
      <c r="A25" s="1474"/>
      <c r="B25" s="1480"/>
      <c r="C25" s="1480"/>
      <c r="D25" s="1480"/>
      <c r="E25" s="1480"/>
      <c r="F25" s="1480"/>
      <c r="G25" s="1480"/>
      <c r="H25" s="1480"/>
      <c r="I25" s="1480"/>
      <c r="J25" s="1480"/>
      <c r="K25" s="1474"/>
    </row>
    <row r="26" spans="1:18" x14ac:dyDescent="0.25">
      <c r="C26" t="s">
        <v>1641</v>
      </c>
    </row>
    <row r="27" spans="1:18" ht="17.25" x14ac:dyDescent="0.25">
      <c r="C27" t="s">
        <v>1640</v>
      </c>
    </row>
    <row r="28" spans="1:18" ht="17.25" x14ac:dyDescent="0.25">
      <c r="C28" t="s">
        <v>1664</v>
      </c>
    </row>
    <row r="29" spans="1:18" ht="17.25" x14ac:dyDescent="0.25">
      <c r="C29" t="s">
        <v>1667</v>
      </c>
    </row>
    <row r="30" spans="1:18" ht="17.25" x14ac:dyDescent="0.25">
      <c r="C30" t="s">
        <v>1659</v>
      </c>
    </row>
    <row r="32" spans="1:18" x14ac:dyDescent="0.25">
      <c r="C32" t="s">
        <v>1317</v>
      </c>
    </row>
    <row r="33" spans="3:3" x14ac:dyDescent="0.25">
      <c r="C33" t="s">
        <v>1639</v>
      </c>
    </row>
    <row r="34" spans="3:3" x14ac:dyDescent="0.25">
      <c r="C34" t="s">
        <v>1638</v>
      </c>
    </row>
    <row r="35" spans="3:3" x14ac:dyDescent="0.25">
      <c r="C35" t="s">
        <v>1637</v>
      </c>
    </row>
    <row r="36" spans="3:3" x14ac:dyDescent="0.25">
      <c r="C36" t="s">
        <v>1636</v>
      </c>
    </row>
    <row r="37" spans="3:3" x14ac:dyDescent="0.25">
      <c r="C37" t="s">
        <v>1635</v>
      </c>
    </row>
    <row r="38" spans="3:3" x14ac:dyDescent="0.25">
      <c r="C38" t="s">
        <v>1634</v>
      </c>
    </row>
    <row r="39" spans="3:3" x14ac:dyDescent="0.25">
      <c r="C39" t="s">
        <v>1633</v>
      </c>
    </row>
  </sheetData>
  <pageMargins left="0.70866141732283472" right="0.70866141732283472" top="0.74803149606299213" bottom="0.74803149606299213" header="0.31496062992125984" footer="0.31496062992125984"/>
  <pageSetup paperSize="9" scale="52" orientation="landscape" r:id="rId1"/>
  <headerFooter>
    <oddHeader>&amp;L&amp;F    &amp;&amp;    &amp;A&amp;C
&amp;D&amp;RPage &amp;P of &amp;N</oddHeader>
  </headerFooter>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62</vt:i4>
      </vt:variant>
      <vt:variant>
        <vt:lpstr>Named Ranges</vt:lpstr>
      </vt:variant>
      <vt:variant>
        <vt:i4>8</vt:i4>
      </vt:variant>
    </vt:vector>
  </HeadingPairs>
  <TitlesOfParts>
    <vt:vector size="70" baseType="lpstr">
      <vt:lpstr>TOC</vt:lpstr>
      <vt:lpstr>2012NWRMP</vt:lpstr>
      <vt:lpstr>Lakes</vt:lpstr>
      <vt:lpstr>Rivers</vt:lpstr>
      <vt:lpstr>Artificial_reserv</vt:lpstr>
      <vt:lpstr>GW&amp;SOILW_2012</vt:lpstr>
      <vt:lpstr>Prec&amp;ET2012</vt:lpstr>
      <vt:lpstr>Runoff</vt:lpstr>
      <vt:lpstr>Inflow</vt:lpstr>
      <vt:lpstr>Outflow</vt:lpstr>
      <vt:lpstr>Closing_stocks</vt:lpstr>
      <vt:lpstr>Asset_2012_Table</vt:lpstr>
      <vt:lpstr>W-Assets_Data&amp;Method_2012</vt:lpstr>
      <vt:lpstr>Asset_Tbl_Balance_2012_Doc</vt:lpstr>
      <vt:lpstr>Asset_Tbl_Balance_2012</vt:lpstr>
      <vt:lpstr>PSUT_Data&amp;Method_2012</vt:lpstr>
      <vt:lpstr>PSUT_2012</vt:lpstr>
      <vt:lpstr>RBM&amp;E-2017_S</vt:lpstr>
      <vt:lpstr>Asset_2013_Table</vt:lpstr>
      <vt:lpstr>W-Assets_Data&amp;Method_2013</vt:lpstr>
      <vt:lpstr>Asset_Tbl_Balance_2013</vt:lpstr>
      <vt:lpstr>PSUT_Data&amp;Method_2013</vt:lpstr>
      <vt:lpstr>PSUT_2013</vt:lpstr>
      <vt:lpstr>Asset_2014_Table</vt:lpstr>
      <vt:lpstr>W-Assets_Data&amp;Method_2014</vt:lpstr>
      <vt:lpstr>Asset_Tbl_Balance_2014</vt:lpstr>
      <vt:lpstr>PSUT_Data&amp;Method_2014</vt:lpstr>
      <vt:lpstr>PSUT_2014</vt:lpstr>
      <vt:lpstr>Asset_2015_Table</vt:lpstr>
      <vt:lpstr>W-Assets_Data&amp;Method_2015</vt:lpstr>
      <vt:lpstr>Asset_Tbl_Balance_2015</vt:lpstr>
      <vt:lpstr>PSUT_Data&amp;Method_2015</vt:lpstr>
      <vt:lpstr>PSUT_2015</vt:lpstr>
      <vt:lpstr>Asset_trends_Charts__I</vt:lpstr>
      <vt:lpstr>Asset_trends_Charts__II</vt:lpstr>
      <vt:lpstr>Asset_trends_Charts__III</vt:lpstr>
      <vt:lpstr>PSUT_Trends_Charts</vt:lpstr>
      <vt:lpstr>PSUT_2012-20JJ__I</vt:lpstr>
      <vt:lpstr>Indicators</vt:lpstr>
      <vt:lpstr>IRWR</vt:lpstr>
      <vt:lpstr>TRWR</vt:lpstr>
      <vt:lpstr>Water_availability_per_capita</vt:lpstr>
      <vt:lpstr>SDG_6.4.1</vt:lpstr>
      <vt:lpstr>SDG_6.4.1__T-Series</vt:lpstr>
      <vt:lpstr>Sheet3</vt:lpstr>
      <vt:lpstr>SDG_Resources_Sheet</vt:lpstr>
      <vt:lpstr>SDG_6.4.2</vt:lpstr>
      <vt:lpstr>CYGDP_KP__Transpo__I</vt:lpstr>
      <vt:lpstr>CYGDP_KP__Transpo__IIA</vt:lpstr>
      <vt:lpstr>CYGDP_KP__Transpo__IIB</vt:lpstr>
      <vt:lpstr>CYGDP_CP__Transpo</vt:lpstr>
      <vt:lpstr>CYGDP_CP</vt:lpstr>
      <vt:lpstr>CYGDP_KP</vt:lpstr>
      <vt:lpstr>L_Force_Tbl22_Transp__I</vt:lpstr>
      <vt:lpstr>L_Force_Tbl22_Transp__II</vt:lpstr>
      <vt:lpstr>L_Force_Tbl_18__I</vt:lpstr>
      <vt:lpstr>L_Force_Tbl_22__I</vt:lpstr>
      <vt:lpstr>WASAC_2012-2015</vt:lpstr>
      <vt:lpstr>WASAC_abstraction</vt:lpstr>
      <vt:lpstr>SYB_2015_Table_7.2.1</vt:lpstr>
      <vt:lpstr>WASAC_Distribution</vt:lpstr>
      <vt:lpstr>Table_Water_Sector_Econ-output</vt:lpstr>
      <vt:lpstr>SYB_2015_Table_7.2.1!_Toc368579723</vt:lpstr>
      <vt:lpstr>CYGDP_CP!Print_Area</vt:lpstr>
      <vt:lpstr>CYGDP_KP!Print_Area</vt:lpstr>
      <vt:lpstr>L_Force_Tbl_18__I!Print_Area</vt:lpstr>
      <vt:lpstr>L_Force_Tbl_22__I!Print_Area</vt:lpstr>
      <vt:lpstr>'RBM&amp;E-2017_S'!Print_Area</vt:lpstr>
      <vt:lpstr>CYGDP_CP!Print_Titles</vt:lpstr>
      <vt:lpstr>CYGDP_KP!Print_Titles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Rwanda - SEEA - Water Accounts</dc:title>
  <dc:subject>SEEA - Water Accounts</dc:subject>
  <dc:creator>NCA-Rwanda;C.Graveland</dc:creator>
  <cp:keywords>SEEA - Water</cp:keywords>
  <cp:lastModifiedBy>Windows User</cp:lastModifiedBy>
  <cp:lastPrinted>2019-02-06T12:15:52Z</cp:lastPrinted>
  <dcterms:created xsi:type="dcterms:W3CDTF">2018-02-27T13:44:08Z</dcterms:created>
  <dcterms:modified xsi:type="dcterms:W3CDTF">2019-04-26T07:27:42Z</dcterms:modified>
</cp:coreProperties>
</file>